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K:\SCM\14. INVENTORY\2026\13. STOCK TAKE\02. WEEKLY STOCK TAKE\07. JULY\"/>
    </mc:Choice>
  </mc:AlternateContent>
  <xr:revisionPtr revIDLastSave="0" documentId="13_ncr:1_{F83D6A44-B01E-4CB7-8E27-2DCF30AC56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48" r:id="rId1"/>
    <sheet name="SUM ISOTANK" sheetId="45" r:id="rId2"/>
    <sheet name="ACID &amp; ESCAID STATUS " sheetId="15" r:id="rId3"/>
    <sheet name="MASTER" sheetId="46" state="hidden" r:id="rId4"/>
    <sheet name="REKAP ACID TO PR" sheetId="28" state="hidden" r:id="rId5"/>
    <sheet name="mei" sheetId="49" state="hidden" r:id="rId6"/>
  </sheets>
  <externalReferences>
    <externalReference r:id="rId7"/>
    <externalReference r:id="rId8"/>
  </externalReferences>
  <definedNames>
    <definedName name="_xlnm._FilterDatabase" localSheetId="2" hidden="1">'ACID &amp; ESCAID STATUS '!$C$4:$O$221</definedName>
    <definedName name="_xlnm._FilterDatabase" localSheetId="5" hidden="1">mei!$A$1:$F$1</definedName>
    <definedName name="_xlnm._FilterDatabase" localSheetId="4" hidden="1">'REKAP ACID TO PR'!$A$4:$L$110</definedName>
    <definedName name="_xlnm._FilterDatabase" localSheetId="1" hidden="1">'SUM ISOTANK'!$A$1:$J$298</definedName>
    <definedName name="_xlnm.Print_Area" localSheetId="2">'ACID &amp; ESCAID STATUS '!$C$1:$R$421</definedName>
    <definedName name="_xlnm.Print_Titles" localSheetId="2">'ACID &amp; ESCAID STATUS '!$1:$4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48" l="1"/>
  <c r="T21" i="48"/>
  <c r="J14" i="48"/>
  <c r="F13" i="48"/>
  <c r="G13" i="48"/>
  <c r="G12" i="48"/>
  <c r="H12" i="48"/>
  <c r="F12" i="48"/>
  <c r="A298" i="45" l="1"/>
  <c r="G30" i="48"/>
  <c r="G28" i="48"/>
  <c r="B5" i="48"/>
  <c r="F4" i="48"/>
  <c r="J4" i="48" s="1"/>
  <c r="J5" i="48" s="1"/>
  <c r="A83" i="45"/>
  <c r="A84" i="45"/>
  <c r="A85" i="45"/>
  <c r="A86" i="45"/>
  <c r="A87" i="45"/>
  <c r="A88" i="45"/>
  <c r="A89" i="45"/>
  <c r="I89" i="45" s="1"/>
  <c r="A90" i="45"/>
  <c r="I90" i="45" s="1"/>
  <c r="A91" i="45"/>
  <c r="I91" i="45" s="1"/>
  <c r="A92" i="45"/>
  <c r="I92" i="45" s="1"/>
  <c r="A93" i="45"/>
  <c r="I93" i="45" s="1"/>
  <c r="A94" i="45"/>
  <c r="I94" i="45" s="1"/>
  <c r="A95" i="45"/>
  <c r="I95" i="45" s="1"/>
  <c r="A96" i="45"/>
  <c r="I96" i="45" s="1"/>
  <c r="A97" i="45"/>
  <c r="I97" i="45" s="1"/>
  <c r="A98" i="45"/>
  <c r="I98" i="45" s="1"/>
  <c r="A99" i="45"/>
  <c r="I99" i="45" s="1"/>
  <c r="A100" i="45"/>
  <c r="I100" i="45" s="1"/>
  <c r="A101" i="45"/>
  <c r="I101" i="45" s="1"/>
  <c r="A102" i="45"/>
  <c r="I102" i="45" s="1"/>
  <c r="A103" i="45"/>
  <c r="I103" i="45" s="1"/>
  <c r="A104" i="45"/>
  <c r="I104" i="45" s="1"/>
  <c r="A105" i="45"/>
  <c r="I105" i="45" s="1"/>
  <c r="A106" i="45"/>
  <c r="I106" i="45" s="1"/>
  <c r="A107" i="45"/>
  <c r="I107" i="45" s="1"/>
  <c r="A108" i="45"/>
  <c r="I108" i="45" s="1"/>
  <c r="A109" i="45"/>
  <c r="I109" i="45" s="1"/>
  <c r="A110" i="45"/>
  <c r="I110" i="45" s="1"/>
  <c r="A111" i="45"/>
  <c r="I111" i="45" s="1"/>
  <c r="A112" i="45"/>
  <c r="I112" i="45" s="1"/>
  <c r="A113" i="45"/>
  <c r="I113" i="45" s="1"/>
  <c r="A114" i="45"/>
  <c r="I114" i="45" s="1"/>
  <c r="A115" i="45"/>
  <c r="I115" i="45" s="1"/>
  <c r="A116" i="45"/>
  <c r="I116" i="45" s="1"/>
  <c r="A117" i="45"/>
  <c r="I117" i="45" s="1"/>
  <c r="A118" i="45"/>
  <c r="I118" i="45" s="1"/>
  <c r="A119" i="45"/>
  <c r="I119" i="45" s="1"/>
  <c r="A120" i="45"/>
  <c r="I120" i="45" s="1"/>
  <c r="A121" i="45"/>
  <c r="I121" i="45" s="1"/>
  <c r="A122" i="45"/>
  <c r="I122" i="45" s="1"/>
  <c r="A123" i="45"/>
  <c r="I123" i="45" s="1"/>
  <c r="A124" i="45"/>
  <c r="I124" i="45" s="1"/>
  <c r="A125" i="45"/>
  <c r="I125" i="45" s="1"/>
  <c r="A126" i="45"/>
  <c r="I126" i="45" s="1"/>
  <c r="A127" i="45"/>
  <c r="I127" i="45" s="1"/>
  <c r="A128" i="45"/>
  <c r="I128" i="45" s="1"/>
  <c r="A129" i="45"/>
  <c r="I129" i="45" s="1"/>
  <c r="A130" i="45"/>
  <c r="I130" i="45" s="1"/>
  <c r="A131" i="45"/>
  <c r="I131" i="45" s="1"/>
  <c r="A132" i="45"/>
  <c r="I132" i="45" s="1"/>
  <c r="A133" i="45"/>
  <c r="I133" i="45" s="1"/>
  <c r="A134" i="45"/>
  <c r="I134" i="45" s="1"/>
  <c r="A135" i="45"/>
  <c r="I135" i="45" s="1"/>
  <c r="A136" i="45"/>
  <c r="I136" i="45" s="1"/>
  <c r="A137" i="45"/>
  <c r="I137" i="45" s="1"/>
  <c r="A138" i="45"/>
  <c r="I138" i="45" s="1"/>
  <c r="A139" i="45"/>
  <c r="I139" i="45" s="1"/>
  <c r="A140" i="45"/>
  <c r="I140" i="45" s="1"/>
  <c r="A141" i="45"/>
  <c r="I141" i="45" s="1"/>
  <c r="A142" i="45"/>
  <c r="I142" i="45" s="1"/>
  <c r="A143" i="45"/>
  <c r="I143" i="45" s="1"/>
  <c r="A144" i="45"/>
  <c r="I144" i="45" s="1"/>
  <c r="A145" i="45"/>
  <c r="I145" i="45" s="1"/>
  <c r="A146" i="45"/>
  <c r="I146" i="45" s="1"/>
  <c r="A147" i="45"/>
  <c r="I147" i="45" s="1"/>
  <c r="A148" i="45"/>
  <c r="I148" i="45" s="1"/>
  <c r="A149" i="45"/>
  <c r="I149" i="45" s="1"/>
  <c r="A150" i="45"/>
  <c r="I150" i="45" s="1"/>
  <c r="A151" i="45"/>
  <c r="I151" i="45" s="1"/>
  <c r="A152" i="45"/>
  <c r="I152" i="45" s="1"/>
  <c r="A153" i="45"/>
  <c r="I153" i="45" s="1"/>
  <c r="A154" i="45"/>
  <c r="I154" i="45" s="1"/>
  <c r="A155" i="45"/>
  <c r="I155" i="45" s="1"/>
  <c r="A156" i="45"/>
  <c r="I156" i="45" s="1"/>
  <c r="A157" i="45"/>
  <c r="I157" i="45" s="1"/>
  <c r="A158" i="45"/>
  <c r="I158" i="45" s="1"/>
  <c r="A159" i="45"/>
  <c r="I159" i="45" s="1"/>
  <c r="A160" i="45"/>
  <c r="I160" i="45" s="1"/>
  <c r="A161" i="45"/>
  <c r="I161" i="45" s="1"/>
  <c r="A162" i="45"/>
  <c r="I162" i="45" s="1"/>
  <c r="A163" i="45"/>
  <c r="I163" i="45" s="1"/>
  <c r="A164" i="45"/>
  <c r="I164" i="45" s="1"/>
  <c r="A165" i="45"/>
  <c r="I165" i="45" s="1"/>
  <c r="A166" i="45"/>
  <c r="I166" i="45" s="1"/>
  <c r="A167" i="45"/>
  <c r="I167" i="45" s="1"/>
  <c r="A168" i="45"/>
  <c r="I168" i="45" s="1"/>
  <c r="A169" i="45"/>
  <c r="I169" i="45" s="1"/>
  <c r="A170" i="45"/>
  <c r="I170" i="45" s="1"/>
  <c r="A171" i="45"/>
  <c r="I171" i="45" s="1"/>
  <c r="A172" i="45"/>
  <c r="I172" i="45" s="1"/>
  <c r="A173" i="45"/>
  <c r="I173" i="45" s="1"/>
  <c r="A174" i="45"/>
  <c r="I174" i="45" s="1"/>
  <c r="A175" i="45"/>
  <c r="I175" i="45" s="1"/>
  <c r="A176" i="45"/>
  <c r="I176" i="45" s="1"/>
  <c r="A177" i="45"/>
  <c r="I177" i="45" s="1"/>
  <c r="A178" i="45"/>
  <c r="I178" i="45" s="1"/>
  <c r="A179" i="45"/>
  <c r="I179" i="45" s="1"/>
  <c r="A180" i="45"/>
  <c r="I180" i="45" s="1"/>
  <c r="A181" i="45"/>
  <c r="I181" i="45" s="1"/>
  <c r="A182" i="45"/>
  <c r="I182" i="45" s="1"/>
  <c r="A183" i="45"/>
  <c r="I183" i="45" s="1"/>
  <c r="A184" i="45"/>
  <c r="I184" i="45" s="1"/>
  <c r="A185" i="45"/>
  <c r="I185" i="45" s="1"/>
  <c r="A186" i="45"/>
  <c r="I186" i="45" s="1"/>
  <c r="A187" i="45"/>
  <c r="I187" i="45" s="1"/>
  <c r="A188" i="45"/>
  <c r="I188" i="45" s="1"/>
  <c r="A189" i="45"/>
  <c r="I189" i="45" s="1"/>
  <c r="A190" i="45"/>
  <c r="I190" i="45" s="1"/>
  <c r="A191" i="45"/>
  <c r="I191" i="45" s="1"/>
  <c r="A192" i="45"/>
  <c r="I192" i="45" s="1"/>
  <c r="A193" i="45"/>
  <c r="I193" i="45" s="1"/>
  <c r="A194" i="45"/>
  <c r="I194" i="45" s="1"/>
  <c r="A195" i="45"/>
  <c r="I195" i="45" s="1"/>
  <c r="A196" i="45"/>
  <c r="I196" i="45" s="1"/>
  <c r="A197" i="45"/>
  <c r="I197" i="45" s="1"/>
  <c r="A198" i="45"/>
  <c r="I198" i="45" s="1"/>
  <c r="A199" i="45"/>
  <c r="I199" i="45" s="1"/>
  <c r="A200" i="45"/>
  <c r="I200" i="45" s="1"/>
  <c r="A201" i="45"/>
  <c r="I201" i="45" s="1"/>
  <c r="A202" i="45"/>
  <c r="I202" i="45" s="1"/>
  <c r="A203" i="45"/>
  <c r="I203" i="45" s="1"/>
  <c r="A204" i="45"/>
  <c r="I204" i="45" s="1"/>
  <c r="A205" i="45"/>
  <c r="I205" i="45" s="1"/>
  <c r="A206" i="45"/>
  <c r="I206" i="45" s="1"/>
  <c r="A207" i="45"/>
  <c r="I207" i="45" s="1"/>
  <c r="A208" i="45"/>
  <c r="I208" i="45" s="1"/>
  <c r="A209" i="45"/>
  <c r="I209" i="45" s="1"/>
  <c r="A210" i="45"/>
  <c r="I210" i="45" s="1"/>
  <c r="A211" i="45"/>
  <c r="I211" i="45" s="1"/>
  <c r="A212" i="45"/>
  <c r="I212" i="45" s="1"/>
  <c r="A213" i="45"/>
  <c r="I213" i="45" s="1"/>
  <c r="A214" i="45"/>
  <c r="I214" i="45" s="1"/>
  <c r="A215" i="45"/>
  <c r="I215" i="45" s="1"/>
  <c r="A216" i="45"/>
  <c r="I216" i="45" s="1"/>
  <c r="A217" i="45"/>
  <c r="I217" i="45" s="1"/>
  <c r="A218" i="45"/>
  <c r="I218" i="45" s="1"/>
  <c r="A219" i="45"/>
  <c r="I219" i="45" s="1"/>
  <c r="A220" i="45"/>
  <c r="I220" i="45" s="1"/>
  <c r="A221" i="45"/>
  <c r="I221" i="45" s="1"/>
  <c r="A222" i="45"/>
  <c r="I222" i="45" s="1"/>
  <c r="A223" i="45"/>
  <c r="I223" i="45" s="1"/>
  <c r="A224" i="45"/>
  <c r="I224" i="45" s="1"/>
  <c r="A225" i="45"/>
  <c r="I225" i="45" s="1"/>
  <c r="A226" i="45"/>
  <c r="I226" i="45" s="1"/>
  <c r="A227" i="45"/>
  <c r="I227" i="45" s="1"/>
  <c r="A228" i="45"/>
  <c r="I228" i="45" s="1"/>
  <c r="A229" i="45"/>
  <c r="I229" i="45" s="1"/>
  <c r="A230" i="45"/>
  <c r="I230" i="45" s="1"/>
  <c r="A231" i="45"/>
  <c r="I231" i="45" s="1"/>
  <c r="A232" i="45"/>
  <c r="I232" i="45" s="1"/>
  <c r="A233" i="45"/>
  <c r="I233" i="45" s="1"/>
  <c r="A234" i="45"/>
  <c r="I234" i="45" s="1"/>
  <c r="A235" i="45"/>
  <c r="I235" i="45" s="1"/>
  <c r="A236" i="45"/>
  <c r="I236" i="45" s="1"/>
  <c r="A237" i="45"/>
  <c r="I237" i="45" s="1"/>
  <c r="A238" i="45"/>
  <c r="I238" i="45" s="1"/>
  <c r="A239" i="45"/>
  <c r="I239" i="45" s="1"/>
  <c r="A240" i="45"/>
  <c r="I240" i="45" s="1"/>
  <c r="A241" i="45"/>
  <c r="I241" i="45" s="1"/>
  <c r="A242" i="45"/>
  <c r="I242" i="45" s="1"/>
  <c r="A243" i="45"/>
  <c r="I243" i="45" s="1"/>
  <c r="A244" i="45"/>
  <c r="I244" i="45" s="1"/>
  <c r="A245" i="45"/>
  <c r="I245" i="45" s="1"/>
  <c r="A246" i="45"/>
  <c r="I246" i="45" s="1"/>
  <c r="A247" i="45"/>
  <c r="I247" i="45" s="1"/>
  <c r="A248" i="45"/>
  <c r="I248" i="45" s="1"/>
  <c r="A249" i="45"/>
  <c r="I249" i="45" s="1"/>
  <c r="A250" i="45"/>
  <c r="I250" i="45" s="1"/>
  <c r="A251" i="45"/>
  <c r="I251" i="45" s="1"/>
  <c r="A252" i="45"/>
  <c r="I252" i="45" s="1"/>
  <c r="A253" i="45"/>
  <c r="I253" i="45" s="1"/>
  <c r="A254" i="45"/>
  <c r="I254" i="45" s="1"/>
  <c r="A255" i="45"/>
  <c r="I255" i="45" s="1"/>
  <c r="A256" i="45"/>
  <c r="I256" i="45" s="1"/>
  <c r="A257" i="45"/>
  <c r="I257" i="45" s="1"/>
  <c r="A258" i="45"/>
  <c r="I258" i="45" s="1"/>
  <c r="A259" i="45"/>
  <c r="I259" i="45" s="1"/>
  <c r="A260" i="45"/>
  <c r="I260" i="45" s="1"/>
  <c r="A261" i="45"/>
  <c r="I261" i="45" s="1"/>
  <c r="A262" i="45"/>
  <c r="I262" i="45" s="1"/>
  <c r="A263" i="45"/>
  <c r="I263" i="45" s="1"/>
  <c r="A264" i="45"/>
  <c r="I264" i="45" s="1"/>
  <c r="A265" i="45"/>
  <c r="I265" i="45" s="1"/>
  <c r="A266" i="45"/>
  <c r="I266" i="45" s="1"/>
  <c r="A267" i="45"/>
  <c r="I267" i="45" s="1"/>
  <c r="A268" i="45"/>
  <c r="I268" i="45" s="1"/>
  <c r="A269" i="45"/>
  <c r="I269" i="45" s="1"/>
  <c r="A270" i="45"/>
  <c r="I270" i="45" s="1"/>
  <c r="A271" i="45"/>
  <c r="I271" i="45" s="1"/>
  <c r="A272" i="45"/>
  <c r="I272" i="45" s="1"/>
  <c r="A273" i="45"/>
  <c r="I273" i="45" s="1"/>
  <c r="A274" i="45"/>
  <c r="I274" i="45" s="1"/>
  <c r="A275" i="45"/>
  <c r="I275" i="45" s="1"/>
  <c r="A276" i="45"/>
  <c r="I276" i="45" s="1"/>
  <c r="A277" i="45"/>
  <c r="I277" i="45" s="1"/>
  <c r="A278" i="45"/>
  <c r="I278" i="45" s="1"/>
  <c r="A279" i="45"/>
  <c r="I279" i="45" s="1"/>
  <c r="A280" i="45"/>
  <c r="I280" i="45" s="1"/>
  <c r="A281" i="45"/>
  <c r="I281" i="45" s="1"/>
  <c r="A282" i="45"/>
  <c r="I282" i="45" s="1"/>
  <c r="A283" i="45"/>
  <c r="I283" i="45" s="1"/>
  <c r="A284" i="45"/>
  <c r="I284" i="45" s="1"/>
  <c r="A285" i="45"/>
  <c r="I285" i="45" s="1"/>
  <c r="A286" i="45"/>
  <c r="I286" i="45" s="1"/>
  <c r="A287" i="45"/>
  <c r="I287" i="45" s="1"/>
  <c r="A288" i="45"/>
  <c r="I288" i="45" s="1"/>
  <c r="A289" i="45"/>
  <c r="I289" i="45" s="1"/>
  <c r="A290" i="45"/>
  <c r="I290" i="45" s="1"/>
  <c r="A291" i="45"/>
  <c r="I291" i="45" s="1"/>
  <c r="A292" i="45"/>
  <c r="I292" i="45" s="1"/>
  <c r="A293" i="45"/>
  <c r="I293" i="45" s="1"/>
  <c r="A294" i="45"/>
  <c r="I294" i="45" s="1"/>
  <c r="A295" i="45"/>
  <c r="I295" i="45" s="1"/>
  <c r="A296" i="45"/>
  <c r="I296" i="45" s="1"/>
  <c r="A297" i="45"/>
  <c r="I297" i="45" s="1"/>
  <c r="F83" i="4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194" i="15"/>
  <c r="B220" i="15"/>
  <c r="B221" i="15"/>
  <c r="B193" i="15"/>
  <c r="J12" i="48"/>
  <c r="H15" i="48"/>
  <c r="H13" i="48"/>
  <c r="J15" i="48"/>
  <c r="J13" i="48"/>
  <c r="I12" i="48"/>
  <c r="T13" i="48" l="1"/>
  <c r="E85" i="45"/>
  <c r="H85" i="45"/>
  <c r="F85" i="45"/>
  <c r="D85" i="45"/>
  <c r="I85" i="45"/>
  <c r="G85" i="45"/>
  <c r="I88" i="45"/>
  <c r="G88" i="45"/>
  <c r="E88" i="45"/>
  <c r="H88" i="45"/>
  <c r="F88" i="45"/>
  <c r="D88" i="45"/>
  <c r="I87" i="45"/>
  <c r="G87" i="45"/>
  <c r="E87" i="45"/>
  <c r="D87" i="45"/>
  <c r="F87" i="45"/>
  <c r="H87" i="45"/>
  <c r="I86" i="45"/>
  <c r="G86" i="45"/>
  <c r="E86" i="45"/>
  <c r="H86" i="45"/>
  <c r="F86" i="45"/>
  <c r="D86" i="45"/>
  <c r="D84" i="45"/>
  <c r="I84" i="45"/>
  <c r="H298" i="45"/>
  <c r="I298" i="45"/>
  <c r="G83" i="45"/>
  <c r="I83" i="45"/>
  <c r="D298" i="45"/>
  <c r="E298" i="45"/>
  <c r="F298" i="45"/>
  <c r="G298" i="45"/>
  <c r="E83" i="45"/>
  <c r="E84" i="45"/>
  <c r="F84" i="45"/>
  <c r="F5" i="48"/>
  <c r="H84" i="45"/>
  <c r="G84" i="45"/>
  <c r="D83" i="45"/>
  <c r="H83" i="45"/>
  <c r="C16" i="48"/>
  <c r="S16" i="48"/>
  <c r="R16" i="48"/>
  <c r="O16" i="48"/>
  <c r="N16" i="48"/>
  <c r="O25" i="48"/>
  <c r="N25" i="48"/>
  <c r="M25" i="48"/>
  <c r="L25" i="48"/>
  <c r="K25" i="48"/>
  <c r="J25" i="48"/>
  <c r="I25" i="48"/>
  <c r="H25" i="48"/>
  <c r="G25" i="48"/>
  <c r="F25" i="48"/>
  <c r="C25" i="48"/>
  <c r="T407" i="15"/>
  <c r="T406" i="15"/>
  <c r="B188" i="15"/>
  <c r="B189" i="15"/>
  <c r="B190" i="15"/>
  <c r="B191" i="15"/>
  <c r="B192" i="15"/>
  <c r="A191" i="15"/>
  <c r="K14" i="48"/>
  <c r="K12" i="48"/>
  <c r="K15" i="48"/>
  <c r="K13" i="48"/>
  <c r="J16" i="48" l="1"/>
  <c r="K16" i="48"/>
  <c r="T132" i="15"/>
  <c r="B132" i="15"/>
  <c r="A132" i="15"/>
  <c r="T130" i="15"/>
  <c r="B130" i="15"/>
  <c r="A130" i="15"/>
  <c r="T131" i="15"/>
  <c r="B131" i="15"/>
  <c r="A131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6" i="15"/>
  <c r="A102" i="15"/>
  <c r="L13" i="48"/>
  <c r="L12" i="48"/>
  <c r="L14" i="48"/>
  <c r="L15" i="48"/>
  <c r="M14" i="48"/>
  <c r="I14" i="48"/>
  <c r="M15" i="48"/>
  <c r="M13" i="48"/>
  <c r="I13" i="48"/>
  <c r="I15" i="48"/>
  <c r="G14" i="48"/>
  <c r="F15" i="48"/>
  <c r="G15" i="48"/>
  <c r="M12" i="48"/>
  <c r="F14" i="48"/>
  <c r="T14" i="48" l="1"/>
  <c r="T15" i="48"/>
  <c r="T12" i="48"/>
  <c r="H16" i="48"/>
  <c r="G16" i="48"/>
  <c r="M16" i="48"/>
  <c r="L16" i="48"/>
  <c r="I16" i="48"/>
  <c r="F16" i="48"/>
  <c r="R22" i="48"/>
  <c r="P12" i="48"/>
  <c r="A74" i="45"/>
  <c r="I74" i="45" s="1"/>
  <c r="A75" i="45"/>
  <c r="I75" i="45" s="1"/>
  <c r="A76" i="45"/>
  <c r="I76" i="45" s="1"/>
  <c r="A77" i="45"/>
  <c r="I77" i="45" s="1"/>
  <c r="A78" i="45"/>
  <c r="I78" i="45" s="1"/>
  <c r="A79" i="45"/>
  <c r="I79" i="45" s="1"/>
  <c r="A80" i="45"/>
  <c r="I80" i="45" s="1"/>
  <c r="A81" i="45"/>
  <c r="A82" i="45"/>
  <c r="B179" i="15"/>
  <c r="B180" i="15"/>
  <c r="B181" i="15"/>
  <c r="B182" i="15"/>
  <c r="B183" i="15"/>
  <c r="B184" i="15"/>
  <c r="B185" i="15"/>
  <c r="B186" i="15"/>
  <c r="B187" i="15"/>
  <c r="T398" i="15"/>
  <c r="T399" i="15"/>
  <c r="T400" i="15"/>
  <c r="T401" i="15"/>
  <c r="T402" i="15"/>
  <c r="T403" i="15"/>
  <c r="T404" i="15"/>
  <c r="T405" i="15"/>
  <c r="T408" i="15"/>
  <c r="T409" i="15"/>
  <c r="T410" i="15"/>
  <c r="T411" i="15"/>
  <c r="T412" i="15"/>
  <c r="T413" i="15"/>
  <c r="T414" i="15"/>
  <c r="T415" i="15"/>
  <c r="T397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82" i="15"/>
  <c r="T183" i="15"/>
  <c r="T184" i="15"/>
  <c r="T185" i="15"/>
  <c r="T6" i="15"/>
  <c r="L101" i="28"/>
  <c r="E224" i="15"/>
  <c r="E227" i="15" s="1"/>
  <c r="T16" i="48" l="1"/>
  <c r="D81" i="45"/>
  <c r="I81" i="45"/>
  <c r="D82" i="45"/>
  <c r="I82" i="45"/>
  <c r="S21" i="48"/>
  <c r="D75" i="45"/>
  <c r="G75" i="45"/>
  <c r="H75" i="45"/>
  <c r="G82" i="45"/>
  <c r="H82" i="45"/>
  <c r="D74" i="45"/>
  <c r="G74" i="45"/>
  <c r="H74" i="45"/>
  <c r="E81" i="45"/>
  <c r="G81" i="45"/>
  <c r="H81" i="45"/>
  <c r="D76" i="45"/>
  <c r="H76" i="45"/>
  <c r="G76" i="45"/>
  <c r="D80" i="45"/>
  <c r="G80" i="45"/>
  <c r="H80" i="45"/>
  <c r="D79" i="45"/>
  <c r="G79" i="45"/>
  <c r="H79" i="45"/>
  <c r="F78" i="45"/>
  <c r="G78" i="45"/>
  <c r="H78" i="45"/>
  <c r="D77" i="45"/>
  <c r="H77" i="45"/>
  <c r="G77" i="45"/>
  <c r="E78" i="45"/>
  <c r="F75" i="45"/>
  <c r="F80" i="45"/>
  <c r="D78" i="45"/>
  <c r="E75" i="45"/>
  <c r="E80" i="45"/>
  <c r="F77" i="45"/>
  <c r="F82" i="45"/>
  <c r="E77" i="45"/>
  <c r="F74" i="45"/>
  <c r="E82" i="45"/>
  <c r="F79" i="45"/>
  <c r="E74" i="45"/>
  <c r="E79" i="45"/>
  <c r="F76" i="45"/>
  <c r="F81" i="45"/>
  <c r="E76" i="45"/>
  <c r="Q15" i="48"/>
  <c r="P15" i="48"/>
  <c r="S24" i="48" s="1"/>
  <c r="Q14" i="48"/>
  <c r="P14" i="48"/>
  <c r="S23" i="48" s="1"/>
  <c r="Q13" i="48"/>
  <c r="P13" i="48"/>
  <c r="S22" i="48" s="1"/>
  <c r="R24" i="48"/>
  <c r="R21" i="48"/>
  <c r="R23" i="48" l="1"/>
  <c r="R25" i="48" s="1"/>
  <c r="P16" i="48"/>
  <c r="S25" i="48"/>
  <c r="L112" i="28"/>
  <c r="L113" i="28"/>
  <c r="L114" i="28"/>
  <c r="L115" i="28"/>
  <c r="L116" i="28"/>
  <c r="L117" i="28"/>
  <c r="L118" i="28"/>
  <c r="L119" i="28"/>
  <c r="L120" i="28"/>
  <c r="L121" i="28"/>
  <c r="L111" i="28"/>
  <c r="B41" i="15"/>
  <c r="B160" i="15"/>
  <c r="B161" i="15"/>
  <c r="B162" i="15"/>
  <c r="B174" i="15"/>
  <c r="B175" i="15"/>
  <c r="B176" i="15"/>
  <c r="B177" i="15"/>
  <c r="B178" i="15"/>
  <c r="B170" i="15"/>
  <c r="B171" i="15"/>
  <c r="B172" i="15"/>
  <c r="B173" i="15"/>
  <c r="A72" i="45" l="1"/>
  <c r="I72" i="45" s="1"/>
  <c r="A73" i="45"/>
  <c r="I73" i="45" s="1"/>
  <c r="B156" i="15"/>
  <c r="B157" i="15"/>
  <c r="C157" i="15" s="1"/>
  <c r="B158" i="15"/>
  <c r="C169" i="15" s="1"/>
  <c r="B159" i="15"/>
  <c r="B168" i="15"/>
  <c r="B169" i="15"/>
  <c r="E228" i="15"/>
  <c r="A68" i="45"/>
  <c r="I68" i="45" s="1"/>
  <c r="A69" i="45"/>
  <c r="I69" i="45" s="1"/>
  <c r="A70" i="45"/>
  <c r="I70" i="45" s="1"/>
  <c r="A71" i="45"/>
  <c r="I71" i="45" s="1"/>
  <c r="B150" i="15"/>
  <c r="B151" i="15"/>
  <c r="B152" i="15"/>
  <c r="B153" i="15"/>
  <c r="B154" i="15"/>
  <c r="B155" i="15"/>
  <c r="C168" i="15" l="1"/>
  <c r="C159" i="15"/>
  <c r="C158" i="15"/>
  <c r="C156" i="15"/>
  <c r="F68" i="45"/>
  <c r="H68" i="45"/>
  <c r="G68" i="45"/>
  <c r="F72" i="45"/>
  <c r="G72" i="45"/>
  <c r="H72" i="45"/>
  <c r="F70" i="45"/>
  <c r="G70" i="45"/>
  <c r="H70" i="45"/>
  <c r="F73" i="45"/>
  <c r="G73" i="45"/>
  <c r="H73" i="45"/>
  <c r="F69" i="45"/>
  <c r="H69" i="45"/>
  <c r="G69" i="45"/>
  <c r="F71" i="45"/>
  <c r="G71" i="45"/>
  <c r="H71" i="45"/>
  <c r="E71" i="45"/>
  <c r="D71" i="45"/>
  <c r="D70" i="45"/>
  <c r="E70" i="45"/>
  <c r="D69" i="45"/>
  <c r="E69" i="45"/>
  <c r="E68" i="45"/>
  <c r="D68" i="45"/>
  <c r="E72" i="45"/>
  <c r="D72" i="45"/>
  <c r="D73" i="45"/>
  <c r="E73" i="45"/>
  <c r="F226" i="15" l="1"/>
  <c r="J13" i="45" s="1"/>
  <c r="E225" i="15"/>
  <c r="E230" i="15" l="1"/>
  <c r="B146" i="15" l="1"/>
  <c r="B147" i="15"/>
  <c r="B148" i="15"/>
  <c r="B149" i="15"/>
  <c r="B142" i="15"/>
  <c r="B143" i="15"/>
  <c r="B144" i="15"/>
  <c r="B145" i="15"/>
  <c r="B137" i="15"/>
  <c r="B138" i="15"/>
  <c r="B139" i="15"/>
  <c r="B140" i="15"/>
  <c r="B141" i="15"/>
  <c r="L108" i="28" l="1"/>
  <c r="L106" i="28"/>
  <c r="L107" i="28"/>
  <c r="L109" i="28"/>
  <c r="L110" i="28"/>
  <c r="A106" i="28"/>
  <c r="A107" i="28"/>
  <c r="A108" i="28"/>
  <c r="A109" i="28"/>
  <c r="A110" i="28"/>
  <c r="L102" i="28"/>
  <c r="L103" i="28"/>
  <c r="L104" i="28"/>
  <c r="L105" i="28"/>
  <c r="A101" i="28"/>
  <c r="A102" i="28"/>
  <c r="A103" i="28"/>
  <c r="A104" i="28"/>
  <c r="A105" i="28"/>
  <c r="N13" i="49"/>
  <c r="P13" i="49"/>
  <c r="A62" i="45"/>
  <c r="I62" i="45" s="1"/>
  <c r="A63" i="45"/>
  <c r="I63" i="45" s="1"/>
  <c r="A64" i="45"/>
  <c r="I64" i="45" s="1"/>
  <c r="A65" i="45"/>
  <c r="I65" i="45" s="1"/>
  <c r="A66" i="45"/>
  <c r="I66" i="45" s="1"/>
  <c r="A67" i="45"/>
  <c r="I67" i="45" s="1"/>
  <c r="B122" i="15"/>
  <c r="B133" i="15"/>
  <c r="B134" i="15"/>
  <c r="B127" i="15"/>
  <c r="B135" i="15"/>
  <c r="B123" i="15"/>
  <c r="B124" i="15"/>
  <c r="B125" i="15"/>
  <c r="B126" i="15"/>
  <c r="B128" i="15"/>
  <c r="B129" i="15"/>
  <c r="B136" i="15"/>
  <c r="B163" i="15"/>
  <c r="B164" i="15"/>
  <c r="B165" i="15"/>
  <c r="B166" i="15"/>
  <c r="B167" i="15"/>
  <c r="E410" i="15"/>
  <c r="F62" i="45" l="1"/>
  <c r="G62" i="45"/>
  <c r="H62" i="45"/>
  <c r="F67" i="45"/>
  <c r="G67" i="45"/>
  <c r="H67" i="45"/>
  <c r="F63" i="45"/>
  <c r="G63" i="45"/>
  <c r="H63" i="45"/>
  <c r="F66" i="45"/>
  <c r="G66" i="45"/>
  <c r="H66" i="45"/>
  <c r="F64" i="45"/>
  <c r="G64" i="45"/>
  <c r="H64" i="45"/>
  <c r="F65" i="45"/>
  <c r="G65" i="45"/>
  <c r="H65" i="45"/>
  <c r="D67" i="45"/>
  <c r="E67" i="45"/>
  <c r="D65" i="45"/>
  <c r="E65" i="45"/>
  <c r="E64" i="45"/>
  <c r="D64" i="45"/>
  <c r="D63" i="45"/>
  <c r="E63" i="45"/>
  <c r="D62" i="45"/>
  <c r="E62" i="45"/>
  <c r="E66" i="45"/>
  <c r="D66" i="45"/>
  <c r="W3" i="49"/>
  <c r="X3" i="49"/>
  <c r="N4" i="49"/>
  <c r="P4" i="49"/>
  <c r="W4" i="49"/>
  <c r="X4" i="49"/>
  <c r="N5" i="49"/>
  <c r="P5" i="49"/>
  <c r="W5" i="49"/>
  <c r="X5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R13" i="49"/>
  <c r="T13" i="49"/>
  <c r="E14" i="49"/>
  <c r="N15" i="49"/>
  <c r="P15" i="49"/>
  <c r="W17" i="49"/>
  <c r="E33" i="49"/>
  <c r="E52" i="49"/>
  <c r="A3" i="45"/>
  <c r="I3" i="45" s="1"/>
  <c r="A4" i="45"/>
  <c r="I4" i="45" s="1"/>
  <c r="A5" i="45"/>
  <c r="I5" i="45" s="1"/>
  <c r="A6" i="45"/>
  <c r="I6" i="45" s="1"/>
  <c r="A7" i="45"/>
  <c r="I7" i="45" s="1"/>
  <c r="A8" i="45"/>
  <c r="I8" i="45" s="1"/>
  <c r="A9" i="45"/>
  <c r="I9" i="45" s="1"/>
  <c r="A10" i="45"/>
  <c r="I10" i="45" s="1"/>
  <c r="A11" i="45"/>
  <c r="I11" i="45" s="1"/>
  <c r="A12" i="45"/>
  <c r="I12" i="45" s="1"/>
  <c r="A13" i="45"/>
  <c r="I13" i="45" s="1"/>
  <c r="A14" i="45"/>
  <c r="I14" i="45" s="1"/>
  <c r="A15" i="45"/>
  <c r="I15" i="45" s="1"/>
  <c r="A16" i="45"/>
  <c r="I16" i="45" s="1"/>
  <c r="A17" i="45"/>
  <c r="I17" i="45" s="1"/>
  <c r="A18" i="45"/>
  <c r="I18" i="45" s="1"/>
  <c r="A19" i="45"/>
  <c r="I19" i="45" s="1"/>
  <c r="A20" i="45"/>
  <c r="I20" i="45" s="1"/>
  <c r="A21" i="45"/>
  <c r="I21" i="45" s="1"/>
  <c r="A22" i="45"/>
  <c r="I22" i="45" s="1"/>
  <c r="A23" i="45"/>
  <c r="I23" i="45" s="1"/>
  <c r="A24" i="45"/>
  <c r="I24" i="45" s="1"/>
  <c r="A25" i="45"/>
  <c r="I25" i="45" s="1"/>
  <c r="A26" i="45"/>
  <c r="I26" i="45" s="1"/>
  <c r="A27" i="45"/>
  <c r="I27" i="45" s="1"/>
  <c r="A28" i="45"/>
  <c r="I28" i="45" s="1"/>
  <c r="A29" i="45"/>
  <c r="I29" i="45" s="1"/>
  <c r="A30" i="45"/>
  <c r="I30" i="45" s="1"/>
  <c r="A31" i="45"/>
  <c r="I31" i="45" s="1"/>
  <c r="A32" i="45"/>
  <c r="I32" i="45" s="1"/>
  <c r="A33" i="45"/>
  <c r="I33" i="45" s="1"/>
  <c r="A34" i="45"/>
  <c r="I34" i="45" s="1"/>
  <c r="A35" i="45"/>
  <c r="I35" i="45" s="1"/>
  <c r="A36" i="45"/>
  <c r="I36" i="45" s="1"/>
  <c r="A37" i="45"/>
  <c r="I37" i="45" s="1"/>
  <c r="A38" i="45"/>
  <c r="I38" i="45" s="1"/>
  <c r="A39" i="45"/>
  <c r="I39" i="45" s="1"/>
  <c r="A40" i="45"/>
  <c r="I40" i="45" s="1"/>
  <c r="A41" i="45"/>
  <c r="I41" i="45" s="1"/>
  <c r="A42" i="45"/>
  <c r="I42" i="45" s="1"/>
  <c r="A43" i="45"/>
  <c r="I43" i="45" s="1"/>
  <c r="A44" i="45"/>
  <c r="I44" i="45" s="1"/>
  <c r="A45" i="45"/>
  <c r="I45" i="45" s="1"/>
  <c r="A46" i="45"/>
  <c r="I46" i="45" s="1"/>
  <c r="A47" i="45"/>
  <c r="I47" i="45" s="1"/>
  <c r="A48" i="45"/>
  <c r="I48" i="45" s="1"/>
  <c r="A49" i="45"/>
  <c r="I49" i="45" s="1"/>
  <c r="A50" i="45"/>
  <c r="I50" i="45" s="1"/>
  <c r="A51" i="45"/>
  <c r="I51" i="45" s="1"/>
  <c r="A52" i="45"/>
  <c r="I52" i="45" s="1"/>
  <c r="A53" i="45"/>
  <c r="I53" i="45" s="1"/>
  <c r="A54" i="45"/>
  <c r="I54" i="45" s="1"/>
  <c r="A55" i="45"/>
  <c r="I55" i="45" s="1"/>
  <c r="A56" i="45"/>
  <c r="I56" i="45" s="1"/>
  <c r="A57" i="45"/>
  <c r="I57" i="45" s="1"/>
  <c r="A58" i="45"/>
  <c r="I58" i="45" s="1"/>
  <c r="A59" i="45"/>
  <c r="I59" i="45" s="1"/>
  <c r="A60" i="45"/>
  <c r="I60" i="45" s="1"/>
  <c r="A61" i="45"/>
  <c r="A2" i="45"/>
  <c r="I61" i="45" l="1"/>
  <c r="I2" i="45"/>
  <c r="E23" i="48"/>
  <c r="F37" i="45"/>
  <c r="H37" i="45"/>
  <c r="G37" i="45"/>
  <c r="F29" i="45"/>
  <c r="H29" i="45"/>
  <c r="G29" i="45"/>
  <c r="F21" i="45"/>
  <c r="H21" i="45"/>
  <c r="G21" i="45"/>
  <c r="F13" i="45"/>
  <c r="H13" i="45"/>
  <c r="G13" i="45"/>
  <c r="F5" i="45"/>
  <c r="G5" i="45"/>
  <c r="H5" i="45"/>
  <c r="F60" i="45"/>
  <c r="H60" i="45"/>
  <c r="G60" i="45"/>
  <c r="F52" i="45"/>
  <c r="H52" i="45"/>
  <c r="G52" i="45"/>
  <c r="F44" i="45"/>
  <c r="H44" i="45"/>
  <c r="G44" i="45"/>
  <c r="F36" i="45"/>
  <c r="H36" i="45"/>
  <c r="G36" i="45"/>
  <c r="F28" i="45"/>
  <c r="H28" i="45"/>
  <c r="G28" i="45"/>
  <c r="F20" i="45"/>
  <c r="H20" i="45"/>
  <c r="G20" i="45"/>
  <c r="F12" i="45"/>
  <c r="H12" i="45"/>
  <c r="G12" i="45"/>
  <c r="F4" i="45"/>
  <c r="H4" i="45"/>
  <c r="G4" i="45"/>
  <c r="F59" i="45"/>
  <c r="G59" i="45"/>
  <c r="H59" i="45"/>
  <c r="F51" i="45"/>
  <c r="G51" i="45"/>
  <c r="H51" i="45"/>
  <c r="F43" i="45"/>
  <c r="G43" i="45"/>
  <c r="H43" i="45"/>
  <c r="F35" i="45"/>
  <c r="G35" i="45"/>
  <c r="H35" i="45"/>
  <c r="G27" i="45"/>
  <c r="H27" i="45"/>
  <c r="F19" i="45"/>
  <c r="G19" i="45"/>
  <c r="H19" i="45"/>
  <c r="F11" i="45"/>
  <c r="G11" i="45"/>
  <c r="H11" i="45"/>
  <c r="F3" i="45"/>
  <c r="H3" i="45"/>
  <c r="G3" i="45"/>
  <c r="F56" i="45"/>
  <c r="G56" i="45"/>
  <c r="H56" i="45"/>
  <c r="G48" i="45"/>
  <c r="H48" i="45"/>
  <c r="G40" i="45"/>
  <c r="H40" i="45"/>
  <c r="G32" i="45"/>
  <c r="H32" i="45"/>
  <c r="G24" i="45"/>
  <c r="H24" i="45"/>
  <c r="G16" i="45"/>
  <c r="H16" i="45"/>
  <c r="G8" i="45"/>
  <c r="H8" i="45"/>
  <c r="G55" i="45"/>
  <c r="H55" i="45"/>
  <c r="G47" i="45"/>
  <c r="H47" i="45"/>
  <c r="G39" i="45"/>
  <c r="H39" i="45"/>
  <c r="G31" i="45"/>
  <c r="H31" i="45"/>
  <c r="G23" i="45"/>
  <c r="H23" i="45"/>
  <c r="G15" i="45"/>
  <c r="H15" i="45"/>
  <c r="G7" i="45"/>
  <c r="H7" i="45"/>
  <c r="F2" i="45"/>
  <c r="H2" i="45"/>
  <c r="G2" i="45"/>
  <c r="F54" i="45"/>
  <c r="G54" i="45"/>
  <c r="H54" i="45"/>
  <c r="F46" i="45"/>
  <c r="G46" i="45"/>
  <c r="H46" i="45"/>
  <c r="F38" i="45"/>
  <c r="G38" i="45"/>
  <c r="H38" i="45"/>
  <c r="F30" i="45"/>
  <c r="G30" i="45"/>
  <c r="H30" i="45"/>
  <c r="F22" i="45"/>
  <c r="G22" i="45"/>
  <c r="H22" i="45"/>
  <c r="F14" i="45"/>
  <c r="G14" i="45"/>
  <c r="H14" i="45"/>
  <c r="F6" i="45"/>
  <c r="G6" i="45"/>
  <c r="H6" i="45"/>
  <c r="F61" i="45"/>
  <c r="H61" i="45"/>
  <c r="G61" i="45"/>
  <c r="F53" i="45"/>
  <c r="H53" i="45"/>
  <c r="G53" i="45"/>
  <c r="F45" i="45"/>
  <c r="H45" i="45"/>
  <c r="G45" i="45"/>
  <c r="F58" i="45"/>
  <c r="G58" i="45"/>
  <c r="H58" i="45"/>
  <c r="F50" i="45"/>
  <c r="G50" i="45"/>
  <c r="H50" i="45"/>
  <c r="G42" i="45"/>
  <c r="H42" i="45"/>
  <c r="G34" i="45"/>
  <c r="H34" i="45"/>
  <c r="G26" i="45"/>
  <c r="H26" i="45"/>
  <c r="G18" i="45"/>
  <c r="H18" i="45"/>
  <c r="G10" i="45"/>
  <c r="H10" i="45"/>
  <c r="F57" i="45"/>
  <c r="G57" i="45"/>
  <c r="H57" i="45"/>
  <c r="G49" i="45"/>
  <c r="H49" i="45"/>
  <c r="G41" i="45"/>
  <c r="H41" i="45"/>
  <c r="G33" i="45"/>
  <c r="H33" i="45"/>
  <c r="G25" i="45"/>
  <c r="H25" i="45"/>
  <c r="G17" i="45"/>
  <c r="H17" i="45"/>
  <c r="G9" i="45"/>
  <c r="H9" i="45"/>
  <c r="D42" i="45"/>
  <c r="F42" i="45"/>
  <c r="D34" i="45"/>
  <c r="F34" i="45"/>
  <c r="D26" i="45"/>
  <c r="F26" i="45"/>
  <c r="D18" i="45"/>
  <c r="F18" i="45"/>
  <c r="D10" i="45"/>
  <c r="F10" i="45"/>
  <c r="D49" i="45"/>
  <c r="F49" i="45"/>
  <c r="D41" i="45"/>
  <c r="F41" i="45"/>
  <c r="D33" i="45"/>
  <c r="F33" i="45"/>
  <c r="D25" i="45"/>
  <c r="F25" i="45"/>
  <c r="D17" i="45"/>
  <c r="F17" i="45"/>
  <c r="D9" i="45"/>
  <c r="F9" i="45"/>
  <c r="D2" i="45"/>
  <c r="D48" i="45"/>
  <c r="F48" i="45"/>
  <c r="D40" i="45"/>
  <c r="F40" i="45"/>
  <c r="D32" i="45"/>
  <c r="F32" i="45"/>
  <c r="D24" i="45"/>
  <c r="F24" i="45"/>
  <c r="D16" i="45"/>
  <c r="F16" i="45"/>
  <c r="D8" i="45"/>
  <c r="F8" i="45"/>
  <c r="D55" i="45"/>
  <c r="F55" i="45"/>
  <c r="D47" i="45"/>
  <c r="F47" i="45"/>
  <c r="D39" i="45"/>
  <c r="F39" i="45"/>
  <c r="D31" i="45"/>
  <c r="F31" i="45"/>
  <c r="D23" i="45"/>
  <c r="F23" i="45"/>
  <c r="D15" i="45"/>
  <c r="F15" i="45"/>
  <c r="D7" i="45"/>
  <c r="F7" i="45"/>
  <c r="D27" i="45"/>
  <c r="F27" i="45"/>
  <c r="E58" i="45"/>
  <c r="D58" i="45"/>
  <c r="E50" i="45"/>
  <c r="D50" i="45"/>
  <c r="E2" i="45"/>
  <c r="E54" i="45"/>
  <c r="D54" i="45"/>
  <c r="E46" i="45"/>
  <c r="D46" i="45"/>
  <c r="E38" i="45"/>
  <c r="D38" i="45"/>
  <c r="E30" i="45"/>
  <c r="D30" i="45"/>
  <c r="E22" i="45"/>
  <c r="D22" i="45"/>
  <c r="E14" i="45"/>
  <c r="D14" i="45"/>
  <c r="E6" i="45"/>
  <c r="D6" i="45"/>
  <c r="E57" i="45"/>
  <c r="D57" i="45"/>
  <c r="E61" i="45"/>
  <c r="D61" i="45"/>
  <c r="E53" i="45"/>
  <c r="D53" i="45"/>
  <c r="E45" i="45"/>
  <c r="D45" i="45"/>
  <c r="E37" i="45"/>
  <c r="D37" i="45"/>
  <c r="E29" i="45"/>
  <c r="D29" i="45"/>
  <c r="E21" i="45"/>
  <c r="D21" i="45"/>
  <c r="E13" i="45"/>
  <c r="D13" i="45"/>
  <c r="E5" i="45"/>
  <c r="D5" i="45"/>
  <c r="E56" i="45"/>
  <c r="D56" i="45"/>
  <c r="D60" i="45"/>
  <c r="E60" i="45"/>
  <c r="E52" i="45"/>
  <c r="D52" i="45"/>
  <c r="E44" i="45"/>
  <c r="D44" i="45"/>
  <c r="E36" i="45"/>
  <c r="D36" i="45"/>
  <c r="E28" i="45"/>
  <c r="D28" i="45"/>
  <c r="E20" i="45"/>
  <c r="D20" i="45"/>
  <c r="E12" i="45"/>
  <c r="D12" i="45"/>
  <c r="E4" i="45"/>
  <c r="D4" i="45"/>
  <c r="D59" i="45"/>
  <c r="E59" i="45"/>
  <c r="E51" i="45"/>
  <c r="D51" i="45"/>
  <c r="E43" i="45"/>
  <c r="D43" i="45"/>
  <c r="E35" i="45"/>
  <c r="D35" i="45"/>
  <c r="E27" i="45"/>
  <c r="E19" i="45"/>
  <c r="D19" i="45"/>
  <c r="E11" i="45"/>
  <c r="D11" i="45"/>
  <c r="E3" i="45"/>
  <c r="D3" i="45"/>
  <c r="E7" i="45"/>
  <c r="E8" i="45"/>
  <c r="E9" i="45"/>
  <c r="E10" i="45"/>
  <c r="E15" i="45"/>
  <c r="E16" i="45"/>
  <c r="E17" i="45"/>
  <c r="E18" i="45"/>
  <c r="E23" i="45"/>
  <c r="E24" i="45"/>
  <c r="E25" i="45"/>
  <c r="E26" i="45"/>
  <c r="E31" i="45"/>
  <c r="E32" i="45"/>
  <c r="E33" i="45"/>
  <c r="E34" i="45"/>
  <c r="E39" i="45"/>
  <c r="E40" i="45"/>
  <c r="E41" i="45"/>
  <c r="E42" i="45"/>
  <c r="E47" i="45"/>
  <c r="E48" i="45"/>
  <c r="E49" i="45"/>
  <c r="E55" i="45"/>
  <c r="W13" i="49"/>
  <c r="W15" i="49"/>
  <c r="E12" i="48" l="1"/>
  <c r="E16" i="48" s="1"/>
  <c r="E24" i="48"/>
  <c r="E22" i="48"/>
  <c r="E21" i="48"/>
  <c r="Q21" i="48" s="1"/>
  <c r="P22" i="48"/>
  <c r="P24" i="48"/>
  <c r="A121" i="15"/>
  <c r="A119" i="15"/>
  <c r="A108" i="15"/>
  <c r="A110" i="15"/>
  <c r="A113" i="15"/>
  <c r="A107" i="15"/>
  <c r="A109" i="15"/>
  <c r="A112" i="15"/>
  <c r="A104" i="15"/>
  <c r="A111" i="15"/>
  <c r="A122" i="15"/>
  <c r="A133" i="15"/>
  <c r="A134" i="15"/>
  <c r="A127" i="15"/>
  <c r="A135" i="15"/>
  <c r="A123" i="15"/>
  <c r="A124" i="15"/>
  <c r="A125" i="15"/>
  <c r="A126" i="15"/>
  <c r="A128" i="15"/>
  <c r="A129" i="15"/>
  <c r="A166" i="15"/>
  <c r="A167" i="15"/>
  <c r="A221" i="15"/>
  <c r="L97" i="28"/>
  <c r="L98" i="28"/>
  <c r="L99" i="28"/>
  <c r="L100" i="28"/>
  <c r="L96" i="28"/>
  <c r="L95" i="28"/>
  <c r="L94" i="28"/>
  <c r="L93" i="28"/>
  <c r="L92" i="28"/>
  <c r="L91" i="28"/>
  <c r="L90" i="28"/>
  <c r="L89" i="28"/>
  <c r="L88" i="28"/>
  <c r="Q12" i="48" l="1"/>
  <c r="Q16" i="48" s="1"/>
  <c r="E25" i="48"/>
  <c r="T23" i="48"/>
  <c r="P23" i="48"/>
  <c r="Q24" i="48"/>
  <c r="T24" i="48"/>
  <c r="P21" i="48"/>
  <c r="Q22" i="48"/>
  <c r="Q23" i="48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5" i="15"/>
  <c r="A93" i="15"/>
  <c r="A96" i="15"/>
  <c r="A97" i="15"/>
  <c r="A98" i="15"/>
  <c r="A99" i="15"/>
  <c r="A94" i="15"/>
  <c r="A100" i="15"/>
  <c r="A117" i="15"/>
  <c r="A115" i="15"/>
  <c r="A114" i="15"/>
  <c r="A118" i="15"/>
  <c r="A116" i="15"/>
  <c r="A101" i="15"/>
  <c r="A105" i="15"/>
  <c r="A106" i="15"/>
  <c r="A103" i="15"/>
  <c r="A120" i="15"/>
  <c r="I96" i="15"/>
  <c r="I97" i="15"/>
  <c r="I98" i="15"/>
  <c r="I99" i="15"/>
  <c r="I94" i="15"/>
  <c r="I100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5" i="15"/>
  <c r="I93" i="15"/>
  <c r="I75" i="15"/>
  <c r="I76" i="15"/>
  <c r="I74" i="15"/>
  <c r="I73" i="15"/>
  <c r="I71" i="15"/>
  <c r="I72" i="15"/>
  <c r="I70" i="15"/>
  <c r="I67" i="15"/>
  <c r="I65" i="15"/>
  <c r="I64" i="15"/>
  <c r="I63" i="15"/>
  <c r="I62" i="15"/>
  <c r="I68" i="15"/>
  <c r="I61" i="15"/>
  <c r="I60" i="15"/>
  <c r="I56" i="15"/>
  <c r="I54" i="15"/>
  <c r="I69" i="15"/>
  <c r="I66" i="15"/>
  <c r="I59" i="15"/>
  <c r="I44" i="15"/>
  <c r="I58" i="15"/>
  <c r="I57" i="15"/>
  <c r="I42" i="15"/>
  <c r="I41" i="15"/>
  <c r="I55" i="15"/>
  <c r="I53" i="15"/>
  <c r="I49" i="15"/>
  <c r="I45" i="15"/>
  <c r="I43" i="15"/>
  <c r="I47" i="15"/>
  <c r="I38" i="15"/>
  <c r="I40" i="15"/>
  <c r="I39" i="15"/>
  <c r="Q25" i="48" l="1"/>
  <c r="P25" i="48"/>
  <c r="T25" i="48"/>
  <c r="O224" i="15"/>
  <c r="T27" i="48" l="1"/>
  <c r="N4" i="48" s="1"/>
  <c r="O225" i="15"/>
  <c r="O226" i="15"/>
  <c r="Q224" i="15" l="1"/>
  <c r="Q225" i="15" l="1"/>
  <c r="Q226" i="15"/>
  <c r="M227" i="15"/>
  <c r="K227" i="15"/>
  <c r="L227" i="15"/>
  <c r="N227" i="15" l="1"/>
  <c r="J227" i="15" l="1"/>
  <c r="O227" i="15" s="1"/>
  <c r="Q227" i="15" s="1"/>
  <c r="Q229" i="15" s="1"/>
  <c r="O229" i="15" s="1"/>
  <c r="B120" i="15"/>
  <c r="B121" i="15"/>
  <c r="B119" i="15"/>
  <c r="B108" i="15"/>
  <c r="B110" i="15"/>
  <c r="B113" i="15"/>
  <c r="B107" i="15"/>
  <c r="B109" i="15"/>
  <c r="B112" i="15"/>
  <c r="B104" i="15"/>
  <c r="B111" i="15"/>
  <c r="B88" i="15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C88" i="15" l="1"/>
  <c r="B26" i="15"/>
  <c r="B27" i="15"/>
  <c r="B28" i="15"/>
  <c r="B29" i="15"/>
  <c r="B30" i="15"/>
  <c r="B25" i="15"/>
  <c r="A75" i="28" l="1"/>
  <c r="A76" i="28"/>
  <c r="A77" i="28"/>
  <c r="A78" i="28"/>
  <c r="A79" i="28"/>
  <c r="A80" i="28"/>
  <c r="A81" i="28"/>
  <c r="A82" i="28"/>
  <c r="A83" i="28"/>
  <c r="A84" i="28"/>
  <c r="A85" i="28"/>
  <c r="A72" i="28"/>
  <c r="A86" i="28"/>
  <c r="A87" i="28"/>
  <c r="A73" i="28"/>
  <c r="A74" i="28"/>
  <c r="B31" i="15"/>
  <c r="B32" i="15"/>
  <c r="B33" i="15"/>
  <c r="B34" i="15"/>
  <c r="B35" i="15"/>
  <c r="B36" i="15"/>
  <c r="B37" i="15"/>
  <c r="B38" i="15"/>
  <c r="B39" i="15"/>
  <c r="B40" i="15"/>
  <c r="B42" i="15"/>
  <c r="B43" i="15"/>
  <c r="B44" i="15"/>
  <c r="B45" i="15"/>
  <c r="B46" i="15"/>
  <c r="B47" i="15"/>
  <c r="B48" i="15"/>
  <c r="B49" i="15"/>
  <c r="B50" i="15"/>
  <c r="B51" i="15"/>
  <c r="B52" i="15"/>
  <c r="B55" i="15"/>
  <c r="B53" i="15"/>
  <c r="B54" i="15"/>
  <c r="B56" i="15"/>
  <c r="B91" i="15"/>
  <c r="B57" i="15"/>
  <c r="B58" i="15"/>
  <c r="B66" i="15"/>
  <c r="B59" i="15"/>
  <c r="B69" i="15"/>
  <c r="B60" i="15"/>
  <c r="B83" i="15"/>
  <c r="B61" i="15"/>
  <c r="B68" i="15"/>
  <c r="B62" i="15"/>
  <c r="B63" i="15"/>
  <c r="B64" i="15"/>
  <c r="B67" i="15"/>
  <c r="B65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4" i="15"/>
  <c r="B85" i="15"/>
  <c r="B86" i="15"/>
  <c r="B87" i="15"/>
  <c r="B100" i="15"/>
  <c r="B117" i="15"/>
  <c r="B115" i="15"/>
  <c r="B114" i="15"/>
  <c r="B99" i="15"/>
  <c r="B96" i="15"/>
  <c r="B97" i="15"/>
  <c r="B95" i="15"/>
  <c r="B118" i="15"/>
  <c r="B89" i="15"/>
  <c r="B116" i="15"/>
  <c r="B98" i="15"/>
  <c r="B90" i="15"/>
  <c r="O87" i="15" l="1"/>
  <c r="O90" i="15"/>
  <c r="O85" i="15"/>
  <c r="O82" i="15"/>
  <c r="O76" i="15"/>
  <c r="O84" i="15"/>
  <c r="O80" i="15"/>
  <c r="O88" i="15"/>
  <c r="O89" i="15"/>
  <c r="O79" i="15"/>
  <c r="O91" i="15"/>
  <c r="O81" i="15"/>
  <c r="O78" i="15"/>
  <c r="O83" i="15"/>
  <c r="O86" i="15"/>
  <c r="O77" i="15"/>
  <c r="Q90" i="15"/>
  <c r="Q84" i="15"/>
  <c r="Q72" i="15"/>
  <c r="Q79" i="15"/>
  <c r="Q78" i="15"/>
  <c r="Q77" i="15"/>
  <c r="Q82" i="15"/>
  <c r="Q74" i="15"/>
  <c r="Q87" i="15"/>
  <c r="Q85" i="15"/>
  <c r="Q69" i="15"/>
  <c r="Q88" i="15"/>
  <c r="Q66" i="15"/>
  <c r="Q81" i="15"/>
  <c r="Q73" i="15"/>
  <c r="Q89" i="15"/>
  <c r="Q68" i="15"/>
  <c r="Q71" i="15"/>
  <c r="Q91" i="15"/>
  <c r="Q70" i="15"/>
  <c r="Q83" i="15"/>
  <c r="Q80" i="15"/>
  <c r="Q86" i="15"/>
  <c r="O75" i="15"/>
  <c r="Q75" i="15"/>
  <c r="O67" i="15"/>
  <c r="Q67" i="15"/>
  <c r="Q76" i="15"/>
  <c r="O72" i="15"/>
  <c r="O71" i="15"/>
  <c r="O70" i="15"/>
  <c r="O73" i="15"/>
  <c r="C100" i="15"/>
  <c r="C117" i="15"/>
  <c r="C115" i="15"/>
  <c r="C114" i="15"/>
  <c r="C99" i="15"/>
  <c r="C96" i="15"/>
  <c r="C97" i="15"/>
  <c r="C95" i="15"/>
  <c r="C118" i="15"/>
  <c r="C89" i="15"/>
  <c r="C116" i="15"/>
  <c r="C98" i="15"/>
  <c r="C90" i="15"/>
  <c r="B92" i="15"/>
  <c r="B93" i="15"/>
  <c r="B94" i="15"/>
  <c r="B101" i="15"/>
  <c r="B105" i="15"/>
  <c r="B106" i="15"/>
  <c r="B102" i="15"/>
  <c r="B103" i="15"/>
  <c r="C94" i="15" l="1"/>
  <c r="C93" i="15"/>
  <c r="Q92" i="15"/>
  <c r="O92" i="15"/>
  <c r="C92" i="15"/>
  <c r="L79" i="28"/>
  <c r="L75" i="28"/>
  <c r="L70" i="28"/>
  <c r="L71" i="28"/>
  <c r="L74" i="28"/>
  <c r="L76" i="28"/>
  <c r="L77" i="28"/>
  <c r="L78" i="28"/>
  <c r="L80" i="28"/>
  <c r="L81" i="28"/>
  <c r="L82" i="28"/>
  <c r="L83" i="28"/>
  <c r="L84" i="28"/>
  <c r="L85" i="28"/>
  <c r="L72" i="28"/>
  <c r="L86" i="28"/>
  <c r="L87" i="28"/>
  <c r="L73" i="28"/>
  <c r="L66" i="28" l="1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7" i="28"/>
  <c r="L68" i="28"/>
  <c r="L69" i="28"/>
  <c r="L45" i="28" l="1"/>
  <c r="L39" i="28"/>
  <c r="L48" i="28"/>
  <c r="L40" i="28" l="1"/>
  <c r="L41" i="28"/>
  <c r="L42" i="28"/>
  <c r="L43" i="28"/>
  <c r="L44" i="28"/>
  <c r="L46" i="28"/>
  <c r="L47" i="28"/>
  <c r="L29" i="28"/>
  <c r="L30" i="28"/>
  <c r="L31" i="28"/>
  <c r="L32" i="28"/>
  <c r="L33" i="28"/>
  <c r="L34" i="28"/>
  <c r="L35" i="28"/>
  <c r="L36" i="28"/>
  <c r="L37" i="28"/>
  <c r="L38" i="28"/>
  <c r="L24" i="28" l="1"/>
  <c r="L25" i="28"/>
  <c r="L26" i="28"/>
  <c r="L27" i="28"/>
  <c r="L28" i="28"/>
  <c r="Q411" i="15" l="1"/>
  <c r="Q413" i="15" s="1"/>
  <c r="J413" i="15" s="1"/>
  <c r="M413" i="15" s="1"/>
  <c r="O410" i="15"/>
  <c r="N411" i="15"/>
  <c r="M411" i="15"/>
  <c r="L411" i="15"/>
  <c r="N413" i="15" l="1"/>
  <c r="O413" i="15"/>
  <c r="K411" i="15"/>
  <c r="J411" i="15"/>
  <c r="O411" i="15" l="1"/>
  <c r="M229" i="15" l="1"/>
  <c r="N229" i="15"/>
  <c r="L20" i="28" l="1"/>
  <c r="L21" i="28"/>
  <c r="L22" i="28"/>
  <c r="L23" i="28"/>
  <c r="L15" i="28"/>
  <c r="L11" i="28"/>
  <c r="L9" i="28"/>
  <c r="L10" i="28"/>
  <c r="L12" i="28"/>
  <c r="L13" i="28"/>
  <c r="L14" i="28"/>
  <c r="L16" i="28"/>
  <c r="L17" i="28"/>
  <c r="L18" i="28"/>
  <c r="L19" i="28"/>
  <c r="L5" i="28" l="1"/>
  <c r="L6" i="28"/>
  <c r="L7" i="28"/>
  <c r="L8" i="28"/>
  <c r="E413" i="15" l="1"/>
  <c r="E245" i="15" l="1"/>
  <c r="E247" i="15"/>
  <c r="E256" i="15"/>
  <c r="E298" i="15"/>
  <c r="E300" i="15"/>
  <c r="E414" i="15" l="1"/>
  <c r="I330" i="15" l="1"/>
  <c r="I331" i="15"/>
  <c r="I332" i="15"/>
  <c r="I333" i="15"/>
  <c r="I334" i="15"/>
  <c r="I329" i="15"/>
  <c r="I328" i="15" l="1"/>
  <c r="I301" i="15" l="1"/>
  <c r="I300" i="15" l="1"/>
  <c r="I298" i="15"/>
  <c r="I288" i="15" l="1"/>
  <c r="I287" i="15"/>
  <c r="I286" i="15"/>
  <c r="I281" i="15"/>
  <c r="I279" i="15"/>
  <c r="I278" i="15"/>
  <c r="I276" i="15"/>
  <c r="I264" i="15"/>
  <c r="I261" i="15"/>
  <c r="I260" i="15"/>
  <c r="I259" i="15"/>
  <c r="I257" i="15"/>
  <c r="I256" i="15"/>
  <c r="I255" i="15"/>
  <c r="I253" i="15"/>
  <c r="I252" i="15"/>
  <c r="I249" i="15"/>
  <c r="I245" i="15"/>
  <c r="I244" i="15"/>
  <c r="I243" i="15"/>
  <c r="I242" i="15"/>
  <c r="I239" i="15"/>
  <c r="I238" i="15"/>
  <c r="I237" i="15"/>
  <c r="I234" i="15"/>
  <c r="E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Elen Mauleky</author>
  </authors>
  <commentList>
    <comment ref="C61" authorId="0" shapeId="0" xr:uid="{25D27083-BE7B-4A6A-ACD3-D09D3CE75D27}">
      <text>
        <r>
          <rPr>
            <b/>
            <sz val="9"/>
            <color indexed="81"/>
            <rFont val="Tahoma"/>
            <charset val="1"/>
          </rPr>
          <t>Patricia Elen Mauleky:</t>
        </r>
        <r>
          <rPr>
            <sz val="9"/>
            <color indexed="81"/>
            <rFont val="Tahoma"/>
            <charset val="1"/>
          </rPr>
          <t xml:space="preserve">
Nggak ada dalam list Isotank yang di kirim Amar</t>
        </r>
      </text>
    </comment>
    <comment ref="C84" authorId="0" shapeId="0" xr:uid="{4E631107-4985-439C-9CC1-876827AE3216}">
      <text>
        <r>
          <rPr>
            <b/>
            <sz val="9"/>
            <color indexed="81"/>
            <rFont val="Tahoma"/>
            <charset val="1"/>
          </rPr>
          <t>Patricia Elen Mauleky:</t>
        </r>
        <r>
          <rPr>
            <sz val="9"/>
            <color indexed="81"/>
            <rFont val="Tahoma"/>
            <charset val="1"/>
          </rPr>
          <t xml:space="preserve">
Tidak ada dalam list Isotank Yang di kirim Amar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Elen Mauleky</author>
    <author>tc={0E9389E0-F781-4853-8675-CC3D58C27471}</author>
    <author>Daniel Budi</author>
    <author>Venijesia Maupiku</author>
  </authors>
  <commentList>
    <comment ref="D137" authorId="0" shapeId="0" xr:uid="{D3484BB6-339F-4F12-9F0B-7E4819AE9299}">
      <text>
        <r>
          <rPr>
            <b/>
            <sz val="9"/>
            <color indexed="81"/>
            <rFont val="Tahoma"/>
            <family val="2"/>
          </rPr>
          <t>Patricia Elen Mauleky:</t>
        </r>
        <r>
          <rPr>
            <sz val="9"/>
            <color indexed="81"/>
            <rFont val="Tahoma"/>
            <family val="2"/>
          </rPr>
          <t xml:space="preserve">
PENGGATI ISOTANK : NTTU1752671</t>
        </r>
      </text>
    </comment>
    <comment ref="N226" authorId="0" shapeId="0" xr:uid="{29A9FB47-53C9-4E0C-A935-ADABC6DB4621}">
      <text>
        <r>
          <rPr>
            <b/>
            <sz val="9"/>
            <color indexed="81"/>
            <rFont val="Tahoma"/>
            <family val="2"/>
          </rPr>
          <t>Patricia Elen Mauleky:</t>
        </r>
        <r>
          <rPr>
            <sz val="9"/>
            <color indexed="81"/>
            <rFont val="Tahoma"/>
            <family val="2"/>
          </rPr>
          <t xml:space="preserve">
Tambah 4 Isotank baru</t>
        </r>
      </text>
    </comment>
    <comment ref="E228" authorId="1" shapeId="0" xr:uid="{0E9389E0-F781-4853-8675-CC3D58C27471}">
      <text>
        <t>[Threaded comment]
Your version of Excel allows you to read this threaded comment; however, any edits to it will get removed if the file is opened in a newer version of Excel. Learn more: https://go.microsoft.com/fwlink/?linkid=870924
Comment:
    - 6 ISOTANK ADIMITRA (PANI) Sudah di Return Transaksi di tahun 2025 karena berkaitan dengan Invoice yang tidak bisa lakukan backdate Oleh team Finace dan  Sisa 5 yang masih belum di Good return 
- Seacara Qty Fisik Kelebihan karena 6 Isotank sudah di lakukan Good Return dan akan di Koordinasikan dengan Pani agar 11 Iso bisa di Rise Order Secepatnya dan bisa masuk Qty nya ke System</t>
      </text>
    </comment>
    <comment ref="E249" authorId="2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OVER SUPPLY 690 KG
</t>
        </r>
      </text>
    </comment>
    <comment ref="E258" authorId="2" shapeId="0" xr:uid="{00000000-0006-0000-0700-000009000000}">
      <text>
        <r>
          <rPr>
            <b/>
            <sz val="9"/>
            <color indexed="81"/>
            <rFont val="Tahoma"/>
            <family val="2"/>
          </rPr>
          <t>OVER SUPPLY 1260 KG</t>
        </r>
      </text>
    </comment>
    <comment ref="D325" authorId="3" shapeId="0" xr:uid="{00000000-0006-0000-0700-00000A000000}">
      <text>
        <r>
          <rPr>
            <b/>
            <sz val="9"/>
            <color indexed="81"/>
            <rFont val="Tahoma"/>
            <family val="2"/>
          </rPr>
          <t>Venijesia Maupiku:</t>
        </r>
        <r>
          <rPr>
            <sz val="9"/>
            <color indexed="81"/>
            <rFont val="Tahoma"/>
            <family val="2"/>
          </rPr>
          <t xml:space="preserve">
REQ NO ISO INI DI MASUKKAN KE PEMAKAIAN PERIODE JUNE BARU DI PAKAI 0.5</t>
        </r>
      </text>
    </comment>
  </commentList>
</comments>
</file>

<file path=xl/sharedStrings.xml><?xml version="1.0" encoding="utf-8"?>
<sst xmlns="http://schemas.openxmlformats.org/spreadsheetml/2006/main" count="3849" uniqueCount="583">
  <si>
    <t>VARIANCE</t>
  </si>
  <si>
    <t>REMARKS</t>
  </si>
  <si>
    <t>WAREHOUSE</t>
  </si>
  <si>
    <t>TANK ID</t>
  </si>
  <si>
    <t>QTY</t>
  </si>
  <si>
    <t>UoM</t>
  </si>
  <si>
    <t>STATUS</t>
  </si>
  <si>
    <t>QTY ISSUED</t>
  </si>
  <si>
    <t>CM IN</t>
  </si>
  <si>
    <t>CM OUT</t>
  </si>
  <si>
    <t>DJEU0303641</t>
  </si>
  <si>
    <t>KG</t>
  </si>
  <si>
    <t>EMPTY</t>
  </si>
  <si>
    <t>DJEU0303636</t>
  </si>
  <si>
    <t>Empty</t>
  </si>
  <si>
    <t>Done PS-54076</t>
  </si>
  <si>
    <t>25KT</t>
  </si>
  <si>
    <t>LCT P7 V45</t>
  </si>
  <si>
    <t>DJEU0303662</t>
  </si>
  <si>
    <t>PLEASE CREATE PICKING SLIP</t>
  </si>
  <si>
    <t>SENT TO SURABAYA</t>
  </si>
  <si>
    <t>LCT P7 V46</t>
  </si>
  <si>
    <t>DJEU0303600</t>
  </si>
  <si>
    <t>LCT PERMATA 7  VOY : 961 ETD WETAR 1/10</t>
  </si>
  <si>
    <t>LCT PERMATA 7  VOY : 962 ETD WETAR 20/10</t>
  </si>
  <si>
    <t>PS 56124 POSTED</t>
  </si>
  <si>
    <t>VOY 964 ATD WETAR 111120</t>
  </si>
  <si>
    <t>POSTED BY PS-57880</t>
  </si>
  <si>
    <t>LCT PERMATA 07 VOY 966 ATD WETAR  061220</t>
  </si>
  <si>
    <t>FULL</t>
  </si>
  <si>
    <t>SJIU2001260</t>
  </si>
  <si>
    <t>SJIU2001275</t>
  </si>
  <si>
    <t>LCT P7 V974 on 14/02/2021</t>
  </si>
  <si>
    <t>Done</t>
  </si>
  <si>
    <t>OUTBOUND</t>
  </si>
  <si>
    <t>BACKLOAD LCT P7 VOY 975</t>
  </si>
  <si>
    <t>USAGE 7-13 MAR 21.
PLEASE CREATE PICKING SLIP</t>
  </si>
  <si>
    <t>Done Cover PS- 63853</t>
  </si>
  <si>
    <t>REFILL &amp; RETURN</t>
  </si>
  <si>
    <t>Please Create Picking Slip</t>
  </si>
  <si>
    <t>LCT VOY 980-ETD WETAR 20-04-21</t>
  </si>
  <si>
    <t>V62</t>
  </si>
  <si>
    <t>LCT V-982 : ETD 09-05-21</t>
  </si>
  <si>
    <t>V64</t>
  </si>
  <si>
    <t>V65</t>
  </si>
  <si>
    <t>V66</t>
  </si>
  <si>
    <t>LCT -V-987-ETA 23 JUNE 2021</t>
  </si>
  <si>
    <t>LCT P7 V-989. ETA 12 JULY 2021</t>
  </si>
  <si>
    <t>VOY 993 LCT AYU EXPRESS  ETD 19-08-21</t>
  </si>
  <si>
    <t>V74</t>
  </si>
  <si>
    <t>VOY 994 LCT P7 ETD 26-08-21</t>
  </si>
  <si>
    <t>V77</t>
  </si>
  <si>
    <t>DJEU0303702</t>
  </si>
  <si>
    <t>DJEU0303718</t>
  </si>
  <si>
    <t>DJEU0303699</t>
  </si>
  <si>
    <t>LCT PERMATA 7 VOY : 1009 21-11-21</t>
  </si>
  <si>
    <t xml:space="preserve"> </t>
  </si>
  <si>
    <t>LOCATION</t>
  </si>
  <si>
    <t>SCZU8741450</t>
  </si>
  <si>
    <t>25kt</t>
  </si>
  <si>
    <t>SCZU8718275</t>
  </si>
  <si>
    <t>SCZU8762811</t>
  </si>
  <si>
    <t>SCZU8756418</t>
  </si>
  <si>
    <t>PS      55803 POSTED</t>
  </si>
  <si>
    <t>SCZU8762792</t>
  </si>
  <si>
    <t>SCZU8756362</t>
  </si>
  <si>
    <t>SCZU8762874</t>
  </si>
  <si>
    <t>SCZU8736284</t>
  </si>
  <si>
    <t>POSTED BY PS 58361</t>
  </si>
  <si>
    <t>SCZU8735734</t>
  </si>
  <si>
    <t>SCZU8756280</t>
  </si>
  <si>
    <t>WHS YARD-E</t>
  </si>
  <si>
    <t>PS 59207 POSTED</t>
  </si>
  <si>
    <t>Please Create Picking Slip ( Period 17-30 JAN'20 )</t>
  </si>
  <si>
    <t>LCT P7 V972 on 02/02/2021</t>
  </si>
  <si>
    <t>PICKING SLIP 62522 POSTED</t>
  </si>
  <si>
    <t>DONE ISSUED PS 64871</t>
  </si>
  <si>
    <t>PS-65254-POSTED</t>
  </si>
  <si>
    <t>PLEASE CREATE PICKING SLIP-PS 66742 DONE</t>
  </si>
  <si>
    <t>PLEASE CREATE PS 16,420 KG PS. 67345</t>
  </si>
  <si>
    <t>PLEASE CREATE PS. 16,440 KG PS. PS. 70559</t>
  </si>
  <si>
    <t>PLEASE CREATE PS. 16,550 KG</t>
  </si>
  <si>
    <t>LCT P7 V-990. ETA 19 JULY 2021</t>
  </si>
  <si>
    <t xml:space="preserve">PLEASE CREATE PS. 16,510 KG: PERIODE 18-24 JULY 2021 PS.72144 </t>
  </si>
  <si>
    <t>PLEASE CREATE PS 14,070 KG</t>
  </si>
  <si>
    <t>PLEASE CREATE PS 16520 KG</t>
  </si>
  <si>
    <t>PLEASE CREATE PS : 14,820 KG</t>
  </si>
  <si>
    <t>LCT PERMATA 7 VOY : 1001 19-10-21</t>
  </si>
  <si>
    <t>Please create PS 19,230</t>
  </si>
  <si>
    <t xml:space="preserve">Please Create PS 16240 Kg </t>
  </si>
  <si>
    <t>V87</t>
  </si>
  <si>
    <t>V88</t>
  </si>
  <si>
    <t>V68</t>
  </si>
  <si>
    <t>V76</t>
  </si>
  <si>
    <t>V94</t>
  </si>
  <si>
    <t>LCT PERMATA 17 VOY : 10011 01-12-21</t>
  </si>
  <si>
    <t>PS UTK USED PERIOD 26-31 DEC 21</t>
  </si>
  <si>
    <t>V100N</t>
  </si>
  <si>
    <t>V102N</t>
  </si>
  <si>
    <t>DJEU0303739</t>
  </si>
  <si>
    <t>Stock Take Periode 16-22 Jan 22</t>
  </si>
  <si>
    <t>LCT PERMATA 17 VOY : 1020 26 JAN 2022 FROM SITE</t>
  </si>
  <si>
    <t>LCT PERMATA 7 VOY : 1019  ETD LEROKIS 23-01-2022</t>
  </si>
  <si>
    <t>Stock Take Periode 23-29 Jan 22</t>
  </si>
  <si>
    <t>STOCK TAKE PERIODE 30 JAN-05 FEB 2022</t>
  </si>
  <si>
    <t>LCT PERMATA 17 VOY : 1022 06 Feb 2022</t>
  </si>
  <si>
    <t>V107</t>
  </si>
  <si>
    <t>LCT PERMATA 7 VOY : 1023 15 FEB 22</t>
  </si>
  <si>
    <t>STOCK TAKE PERIODE 13-19 FEB 2022</t>
  </si>
  <si>
    <t>V110</t>
  </si>
  <si>
    <t>V111</t>
  </si>
  <si>
    <t>PLEASE CREATE PS 16120 KG</t>
  </si>
  <si>
    <t>LCT PERMATA 17 VOY 1028 ATD WETAR 200322</t>
  </si>
  <si>
    <t>V114</t>
  </si>
  <si>
    <t>V115</t>
  </si>
  <si>
    <t>Stock Take Periode 20-26 Mar 22  PS 90710</t>
  </si>
  <si>
    <t>STOCK TAKE 17 APRIL 2022</t>
  </si>
  <si>
    <t>OUTBOUND LCT PERMATA 7 : V1033 ATD 160422</t>
  </si>
  <si>
    <t>STOCK TAKE 24 APRIL 2022</t>
  </si>
  <si>
    <t>LCT P7 VOY 119</t>
  </si>
  <si>
    <t xml:space="preserve"> STOCK TAKE 29 APRIL 2022, PLEASE CREATE PS 16970 KG </t>
  </si>
  <si>
    <t>STOCK TAKE PERIODE 30-07 MAY 2022 PLEASE CREATE PS 16230 KG</t>
  </si>
  <si>
    <t>LCT P17 VOY 1036 05 MAY 2022</t>
  </si>
  <si>
    <t>LCT P17 VOY 1034 22 APRIL  2022</t>
  </si>
  <si>
    <t>DJEU0303750</t>
  </si>
  <si>
    <t>V124N</t>
  </si>
  <si>
    <t>LCT Permata 17 V125N</t>
  </si>
  <si>
    <t>VOY : 1041-11-JUN-2022</t>
  </si>
  <si>
    <t>LCT P2 VOY 1042, ETD LAROKIS 18 JUNE 2022</t>
  </si>
  <si>
    <t>STOCK TAKE 19 JUNE 2022, Please Create PS 16100 Kg)</t>
  </si>
  <si>
    <t>LCT PERMATA 17 VOY : 1043, 25 June 2022</t>
  </si>
  <si>
    <t>STOCK TAKE 26 JUNE 2022</t>
  </si>
  <si>
    <t xml:space="preserve">PLEASE CREATE PS 47890 KG </t>
  </si>
  <si>
    <t>LCT PERMATA 2 VOY : 1044, 04 JULY 2022</t>
  </si>
  <si>
    <t>STOCK TAKE 10 JULY 2022</t>
  </si>
  <si>
    <t xml:space="preserve"> PLEASE CREATE PICKING SLIP 32120  KG </t>
  </si>
  <si>
    <t>LCT Permata 17 V130.N</t>
  </si>
  <si>
    <t>LCT Permata 17 V132N</t>
  </si>
  <si>
    <t>LCT V111</t>
  </si>
  <si>
    <t>LCT PERMATA 17 VOY : 1050, 25 JULY 2022</t>
  </si>
  <si>
    <t>STOCK TAKE 30 JULY 2022 (PLEASE CREATE PICKING SLIP 16000 KG)</t>
  </si>
  <si>
    <t>DJEU0303786</t>
  </si>
  <si>
    <t>LCT Permata 2 V134N</t>
  </si>
  <si>
    <t>LCT SSA 57</t>
  </si>
  <si>
    <t>DJEU0303765</t>
  </si>
  <si>
    <t>LCT V141</t>
  </si>
  <si>
    <t>DJEU0303615</t>
  </si>
  <si>
    <t xml:space="preserve">  LCT PERMATA 17 VOY : 1063, ETD 17/09/22</t>
  </si>
  <si>
    <t>STOCK TAKE 19 SEPTEMBER 2022</t>
  </si>
  <si>
    <t>PLEASE CREATE PICKING SLIP 47200 KG</t>
  </si>
  <si>
    <t>LCT PERMATA  2 VOY : 1064, ETD 20/09/22</t>
  </si>
  <si>
    <t>DJEU0303791</t>
  </si>
  <si>
    <t xml:space="preserve">PLEASE CREATE PICKING SLIP 16040 KG </t>
  </si>
  <si>
    <t>LCT PERMATA 2 VOY : 1068-06 Oct 22</t>
  </si>
  <si>
    <t>ESCAID - 105208</t>
  </si>
  <si>
    <t>PLEASE CREATE PS 64,240 KG</t>
  </si>
  <si>
    <t>LCT 152</t>
  </si>
  <si>
    <t>DJEU0303770</t>
  </si>
  <si>
    <t>DJEU0303826</t>
  </si>
  <si>
    <t>DJEU0303810</t>
  </si>
  <si>
    <t>SJIU2221541</t>
  </si>
  <si>
    <t>SJIU2221536</t>
  </si>
  <si>
    <t>DJEU0303805</t>
  </si>
  <si>
    <t>SJIU2221578</t>
  </si>
  <si>
    <t>SJIU2221557</t>
  </si>
  <si>
    <t>LCT V157</t>
  </si>
  <si>
    <t>LCT V158</t>
  </si>
  <si>
    <t xml:space="preserve"> LCT PERMATA 2 VOY : 1077, ETD LEROKIS - WETAR, 14 NOV 2022</t>
  </si>
  <si>
    <t>LCT PERMATA 2 VOY : 1080, ETD LEROKIS - WETAR, 24 NOV 2022</t>
  </si>
  <si>
    <t xml:space="preserve">STOCK TAKE PERIODE 13-27 NOVEMBER 2022
PLEASE CREATE PICKING SLIP 
32250 KG </t>
  </si>
  <si>
    <t xml:space="preserve">STOCK TAKE PERIODE 28 NOV -04 DES 2022   PLEASE CREATED PS 15910 KG    </t>
  </si>
  <si>
    <t>LCT V162</t>
  </si>
  <si>
    <t>BACKLOAD P2 V1083</t>
  </si>
  <si>
    <t>Please Created PS. 15890</t>
  </si>
  <si>
    <t>DJEU0303868</t>
  </si>
  <si>
    <t>DJEU0303852</t>
  </si>
  <si>
    <t>LCT V163</t>
  </si>
  <si>
    <t xml:space="preserve">  PS 162120</t>
  </si>
  <si>
    <t>LCT V164</t>
  </si>
  <si>
    <t>PS 16060 KG</t>
  </si>
  <si>
    <t>.</t>
  </si>
  <si>
    <t>Please Created PS.16140</t>
  </si>
  <si>
    <t>LCT V166</t>
  </si>
  <si>
    <t>STOCK TAKE PERIODE 
22-30 JAN 2023
PLEASE CREATE PS 16140 KG</t>
  </si>
  <si>
    <t>DJEU0303873</t>
  </si>
  <si>
    <t>STOCK TAKE 06/02/2023
PLEASE CREATE PICKING SLIP 15980 KG</t>
  </si>
  <si>
    <t>LCT KINTA PERJAYA VOY : 1090</t>
  </si>
  <si>
    <t>Backload LCT P2 VOY 1088 ATD 21/01/23</t>
  </si>
  <si>
    <t>STOCK TAKE 12/02/2023
PLEASE CREATE PICKING SLIP 48460 KG</t>
  </si>
  <si>
    <t>LCT AYU 168 VOY : 1094, 19 FEB 2023</t>
  </si>
  <si>
    <t>LCT V172</t>
  </si>
  <si>
    <t>Qty</t>
  </si>
  <si>
    <t>SJIU2221691</t>
  </si>
  <si>
    <t>SJIU2221705</t>
  </si>
  <si>
    <t>SJIU2221710</t>
  </si>
  <si>
    <t>SJIU2221726</t>
  </si>
  <si>
    <t>empty</t>
  </si>
  <si>
    <t>Usage Periode 27-31 Mar 23</t>
  </si>
  <si>
    <t>Usage Periode 19-26 Mar 23</t>
  </si>
  <si>
    <t>DJEU0303889</t>
  </si>
  <si>
    <t>LCT V178</t>
  </si>
  <si>
    <t xml:space="preserve"> STOCK TAKE 24 APRIL 2023
PERIODE 16-22 APRIL 2023
16170 KG</t>
  </si>
  <si>
    <t>LCT AYU 88 VOY : 1104, 15 APRIL 2023</t>
  </si>
  <si>
    <t>LCT V177</t>
  </si>
  <si>
    <t>LCT V182</t>
  </si>
  <si>
    <t>LCT PERMATA 1 VOY : 1109, ETD LEROKIS - WETAR 04 MEI 2023</t>
  </si>
  <si>
    <t>USEGE PERIODE 30 APRIL - 07 MEI 2023,                     PLEASE CREATED Ps. 16160 kg</t>
  </si>
  <si>
    <t>LCT PERMATA 1 VOY : 1111, ETD LEROKIS - WETAR 08 MEI 2023</t>
  </si>
  <si>
    <t>PLEASE CREATED PICKING SLIP 16210 KG</t>
  </si>
  <si>
    <t xml:space="preserve">LCT PERMATA 1 VOY : 1113, ETD LEROKIS - WETAR 14 May 2023 </t>
  </si>
  <si>
    <t>PLEASE CREATED PACKING SLIP 16290 KG</t>
  </si>
  <si>
    <t>Vendor</t>
  </si>
  <si>
    <t>DWI JAYA EKAPRIMA, PT</t>
  </si>
  <si>
    <t>PO IN</t>
  </si>
  <si>
    <t>PR/PO OUT</t>
  </si>
  <si>
    <t>LCT P1 DIRECT</t>
  </si>
  <si>
    <t>ESCAID</t>
  </si>
  <si>
    <t>DJEU0303894</t>
  </si>
  <si>
    <t>LCT V187</t>
  </si>
  <si>
    <t>LCT V1070</t>
  </si>
  <si>
    <t>LCT VOY 1101</t>
  </si>
  <si>
    <t>ROL001IDR</t>
  </si>
  <si>
    <t>DWI005IDR</t>
  </si>
  <si>
    <t>6823-03-114225</t>
  </si>
  <si>
    <t>PR</t>
  </si>
  <si>
    <t>V189</t>
  </si>
  <si>
    <t>STOCK TAKE 29 JUNE 2023
PLEASE CREATE PS 16280</t>
  </si>
  <si>
    <t>DJEU0303908</t>
  </si>
  <si>
    <t>LCT PERMATA 1 VOY : 1121, ETD LEROKIS : 13 JUL 23</t>
  </si>
  <si>
    <t>IND007IDR</t>
  </si>
  <si>
    <t>ACID</t>
  </si>
  <si>
    <t>TYPE</t>
  </si>
  <si>
    <t>SJIU2322022</t>
  </si>
  <si>
    <t>SJIU2322038</t>
  </si>
  <si>
    <t>V190</t>
  </si>
  <si>
    <t>NOMOR ISO</t>
  </si>
  <si>
    <t>ROLIMEX</t>
  </si>
  <si>
    <t>LCT P17 V1124 
ATD Wetar 99 August  23
ATA Kupang 11/08/23</t>
  </si>
  <si>
    <t>V195</t>
  </si>
  <si>
    <t>STOCK TAKE PERIODE 20-26 AGUSTUS 2023    PLEASE CREATED PS  16290 KG IN  SC 105208</t>
  </si>
  <si>
    <t>6828-03-114227</t>
  </si>
  <si>
    <t>V198N-14 SEPT 23</t>
  </si>
  <si>
    <t>DJEU0303913</t>
  </si>
  <si>
    <t>OUTBOUND VIA LCT AYU EXPRESS V1128 ATD WETAR 16 SEPT 23</t>
  </si>
  <si>
    <t>Qty ACID IN SITE</t>
  </si>
  <si>
    <t>QTY ISOTANK</t>
  </si>
  <si>
    <t xml:space="preserve">QTY ON PRONTO </t>
  </si>
  <si>
    <t xml:space="preserve">PLEASE CREATE PS. 16000 PS. 71040 </t>
  </si>
  <si>
    <t>Qty ESCAID IN SITE</t>
  </si>
  <si>
    <t>OUTBOUND  VIA AYU EXPRESS V1132 ATD WETAR 06 OCT 2023</t>
  </si>
  <si>
    <t>EMTY:03/10/2023</t>
  </si>
  <si>
    <t>EMTY:25 OCT 23-PS.147691</t>
  </si>
  <si>
    <t>EMTY:28 OCT 23-PS.147921</t>
  </si>
  <si>
    <t>DJEU0303929</t>
  </si>
  <si>
    <t>V205N-24 OCTOBER 2023</t>
  </si>
  <si>
    <t>LCT PERMATA 17; 1136, ETA KUPANG 12 NOV 2023</t>
  </si>
  <si>
    <t>SJIU2322059</t>
  </si>
  <si>
    <t>USSED 29 October 2023 - 148589</t>
  </si>
  <si>
    <t>empty 03 NOV 2023- ps 148589</t>
  </si>
  <si>
    <t>USSED 01 NOV 2023-148589</t>
  </si>
  <si>
    <t xml:space="preserve">PS </t>
  </si>
  <si>
    <t>LCT PERMATA 17 : 1138, ETD LEROKIS 28 NOV 2023</t>
  </si>
  <si>
    <t>SJIU2322064</t>
  </si>
  <si>
    <t>SJIU2322001</t>
  </si>
  <si>
    <t>V206N-02 NOV 23</t>
  </si>
  <si>
    <t>EMPTY 30 NOV 2023-PS.151692</t>
  </si>
  <si>
    <t>V209-5 DES 2023</t>
  </si>
  <si>
    <t>V210-16 DES 2023</t>
  </si>
  <si>
    <t>LCT PERMATA 17 : 1140, ETD SITE 07 DEC 23</t>
  </si>
  <si>
    <t xml:space="preserve"> LCT P 17 : 1141,ETD LEROKIS - WETAR 18/12/23</t>
  </si>
  <si>
    <t>ussed 20 des 2023</t>
  </si>
  <si>
    <t>LCT PERMATA 17 : 1143, ETD WETAR 01012024</t>
  </si>
  <si>
    <t>empty 21 jan 2024</t>
  </si>
  <si>
    <t>V213-21 JAN 2024</t>
  </si>
  <si>
    <t>V212-07 JAN 2024</t>
  </si>
  <si>
    <t>EMPTY 10 MAR 24</t>
  </si>
  <si>
    <t>EMPTY 08 MAR 24</t>
  </si>
  <si>
    <t>EMPTY 17 MARET 2024</t>
  </si>
  <si>
    <t>CT PERMATA 17 VOY 1152,ETD 230324</t>
  </si>
  <si>
    <t>LCT PERMATA 17 VOY 1151, ETD 13032024</t>
  </si>
  <si>
    <t>V219 - 09 MAR 2024</t>
  </si>
  <si>
    <t>LCT PERMATA 17 VOY 1154, ETD 13042024</t>
  </si>
  <si>
    <t>PR/PO REFILL ACID OUTBOUND</t>
  </si>
  <si>
    <t>EMPTY 04 APRIL 2024</t>
  </si>
  <si>
    <t>Empty 21 Apr 24</t>
  </si>
  <si>
    <t xml:space="preserve"> LCT PERMATA 17 : 1156 , ETD WETAR 30  APR 2024</t>
  </si>
  <si>
    <t>NTTU1752753</t>
  </si>
  <si>
    <t>NTTU1752780</t>
  </si>
  <si>
    <t>V222-28 APR 2024</t>
  </si>
  <si>
    <t>empty 25 apr 2024</t>
  </si>
  <si>
    <t>NTTU1752795</t>
  </si>
  <si>
    <t>V225-05 JUNE 2024</t>
  </si>
  <si>
    <t>NTTU1752692</t>
  </si>
  <si>
    <t>V226-17 JUNE 2024</t>
  </si>
  <si>
    <t>WHCHRICK</t>
  </si>
  <si>
    <t>V224-MAY 2024</t>
  </si>
  <si>
    <t xml:space="preserve">Sudah Outbound dari Mey </t>
  </si>
  <si>
    <t>V227-27JUNE 2024</t>
  </si>
  <si>
    <t xml:space="preserve">LCT 17 V1159 ETD LEROKIS - WETAR </t>
  </si>
  <si>
    <t>USED 14-20 JULY 2024</t>
  </si>
  <si>
    <t>NTTU1752748</t>
  </si>
  <si>
    <t>USED 02 AUGUST 2024</t>
  </si>
  <si>
    <t>DWI101IDR</t>
  </si>
  <si>
    <t>LCT PERMATA 17 V1164, ETD Lerokis - Wetar 05 August 2024</t>
  </si>
  <si>
    <t>IND119IDR</t>
  </si>
  <si>
    <t>Next Approval</t>
  </si>
  <si>
    <t>ROL100IDR</t>
  </si>
  <si>
    <t>Date Emty</t>
  </si>
  <si>
    <t>USED 14 AGUSTUS 2024</t>
  </si>
  <si>
    <t>USED 15 AGUSTUS 2024</t>
  </si>
  <si>
    <t>USED 19 AGUSTUS 2024</t>
  </si>
  <si>
    <t>LCT PERMATA 17 V1166, ETD Lerokis - Wetar 27082024</t>
  </si>
  <si>
    <t>NTTU1752711</t>
  </si>
  <si>
    <t>NTTU1752732</t>
  </si>
  <si>
    <t>V233-05september 2024</t>
  </si>
  <si>
    <t>EMPTY USED IN SEPTEMBER 2024</t>
  </si>
  <si>
    <t>LCT PERMATA 17 V1169, ETD Lerokis - Wetar 29092024</t>
  </si>
  <si>
    <t xml:space="preserve"> LCT PERMATA 17 VOY117, ETD WETAR 14 OCT 2024</t>
  </si>
  <si>
    <t xml:space="preserve"> V238N-22 October 2024</t>
  </si>
  <si>
    <t>V235-20 Sep 2024</t>
  </si>
  <si>
    <t>EMPTY 27102024</t>
  </si>
  <si>
    <t>EMPTY 25102024</t>
  </si>
  <si>
    <t>V235N-24 September 2024</t>
  </si>
  <si>
    <t>LCT PERMATA 17 V1173, ETD Lerokis - Wetar  31 OCT 2024</t>
  </si>
  <si>
    <t>LCT SERASI IX V1175 ATD 21 NOV 2024</t>
  </si>
  <si>
    <t>EMPTY USSED</t>
  </si>
  <si>
    <t>Empry 20/11/2024</t>
  </si>
  <si>
    <t>SJIU2322017</t>
  </si>
  <si>
    <t>V241-26 NOV 2024</t>
  </si>
  <si>
    <t>LCT KINTA PERJAYA  V1176 ATD 26 NOV 2024</t>
  </si>
  <si>
    <t>EMPTY USSED 02/12/2024</t>
  </si>
  <si>
    <t>LCT KINTA PERJAYA : 1177 ETD WETAR 04122024</t>
  </si>
  <si>
    <t>V242-04 DEC 2024</t>
  </si>
  <si>
    <t>EMPTY USSED 14/12/2024</t>
  </si>
  <si>
    <t>LCT KINTA PERJAYA : 1178 ETD WETAR 20122024</t>
  </si>
  <si>
    <t>SJIU2322090</t>
  </si>
  <si>
    <t>NTTU1752687</t>
  </si>
  <si>
    <t>V244-30 DEC 2024</t>
  </si>
  <si>
    <t xml:space="preserve"> V245N -06 JAN 2025</t>
  </si>
  <si>
    <t xml:space="preserve"> LCT KP V1181, ETD WETAR 19 JAN 2024</t>
  </si>
  <si>
    <t>EMPTY USSED JAN 2025</t>
  </si>
  <si>
    <t>SJIU2322043</t>
  </si>
  <si>
    <t>SJIU2322085</t>
  </si>
  <si>
    <t xml:space="preserve"> V247N -28 JAN 2025</t>
  </si>
  <si>
    <t>LCT P17 V1186 ETD WETAR 02/03/2025</t>
  </si>
  <si>
    <t>05 Maret 2025</t>
  </si>
  <si>
    <t xml:space="preserve"> LCT PERMATA 17 VOY 1187 ETD 11032025</t>
  </si>
  <si>
    <t>V252-17 MAR 2025</t>
  </si>
  <si>
    <t>INDOCHEMICAL CITRA KIMIA, PT</t>
  </si>
  <si>
    <t>LCT PERMATA 17 VOY 1188 ETD 20032025</t>
  </si>
  <si>
    <t>LCT P17 V1191 ETD WETAR 21042025</t>
  </si>
  <si>
    <t>Waiting Ps karena tidak cukup SOHNya</t>
  </si>
  <si>
    <t>V256-28 MEI 2025</t>
  </si>
  <si>
    <t>LCT P17 VOY 1193 ATD 140525</t>
  </si>
  <si>
    <t>V257-18 MEI 2025</t>
  </si>
  <si>
    <t>V258-25 MEI 2025</t>
  </si>
  <si>
    <t>LCT P17 VOY 1196 ATD 10-06-25</t>
  </si>
  <si>
    <t>V258-09 JUNE 2025</t>
  </si>
  <si>
    <t>V262 05 JULY 2025</t>
  </si>
  <si>
    <t>AFTER  REPAIR YOU NEED TO CREATE PO</t>
  </si>
  <si>
    <t>MINTA PS</t>
  </si>
  <si>
    <t>NTTU1752727</t>
  </si>
  <si>
    <t>NTTU1753699</t>
  </si>
  <si>
    <t>NTTU1753702</t>
  </si>
  <si>
    <t>V263 23 JULY 2025</t>
  </si>
  <si>
    <t>LCT P17 V1201 ATD 21072025</t>
  </si>
  <si>
    <t>NTTU1753723</t>
  </si>
  <si>
    <t>NTTU1753765</t>
  </si>
  <si>
    <t>NTTU1753750</t>
  </si>
  <si>
    <t>V265N 15 AUG 2025</t>
  </si>
  <si>
    <t>V266N 28 AUG 2025</t>
  </si>
  <si>
    <t>INDOCHEMICALS XITRA KIMIA, PT</t>
  </si>
  <si>
    <t>LCT P17 VOY 1205 ATD 030925</t>
  </si>
  <si>
    <t>Date Empty</t>
  </si>
  <si>
    <t>LCT P17 V1208 ETD WETAR 20/10/2025</t>
  </si>
  <si>
    <t>SJIU2522967</t>
  </si>
  <si>
    <t>SJIU2522972</t>
  </si>
  <si>
    <t>SJIU2522988</t>
  </si>
  <si>
    <t>SJIU2522993</t>
  </si>
  <si>
    <t>V271 29 OKT 2025</t>
  </si>
  <si>
    <t>ADIMITRA PRIMA LESTARI, PT</t>
  </si>
  <si>
    <t xml:space="preserve">       </t>
  </si>
  <si>
    <t>V270N 16 OKT 2025</t>
  </si>
  <si>
    <t>NTTU1753739</t>
  </si>
  <si>
    <t>V273 21 NOV 2025</t>
  </si>
  <si>
    <t>Status</t>
  </si>
  <si>
    <t>V274 04 DES 2025</t>
  </si>
  <si>
    <t xml:space="preserve"> LCT PERMATA 17 Voy 1211 ETD 06122025</t>
  </si>
  <si>
    <t>NTTU1752671</t>
  </si>
  <si>
    <t>REFILL NEW ISOTANK :</t>
  </si>
  <si>
    <t>V275 14 Dec 2025</t>
  </si>
  <si>
    <t>SJIU2422612</t>
  </si>
  <si>
    <t>SJIU2422628</t>
  </si>
  <si>
    <t>V276 23 Dec 2025</t>
  </si>
  <si>
    <t xml:space="preserve"> LCT PERMATA 17 Voy  1214 ETD 25122025</t>
  </si>
  <si>
    <t>PANI (NO REFILL)</t>
  </si>
  <si>
    <t>V277 02 JAN 2026</t>
  </si>
  <si>
    <t xml:space="preserve"> LCT PERMATA 17 Voy  1215 ETD 03012026</t>
  </si>
  <si>
    <t>STOCK TAKE DATE</t>
  </si>
  <si>
    <t>SJIU2422633</t>
  </si>
  <si>
    <t>SJIU2422649</t>
  </si>
  <si>
    <t>SJIU2422660</t>
  </si>
  <si>
    <t>SJIU2422675</t>
  </si>
  <si>
    <t>SJIU2422680</t>
  </si>
  <si>
    <t>V278 17 JAN 2026</t>
  </si>
  <si>
    <t xml:space="preserve"> LCT PERMATA 17 Voy  1216 ETD 23012026</t>
  </si>
  <si>
    <t xml:space="preserve"> LCT PERMATA 17 Voy  1216 ETD 03012026</t>
  </si>
  <si>
    <t>Additional Tank - tidak perlu di naikkan PR</t>
  </si>
  <si>
    <t xml:space="preserve"> LCT PERMATA 17 Voy  1217 ETD 03012026</t>
  </si>
  <si>
    <t>V279 30 JAN 2026</t>
  </si>
  <si>
    <t>DATE OUT</t>
  </si>
  <si>
    <t>DATE IN</t>
  </si>
  <si>
    <t>16-24 Feb 2026</t>
  </si>
  <si>
    <t>V280 17 FEB 2026</t>
  </si>
  <si>
    <t>Total</t>
  </si>
  <si>
    <t>SUBTOTAL</t>
  </si>
  <si>
    <t>Qty Empty On Site</t>
  </si>
  <si>
    <t>Qty Outbound</t>
  </si>
  <si>
    <t>Qty On KOE</t>
  </si>
  <si>
    <t>Qty Ship to KOE</t>
  </si>
  <si>
    <t>Qty On Site</t>
  </si>
  <si>
    <t>LT</t>
  </si>
  <si>
    <t>ACID Average Usage</t>
  </si>
  <si>
    <t>Ideal Stock</t>
  </si>
  <si>
    <t>Days</t>
  </si>
  <si>
    <t>Month</t>
  </si>
  <si>
    <t>LCT PERMATA 17 : 1218 ETD 22-02-2026</t>
  </si>
  <si>
    <t>ESCAID Average Usage</t>
  </si>
  <si>
    <t xml:space="preserve"> LCT PERMATA 17 Voy  1218 ETD 25022026</t>
  </si>
  <si>
    <t>V281 03 Mar 2026</t>
  </si>
  <si>
    <t>V282 18 Mar 2026</t>
  </si>
  <si>
    <t>INSTAL</t>
  </si>
  <si>
    <t>V283 02 Apr 2026</t>
  </si>
  <si>
    <t>ADI106IDR</t>
  </si>
  <si>
    <t>LCT P17 VOY 1221 ETD 13042026</t>
  </si>
  <si>
    <t>LCT PERMATA 17 VOY 1217 ETD 03022026</t>
  </si>
  <si>
    <t>LCT PERMATA 17  VOY 1219 ETD 10032026</t>
  </si>
  <si>
    <t>LCT P17 VOY 1220  ETD 18032026</t>
  </si>
  <si>
    <t>V28102 Apr 2026</t>
  </si>
  <si>
    <t>Additional tank</t>
  </si>
  <si>
    <t>SOC DJE</t>
  </si>
  <si>
    <t>SOC ROLIMEX</t>
  </si>
  <si>
    <t>LCT PERMATA 17 : 1220 ETD 18-03-2026</t>
  </si>
  <si>
    <t>LCT P17 VOY 1221 ETD 03042026</t>
  </si>
  <si>
    <t>LCT PERMATA 17 : 1222 ETD WETAR 150426</t>
  </si>
  <si>
    <t>DJEU0303600/ Replace DJEU0303641</t>
  </si>
  <si>
    <t>98456 GR qty 21070</t>
  </si>
  <si>
    <t>V285 7 April 2026</t>
  </si>
  <si>
    <t>LCT PERMATA 17  VOY 1223 ETD 09052026</t>
  </si>
  <si>
    <t>V286  13 May 2026</t>
  </si>
  <si>
    <t>V287  27 May 2026</t>
  </si>
  <si>
    <t>LCT PERMATA 17  VOY 1224 ETD 21052026</t>
  </si>
  <si>
    <t>ENERGI JAYA INOVASI PT</t>
  </si>
  <si>
    <t>SUB TOTAL</t>
  </si>
  <si>
    <t>Qty ship to KOE</t>
  </si>
  <si>
    <t>lt</t>
  </si>
  <si>
    <t>Kekurangan</t>
  </si>
  <si>
    <t>PO</t>
  </si>
  <si>
    <t>No. Isotank</t>
  </si>
  <si>
    <t>Dwijaya</t>
  </si>
  <si>
    <t>Rolimex</t>
  </si>
  <si>
    <t>Remaks</t>
  </si>
  <si>
    <t>PO 100011 - Sudah di Pakai untuk Dwijaya</t>
  </si>
  <si>
    <t>PO 100010 - Sudah di Pakai untuk Dwijaya</t>
  </si>
  <si>
    <t>Sudah Refill</t>
  </si>
  <si>
    <t>Posisi Isotank masih di HUB SUB</t>
  </si>
  <si>
    <t>New Isotank</t>
  </si>
  <si>
    <t>Total Qty Isotank</t>
  </si>
  <si>
    <t>Menunggu konfirmasi No. Isotank dari Rolimex</t>
  </si>
  <si>
    <t>Penambahan PO Isotank</t>
  </si>
  <si>
    <t>Kembalikan ke Rolimex , ganti note line ke no. Isotank Rolimex oleh buyer</t>
  </si>
  <si>
    <t>Proses Pembuatan PO, Menunggu konfirmasi No. Isotank dari Rolimex</t>
  </si>
  <si>
    <t>QTY Isotank</t>
  </si>
  <si>
    <t xml:space="preserve">Qty Kg </t>
  </si>
  <si>
    <t>Outbound ( Koe - Sub)</t>
  </si>
  <si>
    <t>Inbound ( KOE-SUB)</t>
  </si>
  <si>
    <t>Inbound ( SUB-KOE)</t>
  </si>
  <si>
    <t>Outbound HUB</t>
  </si>
  <si>
    <t>Total Supply</t>
  </si>
  <si>
    <t>forecast</t>
  </si>
  <si>
    <t>qty po</t>
  </si>
  <si>
    <t>qty isotank</t>
  </si>
  <si>
    <t>qty kg</t>
  </si>
  <si>
    <t>yg sudah inbound / onsite</t>
  </si>
  <si>
    <t>Bulan</t>
  </si>
  <si>
    <t>Mei</t>
  </si>
  <si>
    <t>vendor</t>
  </si>
  <si>
    <t>koe</t>
  </si>
  <si>
    <t>inbound koe</t>
  </si>
  <si>
    <t>inbound hub</t>
  </si>
  <si>
    <t>outbound isotank</t>
  </si>
  <si>
    <t>hub</t>
  </si>
  <si>
    <t>selisih</t>
  </si>
  <si>
    <t>FORECAST MEI</t>
  </si>
  <si>
    <t>DWIJAYA</t>
  </si>
  <si>
    <t>Di GOOD RETURN</t>
  </si>
  <si>
    <t xml:space="preserve">    218142  </t>
  </si>
  <si>
    <t>ADIMITRA</t>
  </si>
  <si>
    <t>GOOD RETURN PO ADIMITRA</t>
  </si>
  <si>
    <t>KEKURANGAN</t>
  </si>
  <si>
    <t>STOCK TAKE PERIODE  JUNE 2026</t>
  </si>
  <si>
    <t>INBOUND - HUB SUB</t>
  </si>
  <si>
    <t>VENDOR</t>
  </si>
  <si>
    <t>INSTALL</t>
  </si>
  <si>
    <t>Grand Total</t>
  </si>
  <si>
    <t>Count of TANK ID</t>
  </si>
  <si>
    <t>STOP REFILL</t>
  </si>
  <si>
    <t>DJEU03039290</t>
  </si>
  <si>
    <t>April</t>
  </si>
  <si>
    <t>LCT PERMATA 17 : 1224 ETD 21-05-2026</t>
  </si>
  <si>
    <t>LCT PERMATA 17 : 1226 ETD 09-06-2026</t>
  </si>
  <si>
    <t>V288  19 May 2026</t>
  </si>
  <si>
    <t>NTTU1754550</t>
  </si>
  <si>
    <t>NTTU1754587</t>
  </si>
  <si>
    <t>NTTU1754437</t>
  </si>
  <si>
    <t>NTTU1754524</t>
  </si>
  <si>
    <t>NTTU1754421</t>
  </si>
  <si>
    <t>NTTU1754484</t>
  </si>
  <si>
    <t>LCT PERMATA 17  VOY 1226 ETD 21062026</t>
  </si>
  <si>
    <t>LCT P17 VOY 1225  ETD 09062026</t>
  </si>
  <si>
    <t>VOY 1226 ETD 21-06-2026</t>
  </si>
  <si>
    <t>NTTU1754566</t>
  </si>
  <si>
    <t>NTTU1754490</t>
  </si>
  <si>
    <t>NTTU1754503</t>
  </si>
  <si>
    <t>NTTU1754458</t>
  </si>
  <si>
    <t>ENERGI JAYA INOVASI, PT</t>
  </si>
  <si>
    <t>NTTU1754416</t>
  </si>
  <si>
    <t>NTTU1754519</t>
  </si>
  <si>
    <t>Full</t>
  </si>
  <si>
    <t>TOTAL</t>
  </si>
  <si>
    <t xml:space="preserve"> ISOTANK- ACID SUMMARY DASHBOARD</t>
  </si>
  <si>
    <t>TOTAL  PRONTO (KG)</t>
  </si>
  <si>
    <t>TOTAL ACTUAL QTY Isotank</t>
  </si>
  <si>
    <t>TOTAL VARIANCE  (KG)</t>
  </si>
  <si>
    <t>TOTAL ACTIVE ISOTANKS IN SYSTEM</t>
  </si>
  <si>
    <t>INBOUND- KOE WTR</t>
  </si>
  <si>
    <t>INBOUND - SUB KOE</t>
  </si>
  <si>
    <t>Qty Isotank</t>
  </si>
  <si>
    <t>Qty ( Kg )</t>
  </si>
  <si>
    <t>has Supplied ( Kg )</t>
  </si>
  <si>
    <t>On Site</t>
  </si>
  <si>
    <t>Outbound Isotank</t>
  </si>
  <si>
    <t>Qty First PO Jun'26</t>
  </si>
  <si>
    <t>Total PO May'26</t>
  </si>
  <si>
    <t>Vendor PO Jun'26</t>
  </si>
  <si>
    <t>Difference</t>
  </si>
  <si>
    <t>Inbound Sub - Koe</t>
  </si>
  <si>
    <t>Inbound Hub Sub</t>
  </si>
  <si>
    <t>Inbound Koe - Wtr</t>
  </si>
  <si>
    <t>FORECAST ACID JUN '26</t>
  </si>
  <si>
    <t>FORECAST ACID JUL '26</t>
  </si>
  <si>
    <t>NTTU1754479</t>
  </si>
  <si>
    <t>NTTU1754530</t>
  </si>
  <si>
    <t>Qty First PO Jul'26</t>
  </si>
  <si>
    <t>Total PO Jun'26</t>
  </si>
  <si>
    <t>Total Isotank Rotation</t>
  </si>
  <si>
    <t>V289 26 June 2026</t>
  </si>
  <si>
    <t>LCT P17 VOY 1227 ETD 03-07-2026</t>
  </si>
  <si>
    <t>QTY PR</t>
  </si>
  <si>
    <t>Qty PO</t>
  </si>
  <si>
    <t>Qty PR</t>
  </si>
  <si>
    <t>Tanggal Out</t>
  </si>
  <si>
    <t>Sum of Qty PO</t>
  </si>
  <si>
    <t xml:space="preserve">Total Isotank </t>
  </si>
  <si>
    <t>Forecast ( Kg )</t>
  </si>
  <si>
    <t>Price / Kg ( IDR )</t>
  </si>
  <si>
    <t>V290N 06 July 26</t>
  </si>
  <si>
    <t>KOE</t>
  </si>
  <si>
    <t>HUB</t>
  </si>
  <si>
    <t>NTTU1754592</t>
  </si>
  <si>
    <t>NTTU1754463</t>
  </si>
  <si>
    <t>Noted : Waiting GR 1 PO Isotank</t>
  </si>
  <si>
    <t>SJIU2623350</t>
  </si>
  <si>
    <t>has Supplied (Kg)</t>
  </si>
  <si>
    <t>Qty (Kg)</t>
  </si>
  <si>
    <t>NTTU1754542</t>
  </si>
  <si>
    <t>NTTU1754563</t>
  </si>
  <si>
    <t>NTTU1754606</t>
  </si>
  <si>
    <t>NTTU1754442</t>
  </si>
  <si>
    <t>12-juli-2026</t>
  </si>
  <si>
    <t>21-Juni-2026</t>
  </si>
  <si>
    <t>04-Juli-2026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</si>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</sst>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[$-409]dd\-mmm\-yy;@"/>
    <numFmt numFmtId="169" formatCode="#,##0;[Red]\-#,##0;&quot;-&quot;"/>
    <numFmt numFmtId="170" formatCode="#,##0.00;[Red]\-#,##0.00;&quot;-&quot;"/>
  </numFmts>
  <fonts count="8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6"/>
      <color rgb="FF000000"/>
      <name val="Tahoma"/>
      <family val="2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7"/>
      <color rgb="FF000000"/>
      <name val="Tahoma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6"/>
      <name val="Times New Roman"/>
      <family val="1"/>
    </font>
    <font>
      <sz val="16"/>
      <color theme="0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  <font>
      <b/>
      <sz val="4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6"/>
      <color indexed="8"/>
      <name val="Times New Roman"/>
      <family val="1"/>
    </font>
    <font>
      <sz val="11"/>
      <name val="Times New Roman"/>
      <family val="1"/>
    </font>
    <font>
      <b/>
      <sz val="16"/>
      <color theme="1"/>
      <name val="Calibri"/>
      <family val="2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6"/>
      <color rgb="FF3333FF"/>
      <name val="Times New Roman"/>
      <family val="1"/>
    </font>
    <font>
      <sz val="16"/>
      <color rgb="FF3333FF"/>
      <name val="Times New Roman"/>
      <family val="1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b/>
      <sz val="14"/>
      <color rgb="FF1F4E79"/>
      <name val="Segoe UI"/>
      <family val="2"/>
    </font>
    <font>
      <b/>
      <sz val="9"/>
      <color rgb="FF595959"/>
      <name val="Segoe UI"/>
      <family val="2"/>
    </font>
    <font>
      <b/>
      <sz val="14"/>
      <color rgb="FF00000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378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165" fontId="3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>
      <alignment horizontal="center" vertical="top"/>
    </xf>
    <xf numFmtId="0" fontId="12" fillId="0" borderId="0">
      <alignment horizontal="center" vertical="top"/>
    </xf>
    <xf numFmtId="0" fontId="11" fillId="0" borderId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10" applyNumberFormat="0" applyAlignment="0" applyProtection="0"/>
    <xf numFmtId="0" fontId="22" fillId="13" borderId="11" applyNumberFormat="0" applyAlignment="0" applyProtection="0"/>
    <xf numFmtId="0" fontId="23" fillId="13" borderId="10" applyNumberFormat="0" applyAlignment="0" applyProtection="0"/>
    <xf numFmtId="0" fontId="24" fillId="0" borderId="12" applyNumberFormat="0" applyFill="0" applyAlignment="0" applyProtection="0"/>
    <xf numFmtId="0" fontId="13" fillId="14" borderId="13" applyNumberFormat="0" applyAlignment="0" applyProtection="0"/>
    <xf numFmtId="0" fontId="4" fillId="0" borderId="0" applyNumberFormat="0" applyFill="0" applyBorder="0" applyAlignment="0" applyProtection="0"/>
    <xf numFmtId="0" fontId="3" fillId="15" borderId="14" applyNumberFormat="0" applyFont="0" applyAlignment="0" applyProtection="0"/>
    <xf numFmtId="0" fontId="25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6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6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6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6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7" fillId="0" borderId="0"/>
    <xf numFmtId="0" fontId="2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168" fontId="10" fillId="0" borderId="0"/>
    <xf numFmtId="0" fontId="3" fillId="0" borderId="0"/>
    <xf numFmtId="168" fontId="10" fillId="0" borderId="0"/>
    <xf numFmtId="0" fontId="3" fillId="0" borderId="0"/>
    <xf numFmtId="0" fontId="10" fillId="0" borderId="0"/>
    <xf numFmtId="0" fontId="3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>
      <alignment horizontal="center" vertical="top"/>
    </xf>
    <xf numFmtId="0" fontId="28" fillId="0" borderId="0">
      <alignment horizontal="center" vertical="top"/>
    </xf>
    <xf numFmtId="0" fontId="28" fillId="0" borderId="0">
      <alignment horizontal="right" vertical="top"/>
    </xf>
    <xf numFmtId="0" fontId="12" fillId="0" borderId="0">
      <alignment horizontal="right" vertical="top"/>
    </xf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11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5" borderId="0" applyNumberFormat="0" applyBorder="0" applyAlignment="0" applyProtection="0"/>
    <xf numFmtId="0" fontId="6" fillId="39" borderId="0" applyNumberFormat="0" applyBorder="0" applyAlignment="0" applyProtection="0"/>
    <xf numFmtId="0" fontId="31" fillId="0" borderId="0"/>
    <xf numFmtId="164" fontId="11" fillId="0" borderId="0" applyFont="0" applyFill="0" applyBorder="0" applyAlignment="0" applyProtection="0"/>
    <xf numFmtId="0" fontId="31" fillId="0" borderId="0"/>
    <xf numFmtId="0" fontId="31" fillId="0" borderId="0"/>
    <xf numFmtId="0" fontId="3" fillId="0" borderId="0"/>
    <xf numFmtId="164" fontId="11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57" fillId="0" borderId="0" applyNumberFormat="0" applyFill="0" applyBorder="0" applyAlignment="0" applyProtection="0"/>
    <xf numFmtId="0" fontId="58" fillId="0" borderId="7" applyNumberFormat="0" applyFill="0" applyAlignment="0" applyProtection="0"/>
    <xf numFmtId="0" fontId="59" fillId="0" borderId="8" applyNumberFormat="0" applyFill="0" applyAlignment="0" applyProtection="0"/>
    <xf numFmtId="0" fontId="60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1" fillId="9" borderId="0" applyNumberFormat="0" applyBorder="0" applyAlignment="0" applyProtection="0"/>
    <xf numFmtId="0" fontId="62" fillId="10" borderId="0" applyNumberFormat="0" applyBorder="0" applyAlignment="0" applyProtection="0"/>
    <xf numFmtId="0" fontId="63" fillId="11" borderId="0" applyNumberFormat="0" applyBorder="0" applyAlignment="0" applyProtection="0"/>
    <xf numFmtId="0" fontId="64" fillId="12" borderId="10" applyNumberFormat="0" applyAlignment="0" applyProtection="0"/>
    <xf numFmtId="0" fontId="65" fillId="13" borderId="11" applyNumberFormat="0" applyAlignment="0" applyProtection="0"/>
    <xf numFmtId="0" fontId="66" fillId="13" borderId="10" applyNumberFormat="0" applyAlignment="0" applyProtection="0"/>
    <xf numFmtId="0" fontId="67" fillId="0" borderId="12" applyNumberFormat="0" applyFill="0" applyAlignment="0" applyProtection="0"/>
    <xf numFmtId="0" fontId="68" fillId="14" borderId="13" applyNumberFormat="0" applyAlignment="0" applyProtection="0"/>
    <xf numFmtId="0" fontId="69" fillId="0" borderId="0" applyNumberFormat="0" applyFill="0" applyBorder="0" applyAlignment="0" applyProtection="0"/>
    <xf numFmtId="0" fontId="2" fillId="15" borderId="14" applyNumberFormat="0" applyFont="0" applyAlignment="0" applyProtection="0"/>
    <xf numFmtId="0" fontId="70" fillId="0" borderId="0" applyNumberFormat="0" applyFill="0" applyBorder="0" applyAlignment="0" applyProtection="0"/>
    <xf numFmtId="0" fontId="71" fillId="0" borderId="15" applyNumberFormat="0" applyFill="0" applyAlignment="0" applyProtection="0"/>
    <xf numFmtId="0" fontId="7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7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7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7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1" fillId="0" borderId="0"/>
  </cellStyleXfs>
  <cellXfs count="423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0" xfId="0" applyFont="1"/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4" fillId="6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33" fillId="3" borderId="0" xfId="0" applyFont="1" applyFill="1"/>
    <xf numFmtId="0" fontId="36" fillId="4" borderId="1" xfId="0" applyFont="1" applyFill="1" applyBorder="1" applyAlignment="1">
      <alignment horizontal="center"/>
    </xf>
    <xf numFmtId="0" fontId="36" fillId="4" borderId="1" xfId="66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6" fillId="0" borderId="1" xfId="66" applyFont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 wrapText="1"/>
    </xf>
    <xf numFmtId="0" fontId="36" fillId="4" borderId="1" xfId="9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Font="1" applyAlignment="1">
      <alignment horizontal="center"/>
    </xf>
    <xf numFmtId="0" fontId="40" fillId="0" borderId="0" xfId="0" applyFont="1"/>
    <xf numFmtId="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3" fontId="36" fillId="4" borderId="1" xfId="0" applyNumberFormat="1" applyFont="1" applyFill="1" applyBorder="1" applyAlignment="1">
      <alignment horizontal="center" vertical="center"/>
    </xf>
    <xf numFmtId="0" fontId="36" fillId="4" borderId="1" xfId="66" applyFont="1" applyFill="1" applyBorder="1" applyAlignment="1">
      <alignment horizontal="center" vertical="center"/>
    </xf>
    <xf numFmtId="0" fontId="36" fillId="4" borderId="0" xfId="0" applyFont="1" applyFill="1"/>
    <xf numFmtId="3" fontId="36" fillId="4" borderId="1" xfId="0" applyNumberFormat="1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wrapText="1"/>
    </xf>
    <xf numFmtId="0" fontId="36" fillId="4" borderId="1" xfId="6" applyFont="1" applyFill="1" applyBorder="1" applyAlignment="1">
      <alignment horizontal="center" vertical="center" wrapText="1"/>
    </xf>
    <xf numFmtId="0" fontId="36" fillId="4" borderId="0" xfId="0" applyFont="1" applyFill="1" applyAlignment="1">
      <alignment horizontal="center" vertical="center"/>
    </xf>
    <xf numFmtId="0" fontId="36" fillId="4" borderId="1" xfId="9" applyFont="1" applyFill="1" applyBorder="1" applyAlignment="1">
      <alignment horizontal="center"/>
    </xf>
    <xf numFmtId="0" fontId="33" fillId="3" borderId="0" xfId="0" applyFont="1" applyFill="1" applyAlignment="1">
      <alignment horizontal="center"/>
    </xf>
    <xf numFmtId="167" fontId="39" fillId="0" borderId="0" xfId="0" applyNumberFormat="1" applyFont="1" applyAlignment="1">
      <alignment horizontal="center" vertical="center" wrapText="1"/>
    </xf>
    <xf numFmtId="0" fontId="34" fillId="0" borderId="5" xfId="0" applyFont="1" applyBorder="1" applyAlignment="1">
      <alignment horizontal="center"/>
    </xf>
    <xf numFmtId="0" fontId="36" fillId="4" borderId="1" xfId="3" applyFont="1" applyFill="1" applyBorder="1" applyAlignment="1">
      <alignment horizontal="center" vertical="center"/>
    </xf>
    <xf numFmtId="0" fontId="36" fillId="4" borderId="1" xfId="3" applyFont="1" applyFill="1" applyBorder="1" applyAlignment="1">
      <alignment horizontal="center" vertical="center" wrapText="1"/>
    </xf>
    <xf numFmtId="0" fontId="36" fillId="4" borderId="1" xfId="5" applyFont="1" applyFill="1" applyBorder="1" applyAlignment="1">
      <alignment horizontal="center" vertical="center" wrapText="1"/>
    </xf>
    <xf numFmtId="0" fontId="36" fillId="4" borderId="1" xfId="66" applyFont="1" applyFill="1" applyBorder="1" applyAlignment="1">
      <alignment horizontal="center" wrapText="1"/>
    </xf>
    <xf numFmtId="14" fontId="36" fillId="4" borderId="1" xfId="0" applyNumberFormat="1" applyFont="1" applyFill="1" applyBorder="1" applyAlignment="1">
      <alignment horizontal="center"/>
    </xf>
    <xf numFmtId="1" fontId="36" fillId="4" borderId="1" xfId="0" applyNumberFormat="1" applyFont="1" applyFill="1" applyBorder="1" applyAlignment="1">
      <alignment horizontal="center" vertical="center"/>
    </xf>
    <xf numFmtId="164" fontId="36" fillId="4" borderId="1" xfId="2" applyFont="1" applyFill="1" applyBorder="1" applyAlignment="1">
      <alignment horizontal="center"/>
    </xf>
    <xf numFmtId="164" fontId="36" fillId="4" borderId="1" xfId="2" applyFont="1" applyFill="1" applyBorder="1" applyAlignment="1">
      <alignment horizontal="center" vertical="center"/>
    </xf>
    <xf numFmtId="0" fontId="36" fillId="4" borderId="1" xfId="326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6" fillId="0" borderId="0" xfId="5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3" fillId="3" borderId="0" xfId="0" applyFont="1" applyFill="1" applyAlignment="1">
      <alignment horizontal="center" vertical="center"/>
    </xf>
    <xf numFmtId="0" fontId="33" fillId="4" borderId="0" xfId="0" applyFont="1" applyFill="1"/>
    <xf numFmtId="0" fontId="33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 vertical="center"/>
    </xf>
    <xf numFmtId="3" fontId="36" fillId="4" borderId="1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36" fillId="0" borderId="1" xfId="66" applyFont="1" applyBorder="1" applyAlignment="1">
      <alignment horizontal="center" vertical="center"/>
    </xf>
    <xf numFmtId="0" fontId="33" fillId="4" borderId="1" xfId="0" applyFont="1" applyFill="1" applyBorder="1"/>
    <xf numFmtId="164" fontId="36" fillId="0" borderId="0" xfId="5" applyNumberFormat="1" applyFont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0" fontId="37" fillId="4" borderId="1" xfId="66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/>
    </xf>
    <xf numFmtId="0" fontId="37" fillId="4" borderId="1" xfId="0" applyFont="1" applyFill="1" applyBorder="1" applyAlignment="1">
      <alignment horizontal="center"/>
    </xf>
    <xf numFmtId="0" fontId="37" fillId="4" borderId="1" xfId="9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164" fontId="39" fillId="4" borderId="1" xfId="2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0" fontId="36" fillId="4" borderId="1" xfId="4" applyNumberFormat="1" applyFont="1" applyFill="1" applyBorder="1" applyAlignment="1">
      <alignment horizontal="center"/>
    </xf>
    <xf numFmtId="1" fontId="36" fillId="4" borderId="1" xfId="0" applyNumberFormat="1" applyFont="1" applyFill="1" applyBorder="1" applyAlignment="1">
      <alignment horizontal="center"/>
    </xf>
    <xf numFmtId="0" fontId="37" fillId="0" borderId="0" xfId="0" applyFont="1" applyAlignment="1">
      <alignment horizontal="center" vertical="center"/>
    </xf>
    <xf numFmtId="3" fontId="33" fillId="4" borderId="1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1" fillId="4" borderId="1" xfId="0" applyFont="1" applyFill="1" applyBorder="1" applyAlignment="1">
      <alignment horizontal="center"/>
    </xf>
    <xf numFmtId="15" fontId="33" fillId="4" borderId="1" xfId="0" applyNumberFormat="1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/>
    </xf>
    <xf numFmtId="0" fontId="0" fillId="40" borderId="16" xfId="0" applyFill="1" applyBorder="1"/>
    <xf numFmtId="0" fontId="34" fillId="40" borderId="0" xfId="0" applyFont="1" applyFill="1" applyAlignment="1">
      <alignment horizontal="center" vertical="center"/>
    </xf>
    <xf numFmtId="0" fontId="34" fillId="41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44" fillId="40" borderId="0" xfId="0" applyFont="1" applyFill="1" applyAlignment="1">
      <alignment horizontal="center"/>
    </xf>
    <xf numFmtId="0" fontId="44" fillId="40" borderId="0" xfId="0" applyFont="1" applyFill="1"/>
    <xf numFmtId="0" fontId="33" fillId="4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4" fillId="7" borderId="4" xfId="0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 vertical="center" wrapText="1"/>
    </xf>
    <xf numFmtId="0" fontId="43" fillId="4" borderId="1" xfId="9" applyFont="1" applyFill="1" applyBorder="1" applyAlignment="1">
      <alignment horizontal="center" vertical="center" wrapText="1"/>
    </xf>
    <xf numFmtId="0" fontId="35" fillId="8" borderId="5" xfId="0" applyFont="1" applyFill="1" applyBorder="1" applyAlignment="1">
      <alignment horizontal="center" vertical="center"/>
    </xf>
    <xf numFmtId="0" fontId="5" fillId="0" borderId="1" xfId="0" applyFont="1" applyBorder="1"/>
    <xf numFmtId="0" fontId="35" fillId="8" borderId="6" xfId="0" applyFont="1" applyFill="1" applyBorder="1" applyAlignment="1">
      <alignment horizontal="center" vertical="center"/>
    </xf>
    <xf numFmtId="0" fontId="42" fillId="4" borderId="1" xfId="9" applyFont="1" applyFill="1" applyBorder="1" applyAlignment="1">
      <alignment horizontal="center" vertical="center" wrapText="1"/>
    </xf>
    <xf numFmtId="0" fontId="0" fillId="40" borderId="0" xfId="2" applyNumberFormat="1" applyFont="1" applyFill="1" applyBorder="1" applyAlignment="1">
      <alignment horizontal="center"/>
    </xf>
    <xf numFmtId="0" fontId="34" fillId="42" borderId="1" xfId="2" applyNumberFormat="1" applyFont="1" applyFill="1" applyBorder="1" applyAlignment="1">
      <alignment horizontal="center" vertical="center"/>
    </xf>
    <xf numFmtId="0" fontId="33" fillId="0" borderId="1" xfId="2" applyNumberFormat="1" applyFont="1" applyBorder="1" applyAlignment="1">
      <alignment horizontal="center"/>
    </xf>
    <xf numFmtId="0" fontId="0" fillId="0" borderId="0" xfId="2" applyNumberFormat="1" applyFont="1" applyAlignment="1">
      <alignment horizontal="center"/>
    </xf>
    <xf numFmtId="0" fontId="46" fillId="40" borderId="0" xfId="0" applyFont="1" applyFill="1"/>
    <xf numFmtId="0" fontId="0" fillId="40" borderId="0" xfId="0" applyFill="1" applyAlignment="1">
      <alignment horizontal="center"/>
    </xf>
    <xf numFmtId="0" fontId="41" fillId="0" borderId="1" xfId="2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6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/>
    </xf>
    <xf numFmtId="0" fontId="48" fillId="3" borderId="0" xfId="0" applyFont="1" applyFill="1" applyAlignment="1">
      <alignment horizontal="center"/>
    </xf>
    <xf numFmtId="0" fontId="48" fillId="4" borderId="1" xfId="0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0" fontId="3" fillId="4" borderId="1" xfId="57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165" fontId="50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5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wrapText="1"/>
    </xf>
    <xf numFmtId="0" fontId="54" fillId="4" borderId="1" xfId="333" applyFont="1" applyFill="1" applyBorder="1" applyAlignment="1">
      <alignment horizontal="center" vertical="center" wrapText="1"/>
    </xf>
    <xf numFmtId="15" fontId="36" fillId="4" borderId="1" xfId="0" applyNumberFormat="1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10" fillId="4" borderId="1" xfId="333" applyFont="1" applyFill="1" applyBorder="1" applyAlignment="1">
      <alignment horizontal="center" vertical="center" wrapText="1"/>
    </xf>
    <xf numFmtId="14" fontId="33" fillId="4" borderId="1" xfId="0" applyNumberFormat="1" applyFont="1" applyFill="1" applyBorder="1" applyAlignment="1">
      <alignment horizontal="center" vertical="center" wrapText="1"/>
    </xf>
    <xf numFmtId="16" fontId="33" fillId="4" borderId="1" xfId="0" applyNumberFormat="1" applyFont="1" applyFill="1" applyBorder="1" applyAlignment="1">
      <alignment horizontal="center" vertical="center" wrapText="1"/>
    </xf>
    <xf numFmtId="14" fontId="36" fillId="4" borderId="1" xfId="0" applyNumberFormat="1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0" fontId="34" fillId="7" borderId="17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/>
    </xf>
    <xf numFmtId="0" fontId="56" fillId="4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15" fontId="33" fillId="4" borderId="1" xfId="0" applyNumberFormat="1" applyFont="1" applyFill="1" applyBorder="1" applyAlignment="1">
      <alignment horizontal="center" wrapText="1"/>
    </xf>
    <xf numFmtId="0" fontId="33" fillId="0" borderId="1" xfId="0" applyFont="1" applyBorder="1"/>
    <xf numFmtId="167" fontId="0" fillId="0" borderId="1" xfId="1" applyNumberFormat="1" applyFont="1" applyBorder="1"/>
    <xf numFmtId="0" fontId="33" fillId="0" borderId="2" xfId="0" applyFont="1" applyBorder="1" applyAlignment="1">
      <alignment horizontal="center"/>
    </xf>
    <xf numFmtId="0" fontId="36" fillId="0" borderId="1" xfId="0" applyFont="1" applyBorder="1" applyAlignment="1">
      <alignment horizontal="left"/>
    </xf>
    <xf numFmtId="166" fontId="36" fillId="4" borderId="1" xfId="4" applyNumberFormat="1" applyFont="1" applyFill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/>
    </xf>
    <xf numFmtId="14" fontId="33" fillId="4" borderId="1" xfId="0" applyNumberFormat="1" applyFont="1" applyFill="1" applyBorder="1" applyAlignment="1">
      <alignment horizontal="center" vertical="center"/>
    </xf>
    <xf numFmtId="3" fontId="39" fillId="0" borderId="1" xfId="0" applyNumberFormat="1" applyFont="1" applyBorder="1" applyAlignment="1">
      <alignment horizontal="center" vertical="center" wrapText="1"/>
    </xf>
    <xf numFmtId="164" fontId="36" fillId="0" borderId="6" xfId="2" applyFont="1" applyBorder="1" applyAlignment="1">
      <alignment horizontal="right"/>
    </xf>
    <xf numFmtId="0" fontId="38" fillId="0" borderId="5" xfId="0" applyFont="1" applyBorder="1" applyAlignment="1">
      <alignment horizontal="center" vertical="center" wrapText="1"/>
    </xf>
    <xf numFmtId="164" fontId="36" fillId="0" borderId="6" xfId="0" applyNumberFormat="1" applyFont="1" applyBorder="1" applyAlignment="1">
      <alignment horizontal="right"/>
    </xf>
    <xf numFmtId="165" fontId="38" fillId="0" borderId="5" xfId="0" applyNumberFormat="1" applyFont="1" applyBorder="1" applyAlignment="1">
      <alignment horizontal="center" vertical="center" wrapText="1"/>
    </xf>
    <xf numFmtId="3" fontId="34" fillId="0" borderId="1" xfId="0" applyNumberFormat="1" applyFont="1" applyBorder="1" applyAlignment="1">
      <alignment horizontal="center" vertical="center" wrapText="1"/>
    </xf>
    <xf numFmtId="164" fontId="39" fillId="0" borderId="6" xfId="0" applyNumberFormat="1" applyFont="1" applyBorder="1" applyAlignment="1">
      <alignment horizontal="right"/>
    </xf>
    <xf numFmtId="0" fontId="39" fillId="0" borderId="1" xfId="0" applyFont="1" applyBorder="1" applyAlignment="1">
      <alignment horizontal="center" vertical="center" wrapText="1"/>
    </xf>
    <xf numFmtId="164" fontId="73" fillId="0" borderId="6" xfId="0" applyNumberFormat="1" applyFont="1" applyBorder="1" applyAlignment="1">
      <alignment horizontal="right"/>
    </xf>
    <xf numFmtId="0" fontId="73" fillId="0" borderId="1" xfId="0" applyFont="1" applyBorder="1" applyAlignment="1">
      <alignment horizontal="center"/>
    </xf>
    <xf numFmtId="0" fontId="74" fillId="3" borderId="0" xfId="0" applyFont="1" applyFill="1" applyAlignment="1">
      <alignment horizontal="left" vertical="center" wrapText="1" indent="2"/>
    </xf>
    <xf numFmtId="0" fontId="74" fillId="0" borderId="0" xfId="0" applyFont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74" fillId="0" borderId="1" xfId="0" applyFont="1" applyBorder="1" applyAlignment="1">
      <alignment horizontal="center" vertical="center"/>
    </xf>
    <xf numFmtId="0" fontId="36" fillId="4" borderId="1" xfId="0" applyFont="1" applyFill="1" applyBorder="1" applyAlignment="1">
      <alignment horizontal="left"/>
    </xf>
    <xf numFmtId="3" fontId="34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6" fillId="4" borderId="1" xfId="66" applyFont="1" applyFill="1" applyBorder="1" applyAlignment="1">
      <alignment horizontal="left" vertical="center"/>
    </xf>
    <xf numFmtId="0" fontId="36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/>
    </xf>
    <xf numFmtId="0" fontId="37" fillId="4" borderId="1" xfId="0" applyFont="1" applyFill="1" applyBorder="1" applyAlignment="1">
      <alignment horizontal="left"/>
    </xf>
    <xf numFmtId="0" fontId="41" fillId="4" borderId="1" xfId="0" applyFont="1" applyFill="1" applyBorder="1" applyAlignment="1">
      <alignment horizontal="left"/>
    </xf>
    <xf numFmtId="0" fontId="33" fillId="0" borderId="1" xfId="0" applyFont="1" applyBorder="1" applyAlignment="1">
      <alignment horizontal="left"/>
    </xf>
    <xf numFmtId="15" fontId="36" fillId="0" borderId="1" xfId="0" applyNumberFormat="1" applyFont="1" applyBorder="1" applyAlignment="1">
      <alignment horizontal="left"/>
    </xf>
    <xf numFmtId="14" fontId="36" fillId="4" borderId="1" xfId="0" applyNumberFormat="1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36" fillId="0" borderId="5" xfId="0" applyFont="1" applyBorder="1" applyAlignment="1">
      <alignment horizontal="center"/>
    </xf>
    <xf numFmtId="164" fontId="73" fillId="0" borderId="18" xfId="0" applyNumberFormat="1" applyFont="1" applyBorder="1" applyAlignment="1">
      <alignment horizontal="right"/>
    </xf>
    <xf numFmtId="0" fontId="41" fillId="43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3" fontId="34" fillId="0" borderId="4" xfId="0" applyNumberFormat="1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167" fontId="38" fillId="0" borderId="1" xfId="1" applyNumberFormat="1" applyFont="1" applyFill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74" fillId="3" borderId="0" xfId="0" applyFont="1" applyFill="1" applyAlignment="1">
      <alignment horizontal="center" vertical="center" wrapText="1"/>
    </xf>
    <xf numFmtId="0" fontId="36" fillId="4" borderId="1" xfId="4" applyNumberFormat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/>
    </xf>
    <xf numFmtId="0" fontId="33" fillId="45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67" fontId="38" fillId="0" borderId="1" xfId="1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/>
    </xf>
    <xf numFmtId="0" fontId="36" fillId="5" borderId="1" xfId="9" applyFont="1" applyFill="1" applyBorder="1" applyAlignment="1">
      <alignment horizontal="center" vertical="center"/>
    </xf>
    <xf numFmtId="0" fontId="37" fillId="45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3" fontId="33" fillId="0" borderId="0" xfId="0" applyNumberFormat="1" applyFont="1" applyAlignment="1">
      <alignment horizontal="center"/>
    </xf>
    <xf numFmtId="12" fontId="39" fillId="0" borderId="0" xfId="0" applyNumberFormat="1" applyFont="1" applyAlignment="1">
      <alignment horizontal="center" vertical="center" wrapText="1"/>
    </xf>
    <xf numFmtId="12" fontId="38" fillId="0" borderId="0" xfId="1" applyNumberFormat="1" applyFont="1" applyFill="1" applyBorder="1" applyAlignment="1">
      <alignment horizontal="center" vertical="center"/>
    </xf>
    <xf numFmtId="167" fontId="38" fillId="0" borderId="0" xfId="0" applyNumberFormat="1" applyFont="1" applyAlignment="1">
      <alignment horizontal="center" vertical="center" wrapText="1"/>
    </xf>
    <xf numFmtId="0" fontId="36" fillId="0" borderId="5" xfId="66" applyFont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36" fillId="5" borderId="1" xfId="0" applyFont="1" applyFill="1" applyBorder="1" applyAlignment="1">
      <alignment horizontal="center"/>
    </xf>
    <xf numFmtId="0" fontId="41" fillId="46" borderId="1" xfId="0" applyFont="1" applyFill="1" applyBorder="1" applyAlignment="1">
      <alignment horizontal="center"/>
    </xf>
    <xf numFmtId="0" fontId="75" fillId="46" borderId="1" xfId="0" applyFont="1" applyFill="1" applyBorder="1" applyAlignment="1">
      <alignment horizontal="center"/>
    </xf>
    <xf numFmtId="0" fontId="5" fillId="0" borderId="0" xfId="0" applyFont="1"/>
    <xf numFmtId="0" fontId="0" fillId="5" borderId="1" xfId="0" applyFill="1" applyBorder="1"/>
    <xf numFmtId="0" fontId="4" fillId="0" borderId="1" xfId="0" applyFont="1" applyBorder="1"/>
    <xf numFmtId="0" fontId="45" fillId="5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center"/>
    </xf>
    <xf numFmtId="167" fontId="0" fillId="0" borderId="0" xfId="0" applyNumberFormat="1"/>
    <xf numFmtId="167" fontId="5" fillId="0" borderId="0" xfId="0" applyNumberFormat="1" applyFont="1"/>
    <xf numFmtId="0" fontId="0" fillId="4" borderId="1" xfId="0" applyFill="1" applyBorder="1"/>
    <xf numFmtId="167" fontId="0" fillId="4" borderId="1" xfId="1" applyNumberFormat="1" applyFont="1" applyFill="1" applyBorder="1"/>
    <xf numFmtId="167" fontId="4" fillId="0" borderId="1" xfId="1" applyNumberFormat="1" applyFont="1" applyBorder="1"/>
    <xf numFmtId="167" fontId="5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0" fontId="5" fillId="41" borderId="1" xfId="0" applyFont="1" applyFill="1" applyBorder="1" applyAlignment="1">
      <alignment horizontal="center"/>
    </xf>
    <xf numFmtId="167" fontId="0" fillId="41" borderId="1" xfId="1" applyNumberFormat="1" applyFont="1" applyFill="1" applyBorder="1"/>
    <xf numFmtId="0" fontId="5" fillId="47" borderId="1" xfId="0" applyFont="1" applyFill="1" applyBorder="1" applyAlignment="1">
      <alignment horizontal="center"/>
    </xf>
    <xf numFmtId="167" fontId="0" fillId="47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167" fontId="0" fillId="2" borderId="1" xfId="1" applyNumberFormat="1" applyFont="1" applyFill="1" applyBorder="1"/>
    <xf numFmtId="0" fontId="5" fillId="48" borderId="1" xfId="0" applyFont="1" applyFill="1" applyBorder="1" applyAlignment="1">
      <alignment horizontal="center"/>
    </xf>
    <xf numFmtId="0" fontId="0" fillId="48" borderId="1" xfId="0" applyFill="1" applyBorder="1"/>
    <xf numFmtId="167" fontId="0" fillId="41" borderId="1" xfId="1" applyNumberFormat="1" applyFont="1" applyFill="1" applyBorder="1" applyAlignment="1"/>
    <xf numFmtId="167" fontId="0" fillId="47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167" fontId="0" fillId="5" borderId="1" xfId="0" applyNumberFormat="1" applyFill="1" applyBorder="1"/>
    <xf numFmtId="167" fontId="5" fillId="0" borderId="0" xfId="1" applyNumberFormat="1" applyFont="1" applyBorder="1" applyAlignment="1">
      <alignment horizontal="center" vertical="center"/>
    </xf>
    <xf numFmtId="0" fontId="0" fillId="49" borderId="1" xfId="0" applyFill="1" applyBorder="1"/>
    <xf numFmtId="167" fontId="0" fillId="49" borderId="1" xfId="1" applyNumberFormat="1" applyFont="1" applyFill="1" applyBorder="1"/>
    <xf numFmtId="167" fontId="3" fillId="41" borderId="1" xfId="1" applyNumberFormat="1" applyFont="1" applyFill="1" applyBorder="1"/>
    <xf numFmtId="167" fontId="3" fillId="47" borderId="1" xfId="1" applyNumberFormat="1" applyFont="1" applyFill="1" applyBorder="1"/>
    <xf numFmtId="167" fontId="3" fillId="2" borderId="1" xfId="1" applyNumberFormat="1" applyFont="1" applyFill="1" applyBorder="1"/>
    <xf numFmtId="0" fontId="3" fillId="48" borderId="1" xfId="0" applyFont="1" applyFill="1" applyBorder="1"/>
    <xf numFmtId="167" fontId="3" fillId="49" borderId="1" xfId="1" applyNumberFormat="1" applyFont="1" applyFill="1" applyBorder="1"/>
    <xf numFmtId="0" fontId="3" fillId="49" borderId="1" xfId="0" applyFont="1" applyFill="1" applyBorder="1"/>
    <xf numFmtId="0" fontId="37" fillId="0" borderId="0" xfId="0" applyFont="1"/>
    <xf numFmtId="0" fontId="41" fillId="44" borderId="1" xfId="0" applyFont="1" applyFill="1" applyBorder="1" applyAlignment="1">
      <alignment horizontal="center"/>
    </xf>
    <xf numFmtId="12" fontId="38" fillId="0" borderId="17" xfId="1" applyNumberFormat="1" applyFont="1" applyFill="1" applyBorder="1" applyAlignment="1">
      <alignment horizontal="right" vertical="center"/>
    </xf>
    <xf numFmtId="164" fontId="39" fillId="0" borderId="5" xfId="0" applyNumberFormat="1" applyFont="1" applyBorder="1" applyAlignment="1">
      <alignment horizontal="right" vertical="center" wrapText="1"/>
    </xf>
    <xf numFmtId="12" fontId="39" fillId="0" borderId="0" xfId="0" applyNumberFormat="1" applyFont="1" applyAlignment="1">
      <alignment horizontal="right" vertical="center" wrapText="1"/>
    </xf>
    <xf numFmtId="12" fontId="33" fillId="0" borderId="5" xfId="0" applyNumberFormat="1" applyFont="1" applyBorder="1" applyAlignment="1">
      <alignment horizontal="right" vertical="center" wrapText="1"/>
    </xf>
    <xf numFmtId="164" fontId="33" fillId="0" borderId="5" xfId="0" applyNumberFormat="1" applyFont="1" applyBorder="1" applyAlignment="1">
      <alignment horizontal="right" vertical="center" wrapText="1"/>
    </xf>
    <xf numFmtId="165" fontId="38" fillId="0" borderId="0" xfId="0" applyNumberFormat="1" applyFont="1" applyAlignment="1">
      <alignment horizontal="center" vertical="center" wrapText="1"/>
    </xf>
    <xf numFmtId="164" fontId="73" fillId="0" borderId="0" xfId="0" applyNumberFormat="1" applyFont="1" applyAlignment="1">
      <alignment horizontal="right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vertical="center"/>
    </xf>
    <xf numFmtId="164" fontId="33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48" fillId="4" borderId="1" xfId="57" applyFont="1" applyFill="1" applyBorder="1" applyAlignment="1">
      <alignment horizontal="center" vertical="center" wrapText="1"/>
    </xf>
    <xf numFmtId="0" fontId="36" fillId="0" borderId="3" xfId="66" applyFont="1" applyBorder="1" applyAlignment="1">
      <alignment horizontal="center" vertical="center"/>
    </xf>
    <xf numFmtId="0" fontId="5" fillId="5" borderId="0" xfId="0" applyFont="1" applyFill="1"/>
    <xf numFmtId="0" fontId="0" fillId="0" borderId="0" xfId="0" pivotButton="1"/>
    <xf numFmtId="167" fontId="0" fillId="0" borderId="1" xfId="1" applyNumberFormat="1" applyFont="1" applyBorder="1" applyAlignment="1">
      <alignment horizontal="center" vertical="center" wrapText="1"/>
    </xf>
    <xf numFmtId="12" fontId="36" fillId="0" borderId="1" xfId="0" applyNumberFormat="1" applyFont="1" applyBorder="1" applyAlignment="1">
      <alignment horizontal="center" vertical="center"/>
    </xf>
    <xf numFmtId="12" fontId="33" fillId="0" borderId="0" xfId="0" applyNumberFormat="1" applyFont="1" applyAlignment="1">
      <alignment horizontal="center"/>
    </xf>
    <xf numFmtId="0" fontId="33" fillId="5" borderId="0" xfId="0" applyFont="1" applyFill="1"/>
    <xf numFmtId="0" fontId="37" fillId="5" borderId="0" xfId="0" applyFont="1" applyFill="1"/>
    <xf numFmtId="0" fontId="33" fillId="50" borderId="0" xfId="0" applyFont="1" applyFill="1"/>
    <xf numFmtId="0" fontId="4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1" fillId="3" borderId="1" xfId="0" applyFont="1" applyFill="1" applyBorder="1" applyAlignment="1">
      <alignment horizontal="center"/>
    </xf>
    <xf numFmtId="0" fontId="5" fillId="52" borderId="1" xfId="0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75" fillId="0" borderId="1" xfId="0" applyFont="1" applyBorder="1" applyAlignment="1">
      <alignment horizontal="left"/>
    </xf>
    <xf numFmtId="0" fontId="33" fillId="0" borderId="1" xfId="1" applyNumberFormat="1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36" fillId="0" borderId="2" xfId="9" applyFont="1" applyBorder="1" applyAlignment="1">
      <alignment horizontal="center" vertical="center"/>
    </xf>
    <xf numFmtId="15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15" fontId="36" fillId="0" borderId="6" xfId="0" applyNumberFormat="1" applyFont="1" applyBorder="1" applyAlignment="1">
      <alignment horizontal="left"/>
    </xf>
    <xf numFmtId="14" fontId="36" fillId="0" borderId="1" xfId="0" applyNumberFormat="1" applyFont="1" applyBorder="1" applyAlignment="1">
      <alignment horizontal="center" vertical="center"/>
    </xf>
    <xf numFmtId="14" fontId="36" fillId="0" borderId="1" xfId="66" applyNumberFormat="1" applyFont="1" applyBorder="1" applyAlignment="1">
      <alignment horizontal="center" vertical="center"/>
    </xf>
    <xf numFmtId="15" fontId="33" fillId="0" borderId="1" xfId="0" applyNumberFormat="1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14" fontId="37" fillId="0" borderId="1" xfId="0" applyNumberFormat="1" applyFont="1" applyBorder="1" applyAlignment="1">
      <alignment horizontal="center" vertical="center"/>
    </xf>
    <xf numFmtId="15" fontId="37" fillId="0" borderId="1" xfId="0" applyNumberFormat="1" applyFont="1" applyBorder="1" applyAlignment="1">
      <alignment horizontal="center" vertical="center" wrapText="1"/>
    </xf>
    <xf numFmtId="15" fontId="33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/>
    <xf numFmtId="15" fontId="37" fillId="0" borderId="1" xfId="0" applyNumberFormat="1" applyFont="1" applyBorder="1" applyAlignment="1">
      <alignment horizontal="center"/>
    </xf>
    <xf numFmtId="15" fontId="36" fillId="0" borderId="1" xfId="0" applyNumberFormat="1" applyFont="1" applyBorder="1" applyAlignment="1">
      <alignment horizontal="center" vertical="center"/>
    </xf>
    <xf numFmtId="0" fontId="39" fillId="52" borderId="0" xfId="0" applyFont="1" applyFill="1" applyAlignment="1">
      <alignment horizontal="center" vertical="center"/>
    </xf>
    <xf numFmtId="0" fontId="50" fillId="52" borderId="1" xfId="0" applyFont="1" applyFill="1" applyBorder="1" applyAlignment="1">
      <alignment horizontal="center" vertical="center"/>
    </xf>
    <xf numFmtId="0" fontId="78" fillId="52" borderId="1" xfId="0" applyFont="1" applyFill="1" applyBorder="1" applyAlignment="1">
      <alignment horizontal="center" vertical="center"/>
    </xf>
    <xf numFmtId="0" fontId="39" fillId="52" borderId="1" xfId="0" applyFont="1" applyFill="1" applyBorder="1" applyAlignment="1">
      <alignment horizontal="center" vertical="center"/>
    </xf>
    <xf numFmtId="0" fontId="39" fillId="52" borderId="1" xfId="0" applyFont="1" applyFill="1" applyBorder="1" applyAlignment="1">
      <alignment horizontal="center" vertical="center" wrapText="1"/>
    </xf>
    <xf numFmtId="0" fontId="79" fillId="0" borderId="0" xfId="0" applyFont="1"/>
    <xf numFmtId="3" fontId="83" fillId="0" borderId="1" xfId="0" applyNumberFormat="1" applyFont="1" applyBorder="1" applyAlignment="1">
      <alignment horizontal="left" vertical="center"/>
    </xf>
    <xf numFmtId="169" fontId="83" fillId="0" borderId="1" xfId="0" applyNumberFormat="1" applyFont="1" applyBorder="1" applyAlignment="1">
      <alignment horizontal="right" vertical="center"/>
    </xf>
    <xf numFmtId="3" fontId="83" fillId="0" borderId="1" xfId="0" applyNumberFormat="1" applyFont="1" applyBorder="1" applyAlignment="1">
      <alignment horizontal="center" vertical="center" wrapText="1"/>
    </xf>
    <xf numFmtId="3" fontId="83" fillId="55" borderId="1" xfId="0" applyNumberFormat="1" applyFont="1" applyFill="1" applyBorder="1" applyAlignment="1">
      <alignment horizontal="center" vertical="center" wrapText="1"/>
    </xf>
    <xf numFmtId="169" fontId="83" fillId="55" borderId="1" xfId="0" applyNumberFormat="1" applyFont="1" applyFill="1" applyBorder="1" applyAlignment="1">
      <alignment horizontal="right" vertical="center"/>
    </xf>
    <xf numFmtId="3" fontId="83" fillId="56" borderId="1" xfId="0" applyNumberFormat="1" applyFont="1" applyFill="1" applyBorder="1" applyAlignment="1">
      <alignment horizontal="center" vertical="center" wrapText="1"/>
    </xf>
    <xf numFmtId="169" fontId="83" fillId="56" borderId="1" xfId="0" applyNumberFormat="1" applyFont="1" applyFill="1" applyBorder="1" applyAlignment="1">
      <alignment horizontal="right" vertical="center"/>
    </xf>
    <xf numFmtId="3" fontId="83" fillId="51" borderId="1" xfId="0" applyNumberFormat="1" applyFont="1" applyFill="1" applyBorder="1" applyAlignment="1">
      <alignment horizontal="center" vertical="center" wrapText="1"/>
    </xf>
    <xf numFmtId="169" fontId="83" fillId="51" borderId="1" xfId="0" applyNumberFormat="1" applyFont="1" applyFill="1" applyBorder="1" applyAlignment="1">
      <alignment horizontal="right" vertical="center"/>
    </xf>
    <xf numFmtId="3" fontId="83" fillId="48" borderId="1" xfId="0" applyNumberFormat="1" applyFont="1" applyFill="1" applyBorder="1" applyAlignment="1">
      <alignment horizontal="center" vertical="center" wrapText="1"/>
    </xf>
    <xf numFmtId="169" fontId="83" fillId="0" borderId="1" xfId="0" applyNumberFormat="1" applyFont="1" applyBorder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4" fontId="33" fillId="0" borderId="0" xfId="0" applyNumberFormat="1" applyFont="1" applyAlignment="1">
      <alignment horizontal="center" wrapText="1"/>
    </xf>
    <xf numFmtId="14" fontId="37" fillId="0" borderId="0" xfId="0" applyNumberFormat="1" applyFont="1" applyAlignment="1">
      <alignment horizontal="center" wrapText="1"/>
    </xf>
    <xf numFmtId="14" fontId="39" fillId="52" borderId="1" xfId="0" applyNumberFormat="1" applyFont="1" applyFill="1" applyBorder="1" applyAlignment="1">
      <alignment horizontal="center" vertical="center" wrapText="1"/>
    </xf>
    <xf numFmtId="14" fontId="41" fillId="4" borderId="1" xfId="0" applyNumberFormat="1" applyFont="1" applyFill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14" fontId="36" fillId="0" borderId="1" xfId="0" applyNumberFormat="1" applyFont="1" applyBorder="1" applyAlignment="1">
      <alignment horizontal="center" wrapText="1"/>
    </xf>
    <xf numFmtId="14" fontId="36" fillId="0" borderId="1" xfId="0" applyNumberFormat="1" applyFont="1" applyBorder="1" applyAlignment="1">
      <alignment horizontal="center" vertical="center" wrapText="1"/>
    </xf>
    <xf numFmtId="14" fontId="33" fillId="3" borderId="0" xfId="0" applyNumberFormat="1" applyFont="1" applyFill="1" applyAlignment="1">
      <alignment horizontal="center"/>
    </xf>
    <xf numFmtId="14" fontId="33" fillId="0" borderId="1" xfId="0" applyNumberFormat="1" applyFont="1" applyBorder="1" applyAlignment="1">
      <alignment horizontal="center" wrapText="1"/>
    </xf>
    <xf numFmtId="14" fontId="73" fillId="0" borderId="1" xfId="0" applyNumberFormat="1" applyFont="1" applyBorder="1" applyAlignment="1">
      <alignment horizontal="center" vertical="center" wrapText="1"/>
    </xf>
    <xf numFmtId="14" fontId="73" fillId="0" borderId="0" xfId="0" applyNumberFormat="1" applyFont="1" applyAlignment="1">
      <alignment horizontal="center" vertical="center" wrapText="1"/>
    </xf>
    <xf numFmtId="14" fontId="41" fillId="0" borderId="0" xfId="0" applyNumberFormat="1" applyFont="1" applyAlignment="1">
      <alignment horizontal="center"/>
    </xf>
    <xf numFmtId="14" fontId="35" fillId="8" borderId="1" xfId="0" applyNumberFormat="1" applyFont="1" applyFill="1" applyBorder="1" applyAlignment="1">
      <alignment horizontal="center" vertical="center" wrapText="1"/>
    </xf>
    <xf numFmtId="14" fontId="36" fillId="4" borderId="1" xfId="0" applyNumberFormat="1" applyFont="1" applyFill="1" applyBorder="1" applyAlignment="1">
      <alignment horizontal="center" wrapText="1"/>
    </xf>
    <xf numFmtId="14" fontId="36" fillId="4" borderId="1" xfId="66" applyNumberFormat="1" applyFont="1" applyFill="1" applyBorder="1" applyAlignment="1">
      <alignment horizontal="center" vertical="center" wrapText="1"/>
    </xf>
    <xf numFmtId="14" fontId="33" fillId="4" borderId="1" xfId="0" applyNumberFormat="1" applyFont="1" applyFill="1" applyBorder="1" applyAlignment="1">
      <alignment horizontal="center" wrapText="1"/>
    </xf>
    <xf numFmtId="14" fontId="37" fillId="4" borderId="1" xfId="0" applyNumberFormat="1" applyFont="1" applyFill="1" applyBorder="1" applyAlignment="1">
      <alignment horizontal="center" wrapText="1"/>
    </xf>
    <xf numFmtId="14" fontId="33" fillId="4" borderId="1" xfId="0" applyNumberFormat="1" applyFont="1" applyFill="1" applyBorder="1" applyAlignment="1">
      <alignment horizontal="center"/>
    </xf>
    <xf numFmtId="14" fontId="74" fillId="0" borderId="1" xfId="0" applyNumberFormat="1" applyFont="1" applyBorder="1" applyAlignment="1">
      <alignment horizontal="center" vertical="center" wrapText="1"/>
    </xf>
    <xf numFmtId="14" fontId="33" fillId="3" borderId="0" xfId="0" applyNumberFormat="1" applyFont="1" applyFill="1" applyAlignment="1">
      <alignment horizontal="center" wrapText="1"/>
    </xf>
    <xf numFmtId="0" fontId="5" fillId="57" borderId="6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/>
    </xf>
    <xf numFmtId="3" fontId="83" fillId="57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0" fontId="82" fillId="54" borderId="1" xfId="0" applyFont="1" applyFill="1" applyBorder="1" applyAlignment="1">
      <alignment horizontal="center" vertical="center" wrapText="1"/>
    </xf>
    <xf numFmtId="165" fontId="83" fillId="0" borderId="1" xfId="1" applyFont="1" applyBorder="1" applyAlignment="1">
      <alignment horizontal="right" vertical="center"/>
    </xf>
    <xf numFmtId="165" fontId="82" fillId="54" borderId="1" xfId="1" applyFont="1" applyFill="1" applyBorder="1" applyAlignment="1">
      <alignment horizontal="center" vertical="center" wrapText="1"/>
    </xf>
    <xf numFmtId="0" fontId="84" fillId="0" borderId="0" xfId="0" applyFont="1"/>
    <xf numFmtId="16" fontId="0" fillId="0" borderId="0" xfId="0" applyNumberFormat="1"/>
    <xf numFmtId="14" fontId="5" fillId="5" borderId="0" xfId="0" applyNumberFormat="1" applyFont="1" applyFill="1"/>
    <xf numFmtId="14" fontId="0" fillId="0" borderId="0" xfId="0" applyNumberFormat="1"/>
    <xf numFmtId="3" fontId="83" fillId="0" borderId="0" xfId="0" applyNumberFormat="1" applyFont="1" applyAlignment="1">
      <alignment horizontal="center" vertical="center" wrapText="1"/>
    </xf>
    <xf numFmtId="3" fontId="82" fillId="54" borderId="1" xfId="0" applyNumberFormat="1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/>
    </xf>
    <xf numFmtId="169" fontId="85" fillId="0" borderId="1" xfId="0" applyNumberFormat="1" applyFont="1" applyBorder="1" applyAlignment="1">
      <alignment horizontal="center"/>
    </xf>
    <xf numFmtId="170" fontId="83" fillId="0" borderId="1" xfId="0" applyNumberFormat="1" applyFont="1" applyBorder="1" applyAlignment="1">
      <alignment horizontal="right" vertical="center"/>
    </xf>
    <xf numFmtId="1" fontId="82" fillId="54" borderId="1" xfId="1" applyNumberFormat="1" applyFont="1" applyFill="1" applyBorder="1" applyAlignment="1">
      <alignment horizontal="center" vertical="center" wrapText="1"/>
    </xf>
    <xf numFmtId="3" fontId="13" fillId="58" borderId="0" xfId="0" applyNumberFormat="1" applyFont="1" applyFill="1" applyAlignment="1">
      <alignment horizontal="center"/>
    </xf>
    <xf numFmtId="0" fontId="13" fillId="58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3" fontId="36" fillId="0" borderId="1" xfId="0" applyNumberFormat="1" applyFont="1" applyBorder="1" applyAlignment="1">
      <alignment horizontal="center" wrapText="1"/>
    </xf>
    <xf numFmtId="14" fontId="33" fillId="0" borderId="1" xfId="0" applyNumberFormat="1" applyFont="1" applyBorder="1" applyAlignment="1">
      <alignment horizontal="center"/>
    </xf>
    <xf numFmtId="0" fontId="5" fillId="57" borderId="1" xfId="0" applyFont="1" applyFill="1" applyBorder="1" applyAlignment="1">
      <alignment horizontal="center" wrapText="1"/>
    </xf>
    <xf numFmtId="0" fontId="5" fillId="52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wrapText="1"/>
    </xf>
    <xf numFmtId="0" fontId="5" fillId="47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48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55" borderId="22" xfId="1" applyNumberFormat="1" applyFont="1" applyFill="1" applyBorder="1" applyAlignment="1">
      <alignment horizontal="center"/>
    </xf>
    <xf numFmtId="0" fontId="5" fillId="4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8" borderId="5" xfId="0" applyFont="1" applyFill="1" applyBorder="1" applyAlignment="1">
      <alignment horizontal="center" vertical="center" wrapText="1"/>
    </xf>
    <xf numFmtId="0" fontId="5" fillId="48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0" fillId="53" borderId="21" xfId="0" applyFont="1" applyFill="1" applyBorder="1" applyAlignment="1">
      <alignment horizontal="center" vertical="center" wrapText="1"/>
    </xf>
    <xf numFmtId="0" fontId="0" fillId="0" borderId="21" xfId="0" applyBorder="1"/>
    <xf numFmtId="169" fontId="81" fillId="53" borderId="21" xfId="0" applyNumberFormat="1" applyFont="1" applyFill="1" applyBorder="1" applyAlignment="1">
      <alignment horizontal="center" vertical="center" wrapText="1"/>
    </xf>
    <xf numFmtId="0" fontId="5" fillId="3" borderId="22" xfId="1" applyNumberFormat="1" applyFont="1" applyFill="1" applyBorder="1" applyAlignment="1">
      <alignment horizontal="center"/>
    </xf>
    <xf numFmtId="0" fontId="5" fillId="4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76" fillId="0" borderId="2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47" borderId="5" xfId="0" applyFont="1" applyFill="1" applyBorder="1" applyAlignment="1">
      <alignment horizontal="center" vertical="center" wrapText="1"/>
    </xf>
    <xf numFmtId="0" fontId="5" fillId="47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NumberFormat="1"/>
  </cellXfs>
  <cellStyles count="378">
    <cellStyle name="20% - Accent1" xfId="28" builtinId="30" customBuiltin="1"/>
    <cellStyle name="20% - Accent1 2" xfId="354" xr:uid="{E8F78E5F-DF27-42A0-A72B-39A58D2B2B58}"/>
    <cellStyle name="20% - Accent2" xfId="32" builtinId="34" customBuiltin="1"/>
    <cellStyle name="20% - Accent2 2" xfId="358" xr:uid="{81DBB0BC-9405-4BEC-95B6-9F3B9CC0AA84}"/>
    <cellStyle name="20% - Accent3" xfId="36" builtinId="38" customBuiltin="1"/>
    <cellStyle name="20% - Accent3 2" xfId="362" xr:uid="{C94CDB06-24C1-4CD6-9826-A3FD42716CC3}"/>
    <cellStyle name="20% - Accent4" xfId="40" builtinId="42" customBuiltin="1"/>
    <cellStyle name="20% - Accent4 2" xfId="366" xr:uid="{0A77CBF3-1FB7-432A-889A-D9489A593C87}"/>
    <cellStyle name="20% - Accent5" xfId="44" builtinId="46" customBuiltin="1"/>
    <cellStyle name="20% - Accent5 2" xfId="370" xr:uid="{EDFFA666-4A6B-4A8E-9900-1911FFC52F93}"/>
    <cellStyle name="20% - Accent6" xfId="48" builtinId="50" customBuiltin="1"/>
    <cellStyle name="20% - Accent6 2" xfId="374" xr:uid="{0B321FE9-DFF8-4E18-934C-3CBD8C18C968}"/>
    <cellStyle name="40% - Accent1" xfId="29" builtinId="31" customBuiltin="1"/>
    <cellStyle name="40% - Accent1 2" xfId="355" xr:uid="{B458B76C-E4E2-4E82-A399-09F96D1FF4DD}"/>
    <cellStyle name="40% - Accent2" xfId="33" builtinId="35" customBuiltin="1"/>
    <cellStyle name="40% - Accent2 2" xfId="359" xr:uid="{4E1CFA04-DBAE-4A26-8091-C2A782135CAC}"/>
    <cellStyle name="40% - Accent3" xfId="37" builtinId="39" customBuiltin="1"/>
    <cellStyle name="40% - Accent3 2" xfId="363" xr:uid="{3F840C99-803A-4791-A443-08885254C4AF}"/>
    <cellStyle name="40% - Accent4" xfId="41" builtinId="43" customBuiltin="1"/>
    <cellStyle name="40% - Accent4 2" xfId="367" xr:uid="{BF6CCD35-3B57-46E6-A6AE-816A1CFC4F9F}"/>
    <cellStyle name="40% - Accent5" xfId="45" builtinId="47" customBuiltin="1"/>
    <cellStyle name="40% - Accent5 2" xfId="371" xr:uid="{2C6C8CCB-D3D1-4D49-8CF3-5103B8605FC8}"/>
    <cellStyle name="40% - Accent6" xfId="49" builtinId="51" customBuiltin="1"/>
    <cellStyle name="40% - Accent6 2" xfId="375" xr:uid="{54E3BBD4-7D01-4FC5-9ADE-FFA1436D9773}"/>
    <cellStyle name="60% - Accent1" xfId="30" builtinId="32" customBuiltin="1"/>
    <cellStyle name="60% - Accent1 2" xfId="317" xr:uid="{00000000-0005-0000-0000-00000D000000}"/>
    <cellStyle name="60% - Accent1 3" xfId="356" xr:uid="{C2B10D07-EC51-44B4-9E59-2F293D7381A0}"/>
    <cellStyle name="60% - Accent2" xfId="34" builtinId="36" customBuiltin="1"/>
    <cellStyle name="60% - Accent2 2" xfId="318" xr:uid="{00000000-0005-0000-0000-00000F000000}"/>
    <cellStyle name="60% - Accent2 3" xfId="360" xr:uid="{F292B4F6-9004-4534-836E-B01ECE7C2A27}"/>
    <cellStyle name="60% - Accent3" xfId="38" builtinId="40" customBuiltin="1"/>
    <cellStyle name="60% - Accent3 2" xfId="319" xr:uid="{00000000-0005-0000-0000-000011000000}"/>
    <cellStyle name="60% - Accent3 3" xfId="364" xr:uid="{1F347613-6F5D-4DC9-BE14-3EAF0711CE38}"/>
    <cellStyle name="60% - Accent4" xfId="42" builtinId="44" customBuiltin="1"/>
    <cellStyle name="60% - Accent4 2" xfId="320" xr:uid="{00000000-0005-0000-0000-000013000000}"/>
    <cellStyle name="60% - Accent4 3" xfId="368" xr:uid="{20358287-BF1E-4C8C-84AA-9C5EE682EE2A}"/>
    <cellStyle name="60% - Accent5" xfId="46" builtinId="48" customBuiltin="1"/>
    <cellStyle name="60% - Accent5 2" xfId="321" xr:uid="{00000000-0005-0000-0000-000015000000}"/>
    <cellStyle name="60% - Accent5 3" xfId="372" xr:uid="{01445B15-6C5F-4042-8EFF-5C7005EB460A}"/>
    <cellStyle name="60% - Accent6" xfId="50" builtinId="52" customBuiltin="1"/>
    <cellStyle name="60% - Accent6 2" xfId="322" xr:uid="{00000000-0005-0000-0000-000017000000}"/>
    <cellStyle name="60% - Accent6 3" xfId="376" xr:uid="{C084283E-329F-4F8F-83A6-3F4844C0C1AE}"/>
    <cellStyle name="Accent1" xfId="27" builtinId="29" customBuiltin="1"/>
    <cellStyle name="Accent1 2" xfId="353" xr:uid="{31898773-6D2E-456C-B123-D8B99C9639EB}"/>
    <cellStyle name="Accent2" xfId="31" builtinId="33" customBuiltin="1"/>
    <cellStyle name="Accent2 2" xfId="357" xr:uid="{BCFB8955-CC87-4ACD-B6C8-F6C5825E4E32}"/>
    <cellStyle name="Accent3" xfId="35" builtinId="37" customBuiltin="1"/>
    <cellStyle name="Accent3 2" xfId="361" xr:uid="{7D9F669F-11C2-435B-A4F7-989E44E1D5D8}"/>
    <cellStyle name="Accent4" xfId="39" builtinId="41" customBuiltin="1"/>
    <cellStyle name="Accent4 2" xfId="365" xr:uid="{AA1B7593-1FF1-4F28-8D32-CEDCF58553B6}"/>
    <cellStyle name="Accent5" xfId="43" builtinId="45" customBuiltin="1"/>
    <cellStyle name="Accent5 2" xfId="369" xr:uid="{FE043FA7-9C7F-47D3-810F-AD6E6E8ACB42}"/>
    <cellStyle name="Accent6" xfId="47" builtinId="49" customBuiltin="1"/>
    <cellStyle name="Accent6 2" xfId="373" xr:uid="{F728A76C-C8E3-4425-8551-EE9C9FF167A9}"/>
    <cellStyle name="Bad" xfId="16" builtinId="27" customBuiltin="1"/>
    <cellStyle name="Bad 2" xfId="342" xr:uid="{2AE22D29-B591-4E81-B4B2-46C8466B0488}"/>
    <cellStyle name="Calculation" xfId="20" builtinId="22" customBuiltin="1"/>
    <cellStyle name="Calculation 2" xfId="346" xr:uid="{8AA7E362-D2A6-49E0-BB77-FB8C19B1239F}"/>
    <cellStyle name="Check Cell" xfId="22" builtinId="23" customBuiltin="1"/>
    <cellStyle name="Check Cell 2" xfId="348" xr:uid="{A0424FF1-F22F-4E6C-909C-EA6E5494BB1B}"/>
    <cellStyle name="Comma" xfId="1" builtinId="3"/>
    <cellStyle name="Comma [0]" xfId="2" builtinId="6"/>
    <cellStyle name="Comma [0] 2" xfId="65" xr:uid="{00000000-0005-0000-0000-000023000000}"/>
    <cellStyle name="Comma [0] 2 2" xfId="324" xr:uid="{00000000-0005-0000-0000-000024000000}"/>
    <cellStyle name="Comma [0] 3" xfId="328" xr:uid="{00000000-0005-0000-0000-000025000000}"/>
    <cellStyle name="Comma [0] 4" xfId="331" xr:uid="{00000000-0005-0000-0000-000026000000}"/>
    <cellStyle name="Comma [0] 5" xfId="332" xr:uid="{00000000-0005-0000-0000-000027000000}"/>
    <cellStyle name="Comma 2" xfId="4" xr:uid="{00000000-0005-0000-0000-000028000000}"/>
    <cellStyle name="Comma 3" xfId="64" xr:uid="{00000000-0005-0000-0000-000029000000}"/>
    <cellStyle name="Explanatory Text" xfId="25" builtinId="53" customBuiltin="1"/>
    <cellStyle name="Explanatory Text 2" xfId="351" xr:uid="{BC238560-F679-43DC-98F3-F2650031F6F3}"/>
    <cellStyle name="Good" xfId="15" builtinId="26" customBuiltin="1"/>
    <cellStyle name="Good 2" xfId="341" xr:uid="{B45F4AAC-800F-4CD0-B234-F67D9D481322}"/>
    <cellStyle name="Heading 1" xfId="11" builtinId="16" customBuiltin="1"/>
    <cellStyle name="Heading 1 2" xfId="337" xr:uid="{382F520F-B744-4FCF-86AC-DAB09083F7AE}"/>
    <cellStyle name="Heading 2" xfId="12" builtinId="17" customBuiltin="1"/>
    <cellStyle name="Heading 2 2" xfId="338" xr:uid="{B3A598A1-3D76-42FA-82CB-AB2650CAF581}"/>
    <cellStyle name="Heading 3" xfId="13" builtinId="18" customBuiltin="1"/>
    <cellStyle name="Heading 3 2" xfId="339" xr:uid="{864850B6-7461-4A75-B7A7-108E7D46C372}"/>
    <cellStyle name="Heading 4" xfId="14" builtinId="19" customBuiltin="1"/>
    <cellStyle name="Heading 4 2" xfId="340" xr:uid="{02ACCCCC-45F3-4F85-9EAB-9313D386C975}"/>
    <cellStyle name="Input" xfId="18" builtinId="20" customBuiltin="1"/>
    <cellStyle name="Input 2" xfId="344" xr:uid="{E28D1CD2-B8F2-4027-B976-186151490CE6}"/>
    <cellStyle name="Linked Cell" xfId="21" builtinId="24" customBuiltin="1"/>
    <cellStyle name="Linked Cell 2" xfId="347" xr:uid="{D7364769-CFE2-46FF-A9DB-AFA8727F5ABB}"/>
    <cellStyle name="Neutral" xfId="17" builtinId="28" customBuiltin="1"/>
    <cellStyle name="Neutral 2" xfId="316" xr:uid="{00000000-0005-0000-0000-000033000000}"/>
    <cellStyle name="Neutral 3" xfId="343" xr:uid="{C8456BA6-A1DC-417F-8F59-C74C0807FADD}"/>
    <cellStyle name="Normal" xfId="0" builtinId="0"/>
    <cellStyle name="Normal 10" xfId="91" xr:uid="{00000000-0005-0000-0000-000035000000}"/>
    <cellStyle name="Normal 100" xfId="9" xr:uid="{00000000-0005-0000-0000-000036000000}"/>
    <cellStyle name="Normal 101" xfId="174" xr:uid="{00000000-0005-0000-0000-000037000000}"/>
    <cellStyle name="Normal 102" xfId="175" xr:uid="{00000000-0005-0000-0000-000038000000}"/>
    <cellStyle name="Normal 103" xfId="176" xr:uid="{00000000-0005-0000-0000-000039000000}"/>
    <cellStyle name="Normal 104" xfId="177" xr:uid="{00000000-0005-0000-0000-00003A000000}"/>
    <cellStyle name="Normal 105" xfId="178" xr:uid="{00000000-0005-0000-0000-00003B000000}"/>
    <cellStyle name="Normal 106" xfId="179" xr:uid="{00000000-0005-0000-0000-00003C000000}"/>
    <cellStyle name="Normal 107" xfId="180" xr:uid="{00000000-0005-0000-0000-00003D000000}"/>
    <cellStyle name="Normal 108" xfId="181" xr:uid="{00000000-0005-0000-0000-00003E000000}"/>
    <cellStyle name="Normal 109" xfId="182" xr:uid="{00000000-0005-0000-0000-00003F000000}"/>
    <cellStyle name="Normal 11" xfId="92" xr:uid="{00000000-0005-0000-0000-000040000000}"/>
    <cellStyle name="Normal 110" xfId="184" xr:uid="{00000000-0005-0000-0000-000041000000}"/>
    <cellStyle name="Normal 111" xfId="183" xr:uid="{00000000-0005-0000-0000-000042000000}"/>
    <cellStyle name="Normal 112" xfId="185" xr:uid="{00000000-0005-0000-0000-000043000000}"/>
    <cellStyle name="Normal 113" xfId="186" xr:uid="{00000000-0005-0000-0000-000044000000}"/>
    <cellStyle name="Normal 114" xfId="188" xr:uid="{00000000-0005-0000-0000-000045000000}"/>
    <cellStyle name="Normal 115" xfId="187" xr:uid="{00000000-0005-0000-0000-000046000000}"/>
    <cellStyle name="Normal 116" xfId="189" xr:uid="{00000000-0005-0000-0000-000047000000}"/>
    <cellStyle name="Normal 117" xfId="190" xr:uid="{00000000-0005-0000-0000-000048000000}"/>
    <cellStyle name="Normal 118" xfId="191" xr:uid="{00000000-0005-0000-0000-000049000000}"/>
    <cellStyle name="Normal 119" xfId="192" xr:uid="{00000000-0005-0000-0000-00004A000000}"/>
    <cellStyle name="Normal 12" xfId="291" xr:uid="{00000000-0005-0000-0000-00004B000000}"/>
    <cellStyle name="Normal 120" xfId="193" xr:uid="{00000000-0005-0000-0000-00004C000000}"/>
    <cellStyle name="Normal 121" xfId="194" xr:uid="{00000000-0005-0000-0000-00004D000000}"/>
    <cellStyle name="Normal 122" xfId="195" xr:uid="{00000000-0005-0000-0000-00004E000000}"/>
    <cellStyle name="Normal 123" xfId="326" xr:uid="{00000000-0005-0000-0000-00004F000000}"/>
    <cellStyle name="Normal 124" xfId="196" xr:uid="{00000000-0005-0000-0000-000050000000}"/>
    <cellStyle name="Normal 125" xfId="197" xr:uid="{00000000-0005-0000-0000-000051000000}"/>
    <cellStyle name="Normal 126" xfId="198" xr:uid="{00000000-0005-0000-0000-000052000000}"/>
    <cellStyle name="Normal 127" xfId="199" xr:uid="{00000000-0005-0000-0000-000053000000}"/>
    <cellStyle name="Normal 128" xfId="200" xr:uid="{00000000-0005-0000-0000-000054000000}"/>
    <cellStyle name="Normal 129" xfId="201" xr:uid="{00000000-0005-0000-0000-000055000000}"/>
    <cellStyle name="Normal 13" xfId="94" xr:uid="{00000000-0005-0000-0000-000056000000}"/>
    <cellStyle name="Normal 130" xfId="202" xr:uid="{00000000-0005-0000-0000-000057000000}"/>
    <cellStyle name="Normal 131" xfId="203" xr:uid="{00000000-0005-0000-0000-000058000000}"/>
    <cellStyle name="Normal 132" xfId="204" xr:uid="{00000000-0005-0000-0000-000059000000}"/>
    <cellStyle name="Normal 133" xfId="205" xr:uid="{00000000-0005-0000-0000-00005A000000}"/>
    <cellStyle name="Normal 134" xfId="206" xr:uid="{00000000-0005-0000-0000-00005B000000}"/>
    <cellStyle name="Normal 135" xfId="207" xr:uid="{00000000-0005-0000-0000-00005C000000}"/>
    <cellStyle name="Normal 136" xfId="208" xr:uid="{00000000-0005-0000-0000-00005D000000}"/>
    <cellStyle name="Normal 137" xfId="209" xr:uid="{00000000-0005-0000-0000-00005E000000}"/>
    <cellStyle name="Normal 138" xfId="210" xr:uid="{00000000-0005-0000-0000-00005F000000}"/>
    <cellStyle name="Normal 139" xfId="211" xr:uid="{00000000-0005-0000-0000-000060000000}"/>
    <cellStyle name="Normal 14" xfId="95" xr:uid="{00000000-0005-0000-0000-000061000000}"/>
    <cellStyle name="Normal 140" xfId="212" xr:uid="{00000000-0005-0000-0000-000062000000}"/>
    <cellStyle name="Normal 141" xfId="213" xr:uid="{00000000-0005-0000-0000-000063000000}"/>
    <cellStyle name="Normal 142" xfId="335" xr:uid="{84D853F3-2B15-4307-800E-4766318D5AD8}"/>
    <cellStyle name="Normal 143" xfId="214" xr:uid="{00000000-0005-0000-0000-000064000000}"/>
    <cellStyle name="Normal 144" xfId="215" xr:uid="{00000000-0005-0000-0000-000065000000}"/>
    <cellStyle name="Normal 145" xfId="216" xr:uid="{00000000-0005-0000-0000-000066000000}"/>
    <cellStyle name="Normal 146" xfId="217" xr:uid="{00000000-0005-0000-0000-000067000000}"/>
    <cellStyle name="Normal 147" xfId="218" xr:uid="{00000000-0005-0000-0000-000068000000}"/>
    <cellStyle name="Normal 148" xfId="219" xr:uid="{00000000-0005-0000-0000-000069000000}"/>
    <cellStyle name="Normal 149" xfId="220" xr:uid="{00000000-0005-0000-0000-00006A000000}"/>
    <cellStyle name="Normal 15" xfId="96" xr:uid="{00000000-0005-0000-0000-00006B000000}"/>
    <cellStyle name="Normal 150" xfId="221" xr:uid="{00000000-0005-0000-0000-00006C000000}"/>
    <cellStyle name="Normal 151" xfId="222" xr:uid="{00000000-0005-0000-0000-00006D000000}"/>
    <cellStyle name="Normal 152" xfId="223" xr:uid="{00000000-0005-0000-0000-00006E000000}"/>
    <cellStyle name="Normal 153" xfId="224" xr:uid="{00000000-0005-0000-0000-00006F000000}"/>
    <cellStyle name="Normal 154" xfId="225" xr:uid="{00000000-0005-0000-0000-000070000000}"/>
    <cellStyle name="Normal 155" xfId="226" xr:uid="{00000000-0005-0000-0000-000071000000}"/>
    <cellStyle name="Normal 156" xfId="227" xr:uid="{00000000-0005-0000-0000-000072000000}"/>
    <cellStyle name="Normal 157" xfId="228" xr:uid="{00000000-0005-0000-0000-000073000000}"/>
    <cellStyle name="Normal 158" xfId="229" xr:uid="{00000000-0005-0000-0000-000074000000}"/>
    <cellStyle name="Normal 159" xfId="230" xr:uid="{00000000-0005-0000-0000-000075000000}"/>
    <cellStyle name="Normal 16" xfId="97" xr:uid="{00000000-0005-0000-0000-000076000000}"/>
    <cellStyle name="Normal 160" xfId="231" xr:uid="{00000000-0005-0000-0000-000077000000}"/>
    <cellStyle name="Normal 161" xfId="232" xr:uid="{00000000-0005-0000-0000-000078000000}"/>
    <cellStyle name="Normal 162" xfId="233" xr:uid="{00000000-0005-0000-0000-000079000000}"/>
    <cellStyle name="Normal 163" xfId="234" xr:uid="{00000000-0005-0000-0000-00007A000000}"/>
    <cellStyle name="Normal 164" xfId="235" xr:uid="{00000000-0005-0000-0000-00007B000000}"/>
    <cellStyle name="Normal 165" xfId="236" xr:uid="{00000000-0005-0000-0000-00007C000000}"/>
    <cellStyle name="Normal 166" xfId="237" xr:uid="{00000000-0005-0000-0000-00007D000000}"/>
    <cellStyle name="Normal 167" xfId="238" xr:uid="{00000000-0005-0000-0000-00007E000000}"/>
    <cellStyle name="Normal 168" xfId="239" xr:uid="{00000000-0005-0000-0000-00007F000000}"/>
    <cellStyle name="Normal 169" xfId="240" xr:uid="{00000000-0005-0000-0000-000080000000}"/>
    <cellStyle name="Normal 17" xfId="98" xr:uid="{00000000-0005-0000-0000-000081000000}"/>
    <cellStyle name="Normal 170" xfId="241" xr:uid="{00000000-0005-0000-0000-000082000000}"/>
    <cellStyle name="Normal 171" xfId="242" xr:uid="{00000000-0005-0000-0000-000083000000}"/>
    <cellStyle name="Normal 172" xfId="243" xr:uid="{00000000-0005-0000-0000-000084000000}"/>
    <cellStyle name="Normal 173" xfId="244" xr:uid="{00000000-0005-0000-0000-000085000000}"/>
    <cellStyle name="Normal 174" xfId="245" xr:uid="{00000000-0005-0000-0000-000086000000}"/>
    <cellStyle name="Normal 175" xfId="246" xr:uid="{00000000-0005-0000-0000-000087000000}"/>
    <cellStyle name="Normal 176" xfId="247" xr:uid="{00000000-0005-0000-0000-000088000000}"/>
    <cellStyle name="Normal 177" xfId="248" xr:uid="{00000000-0005-0000-0000-000089000000}"/>
    <cellStyle name="Normal 178" xfId="249" xr:uid="{00000000-0005-0000-0000-00008A000000}"/>
    <cellStyle name="Normal 179" xfId="250" xr:uid="{00000000-0005-0000-0000-00008B000000}"/>
    <cellStyle name="Normal 18" xfId="99" xr:uid="{00000000-0005-0000-0000-00008C000000}"/>
    <cellStyle name="Normal 180" xfId="377" xr:uid="{C47C8C39-5702-46C8-B8E2-514896B9563A}"/>
    <cellStyle name="Normal 181" xfId="251" xr:uid="{00000000-0005-0000-0000-00008D000000}"/>
    <cellStyle name="Normal 182" xfId="252" xr:uid="{00000000-0005-0000-0000-00008E000000}"/>
    <cellStyle name="Normal 183" xfId="253" xr:uid="{00000000-0005-0000-0000-00008F000000}"/>
    <cellStyle name="Normal 184" xfId="254" xr:uid="{00000000-0005-0000-0000-000090000000}"/>
    <cellStyle name="Normal 185" xfId="255" xr:uid="{00000000-0005-0000-0000-000091000000}"/>
    <cellStyle name="Normal 186" xfId="256" xr:uid="{00000000-0005-0000-0000-000092000000}"/>
    <cellStyle name="Normal 187" xfId="257" xr:uid="{00000000-0005-0000-0000-000093000000}"/>
    <cellStyle name="Normal 188" xfId="258" xr:uid="{00000000-0005-0000-0000-000094000000}"/>
    <cellStyle name="Normal 189" xfId="259" xr:uid="{00000000-0005-0000-0000-000095000000}"/>
    <cellStyle name="Normal 19" xfId="292" xr:uid="{00000000-0005-0000-0000-000096000000}"/>
    <cellStyle name="Normal 190" xfId="260" xr:uid="{00000000-0005-0000-0000-000097000000}"/>
    <cellStyle name="Normal 191" xfId="261" xr:uid="{00000000-0005-0000-0000-000098000000}"/>
    <cellStyle name="Normal 192" xfId="262" xr:uid="{00000000-0005-0000-0000-000099000000}"/>
    <cellStyle name="Normal 193" xfId="263" xr:uid="{00000000-0005-0000-0000-00009A000000}"/>
    <cellStyle name="Normal 194" xfId="264" xr:uid="{00000000-0005-0000-0000-00009B000000}"/>
    <cellStyle name="Normal 195" xfId="265" xr:uid="{00000000-0005-0000-0000-00009C000000}"/>
    <cellStyle name="Normal 196" xfId="266" xr:uid="{00000000-0005-0000-0000-00009D000000}"/>
    <cellStyle name="Normal 197" xfId="267" xr:uid="{00000000-0005-0000-0000-00009E000000}"/>
    <cellStyle name="Normal 198" xfId="268" xr:uid="{00000000-0005-0000-0000-00009F000000}"/>
    <cellStyle name="Normal 199" xfId="269" xr:uid="{00000000-0005-0000-0000-0000A0000000}"/>
    <cellStyle name="Normal 2" xfId="3" xr:uid="{00000000-0005-0000-0000-0000A1000000}"/>
    <cellStyle name="Normal 2 10" xfId="61" xr:uid="{00000000-0005-0000-0000-0000A2000000}"/>
    <cellStyle name="Normal 2 11 5" xfId="72" xr:uid="{00000000-0005-0000-0000-0000A3000000}"/>
    <cellStyle name="Normal 2 2" xfId="66" xr:uid="{00000000-0005-0000-0000-0000A4000000}"/>
    <cellStyle name="Normal 2 3" xfId="54" xr:uid="{00000000-0005-0000-0000-0000A5000000}"/>
    <cellStyle name="Normal 20" xfId="100" xr:uid="{00000000-0005-0000-0000-0000A6000000}"/>
    <cellStyle name="Normal 200" xfId="270" xr:uid="{00000000-0005-0000-0000-0000A7000000}"/>
    <cellStyle name="Normal 201" xfId="271" xr:uid="{00000000-0005-0000-0000-0000A8000000}"/>
    <cellStyle name="Normal 202" xfId="272" xr:uid="{00000000-0005-0000-0000-0000A9000000}"/>
    <cellStyle name="Normal 203" xfId="273" xr:uid="{00000000-0005-0000-0000-0000AA000000}"/>
    <cellStyle name="Normal 204" xfId="274" xr:uid="{00000000-0005-0000-0000-0000AB000000}"/>
    <cellStyle name="Normal 205" xfId="275" xr:uid="{00000000-0005-0000-0000-0000AC000000}"/>
    <cellStyle name="Normal 206" xfId="276" xr:uid="{00000000-0005-0000-0000-0000AD000000}"/>
    <cellStyle name="Normal 207" xfId="277" xr:uid="{00000000-0005-0000-0000-0000AE000000}"/>
    <cellStyle name="Normal 208" xfId="278" xr:uid="{00000000-0005-0000-0000-0000AF000000}"/>
    <cellStyle name="Normal 209" xfId="279" xr:uid="{00000000-0005-0000-0000-0000B0000000}"/>
    <cellStyle name="Normal 21" xfId="101" xr:uid="{00000000-0005-0000-0000-0000B1000000}"/>
    <cellStyle name="Normal 210" xfId="280" xr:uid="{00000000-0005-0000-0000-0000B2000000}"/>
    <cellStyle name="Normal 211" xfId="281" xr:uid="{00000000-0005-0000-0000-0000B3000000}"/>
    <cellStyle name="Normal 212" xfId="282" xr:uid="{00000000-0005-0000-0000-0000B4000000}"/>
    <cellStyle name="Normal 213" xfId="283" xr:uid="{00000000-0005-0000-0000-0000B5000000}"/>
    <cellStyle name="Normal 214" xfId="284" xr:uid="{00000000-0005-0000-0000-0000B6000000}"/>
    <cellStyle name="Normal 215" xfId="285" xr:uid="{00000000-0005-0000-0000-0000B7000000}"/>
    <cellStyle name="Normal 216" xfId="286" xr:uid="{00000000-0005-0000-0000-0000B8000000}"/>
    <cellStyle name="Normal 217" xfId="287" xr:uid="{00000000-0005-0000-0000-0000B9000000}"/>
    <cellStyle name="Normal 218" xfId="288" xr:uid="{00000000-0005-0000-0000-0000BA000000}"/>
    <cellStyle name="Normal 219" xfId="289" xr:uid="{00000000-0005-0000-0000-0000BB000000}"/>
    <cellStyle name="Normal 22" xfId="102" xr:uid="{00000000-0005-0000-0000-0000BC000000}"/>
    <cellStyle name="Normal 220" xfId="290" xr:uid="{00000000-0005-0000-0000-0000BD000000}"/>
    <cellStyle name="Normal 23" xfId="103" xr:uid="{00000000-0005-0000-0000-0000BE000000}"/>
    <cellStyle name="Normal 24" xfId="104" xr:uid="{00000000-0005-0000-0000-0000BF000000}"/>
    <cellStyle name="Normal 25" xfId="105" xr:uid="{00000000-0005-0000-0000-0000C0000000}"/>
    <cellStyle name="Normal 26" xfId="106" xr:uid="{00000000-0005-0000-0000-0000C1000000}"/>
    <cellStyle name="Normal 26 2" xfId="334" xr:uid="{2FA0CC8A-6121-4CE5-93E2-41C61BD87FA2}"/>
    <cellStyle name="Normal 27" xfId="107" xr:uid="{00000000-0005-0000-0000-0000C2000000}"/>
    <cellStyle name="Normal 28" xfId="108" xr:uid="{00000000-0005-0000-0000-0000C3000000}"/>
    <cellStyle name="Normal 29" xfId="109" xr:uid="{00000000-0005-0000-0000-0000C4000000}"/>
    <cellStyle name="Normal 3" xfId="51" xr:uid="{00000000-0005-0000-0000-0000C5000000}"/>
    <cellStyle name="Normal 3 2" xfId="57" xr:uid="{00000000-0005-0000-0000-0000C6000000}"/>
    <cellStyle name="Normal 3 2 10" xfId="6" xr:uid="{00000000-0005-0000-0000-0000C7000000}"/>
    <cellStyle name="Normal 3 4" xfId="53" xr:uid="{00000000-0005-0000-0000-0000C8000000}"/>
    <cellStyle name="Normal 3 4 2" xfId="63" xr:uid="{00000000-0005-0000-0000-0000C9000000}"/>
    <cellStyle name="Normal 3 4 2 2 4" xfId="55" xr:uid="{00000000-0005-0000-0000-0000CA000000}"/>
    <cellStyle name="Normal 3 4 3" xfId="68" xr:uid="{00000000-0005-0000-0000-0000CB000000}"/>
    <cellStyle name="Normal 3 4 3 2" xfId="70" xr:uid="{00000000-0005-0000-0000-0000CC000000}"/>
    <cellStyle name="Normal 3 4 3 3" xfId="73" xr:uid="{00000000-0005-0000-0000-0000CD000000}"/>
    <cellStyle name="Normal 3 4 3 3 2" xfId="75" xr:uid="{00000000-0005-0000-0000-0000CE000000}"/>
    <cellStyle name="Normal 3 4 3 3 2 2" xfId="78" xr:uid="{00000000-0005-0000-0000-0000CF000000}"/>
    <cellStyle name="Normal 3 4 3 3 2 3" xfId="85" xr:uid="{00000000-0005-0000-0000-0000D0000000}"/>
    <cellStyle name="Normal 3 4 3 3 2 4" xfId="299" xr:uid="{00000000-0005-0000-0000-0000D1000000}"/>
    <cellStyle name="Normal 3 4 3 3 2 5" xfId="302" xr:uid="{00000000-0005-0000-0000-0000D2000000}"/>
    <cellStyle name="Normal 3 4 3 3 2 6" xfId="303" xr:uid="{00000000-0005-0000-0000-0000D3000000}"/>
    <cellStyle name="Normal 3_EXPECTED AT HUB 02-Dec-15 2" xfId="62" xr:uid="{00000000-0005-0000-0000-0000D4000000}"/>
    <cellStyle name="Normal 30" xfId="110" xr:uid="{00000000-0005-0000-0000-0000D5000000}"/>
    <cellStyle name="Normal 31" xfId="111" xr:uid="{00000000-0005-0000-0000-0000D6000000}"/>
    <cellStyle name="Normal 32" xfId="112" xr:uid="{00000000-0005-0000-0000-0000D7000000}"/>
    <cellStyle name="Normal 323" xfId="295" xr:uid="{00000000-0005-0000-0000-0000D8000000}"/>
    <cellStyle name="Normal 324" xfId="296" xr:uid="{00000000-0005-0000-0000-0000D9000000}"/>
    <cellStyle name="Normal 325" xfId="297" xr:uid="{00000000-0005-0000-0000-0000DA000000}"/>
    <cellStyle name="Normal 326" xfId="298" xr:uid="{00000000-0005-0000-0000-0000DB000000}"/>
    <cellStyle name="Normal 33" xfId="113" xr:uid="{00000000-0005-0000-0000-0000DC000000}"/>
    <cellStyle name="Normal 34" xfId="293" xr:uid="{00000000-0005-0000-0000-0000DD000000}"/>
    <cellStyle name="Normal 35" xfId="114" xr:uid="{00000000-0005-0000-0000-0000DE000000}"/>
    <cellStyle name="Normal 36" xfId="115" xr:uid="{00000000-0005-0000-0000-0000DF000000}"/>
    <cellStyle name="Normal 37" xfId="116" xr:uid="{00000000-0005-0000-0000-0000E0000000}"/>
    <cellStyle name="Normal 38" xfId="117" xr:uid="{00000000-0005-0000-0000-0000E1000000}"/>
    <cellStyle name="Normal 39" xfId="294" xr:uid="{00000000-0005-0000-0000-0000E2000000}"/>
    <cellStyle name="Normal 4" xfId="59" xr:uid="{00000000-0005-0000-0000-0000E3000000}"/>
    <cellStyle name="Normal 4 2" xfId="77" xr:uid="{00000000-0005-0000-0000-0000E4000000}"/>
    <cellStyle name="Normal 4 2 2" xfId="84" xr:uid="{00000000-0005-0000-0000-0000E5000000}"/>
    <cellStyle name="Normal 4 2 2 2" xfId="301" xr:uid="{00000000-0005-0000-0000-0000E6000000}"/>
    <cellStyle name="Normal 4 2 2 2 2" xfId="304" xr:uid="{00000000-0005-0000-0000-0000E7000000}"/>
    <cellStyle name="Normal 4 2 2 2 2 2" xfId="305" xr:uid="{00000000-0005-0000-0000-0000E8000000}"/>
    <cellStyle name="Normal 4 2 2 2 2 2 2" xfId="306" xr:uid="{00000000-0005-0000-0000-0000E9000000}"/>
    <cellStyle name="Normal 4 2 2 2 2 2 2 2" xfId="307" xr:uid="{00000000-0005-0000-0000-0000EA000000}"/>
    <cellStyle name="Normal 4 2 2 2 2 2 2 2 2" xfId="309" xr:uid="{00000000-0005-0000-0000-0000EB000000}"/>
    <cellStyle name="Normal 4 2 2 2 2 2 2 2 2 2" xfId="311" xr:uid="{00000000-0005-0000-0000-0000EC000000}"/>
    <cellStyle name="Normal 4 2 2 2 2 2 2 2 2 3" xfId="312" xr:uid="{00000000-0005-0000-0000-0000ED000000}"/>
    <cellStyle name="Normal 4 2 2 2 2 2 2 2 2 4" xfId="313" xr:uid="{00000000-0005-0000-0000-0000EE000000}"/>
    <cellStyle name="Normal 4 2 2 2 2 2 2 2 2 5" xfId="314" xr:uid="{00000000-0005-0000-0000-0000EF000000}"/>
    <cellStyle name="Normal 4 2 2 2 2 2 2 2 2 5 2" xfId="315" xr:uid="{00000000-0005-0000-0000-0000F0000000}"/>
    <cellStyle name="Normal 4 2 2 2 2 2 2 2 2 5 2 2" xfId="327" xr:uid="{00000000-0005-0000-0000-0000F1000000}"/>
    <cellStyle name="Normal 4 2 2 2 2 2 2 2 2 5 2 2 2" xfId="329" xr:uid="{00000000-0005-0000-0000-0000F2000000}"/>
    <cellStyle name="Normal 4 2 2 2 2 2 2 2 2 5 2 2 2 3 3" xfId="333" xr:uid="{0248D00D-F13D-4599-803E-4FC2EFBDF12B}"/>
    <cellStyle name="Normal 4 2 3" xfId="300" xr:uid="{00000000-0005-0000-0000-0000F3000000}"/>
    <cellStyle name="Normal 40" xfId="118" xr:uid="{00000000-0005-0000-0000-0000F4000000}"/>
    <cellStyle name="Normal 41" xfId="119" xr:uid="{00000000-0005-0000-0000-0000F5000000}"/>
    <cellStyle name="Normal 42" xfId="120" xr:uid="{00000000-0005-0000-0000-0000F6000000}"/>
    <cellStyle name="Normal 43" xfId="121" xr:uid="{00000000-0005-0000-0000-0000F7000000}"/>
    <cellStyle name="Normal 44" xfId="122" xr:uid="{00000000-0005-0000-0000-0000F8000000}"/>
    <cellStyle name="Normal 45" xfId="123" xr:uid="{00000000-0005-0000-0000-0000F9000000}"/>
    <cellStyle name="Normal 46" xfId="124" xr:uid="{00000000-0005-0000-0000-0000FA000000}"/>
    <cellStyle name="Normal 47" xfId="125" xr:uid="{00000000-0005-0000-0000-0000FB000000}"/>
    <cellStyle name="Normal 48" xfId="126" xr:uid="{00000000-0005-0000-0000-0000FC000000}"/>
    <cellStyle name="Normal 49" xfId="127" xr:uid="{00000000-0005-0000-0000-0000FD000000}"/>
    <cellStyle name="Normal 5" xfId="87" xr:uid="{00000000-0005-0000-0000-0000FE000000}"/>
    <cellStyle name="Normal 5 2" xfId="308" xr:uid="{00000000-0005-0000-0000-0000FF000000}"/>
    <cellStyle name="Normal 5 2 2" xfId="310" xr:uid="{00000000-0005-0000-0000-000000010000}"/>
    <cellStyle name="Normal 5 2 3" xfId="330" xr:uid="{00000000-0005-0000-0000-000001010000}"/>
    <cellStyle name="Normal 50" xfId="128" xr:uid="{00000000-0005-0000-0000-000002010000}"/>
    <cellStyle name="Normal 51" xfId="129" xr:uid="{00000000-0005-0000-0000-000003010000}"/>
    <cellStyle name="Normal 52" xfId="130" xr:uid="{00000000-0005-0000-0000-000004010000}"/>
    <cellStyle name="Normal 53" xfId="131" xr:uid="{00000000-0005-0000-0000-000005010000}"/>
    <cellStyle name="Normal 54" xfId="52" xr:uid="{00000000-0005-0000-0000-000006010000}"/>
    <cellStyle name="Normal 55" xfId="132" xr:uid="{00000000-0005-0000-0000-000007010000}"/>
    <cellStyle name="Normal 56" xfId="323" xr:uid="{00000000-0005-0000-0000-000008010000}"/>
    <cellStyle name="Normal 57" xfId="133" xr:uid="{00000000-0005-0000-0000-000009010000}"/>
    <cellStyle name="Normal 58" xfId="134" xr:uid="{00000000-0005-0000-0000-00000A010000}"/>
    <cellStyle name="Normal 59" xfId="135" xr:uid="{00000000-0005-0000-0000-00000B010000}"/>
    <cellStyle name="Normal 6" xfId="88" xr:uid="{00000000-0005-0000-0000-00000C010000}"/>
    <cellStyle name="Normal 6 2 2 2 2" xfId="5" xr:uid="{00000000-0005-0000-0000-00000D010000}"/>
    <cellStyle name="Normal 6 2 2 2 2 2" xfId="58" xr:uid="{00000000-0005-0000-0000-00000E010000}"/>
    <cellStyle name="Normal 6 2 2 2 2 7" xfId="60" xr:uid="{00000000-0005-0000-0000-00000F010000}"/>
    <cellStyle name="Normal 6_Stow Plan as at 1 Dec" xfId="67" xr:uid="{00000000-0005-0000-0000-000010010000}"/>
    <cellStyle name="Normal 60" xfId="136" xr:uid="{00000000-0005-0000-0000-000011010000}"/>
    <cellStyle name="Normal 61" xfId="137" xr:uid="{00000000-0005-0000-0000-000012010000}"/>
    <cellStyle name="Normal 62" xfId="138" xr:uid="{00000000-0005-0000-0000-000013010000}"/>
    <cellStyle name="Normal 63" xfId="140" xr:uid="{00000000-0005-0000-0000-000014010000}"/>
    <cellStyle name="Normal 64" xfId="139" xr:uid="{00000000-0005-0000-0000-000015010000}"/>
    <cellStyle name="Normal 65" xfId="325" xr:uid="{00000000-0005-0000-0000-000016010000}"/>
    <cellStyle name="Normal 66" xfId="56" xr:uid="{00000000-0005-0000-0000-000017010000}"/>
    <cellStyle name="Normal 66 2" xfId="69" xr:uid="{00000000-0005-0000-0000-000018010000}"/>
    <cellStyle name="Normal 66 2 2" xfId="71" xr:uid="{00000000-0005-0000-0000-000019010000}"/>
    <cellStyle name="Normal 66 2 3" xfId="74" xr:uid="{00000000-0005-0000-0000-00001A010000}"/>
    <cellStyle name="Normal 66 2 3 2" xfId="76" xr:uid="{00000000-0005-0000-0000-00001B010000}"/>
    <cellStyle name="Normal 66 2 3 2 2" xfId="79" xr:uid="{00000000-0005-0000-0000-00001C010000}"/>
    <cellStyle name="Normal 66 2 3 2 3" xfId="86" xr:uid="{00000000-0005-0000-0000-00001D010000}"/>
    <cellStyle name="Normal 67" xfId="141" xr:uid="{00000000-0005-0000-0000-00001E010000}"/>
    <cellStyle name="Normal 68" xfId="142" xr:uid="{00000000-0005-0000-0000-00001F010000}"/>
    <cellStyle name="Normal 69" xfId="144" xr:uid="{00000000-0005-0000-0000-000020010000}"/>
    <cellStyle name="Normal 7" xfId="93" xr:uid="{00000000-0005-0000-0000-000021010000}"/>
    <cellStyle name="Normal 70" xfId="143" xr:uid="{00000000-0005-0000-0000-000022010000}"/>
    <cellStyle name="Normal 71" xfId="145" xr:uid="{00000000-0005-0000-0000-000023010000}"/>
    <cellStyle name="Normal 72" xfId="146" xr:uid="{00000000-0005-0000-0000-000024010000}"/>
    <cellStyle name="Normal 73" xfId="148" xr:uid="{00000000-0005-0000-0000-000025010000}"/>
    <cellStyle name="Normal 74" xfId="147" xr:uid="{00000000-0005-0000-0000-000026010000}"/>
    <cellStyle name="Normal 75" xfId="149" xr:uid="{00000000-0005-0000-0000-000027010000}"/>
    <cellStyle name="Normal 76" xfId="150" xr:uid="{00000000-0005-0000-0000-000028010000}"/>
    <cellStyle name="Normal 77" xfId="152" xr:uid="{00000000-0005-0000-0000-000029010000}"/>
    <cellStyle name="Normal 78" xfId="151" xr:uid="{00000000-0005-0000-0000-00002A010000}"/>
    <cellStyle name="Normal 79" xfId="153" xr:uid="{00000000-0005-0000-0000-00002B010000}"/>
    <cellStyle name="Normal 8" xfId="89" xr:uid="{00000000-0005-0000-0000-00002C010000}"/>
    <cellStyle name="Normal 80" xfId="154" xr:uid="{00000000-0005-0000-0000-00002D010000}"/>
    <cellStyle name="Normal 81" xfId="155" xr:uid="{00000000-0005-0000-0000-00002E010000}"/>
    <cellStyle name="Normal 82" xfId="156" xr:uid="{00000000-0005-0000-0000-00002F010000}"/>
    <cellStyle name="Normal 83" xfId="157" xr:uid="{00000000-0005-0000-0000-000030010000}"/>
    <cellStyle name="Normal 84" xfId="159" xr:uid="{00000000-0005-0000-0000-000031010000}"/>
    <cellStyle name="Normal 85" xfId="158" xr:uid="{00000000-0005-0000-0000-000032010000}"/>
    <cellStyle name="Normal 86" xfId="160" xr:uid="{00000000-0005-0000-0000-000033010000}"/>
    <cellStyle name="Normal 87" xfId="161" xr:uid="{00000000-0005-0000-0000-000034010000}"/>
    <cellStyle name="Normal 88" xfId="162" xr:uid="{00000000-0005-0000-0000-000035010000}"/>
    <cellStyle name="Normal 89" xfId="163" xr:uid="{00000000-0005-0000-0000-000036010000}"/>
    <cellStyle name="Normal 9" xfId="90" xr:uid="{00000000-0005-0000-0000-000037010000}"/>
    <cellStyle name="Normal 90" xfId="164" xr:uid="{00000000-0005-0000-0000-000038010000}"/>
    <cellStyle name="Normal 91" xfId="165" xr:uid="{00000000-0005-0000-0000-000039010000}"/>
    <cellStyle name="Normal 92" xfId="169" xr:uid="{00000000-0005-0000-0000-00003A010000}"/>
    <cellStyle name="Normal 93" xfId="166" xr:uid="{00000000-0005-0000-0000-00003B010000}"/>
    <cellStyle name="Normal 94" xfId="168" xr:uid="{00000000-0005-0000-0000-00003C010000}"/>
    <cellStyle name="Normal 95" xfId="167" xr:uid="{00000000-0005-0000-0000-00003D010000}"/>
    <cellStyle name="Normal 96" xfId="170" xr:uid="{00000000-0005-0000-0000-00003E010000}"/>
    <cellStyle name="Normal 97" xfId="171" xr:uid="{00000000-0005-0000-0000-00003F010000}"/>
    <cellStyle name="Normal 98" xfId="172" xr:uid="{00000000-0005-0000-0000-000040010000}"/>
    <cellStyle name="Normal 99" xfId="173" xr:uid="{00000000-0005-0000-0000-000041010000}"/>
    <cellStyle name="Note" xfId="24" builtinId="10" customBuiltin="1"/>
    <cellStyle name="Note 2" xfId="350" xr:uid="{D9DF4CFF-E03B-41E5-B787-54B66E5D3AEA}"/>
    <cellStyle name="Output" xfId="19" builtinId="21" customBuiltin="1"/>
    <cellStyle name="Output 2" xfId="345" xr:uid="{339871DA-90FE-4F64-8302-BC94E48227B1}"/>
    <cellStyle name="S10" xfId="7" xr:uid="{00000000-0005-0000-0000-000044010000}"/>
    <cellStyle name="S11" xfId="83" xr:uid="{00000000-0005-0000-0000-000045010000}"/>
    <cellStyle name="S6 2" xfId="80" xr:uid="{00000000-0005-0000-0000-000046010000}"/>
    <cellStyle name="S8" xfId="8" xr:uid="{00000000-0005-0000-0000-000047010000}"/>
    <cellStyle name="S8 2" xfId="81" xr:uid="{00000000-0005-0000-0000-000048010000}"/>
    <cellStyle name="S9 2" xfId="82" xr:uid="{00000000-0005-0000-0000-000049010000}"/>
    <cellStyle name="Title" xfId="10" builtinId="15" customBuiltin="1"/>
    <cellStyle name="Title 2" xfId="336" xr:uid="{7AC4AF74-C410-4472-BF78-A81240499A24}"/>
    <cellStyle name="Total" xfId="26" builtinId="25" customBuiltin="1"/>
    <cellStyle name="Total 2" xfId="352" xr:uid="{792DBBCF-7EB0-4771-8B78-CB69E43CEC71}"/>
    <cellStyle name="Warning Text" xfId="23" builtinId="11" customBuiltin="1"/>
    <cellStyle name="Warning Text 2" xfId="349" xr:uid="{A5DA874C-5D8C-4E95-8EA2-5014F19B9634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1156608</xdr:colOff>
      <xdr:row>418</xdr:row>
      <xdr:rowOff>231322</xdr:rowOff>
    </xdr:from>
    <xdr:to>
      <xdr:col>11</xdr:col>
      <xdr:colOff>68036</xdr:colOff>
      <xdr:row>418</xdr:row>
      <xdr:rowOff>231322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8844644" y="19390179"/>
          <a:ext cx="506185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684598</xdr:colOff>
      <xdr:row>26</xdr:row>
      <xdr:rowOff>46788</xdr:rowOff>
    </xdr:from>
    <xdr:ext cx="7866354" cy="2038742"/>
    <xdr:pic>
      <xdr:nvPicPr>
        <xdr:cNvPr id="2" name="Picture 1">
          <a:extLst>
            <a:ext uri="{FF2B5EF4-FFF2-40B4-BE49-F238E27FC236}">
              <a16:creationId xmlns:a16="http://schemas.microsoft.com/office/drawing/2014/main" id="{B3C8CC90-CC3B-499E-BE2C-CA93C6D7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7748" y="5180763"/>
          <a:ext cx="7866354" cy="2038742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304800" cy="306069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6325FD5-B08A-46F4-9E6F-76FBDE53B0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962900"/>
          <a:ext cx="304800" cy="306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441960</xdr:colOff>
      <xdr:row>41</xdr:row>
      <xdr:rowOff>7001</xdr:rowOff>
    </xdr:from>
    <xdr:ext cx="4956024" cy="1724445"/>
    <xdr:pic>
      <xdr:nvPicPr>
        <xdr:cNvPr id="4" name="Picture 3">
          <a:extLst>
            <a:ext uri="{FF2B5EF4-FFF2-40B4-BE49-F238E27FC236}">
              <a16:creationId xmlns:a16="http://schemas.microsoft.com/office/drawing/2014/main" id="{D09282B7-C3C0-4E45-AD7E-4AA22AB3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2735" y="7430151"/>
          <a:ext cx="4956024" cy="172444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tricia.mauleky\Downloads\Isotank%20updated%2010052026.xlsx" TargetMode="External"/><Relationship Id="rId1" Type="http://schemas.openxmlformats.org/officeDocument/2006/relationships/externalLinkPath" Target="file:///C:\Users\patricia.mauleky\Downloads\Isotank%20updated%201005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5.MEY/WEEKLY%20STOCK%20TAKE%20ISOTANK%2011-17%20MAY%202026.xlsx" TargetMode="External"/><Relationship Id="rId2" Type="http://schemas.openxmlformats.org/officeDocument/2006/relationships/externalLinkPath" Target="file:///K:\SCM\14.%20INVENTORY\2026\13.%20STOCK%20TAKE\02.%20WEEKLY%20STOCK%20TAKE\05.MEY\WEEKLY%20STOCK%20TAKE%20ISOTANK%2011-17%20MAY%202026.xlsx" TargetMode="External"/><Relationship Id="rId1" Type="http://schemas.openxmlformats.org/officeDocument/2006/relationships/externalLinkPath" Target="/SCM/14.%20INVENTORY/2026/13.%20STOCK%20TAKE/02.%20WEEKLY%20STOCK%20TAKE/05.MEY/WEEKLY%20STOCK%20TAKE%20ISOTANK%2011-17%20MA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B1" t="str">
            <v>NO</v>
          </cell>
          <cell r="C1" t="str">
            <v>ISOTANK NUMBER</v>
          </cell>
          <cell r="D1" t="str">
            <v>DESCRIPTION</v>
          </cell>
          <cell r="E1" t="str">
            <v>STATUS</v>
          </cell>
          <cell r="F1" t="str">
            <v>LOCATION</v>
          </cell>
          <cell r="G1" t="str">
            <v>BRAND</v>
          </cell>
        </row>
        <row r="2">
          <cell r="A2" t="str">
            <v>SCZU8736284</v>
          </cell>
          <cell r="B2">
            <v>1</v>
          </cell>
          <cell r="C2" t="str">
            <v>SCZU8736284</v>
          </cell>
          <cell r="D2" t="str">
            <v>ESCAID</v>
          </cell>
          <cell r="E2" t="str">
            <v>EMPTY</v>
          </cell>
          <cell r="F2" t="str">
            <v>SCM</v>
          </cell>
          <cell r="G2" t="str">
            <v>SOC PLI</v>
          </cell>
        </row>
        <row r="3">
          <cell r="A3" t="str">
            <v>SCZU8741450</v>
          </cell>
          <cell r="B3">
            <v>2</v>
          </cell>
          <cell r="C3" t="str">
            <v>SCZU8741450</v>
          </cell>
          <cell r="D3" t="str">
            <v>ESCAID</v>
          </cell>
          <cell r="E3" t="str">
            <v>EMPTY</v>
          </cell>
          <cell r="F3" t="str">
            <v>SCM</v>
          </cell>
          <cell r="G3" t="str">
            <v>SOC PLI</v>
          </cell>
        </row>
        <row r="4">
          <cell r="A4" t="str">
            <v>SCZU8762874</v>
          </cell>
          <cell r="B4">
            <v>3</v>
          </cell>
          <cell r="C4" t="str">
            <v>SCZU8762874</v>
          </cell>
          <cell r="D4" t="str">
            <v>ESCAID</v>
          </cell>
          <cell r="E4" t="str">
            <v>FULL</v>
          </cell>
          <cell r="F4" t="str">
            <v>SCM</v>
          </cell>
          <cell r="G4" t="str">
            <v>SOC PLI</v>
          </cell>
        </row>
        <row r="5">
          <cell r="A5" t="str">
            <v>SCZU8762811</v>
          </cell>
          <cell r="B5">
            <v>4</v>
          </cell>
          <cell r="C5" t="str">
            <v>SCZU8762811</v>
          </cell>
          <cell r="D5" t="str">
            <v>ESCAID</v>
          </cell>
          <cell r="E5" t="str">
            <v>EMPTY</v>
          </cell>
          <cell r="F5" t="str">
            <v>SCM</v>
          </cell>
          <cell r="G5" t="str">
            <v>SOC PLI</v>
          </cell>
        </row>
        <row r="6">
          <cell r="A6" t="str">
            <v>SCZU8756362</v>
          </cell>
          <cell r="B6">
            <v>5</v>
          </cell>
          <cell r="C6" t="str">
            <v>SCZU8756362</v>
          </cell>
          <cell r="D6" t="str">
            <v>ESCAID</v>
          </cell>
          <cell r="E6" t="str">
            <v>EMPTY</v>
          </cell>
          <cell r="F6" t="str">
            <v>SCM</v>
          </cell>
          <cell r="G6" t="str">
            <v>SOC PLI</v>
          </cell>
        </row>
        <row r="7">
          <cell r="A7" t="str">
            <v>SCZU8756418</v>
          </cell>
          <cell r="B7">
            <v>6</v>
          </cell>
          <cell r="C7" t="str">
            <v>SCZU8756418</v>
          </cell>
          <cell r="D7" t="str">
            <v>ESCAID</v>
          </cell>
          <cell r="E7" t="str">
            <v>FULL</v>
          </cell>
          <cell r="F7" t="str">
            <v>SCM</v>
          </cell>
          <cell r="G7" t="str">
            <v>SOC PLI</v>
          </cell>
        </row>
        <row r="8">
          <cell r="A8" t="str">
            <v>SCZU8735734</v>
          </cell>
          <cell r="B8">
            <v>7</v>
          </cell>
          <cell r="C8" t="str">
            <v>SCZU8735734</v>
          </cell>
          <cell r="D8" t="str">
            <v>ESCAID</v>
          </cell>
          <cell r="E8" t="str">
            <v>FULL</v>
          </cell>
          <cell r="F8" t="str">
            <v>SCM</v>
          </cell>
          <cell r="G8" t="str">
            <v>SOC PLI</v>
          </cell>
        </row>
        <row r="9">
          <cell r="A9" t="str">
            <v>SCZU8718275</v>
          </cell>
          <cell r="B9">
            <v>8</v>
          </cell>
          <cell r="C9" t="str">
            <v>SCZU8718275</v>
          </cell>
          <cell r="D9" t="str">
            <v>ESCAID</v>
          </cell>
          <cell r="E9" t="str">
            <v>FULL</v>
          </cell>
          <cell r="F9" t="str">
            <v>SCM</v>
          </cell>
          <cell r="G9" t="str">
            <v>SOC PLI</v>
          </cell>
        </row>
        <row r="10">
          <cell r="A10" t="str">
            <v>SCZU8756280</v>
          </cell>
          <cell r="B10">
            <v>9</v>
          </cell>
          <cell r="C10" t="str">
            <v>SCZU8756280</v>
          </cell>
          <cell r="D10" t="str">
            <v>ESCAID</v>
          </cell>
          <cell r="E10" t="str">
            <v>FULL</v>
          </cell>
          <cell r="F10" t="str">
            <v>SCM</v>
          </cell>
          <cell r="G10" t="str">
            <v>SOC PLI</v>
          </cell>
        </row>
        <row r="11">
          <cell r="A11" t="str">
            <v>SCZU8762792</v>
          </cell>
          <cell r="B11">
            <v>10</v>
          </cell>
          <cell r="C11" t="str">
            <v>SCZU8762792</v>
          </cell>
          <cell r="D11" t="str">
            <v>ESCAID</v>
          </cell>
          <cell r="E11" t="str">
            <v>FULL</v>
          </cell>
          <cell r="F11" t="str">
            <v>SCM</v>
          </cell>
          <cell r="G11" t="str">
            <v>SOC PLI</v>
          </cell>
        </row>
        <row r="12">
          <cell r="A12" t="str">
            <v>DJEU0303810</v>
          </cell>
          <cell r="B12">
            <v>11</v>
          </cell>
          <cell r="C12" t="str">
            <v>DJEU0303810</v>
          </cell>
          <cell r="D12" t="str">
            <v xml:space="preserve">SULPHURIC ACID </v>
          </cell>
          <cell r="E12" t="str">
            <v>EMPTY</v>
          </cell>
          <cell r="F12" t="str">
            <v>SCM</v>
          </cell>
          <cell r="G12" t="str">
            <v>DWI101IDR</v>
          </cell>
        </row>
        <row r="13">
          <cell r="A13" t="str">
            <v>NTTU1752711</v>
          </cell>
          <cell r="B13">
            <v>12</v>
          </cell>
          <cell r="C13" t="str">
            <v>NTTU1752711</v>
          </cell>
          <cell r="D13" t="str">
            <v xml:space="preserve">SULPHURIC ACID </v>
          </cell>
          <cell r="E13" t="str">
            <v>EMPTY</v>
          </cell>
          <cell r="F13" t="str">
            <v>SCM</v>
          </cell>
          <cell r="G13" t="str">
            <v>DWI101IDR</v>
          </cell>
        </row>
        <row r="14">
          <cell r="A14" t="str">
            <v>DJEU0303826</v>
          </cell>
          <cell r="B14">
            <v>13</v>
          </cell>
          <cell r="C14" t="str">
            <v>DJEU0303826</v>
          </cell>
          <cell r="D14" t="str">
            <v xml:space="preserve">SULPHURIC ACID </v>
          </cell>
          <cell r="E14" t="str">
            <v>EMPTY</v>
          </cell>
          <cell r="F14" t="str">
            <v>SCM</v>
          </cell>
          <cell r="G14" t="str">
            <v>DWI101IDR</v>
          </cell>
        </row>
        <row r="15">
          <cell r="A15" t="str">
            <v>NTTU1752671</v>
          </cell>
          <cell r="B15">
            <v>14</v>
          </cell>
          <cell r="C15" t="str">
            <v>NTTU1752671</v>
          </cell>
          <cell r="D15" t="str">
            <v xml:space="preserve">SULPHURIC ACID </v>
          </cell>
          <cell r="E15" t="str">
            <v>UTILIZED</v>
          </cell>
          <cell r="F15" t="str">
            <v>25KT</v>
          </cell>
          <cell r="G15" t="str">
            <v>DWI101IDR</v>
          </cell>
        </row>
        <row r="16">
          <cell r="A16" t="str">
            <v>NTTU1752692</v>
          </cell>
          <cell r="B16">
            <v>15</v>
          </cell>
          <cell r="C16" t="str">
            <v>NTTU1752692</v>
          </cell>
          <cell r="D16" t="str">
            <v xml:space="preserve">SULPHURIC ACID </v>
          </cell>
          <cell r="E16" t="str">
            <v>EMPTY</v>
          </cell>
          <cell r="F16" t="str">
            <v>SCM</v>
          </cell>
          <cell r="G16" t="str">
            <v>DWI101IDR</v>
          </cell>
        </row>
        <row r="17">
          <cell r="A17" t="str">
            <v>DJEU0303636</v>
          </cell>
          <cell r="B17">
            <v>16</v>
          </cell>
          <cell r="C17" t="str">
            <v>DJEU0303636</v>
          </cell>
          <cell r="D17" t="str">
            <v xml:space="preserve">SULPHURIC ACID </v>
          </cell>
          <cell r="E17" t="str">
            <v>UTILIZED</v>
          </cell>
          <cell r="F17" t="str">
            <v>25KT</v>
          </cell>
          <cell r="G17" t="str">
            <v>DWI101IDR</v>
          </cell>
        </row>
        <row r="18">
          <cell r="A18" t="str">
            <v>DJEU0303718</v>
          </cell>
          <cell r="B18">
            <v>17</v>
          </cell>
          <cell r="C18" t="str">
            <v>DJEU0303718</v>
          </cell>
          <cell r="D18" t="str">
            <v xml:space="preserve">SULPHURIC ACID </v>
          </cell>
          <cell r="E18" t="str">
            <v>EMPTY</v>
          </cell>
          <cell r="F18" t="str">
            <v>SCM</v>
          </cell>
          <cell r="G18" t="str">
            <v>DWI101IDR</v>
          </cell>
        </row>
        <row r="19">
          <cell r="A19" t="str">
            <v>DJEU0303873</v>
          </cell>
          <cell r="B19">
            <v>18</v>
          </cell>
          <cell r="C19" t="str">
            <v>DJEU0303873</v>
          </cell>
          <cell r="D19" t="str">
            <v xml:space="preserve">SULPHURIC ACID </v>
          </cell>
          <cell r="E19" t="str">
            <v>FULL</v>
          </cell>
          <cell r="F19" t="str">
            <v>SCM</v>
          </cell>
          <cell r="G19" t="str">
            <v>DWI101IDR</v>
          </cell>
        </row>
        <row r="20">
          <cell r="A20" t="str">
            <v>NTTU1752727</v>
          </cell>
          <cell r="B20">
            <v>19</v>
          </cell>
          <cell r="C20" t="str">
            <v>NTTU1752727</v>
          </cell>
          <cell r="D20" t="str">
            <v xml:space="preserve">SULPHURIC ACID </v>
          </cell>
          <cell r="E20" t="str">
            <v>FULL</v>
          </cell>
          <cell r="F20" t="str">
            <v>SCM</v>
          </cell>
          <cell r="G20" t="str">
            <v>DWI101IDR</v>
          </cell>
        </row>
        <row r="21">
          <cell r="A21" t="str">
            <v>DJEU0303894</v>
          </cell>
          <cell r="B21">
            <v>20</v>
          </cell>
          <cell r="C21" t="str">
            <v>DJEU0303894</v>
          </cell>
          <cell r="D21" t="str">
            <v xml:space="preserve">SULPHURIC ACID </v>
          </cell>
          <cell r="E21" t="str">
            <v>FULL</v>
          </cell>
          <cell r="F21" t="str">
            <v>SCM</v>
          </cell>
          <cell r="G21" t="str">
            <v>DWI101IDR</v>
          </cell>
        </row>
        <row r="22">
          <cell r="A22" t="str">
            <v>NTTU1752687</v>
          </cell>
          <cell r="B22">
            <v>21</v>
          </cell>
          <cell r="C22" t="str">
            <v>NTTU1752687</v>
          </cell>
          <cell r="D22" t="str">
            <v xml:space="preserve">SULPHURIC ACID </v>
          </cell>
          <cell r="E22" t="str">
            <v>FULL</v>
          </cell>
          <cell r="F22" t="str">
            <v>SCM</v>
          </cell>
          <cell r="G22" t="str">
            <v>DWI101IDR</v>
          </cell>
        </row>
        <row r="23">
          <cell r="A23" t="str">
            <v>DJEU0303750</v>
          </cell>
          <cell r="B23">
            <v>22</v>
          </cell>
          <cell r="C23" t="str">
            <v>DJEU0303750</v>
          </cell>
          <cell r="D23" t="str">
            <v xml:space="preserve">SULPHURIC ACID </v>
          </cell>
          <cell r="E23" t="str">
            <v>FULL</v>
          </cell>
          <cell r="F23" t="str">
            <v>SCM</v>
          </cell>
          <cell r="G23" t="str">
            <v>DWI101IDR</v>
          </cell>
        </row>
        <row r="24">
          <cell r="A24" t="str">
            <v>NTTU1752753</v>
          </cell>
          <cell r="B24">
            <v>23</v>
          </cell>
          <cell r="C24" t="str">
            <v>NTTU1752753</v>
          </cell>
          <cell r="D24" t="str">
            <v xml:space="preserve">SULPHURIC ACID </v>
          </cell>
          <cell r="E24" t="str">
            <v>FULL</v>
          </cell>
          <cell r="F24" t="str">
            <v>SCM</v>
          </cell>
          <cell r="G24" t="str">
            <v>DWI101IDR</v>
          </cell>
        </row>
        <row r="25">
          <cell r="A25" t="str">
            <v>DJEU0303786</v>
          </cell>
          <cell r="B25">
            <v>24</v>
          </cell>
          <cell r="C25" t="str">
            <v>DJEU0303786</v>
          </cell>
          <cell r="D25" t="str">
            <v xml:space="preserve">SULPHURIC ACID </v>
          </cell>
          <cell r="E25" t="str">
            <v>FULL</v>
          </cell>
          <cell r="F25" t="str">
            <v>SCM</v>
          </cell>
          <cell r="G25" t="str">
            <v>DWI101IDR</v>
          </cell>
        </row>
        <row r="26">
          <cell r="A26" t="str">
            <v>DJEU0303770</v>
          </cell>
          <cell r="B26">
            <v>25</v>
          </cell>
          <cell r="C26" t="str">
            <v>DJEU0303770</v>
          </cell>
          <cell r="D26" t="str">
            <v xml:space="preserve">SULPHURIC ACID </v>
          </cell>
          <cell r="E26" t="str">
            <v>FULL</v>
          </cell>
          <cell r="F26" t="str">
            <v>SCM</v>
          </cell>
          <cell r="G26" t="str">
            <v>DWI101IDR</v>
          </cell>
        </row>
        <row r="27">
          <cell r="A27" t="str">
            <v>NTTU1752732</v>
          </cell>
          <cell r="B27">
            <v>26</v>
          </cell>
          <cell r="C27" t="str">
            <v>NTTU1752732</v>
          </cell>
          <cell r="D27" t="str">
            <v xml:space="preserve">SULPHURIC ACID </v>
          </cell>
          <cell r="E27" t="str">
            <v>FULL</v>
          </cell>
          <cell r="F27" t="str">
            <v>SCM</v>
          </cell>
          <cell r="G27" t="str">
            <v>DWI101IDR</v>
          </cell>
        </row>
        <row r="28">
          <cell r="A28" t="str">
            <v>DJEU0303702</v>
          </cell>
          <cell r="B28">
            <v>27</v>
          </cell>
          <cell r="C28" t="str">
            <v>DJEU0303702</v>
          </cell>
          <cell r="D28" t="str">
            <v xml:space="preserve">SULPHURIC ACID </v>
          </cell>
          <cell r="E28" t="str">
            <v>FULL</v>
          </cell>
          <cell r="F28" t="str">
            <v>SCM</v>
          </cell>
          <cell r="G28" t="str">
            <v>DWI101IDR</v>
          </cell>
        </row>
        <row r="29">
          <cell r="A29" t="str">
            <v>DJEU0303641</v>
          </cell>
          <cell r="B29">
            <v>28</v>
          </cell>
          <cell r="C29" t="str">
            <v>DJEU0303641</v>
          </cell>
          <cell r="D29" t="str">
            <v xml:space="preserve">SULPHURIC ACID </v>
          </cell>
          <cell r="E29" t="str">
            <v>UTILIZED</v>
          </cell>
          <cell r="F29" t="str">
            <v>25KT</v>
          </cell>
          <cell r="G29" t="str">
            <v>DWI101IDR</v>
          </cell>
        </row>
        <row r="30">
          <cell r="A30" t="str">
            <v>NTTU1752780</v>
          </cell>
          <cell r="B30">
            <v>29</v>
          </cell>
          <cell r="C30" t="str">
            <v>NTTU1752780</v>
          </cell>
          <cell r="D30" t="str">
            <v xml:space="preserve">SULPHURIC ACID </v>
          </cell>
          <cell r="E30" t="str">
            <v>FULL</v>
          </cell>
          <cell r="F30" t="str">
            <v>SCM</v>
          </cell>
          <cell r="G30" t="str">
            <v>DWI101IDR</v>
          </cell>
        </row>
        <row r="31">
          <cell r="A31" t="str">
            <v>DJEU0303662</v>
          </cell>
          <cell r="B31">
            <v>30</v>
          </cell>
          <cell r="C31" t="str">
            <v>DJEU0303662</v>
          </cell>
          <cell r="D31" t="str">
            <v xml:space="preserve">SULPHURIC ACID </v>
          </cell>
          <cell r="E31" t="str">
            <v>FULL</v>
          </cell>
          <cell r="F31" t="str">
            <v>SCM</v>
          </cell>
          <cell r="G31" t="str">
            <v>DWI101IDR</v>
          </cell>
        </row>
        <row r="32">
          <cell r="A32" t="str">
            <v>NTTU1753702</v>
          </cell>
          <cell r="B32">
            <v>31</v>
          </cell>
          <cell r="C32" t="str">
            <v>NTTU1753702</v>
          </cell>
          <cell r="D32" t="str">
            <v xml:space="preserve">SULPHURIC ACID </v>
          </cell>
          <cell r="E32" t="str">
            <v>UTILIZED</v>
          </cell>
          <cell r="F32" t="str">
            <v>25KT</v>
          </cell>
          <cell r="G32" t="str">
            <v>ROL100IDR</v>
          </cell>
        </row>
        <row r="33">
          <cell r="A33" t="str">
            <v>SJIU2322038</v>
          </cell>
          <cell r="B33">
            <v>32</v>
          </cell>
          <cell r="C33" t="str">
            <v>SJIU2322038</v>
          </cell>
          <cell r="D33" t="str">
            <v xml:space="preserve">SULPHURIC ACID </v>
          </cell>
          <cell r="E33" t="str">
            <v>FULL</v>
          </cell>
          <cell r="F33" t="str">
            <v>SCM</v>
          </cell>
          <cell r="G33" t="str">
            <v>ROL100IDR</v>
          </cell>
        </row>
        <row r="34">
          <cell r="A34" t="str">
            <v>SJIU2322022</v>
          </cell>
          <cell r="B34">
            <v>33</v>
          </cell>
          <cell r="C34" t="str">
            <v>SJIU2322022</v>
          </cell>
          <cell r="D34" t="str">
            <v xml:space="preserve">SULPHURIC ACID </v>
          </cell>
          <cell r="E34" t="str">
            <v>FULL</v>
          </cell>
          <cell r="F34" t="str">
            <v>SCM</v>
          </cell>
          <cell r="G34" t="str">
            <v>ROL100IDR</v>
          </cell>
        </row>
        <row r="35">
          <cell r="A35" t="str">
            <v>NTTU1753723</v>
          </cell>
          <cell r="B35">
            <v>34</v>
          </cell>
          <cell r="C35" t="str">
            <v>NTTU1753723</v>
          </cell>
          <cell r="D35" t="str">
            <v xml:space="preserve">SULPHURIC ACID </v>
          </cell>
          <cell r="E35" t="str">
            <v>FULL</v>
          </cell>
          <cell r="F35" t="str">
            <v>SCM</v>
          </cell>
          <cell r="G35" t="str">
            <v>ROL100IDR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8 NOVEMBER-4 DESEMBER 2021"/>
      <sheetName val="4-12 DESEMBER 2021 (2"/>
      <sheetName val="26-31 DESEMBER 2021 (2 (2)"/>
      <sheetName val="10-15 JAN 22"/>
      <sheetName val="16-22 JAN 22"/>
      <sheetName val="23-29 JAN 22"/>
      <sheetName val="20-26 Maret 2022"/>
      <sheetName val="Sheet7"/>
      <sheetName val="ACID &amp; ESCAID STATUS "/>
      <sheetName val="Sheet6"/>
      <sheetName val="OFFHIRE"/>
      <sheetName val="REKAP ACID TO PR"/>
      <sheetName val="01-09 JAN 22"/>
      <sheetName val="REKAP ESCAID TO PR"/>
      <sheetName val="NEW ISO"/>
      <sheetName val="Sheet3"/>
      <sheetName val="Total Isotank "/>
      <sheetName val="UTK LAPORAN"/>
      <sheetName val="STOCK TAKE"/>
      <sheetName val="Sheet2 (2)"/>
      <sheetName val="Sheet1"/>
      <sheetName val="Sheet2 (3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19">
          <cell r="D319">
            <v>21190</v>
          </cell>
        </row>
        <row r="320">
          <cell r="D320">
            <v>21280</v>
          </cell>
        </row>
        <row r="321">
          <cell r="D321">
            <v>21280</v>
          </cell>
        </row>
        <row r="322">
          <cell r="D322">
            <v>21540</v>
          </cell>
        </row>
        <row r="323">
          <cell r="D323">
            <v>20590</v>
          </cell>
        </row>
        <row r="324">
          <cell r="D324">
            <v>21270</v>
          </cell>
        </row>
        <row r="325">
          <cell r="D325">
            <v>20090</v>
          </cell>
        </row>
        <row r="326">
          <cell r="D326">
            <v>20050</v>
          </cell>
        </row>
        <row r="327">
          <cell r="D327">
            <v>20590</v>
          </cell>
        </row>
        <row r="328">
          <cell r="D328">
            <v>20790</v>
          </cell>
        </row>
        <row r="329">
          <cell r="D329">
            <v>20850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enijesia Maupiku" id="{D6A2D5B1-D4CA-49E8-ACF3-DDA1E2FECF34}" userId="Venijesia Maupiku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isma Rosalina Wahda" refreshedDate="46215.557712152775" createdVersion="8" refreshedVersion="8" minRefreshableVersion="3" recordCount="298" xr:uid="{A5D6A85B-8D83-4999-9C03-80D6EA101602}">
  <cacheSource type="worksheet">
    <worksheetSource ref="B1:H1048576" sheet="SUM ISOTANK"/>
  </cacheSource>
  <cacheFields count="7">
    <cacheField name="Vendor" numFmtId="0">
      <sharedItems containsBlank="1" count="6">
        <s v="SOC DJE"/>
        <s v="SOC ROLIMEX"/>
        <s v="ADIMITRA PRIMA LESTARI, PT"/>
        <s v="ENERGI JAYA INOVASI, PT"/>
        <m/>
        <s v="ADI106IDR" u="1"/>
      </sharedItems>
    </cacheField>
    <cacheField name="TANK ID" numFmtId="0">
      <sharedItems containsBlank="1"/>
    </cacheField>
    <cacheField name="STATUS" numFmtId="0">
      <sharedItems containsBlank="1" containsMixedTypes="1" containsNumber="1" containsInteger="1" minValue="0" maxValue="0" count="5">
        <s v="EMPTY"/>
        <s v="FULL"/>
        <s v="INSTALL"/>
        <n v="0"/>
        <m/>
      </sharedItems>
    </cacheField>
    <cacheField name="LOCATION" numFmtId="0">
      <sharedItems containsBlank="1" count="8">
        <s v="OUTBOUND"/>
        <s v="25KT"/>
        <s v="WAREHOUSE"/>
        <s v="INBOUND - SUB KOE"/>
        <s v="INBOUND- KOE WTR"/>
        <s v="VENDOR"/>
        <m/>
        <s v="INBOUND - HUB SUB" u="1"/>
      </sharedItems>
    </cacheField>
    <cacheField name="Qty PO" numFmtId="0">
      <sharedItems containsString="0" containsBlank="1" containsNumber="1" containsInteger="1" minValue="0" maxValue="25000"/>
    </cacheField>
    <cacheField name="Qty PR" numFmtId="0">
      <sharedItems containsString="0" containsBlank="1" containsNumber="1" containsInteger="1" minValue="0" maxValue="25000"/>
    </cacheField>
    <cacheField name="Tanggal Out" numFmtId="14">
      <sharedItems containsNonDate="0" containsDate="1" containsString="0" containsBlank="1" minDate="1899-12-30T00:00:00" maxDate="2026-07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s v="DJEU0303868"/>
    <x v="0"/>
    <x v="0"/>
    <n v="20860"/>
    <n v="23000"/>
    <d v="2026-07-03T00:00:00"/>
  </r>
  <r>
    <x v="0"/>
    <s v="DJEU0303739"/>
    <x v="0"/>
    <x v="0"/>
    <n v="22700"/>
    <n v="23000"/>
    <d v="2026-07-03T00:00:00"/>
  </r>
  <r>
    <x v="0"/>
    <s v="DJEU0303805"/>
    <x v="0"/>
    <x v="0"/>
    <n v="20810"/>
    <n v="23000"/>
    <d v="2026-07-03T00:00:00"/>
  </r>
  <r>
    <x v="0"/>
    <s v="DJEU0303929"/>
    <x v="1"/>
    <x v="1"/>
    <n v="19890"/>
    <n v="23000"/>
    <d v="2026-05-11T00:00:00"/>
  </r>
  <r>
    <x v="0"/>
    <s v="DJEU0303913"/>
    <x v="0"/>
    <x v="1"/>
    <n v="20080"/>
    <n v="23000"/>
    <d v="2026-05-11T00:00:00"/>
  </r>
  <r>
    <x v="0"/>
    <s v="DJEU0303908"/>
    <x v="0"/>
    <x v="0"/>
    <n v="21560"/>
    <n v="23000"/>
    <d v="2026-07-03T00:00:00"/>
  </r>
  <r>
    <x v="0"/>
    <s v="NTTU1752748"/>
    <x v="0"/>
    <x v="0"/>
    <n v="21370"/>
    <n v="23000"/>
    <d v="2026-07-03T00:00:00"/>
  </r>
  <r>
    <x v="0"/>
    <s v="DJEU0303699"/>
    <x v="0"/>
    <x v="2"/>
    <n v="21250"/>
    <n v="23000"/>
    <d v="2026-05-11T00:00:00"/>
  </r>
  <r>
    <x v="0"/>
    <s v="DJEU0303791"/>
    <x v="0"/>
    <x v="2"/>
    <n v="21320"/>
    <n v="23000"/>
    <d v="2026-05-11T00:00:00"/>
  </r>
  <r>
    <x v="0"/>
    <s v="DJEU0303765"/>
    <x v="0"/>
    <x v="2"/>
    <n v="20960"/>
    <n v="23000"/>
    <d v="2026-05-11T00:00:00"/>
  </r>
  <r>
    <x v="0"/>
    <s v="NTTU1752795"/>
    <x v="0"/>
    <x v="2"/>
    <n v="20640"/>
    <n v="23000"/>
    <d v="2026-06-02T00:00:00"/>
  </r>
  <r>
    <x v="0"/>
    <s v="DJEU0303810"/>
    <x v="1"/>
    <x v="2"/>
    <n v="21300"/>
    <n v="23000"/>
    <d v="2026-06-02T00:00:00"/>
  </r>
  <r>
    <x v="0"/>
    <s v="NTTU1752711"/>
    <x v="1"/>
    <x v="2"/>
    <n v="20350"/>
    <n v="0"/>
    <d v="1899-12-30T00:00:00"/>
  </r>
  <r>
    <x v="0"/>
    <s v="DJEU0303826"/>
    <x v="2"/>
    <x v="2"/>
    <n v="20250"/>
    <n v="23000"/>
    <d v="1899-12-30T00:00:00"/>
  </r>
  <r>
    <x v="0"/>
    <s v="DJEU0303852"/>
    <x v="1"/>
    <x v="2"/>
    <n v="21250"/>
    <n v="23000"/>
    <d v="2026-06-02T00:00:00"/>
  </r>
  <r>
    <x v="0"/>
    <s v="NTTU1752692"/>
    <x v="1"/>
    <x v="2"/>
    <n v="20660"/>
    <n v="0"/>
    <d v="1899-12-30T00:00:00"/>
  </r>
  <r>
    <x v="0"/>
    <s v="DJEU0303636"/>
    <x v="1"/>
    <x v="2"/>
    <n v="20030"/>
    <n v="23000"/>
    <d v="2026-06-02T00:00:00"/>
  </r>
  <r>
    <x v="0"/>
    <s v="DJEU0303718"/>
    <x v="1"/>
    <x v="1"/>
    <n v="21530"/>
    <n v="23000"/>
    <d v="2026-06-02T00:00:00"/>
  </r>
  <r>
    <x v="0"/>
    <s v="DJEU0303641"/>
    <x v="1"/>
    <x v="2"/>
    <n v="21370"/>
    <n v="23000"/>
    <d v="2026-06-02T00:00:00"/>
  </r>
  <r>
    <x v="0"/>
    <s v="DJEU0303702"/>
    <x v="1"/>
    <x v="3"/>
    <n v="21170"/>
    <n v="23000"/>
    <d v="1899-12-30T00:00:00"/>
  </r>
  <r>
    <x v="0"/>
    <s v="NTTU1752780"/>
    <x v="1"/>
    <x v="3"/>
    <n v="20760"/>
    <n v="23000"/>
    <d v="1899-12-30T00:00:00"/>
  </r>
  <r>
    <x v="0"/>
    <s v="DJEU0303662"/>
    <x v="1"/>
    <x v="4"/>
    <n v="21180"/>
    <n v="23000"/>
    <d v="1899-12-30T00:00:00"/>
  </r>
  <r>
    <x v="0"/>
    <s v="DJEU0303873"/>
    <x v="1"/>
    <x v="4"/>
    <n v="21390"/>
    <n v="23000"/>
    <d v="1899-12-30T00:00:00"/>
  </r>
  <r>
    <x v="0"/>
    <s v="NTTU1752727"/>
    <x v="1"/>
    <x v="4"/>
    <n v="20830"/>
    <n v="23000"/>
    <d v="1899-12-30T00:00:00"/>
  </r>
  <r>
    <x v="0"/>
    <s v="NTTU1752732"/>
    <x v="1"/>
    <x v="4"/>
    <n v="20720"/>
    <n v="23000"/>
    <d v="1899-12-30T00:00:00"/>
  </r>
  <r>
    <x v="0"/>
    <s v="DJEU0303894"/>
    <x v="0"/>
    <x v="0"/>
    <n v="21280"/>
    <n v="23000"/>
    <d v="2026-06-21T00:00:00"/>
  </r>
  <r>
    <x v="0"/>
    <s v="NTTU1752687"/>
    <x v="1"/>
    <x v="4"/>
    <n v="20850"/>
    <n v="23000"/>
    <d v="1899-12-30T00:00:00"/>
  </r>
  <r>
    <x v="0"/>
    <s v="DJEU0303750"/>
    <x v="1"/>
    <x v="4"/>
    <n v="21480"/>
    <n v="23000"/>
    <d v="1899-12-30T00:00:00"/>
  </r>
  <r>
    <x v="0"/>
    <s v="NTTU1752753"/>
    <x v="1"/>
    <x v="4"/>
    <n v="20560"/>
    <n v="23000"/>
    <d v="1899-12-30T00:00:00"/>
  </r>
  <r>
    <x v="0"/>
    <s v="DJEU0303615"/>
    <x v="1"/>
    <x v="4"/>
    <n v="21430"/>
    <n v="23000"/>
    <d v="1899-12-30T00:00:00"/>
  </r>
  <r>
    <x v="0"/>
    <s v="DJEU0303770"/>
    <x v="0"/>
    <x v="2"/>
    <n v="21240"/>
    <n v="23000"/>
    <d v="2026-06-02T00:00:00"/>
  </r>
  <r>
    <x v="1"/>
    <s v="SJIU2221578"/>
    <x v="0"/>
    <x v="2"/>
    <n v="20870"/>
    <n v="23000"/>
    <d v="2026-05-11T00:00:00"/>
  </r>
  <r>
    <x v="1"/>
    <s v="SJIU2221710"/>
    <x v="1"/>
    <x v="3"/>
    <n v="20270"/>
    <n v="23000"/>
    <d v="1899-12-30T00:00:00"/>
  </r>
  <r>
    <x v="1"/>
    <s v="SJIU2221541"/>
    <x v="1"/>
    <x v="4"/>
    <n v="20030"/>
    <n v="23000"/>
    <d v="1899-12-30T00:00:00"/>
  </r>
  <r>
    <x v="1"/>
    <s v="SJIU2221536"/>
    <x v="1"/>
    <x v="4"/>
    <n v="20320"/>
    <n v="23000"/>
    <d v="1899-12-30T00:00:00"/>
  </r>
  <r>
    <x v="1"/>
    <s v="SJIU2221705"/>
    <x v="1"/>
    <x v="4"/>
    <n v="20040"/>
    <n v="23000"/>
    <d v="1899-12-30T00:00:00"/>
  </r>
  <r>
    <x v="1"/>
    <s v="SJIU2322001"/>
    <x v="1"/>
    <x v="4"/>
    <n v="20050"/>
    <n v="23000"/>
    <d v="1899-12-30T00:00:00"/>
  </r>
  <r>
    <x v="1"/>
    <s v="SJIU2322090"/>
    <x v="0"/>
    <x v="0"/>
    <n v="20940"/>
    <n v="23000"/>
    <d v="2026-06-21T00:00:00"/>
  </r>
  <r>
    <x v="1"/>
    <s v="NTTU1753699"/>
    <x v="1"/>
    <x v="4"/>
    <n v="20130"/>
    <n v="23000"/>
    <d v="1899-12-30T00:00:00"/>
  </r>
  <r>
    <x v="1"/>
    <s v="SJIU2221691"/>
    <x v="0"/>
    <x v="0"/>
    <n v="20220"/>
    <n v="23000"/>
    <d v="2026-06-21T00:00:00"/>
  </r>
  <r>
    <x v="1"/>
    <s v="NTTU1753750"/>
    <x v="1"/>
    <x v="4"/>
    <n v="20010"/>
    <n v="23000"/>
    <d v="1899-12-30T00:00:00"/>
  </r>
  <r>
    <x v="1"/>
    <s v="SJIU2322043"/>
    <x v="0"/>
    <x v="0"/>
    <n v="20340"/>
    <n v="23000"/>
    <d v="2026-07-03T00:00:00"/>
  </r>
  <r>
    <x v="1"/>
    <s v="NTTU1753765"/>
    <x v="1"/>
    <x v="4"/>
    <n v="20010"/>
    <n v="23000"/>
    <d v="1899-12-30T00:00:00"/>
  </r>
  <r>
    <x v="1"/>
    <s v="SJIU2322059"/>
    <x v="0"/>
    <x v="2"/>
    <n v="20940"/>
    <n v="23000"/>
    <d v="2026-05-11T00:00:00"/>
  </r>
  <r>
    <x v="1"/>
    <s v="SJIU2322064"/>
    <x v="0"/>
    <x v="0"/>
    <n v="18990"/>
    <n v="23000"/>
    <d v="2026-07-03T00:00:00"/>
  </r>
  <r>
    <x v="1"/>
    <s v="SJIU2001275"/>
    <x v="0"/>
    <x v="0"/>
    <n v="20230"/>
    <n v="23000"/>
    <d v="2026-07-03T00:00:00"/>
  </r>
  <r>
    <x v="1"/>
    <s v="SJIU2322085"/>
    <x v="0"/>
    <x v="0"/>
    <n v="20220"/>
    <n v="23000"/>
    <d v="2026-07-03T00:00:00"/>
  </r>
  <r>
    <x v="1"/>
    <s v="SJIU2322017"/>
    <x v="1"/>
    <x v="3"/>
    <n v="20240"/>
    <n v="23000"/>
    <d v="1899-12-30T00:00:00"/>
  </r>
  <r>
    <x v="1"/>
    <s v="SJIU2001260"/>
    <x v="1"/>
    <x v="4"/>
    <n v="20270"/>
    <n v="23000"/>
    <d v="1899-12-30T00:00:00"/>
  </r>
  <r>
    <x v="1"/>
    <s v="SJIU2221557"/>
    <x v="1"/>
    <x v="4"/>
    <n v="20020"/>
    <n v="23000"/>
    <d v="1899-12-30T00:00:00"/>
  </r>
  <r>
    <x v="1"/>
    <s v="SJIU2221726"/>
    <x v="1"/>
    <x v="4"/>
    <n v="20070"/>
    <n v="23000"/>
    <d v="1899-12-30T00:00:00"/>
  </r>
  <r>
    <x v="1"/>
    <s v="SJIU2322022"/>
    <x v="2"/>
    <x v="2"/>
    <n v="21070"/>
    <n v="0"/>
    <d v="2026-05-26T00:00:00"/>
  </r>
  <r>
    <x v="1"/>
    <s v="NTTU1753723"/>
    <x v="0"/>
    <x v="2"/>
    <n v="20250"/>
    <n v="0"/>
    <d v="2026-05-26T00:00:00"/>
  </r>
  <r>
    <x v="1"/>
    <s v="SJIU2322038"/>
    <x v="1"/>
    <x v="1"/>
    <n v="20130"/>
    <n v="0"/>
    <d v="2026-05-26T00:00:00"/>
  </r>
  <r>
    <x v="1"/>
    <s v="NTTU1753702"/>
    <x v="0"/>
    <x v="2"/>
    <n v="20640"/>
    <n v="0"/>
    <d v="2026-05-26T00:00:00"/>
  </r>
  <r>
    <x v="1"/>
    <s v="NTTU1753739"/>
    <x v="1"/>
    <x v="4"/>
    <n v="20030"/>
    <n v="23000"/>
    <d v="1899-12-30T00:00:00"/>
  </r>
  <r>
    <x v="2"/>
    <s v="NTTU1754550"/>
    <x v="1"/>
    <x v="2"/>
    <n v="25000"/>
    <n v="25000"/>
    <d v="2026-05-28T00:00:00"/>
  </r>
  <r>
    <x v="2"/>
    <s v="NTTU1754587"/>
    <x v="1"/>
    <x v="4"/>
    <n v="25000"/>
    <n v="23000"/>
    <d v="2026-06-03T00:00:00"/>
  </r>
  <r>
    <x v="2"/>
    <s v="NTTU1754437"/>
    <x v="1"/>
    <x v="4"/>
    <n v="25000"/>
    <n v="25000"/>
    <d v="2026-05-28T00:00:00"/>
  </r>
  <r>
    <x v="2"/>
    <s v="NTTU1754524"/>
    <x v="1"/>
    <x v="4"/>
    <n v="25000"/>
    <n v="25000"/>
    <d v="2026-05-28T00:00:00"/>
  </r>
  <r>
    <x v="2"/>
    <s v="NTTU1754421"/>
    <x v="1"/>
    <x v="4"/>
    <n v="25000"/>
    <n v="25000"/>
    <d v="2026-05-28T00:00:00"/>
  </r>
  <r>
    <x v="2"/>
    <s v="NTTU1754484"/>
    <x v="1"/>
    <x v="4"/>
    <n v="25000"/>
    <n v="25000"/>
    <d v="2026-05-28T00:00:00"/>
  </r>
  <r>
    <x v="3"/>
    <s v="NTTU1754566"/>
    <x v="1"/>
    <x v="2"/>
    <n v="25000"/>
    <n v="25000"/>
    <d v="2026-05-17T00:00:00"/>
  </r>
  <r>
    <x v="3"/>
    <s v="NTTU1754490"/>
    <x v="1"/>
    <x v="2"/>
    <n v="25000"/>
    <n v="25000"/>
    <d v="2026-05-17T00:00:00"/>
  </r>
  <r>
    <x v="3"/>
    <s v="NTTU1754503"/>
    <x v="1"/>
    <x v="2"/>
    <n v="25000"/>
    <n v="25000"/>
    <d v="2026-05-25T00:00:00"/>
  </r>
  <r>
    <x v="3"/>
    <s v="NTTU1754458"/>
    <x v="1"/>
    <x v="2"/>
    <n v="25000"/>
    <n v="25000"/>
    <d v="2026-05-25T00:00:00"/>
  </r>
  <r>
    <x v="2"/>
    <s v="NTTU1754416"/>
    <x v="1"/>
    <x v="4"/>
    <n v="22000"/>
    <n v="23000"/>
    <d v="2026-06-03T00:00:00"/>
  </r>
  <r>
    <x v="2"/>
    <s v="NTTU1754519"/>
    <x v="1"/>
    <x v="4"/>
    <n v="22000"/>
    <n v="23000"/>
    <d v="2026-06-03T00:00:00"/>
  </r>
  <r>
    <x v="2"/>
    <s v="SJIU2522988"/>
    <x v="1"/>
    <x v="4"/>
    <n v="22000"/>
    <n v="23000"/>
    <d v="2026-06-03T00:00:00"/>
  </r>
  <r>
    <x v="2"/>
    <s v="SJIU2422675"/>
    <x v="1"/>
    <x v="4"/>
    <n v="22000"/>
    <n v="23000"/>
    <d v="2026-06-03T00:00:00"/>
  </r>
  <r>
    <x v="3"/>
    <s v="SJIU2422633"/>
    <x v="1"/>
    <x v="4"/>
    <n v="20150"/>
    <n v="25000"/>
    <d v="2026-05-25T00:00:00"/>
  </r>
  <r>
    <x v="3"/>
    <s v="SJIU2422628"/>
    <x v="1"/>
    <x v="4"/>
    <n v="20090"/>
    <n v="25000"/>
    <d v="2026-05-25T00:00:00"/>
  </r>
  <r>
    <x v="2"/>
    <s v="SJIU2422612"/>
    <x v="1"/>
    <x v="4"/>
    <n v="22000"/>
    <n v="23000"/>
    <d v="2026-06-25T00:00:00"/>
  </r>
  <r>
    <x v="2"/>
    <s v="SJIU2422680"/>
    <x v="1"/>
    <x v="4"/>
    <n v="22000"/>
    <n v="23000"/>
    <d v="2026-06-25T00:00:00"/>
  </r>
  <r>
    <x v="2"/>
    <s v="SJIU2422660"/>
    <x v="1"/>
    <x v="4"/>
    <n v="22000"/>
    <n v="23000"/>
    <d v="2026-06-25T00:00:00"/>
  </r>
  <r>
    <x v="2"/>
    <s v="SJIU2522972"/>
    <x v="1"/>
    <x v="4"/>
    <n v="22000"/>
    <n v="23000"/>
    <d v="2026-06-03T00:00:00"/>
  </r>
  <r>
    <x v="2"/>
    <s v="SJIU2422649"/>
    <x v="1"/>
    <x v="4"/>
    <n v="22000"/>
    <n v="23000"/>
    <d v="2026-06-25T00:00:00"/>
  </r>
  <r>
    <x v="2"/>
    <s v="NTTU1754479"/>
    <x v="1"/>
    <x v="4"/>
    <n v="22000"/>
    <n v="23000"/>
    <d v="2026-06-25T00:00:00"/>
  </r>
  <r>
    <x v="2"/>
    <s v="NTTU1754530"/>
    <x v="1"/>
    <x v="4"/>
    <n v="22000"/>
    <n v="23000"/>
    <d v="2026-06-25T00:00:00"/>
  </r>
  <r>
    <x v="3"/>
    <s v="SJIU2522967"/>
    <x v="1"/>
    <x v="4"/>
    <n v="20000"/>
    <n v="25000"/>
    <d v="2026-05-25T00:00:00"/>
  </r>
  <r>
    <x v="3"/>
    <s v="SJIU2522993"/>
    <x v="1"/>
    <x v="4"/>
    <n v="20000"/>
    <n v="25000"/>
    <d v="2026-05-25T00:00:00"/>
  </r>
  <r>
    <x v="2"/>
    <s v="NTTU1754592"/>
    <x v="1"/>
    <x v="3"/>
    <n v="22000"/>
    <n v="23000"/>
    <d v="2026-06-03T00:00:00"/>
  </r>
  <r>
    <x v="2"/>
    <s v="NTTU1754463"/>
    <x v="1"/>
    <x v="3"/>
    <n v="22000"/>
    <n v="23000"/>
    <d v="2026-06-03T00:00:00"/>
  </r>
  <r>
    <x v="2"/>
    <s v="NTTU1754542"/>
    <x v="3"/>
    <x v="5"/>
    <n v="0"/>
    <n v="23000"/>
    <d v="2026-07-09T00:00:00"/>
  </r>
  <r>
    <x v="2"/>
    <s v="NTTU1754563"/>
    <x v="3"/>
    <x v="5"/>
    <n v="0"/>
    <n v="23000"/>
    <d v="2026-07-09T00:00:00"/>
  </r>
  <r>
    <x v="2"/>
    <s v="NTTU1754606"/>
    <x v="3"/>
    <x v="5"/>
    <n v="0"/>
    <n v="23000"/>
    <d v="2026-07-09T00:00:00"/>
  </r>
  <r>
    <x v="2"/>
    <s v="NTTU1754442"/>
    <x v="3"/>
    <x v="5"/>
    <n v="0"/>
    <n v="23000"/>
    <d v="2026-07-09T00:00:00"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4"/>
    <m/>
    <x v="4"/>
    <x v="6"/>
    <m/>
    <m/>
    <m/>
  </r>
  <r>
    <x v="3"/>
    <s v="SJIU2623350"/>
    <x v="1"/>
    <x v="3"/>
    <n v="22000"/>
    <n v="23000"/>
    <d v="2026-06-09T00:00:00"/>
  </r>
  <r>
    <x v="4"/>
    <m/>
    <x v="4"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28948-6761-4ED2-B157-5B0146BB5B50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:P23" firstHeaderRow="0" firstDataRow="1" firstDataCol="3"/>
  <pivotFields count="7">
    <pivotField axis="axisRow" compact="0" outline="0" showAll="0" defaultSubtotal="0">
      <items count="6">
        <item x="2"/>
        <item x="3"/>
        <item x="0"/>
        <item x="1"/>
        <item x="4"/>
        <item m="1" x="5"/>
      </items>
    </pivotField>
    <pivotField dataField="1" compact="0" outline="0" showAll="0"/>
    <pivotField axis="axisRow" compact="0" outline="0" showAll="0" defaultSubtotal="0">
      <items count="5">
        <item x="0"/>
        <item x="1"/>
        <item x="4"/>
        <item x="2"/>
        <item x="3"/>
      </items>
    </pivotField>
    <pivotField axis="axisRow" compact="0" outline="0" showAll="0">
      <items count="9">
        <item x="1"/>
        <item m="1" x="7"/>
        <item x="3"/>
        <item x="0"/>
        <item x="2"/>
        <item x="6"/>
        <item x="4"/>
        <item h="1" x="5"/>
        <item t="default"/>
      </items>
    </pivotField>
    <pivotField dataField="1" compact="0" outline="0" showAll="0"/>
    <pivotField compact="0" outline="0" showAll="0"/>
    <pivotField compact="0" outline="0" showAll="0"/>
  </pivotFields>
  <rowFields count="3">
    <field x="0"/>
    <field x="2"/>
    <field x="3"/>
  </rowFields>
  <rowItems count="22">
    <i>
      <x/>
      <x v="1"/>
      <x v="2"/>
    </i>
    <i r="2">
      <x v="4"/>
    </i>
    <i r="2">
      <x v="6"/>
    </i>
    <i>
      <x v="1"/>
      <x v="1"/>
      <x v="2"/>
    </i>
    <i r="2">
      <x v="4"/>
    </i>
    <i r="2">
      <x v="6"/>
    </i>
    <i>
      <x v="2"/>
      <x/>
      <x/>
    </i>
    <i r="2">
      <x v="3"/>
    </i>
    <i r="2">
      <x v="4"/>
    </i>
    <i r="1">
      <x v="1"/>
      <x/>
    </i>
    <i r="2">
      <x v="2"/>
    </i>
    <i r="2">
      <x v="4"/>
    </i>
    <i r="2">
      <x v="6"/>
    </i>
    <i r="1">
      <x v="3"/>
      <x v="4"/>
    </i>
    <i>
      <x v="3"/>
      <x/>
      <x v="3"/>
    </i>
    <i r="2">
      <x v="4"/>
    </i>
    <i r="1">
      <x v="1"/>
      <x/>
    </i>
    <i r="2">
      <x v="2"/>
    </i>
    <i r="2">
      <x v="6"/>
    </i>
    <i r="1">
      <x v="3"/>
      <x v="4"/>
    </i>
    <i>
      <x v="4"/>
      <x v="2"/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NK ID" fld="1" subtotal="count" baseField="0" baseItem="0"/>
    <dataField name="Sum of Qty P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28" dT="2026-04-27T02:12:09.09" personId="{D6A2D5B1-D4CA-49E8-ACF3-DDA1E2FECF34}" id="{0E9389E0-F781-4853-8675-CC3D58C27471}">
    <text>- 6 ISOTANK ADIMITRA (PANI) Sudah di Return Transaksi di tahun 2025 karena berkaitan dengan Invoice yang tidak bisa lakukan backdate Oleh team Finace dan  Sisa 5 yang masih belum di Good return 
- Seacara Qty Fisik Kelebihan karena 6 Isotank sudah di lakukan Good Return dan akan di Koordinasikan dengan Pani agar 11 Iso bisa di Rise Order Secepatnya dan bisa masuk Qty nya ke System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C900-902D-4F82-9D2D-4F50B2186F1D}">
  <sheetPr>
    <tabColor rgb="FFFFFF00"/>
  </sheetPr>
  <dimension ref="B1:U30"/>
  <sheetViews>
    <sheetView showGridLines="0" topLeftCell="A7" zoomScale="62" zoomScaleNormal="72" workbookViewId="0">
      <selection activeCell="J14" sqref="J14"/>
    </sheetView>
  </sheetViews>
  <sheetFormatPr defaultRowHeight="14.5" x14ac:dyDescent="0.35"/>
  <cols>
    <col min="1" max="1" width="1.453125" customWidth="1"/>
    <col min="2" max="2" width="27.90625" bestFit="1" customWidth="1"/>
    <col min="3" max="4" width="14.81640625" bestFit="1" customWidth="1"/>
    <col min="5" max="5" width="13.1796875" bestFit="1" customWidth="1"/>
    <col min="6" max="9" width="19.6328125" bestFit="1" customWidth="1"/>
    <col min="10" max="10" width="11.453125" bestFit="1" customWidth="1"/>
    <col min="11" max="11" width="12.453125" bestFit="1" customWidth="1"/>
    <col min="12" max="12" width="7.6328125" bestFit="1" customWidth="1"/>
    <col min="13" max="13" width="12.453125" bestFit="1" customWidth="1"/>
    <col min="14" max="15" width="5.453125" customWidth="1"/>
    <col min="16" max="16" width="13.81640625" customWidth="1"/>
    <col min="17" max="17" width="12.1796875" customWidth="1"/>
    <col min="18" max="18" width="10.54296875" bestFit="1" customWidth="1"/>
    <col min="19" max="19" width="13.453125" customWidth="1"/>
    <col min="20" max="20" width="12" customWidth="1"/>
    <col min="21" max="21" width="20.81640625" bestFit="1" customWidth="1"/>
    <col min="22" max="22" width="15.1796875" bestFit="1" customWidth="1"/>
    <col min="23" max="23" width="22.54296875" bestFit="1" customWidth="1"/>
    <col min="24" max="24" width="17.1796875" bestFit="1" customWidth="1"/>
    <col min="25" max="25" width="20.81640625" bestFit="1" customWidth="1"/>
    <col min="26" max="26" width="15.1796875" bestFit="1" customWidth="1"/>
  </cols>
  <sheetData>
    <row r="1" spans="2:21" ht="21" x14ac:dyDescent="0.55000000000000004">
      <c r="B1" s="322" t="s">
        <v>530</v>
      </c>
    </row>
    <row r="3" spans="2:21" ht="26.5" customHeight="1" x14ac:dyDescent="0.35">
      <c r="B3" s="392" t="s">
        <v>531</v>
      </c>
      <c r="C3" s="393"/>
      <c r="D3" s="393"/>
      <c r="F3" s="392" t="s">
        <v>532</v>
      </c>
      <c r="G3" s="393"/>
      <c r="H3" s="393"/>
      <c r="J3" s="392" t="s">
        <v>533</v>
      </c>
      <c r="K3" s="393"/>
      <c r="L3" s="393"/>
      <c r="N3" s="392" t="s">
        <v>534</v>
      </c>
      <c r="O3" s="393"/>
      <c r="P3" s="393"/>
      <c r="R3" t="s">
        <v>571</v>
      </c>
    </row>
    <row r="4" spans="2:21" x14ac:dyDescent="0.35">
      <c r="B4" s="394">
        <v>452540</v>
      </c>
      <c r="C4" s="393"/>
      <c r="D4" s="393"/>
      <c r="F4" s="394">
        <f>SUM('ACID &amp; ESCAID STATUS '!E131:E153)</f>
        <v>498260</v>
      </c>
      <c r="G4" s="393"/>
      <c r="H4" s="393"/>
      <c r="J4" s="394">
        <f>F4-B4</f>
        <v>45720</v>
      </c>
      <c r="K4" s="393"/>
      <c r="L4" s="393"/>
      <c r="N4" s="394">
        <f>T27</f>
        <v>84</v>
      </c>
      <c r="O4" s="393"/>
      <c r="P4" s="393"/>
    </row>
    <row r="5" spans="2:21" s="215" customFormat="1" x14ac:dyDescent="0.35">
      <c r="B5" s="384" t="str">
        <f>CONCATENATE(ROUNDDOWN(B4/22000.5,0)," ISOTANK")</f>
        <v>20 ISOTANK</v>
      </c>
      <c r="C5" s="384"/>
      <c r="D5" s="384"/>
      <c r="F5" s="384" t="str">
        <f>CONCATENATE(ROUNDDOWN(F4/22000.5,0)," ISOTANK")</f>
        <v>22 ISOTANK</v>
      </c>
      <c r="G5" s="384"/>
      <c r="H5" s="384"/>
      <c r="J5" s="384" t="str">
        <f>CONCATENATE(ROUNDDOWN(J4/22000.5,0)," ISOTANK")</f>
        <v>2 ISOTANK</v>
      </c>
      <c r="K5" s="384"/>
      <c r="L5" s="384"/>
      <c r="N5" s="395"/>
      <c r="O5" s="395"/>
      <c r="P5" s="395"/>
    </row>
    <row r="9" spans="2:21" ht="18.5" x14ac:dyDescent="0.45">
      <c r="B9" s="362" t="s">
        <v>549</v>
      </c>
      <c r="P9" s="358"/>
    </row>
    <row r="10" spans="2:21" ht="29" x14ac:dyDescent="0.35">
      <c r="B10" s="396" t="s">
        <v>211</v>
      </c>
      <c r="C10" s="397" t="s">
        <v>564</v>
      </c>
      <c r="D10" s="397" t="s">
        <v>565</v>
      </c>
      <c r="E10" s="391" t="s">
        <v>542</v>
      </c>
      <c r="F10" s="398" t="s">
        <v>540</v>
      </c>
      <c r="G10" s="398"/>
      <c r="H10" s="399" t="s">
        <v>548</v>
      </c>
      <c r="I10" s="399"/>
      <c r="J10" s="385" t="s">
        <v>546</v>
      </c>
      <c r="K10" s="385"/>
      <c r="L10" s="386" t="s">
        <v>547</v>
      </c>
      <c r="M10" s="386"/>
      <c r="N10" s="387" t="s">
        <v>541</v>
      </c>
      <c r="O10" s="388"/>
      <c r="P10" s="355" t="s">
        <v>544</v>
      </c>
      <c r="Q10" s="253" t="s">
        <v>545</v>
      </c>
      <c r="R10" s="389" t="s">
        <v>543</v>
      </c>
      <c r="S10" s="390"/>
      <c r="T10" s="391" t="s">
        <v>555</v>
      </c>
    </row>
    <row r="11" spans="2:21" ht="29" x14ac:dyDescent="0.35">
      <c r="B11" s="396"/>
      <c r="C11" s="397"/>
      <c r="D11" s="397"/>
      <c r="E11" s="391"/>
      <c r="F11" s="378" t="s">
        <v>14</v>
      </c>
      <c r="G11" s="378" t="s">
        <v>528</v>
      </c>
      <c r="H11" s="379" t="s">
        <v>537</v>
      </c>
      <c r="I11" s="379" t="s">
        <v>574</v>
      </c>
      <c r="J11" s="380" t="s">
        <v>537</v>
      </c>
      <c r="K11" s="380" t="s">
        <v>538</v>
      </c>
      <c r="L11" s="381" t="s">
        <v>537</v>
      </c>
      <c r="M11" s="381" t="s">
        <v>538</v>
      </c>
      <c r="N11" s="382" t="s">
        <v>567</v>
      </c>
      <c r="O11" s="382" t="s">
        <v>568</v>
      </c>
      <c r="P11" s="377" t="s">
        <v>573</v>
      </c>
      <c r="Q11" s="383" t="s">
        <v>538</v>
      </c>
      <c r="R11" s="381" t="s">
        <v>537</v>
      </c>
      <c r="S11" s="381" t="s">
        <v>538</v>
      </c>
      <c r="T11" s="391"/>
    </row>
    <row r="12" spans="2:21" ht="16" x14ac:dyDescent="0.35">
      <c r="B12" s="323" t="s">
        <v>236</v>
      </c>
      <c r="C12" s="333">
        <v>200000</v>
      </c>
      <c r="D12" s="333"/>
      <c r="E12" s="324">
        <f>SUMIFS('SUM ISOTANK'!G:G, 'SUM ISOTANK'!B:B, "SOC ROLIMEX", 'SUM ISOTANK'!H:H, "&gt;="&amp;DATE(2026,7,1), 'SUM ISOTANK'!H:H, "&lt;="&amp;DATE(2026,7,31))</f>
        <v>92000</v>
      </c>
      <c r="F12" s="325">
        <f>IFERROR(GETPIVOTDATA("Count of TANK ID",'SUM ISOTANK'!$L$1,"Vendor","SOC ROLIMEX","STATUS","EMPTY","LOCATION","WAREHOUSE"),0) + IFERROR(GETPIVOTDATA("Count of TANK ID",'SUM ISOTANK'!$L$1,"Vendor","SOC ROLIMEX","STATUS","EMPTY","LOCATION","25KT"),0)</f>
        <v>4</v>
      </c>
      <c r="G12" s="333">
        <f>IFERROR(GETPIVOTDATA("Count of TANK ID",'SUM ISOTANK'!$L$1,"Vendor","SOC ROLIMEX","STATUS","FULL","LOCATION","WAREHOUSE"),0) + IFERROR(GETPIVOTDATA("Count of TANK ID",'SUM ISOTANK'!$L$1,"Vendor","SOC ROLIMEX","STATUS","FULL","LOCATION","25KT"),0)+IFERROR(GETPIVOTDATA("Count of TANK ID",'SUM ISOTANK'!$L$1,"Vendor","SOC ROLIMEX","STATUS","INSTALL","LOCATION","25KT"),0)+IFERROR(GETPIVOTDATA("Count of TANK ID",'SUM ISOTANK'!$L$1,"Vendor","SOC ROLIMEX","STATUS","INSTALL","LOCATION","WAREHOUSE"),0)</f>
        <v>2</v>
      </c>
      <c r="H12" s="326">
        <f>GETPIVOTDATA("Count of TANK ID",'SUM ISOTANK'!$L$1,"Vendor","SOC ROLIMEX","STATUS","FULL","LOCATION","INBOUND- KOE WTR")</f>
        <v>11</v>
      </c>
      <c r="I12" s="327">
        <f>GETPIVOTDATA("Sum of Qty PO",'SUM ISOTANK'!$L$1,"Vendor","SOC ROLIMEX","STATUS","FULL","LOCATION","INBOUND- KOE WTR")</f>
        <v>220980</v>
      </c>
      <c r="J12" s="328">
        <f>GETPIVOTDATA("Count of TANK ID",'SUM ISOTANK'!$L$1,"Vendor","SOC ROLIMEX","STATUS","FULL","LOCATION","INBOUND - SUB KOE")</f>
        <v>2</v>
      </c>
      <c r="K12" s="329">
        <f>IFERROR(GETPIVOTDATA("Sum of Qty PO",'SUM ISOTANK'!$L$1,"Vendor","SOC ROLIMEX","STATUS","FULL","LOCATION","INBOUND - SUB KOE"),0)</f>
        <v>40510</v>
      </c>
      <c r="L12" s="330">
        <f>IFERROR(GETPIVOTDATA("Count of TANK ID",#REF!,"Vendor","SOC ROLIMEX","STATUS","FULL","LOCATION","INBOUND - HUB SUB"), 0)</f>
        <v>0</v>
      </c>
      <c r="M12" s="330">
        <f>IFERROR(GETPIVOTDATA("Sum of Qty PO",'SUM ISOTANK'!$L$1,"Vendor","SOC ROLIMEX","STATUS","FULL","LOCATION","INBOUND - HUB SUB"), 0)</f>
        <v>0</v>
      </c>
      <c r="N12" s="332">
        <v>0</v>
      </c>
      <c r="O12" s="332">
        <v>2</v>
      </c>
      <c r="P12" s="357">
        <f>SUM(M12,K12,I12)</f>
        <v>261490</v>
      </c>
      <c r="Q12" s="324">
        <f>SUM(M12,K12,I12)-E12</f>
        <v>169490</v>
      </c>
      <c r="R12" s="325"/>
      <c r="S12" s="324"/>
      <c r="T12" s="325">
        <f>SUM(F12,G12,H12,J12,L12,N12,O12)</f>
        <v>21</v>
      </c>
    </row>
    <row r="13" spans="2:21" ht="16" x14ac:dyDescent="0.35">
      <c r="B13" s="323" t="s">
        <v>494</v>
      </c>
      <c r="C13" s="333">
        <v>250000</v>
      </c>
      <c r="D13" s="333">
        <v>12500</v>
      </c>
      <c r="E13" s="324">
        <v>250000</v>
      </c>
      <c r="F13" s="325">
        <f>IFERROR(GETPIVOTDATA("Count of TANK ID",'SUM ISOTANK'!$L$1,"Vendor","SOC DJE","STATUS","EMPTY","LOCATION","WAREHOUSE"),0) + IFERROR(GETPIVOTDATA("Count of TANK ID",'SUM ISOTANK'!$L$1,"Vendor","SOC DJE","STATUS","EMPTY","LOCATION","25KT"),0)</f>
        <v>6</v>
      </c>
      <c r="G13" s="333">
        <f>IFERROR(GETPIVOTDATA("Count of TANK ID",'SUM ISOTANK'!$L$1,"Vendor","SOC DJE","STATUS","FULL","LOCATION","WAREHOUSE"),0) + IFERROR(GETPIVOTDATA("Count of TANK ID",'SUM ISOTANK'!$L$1,"Vendor","SOC DJE","STATUS","FULL","LOCATION","25KT"),0)+IFERROR(GETPIVOTDATA("Count of TANK ID",'SUM ISOTANK'!$L$1,"Vendor","SOC DJE","STATUS","INSTALL","LOCATION","25KT"),0)+IFERROR(GETPIVOTDATA("Count of TANK ID",'SUM ISOTANK'!$L$1,"Vendor","SOC DJE","STATUS","INSTALL","LOCATION","WAREHOUSE"),0)</f>
        <v>9</v>
      </c>
      <c r="H13" s="326">
        <f>GETPIVOTDATA("Count of TANK ID",'SUM ISOTANK'!$L$1,"Vendor","SOC DJE","STATUS","FULL","LOCATION","INBOUND- KOE WTR")</f>
        <v>8</v>
      </c>
      <c r="I13" s="327">
        <f>IFERROR(GETPIVOTDATA("Sum of Qty PO",'SUM ISOTANK'!$L$1,"Vendor","SOC DJE","STATUS","FULL","LOCATION","INBOUND- KOE WTR"), 0)</f>
        <v>168440</v>
      </c>
      <c r="J13" s="328">
        <f>GETPIVOTDATA("Count of TANK ID",'SUM ISOTANK'!$L$1,"Vendor","SOC DJE","STATUS","FULL","LOCATION","INBOUND - SUB KOE")</f>
        <v>2</v>
      </c>
      <c r="K13" s="329">
        <f>IFERROR(GETPIVOTDATA("Sum of Qty PO",'SUM ISOTANK'!$L$1,"Vendor","SOC DJE","STATUS","FULL","LOCATION","INBOUND - SUB KOE"),0)</f>
        <v>41930</v>
      </c>
      <c r="L13" s="330">
        <f>IFERROR(GETPIVOTDATA("Count of TANK ID",#REF!,"Vendor","SOC DJE","STATUS","FULL","LOCATION","INBOUND - HUB SUB"), 0)</f>
        <v>0</v>
      </c>
      <c r="M13" s="330">
        <f>IFERROR(GETPIVOTDATA("Sum of Qty PO",'SUM ISOTANK'!$L$1,"Vendor","SOC DJE","STATUS","FULL","LOCATION","INBOUND - HUB SUB"), 0)</f>
        <v>0</v>
      </c>
      <c r="N13" s="332">
        <v>0</v>
      </c>
      <c r="O13" s="332">
        <v>0</v>
      </c>
      <c r="P13" s="357">
        <f t="shared" ref="P13:P15" si="0">SUM(M13,K13,I13)</f>
        <v>210370</v>
      </c>
      <c r="Q13" s="324">
        <f t="shared" ref="Q13:Q15" si="1">SUM(M13,K13,I13)-E13</f>
        <v>-39630</v>
      </c>
      <c r="R13" s="325">
        <v>5</v>
      </c>
      <c r="S13" s="370">
        <v>103620</v>
      </c>
      <c r="T13" s="325">
        <f>SUM(F13,G13,H13,J13,L13,N13,O13)</f>
        <v>25</v>
      </c>
      <c r="U13" s="363"/>
    </row>
    <row r="14" spans="2:21" ht="16" x14ac:dyDescent="0.35">
      <c r="B14" s="323" t="s">
        <v>452</v>
      </c>
      <c r="C14" s="333">
        <v>200000</v>
      </c>
      <c r="D14" s="333"/>
      <c r="E14" s="324">
        <v>200000</v>
      </c>
      <c r="F14" s="325">
        <f>IFERROR(GETPIVOTDATA("Count of TANK ID",'SUM ISOTANK'!$L$1,"Vendor","ENERGI JAYA INOVASI PT","STATUS","EMPTY","LOCATION","WAREHOUSE"),0) + IFERROR(GETPIVOTDATA("Count of TANK ID",'SUM ISOTANK'!$L$1,"Vendor","ENERGI JAYA INOVASI PT","STATUS","EMPTY","LOCATION","25KT"),0)</f>
        <v>0</v>
      </c>
      <c r="G14" s="333">
        <f>IFERROR(GETPIVOTDATA("Count of TANK ID",'SUM ISOTANK'!$L$1,"Vendor","ENERGI JAYA INOVASI, PT","STATUS","FULL","LOCATION","WAREHOUSE"),0) + IFERROR(GETPIVOTDATA("Count of TANK ID",'SUM ISOTANK'!$L$1,"Vendor","ENERGI JAYA INOVASI, PT","STATUS","FULL","LOCATION","25KT"),0)</f>
        <v>4</v>
      </c>
      <c r="H14" s="326">
        <v>4</v>
      </c>
      <c r="I14" s="327">
        <f>IFERROR(GETPIVOTDATA("Sum of Qty PO",'SUM ISOTANK'!$L$1,"Vendor","ENERGI JAYA INOVASI, PT","STATUS","FULL","LOCATION","INBOUND- KOE WTR"), 0)</f>
        <v>80240</v>
      </c>
      <c r="J14" s="328">
        <f>GETPIVOTDATA("Count of TANK ID",'SUM ISOTANK'!$L$1,"Vendor","ENERGI JAYA INOVASI, PT","STATUS","FULL","LOCATION","INBOUND - SUB KOE")</f>
        <v>1</v>
      </c>
      <c r="K14" s="329">
        <f>IFERROR(GETPIVOTDATA("Sum of Qty PO",'SUM ISOTANK'!$L$1,"Vendor","ENERGI JAYA INOVASI, PT","STATUS","FULL","LOCATION","INBOUND - SUB KOE"),0)</f>
        <v>22000</v>
      </c>
      <c r="L14" s="330">
        <f>IFERROR(GETPIVOTDATA("Count of TANK ID",#REF!,"Vendor","ENERGI JAYA INOVASI, PT","STATUS","FULL","LOCATION","INBOUND - HUB SUB"), 0)</f>
        <v>0</v>
      </c>
      <c r="M14" s="330">
        <f>IFERROR(GETPIVOTDATA("Sum of Qty PO",'SUM ISOTANK'!$L$1,"Vendor","ENERGI JAYA INOVASI, PT","STATUS","FULL","LOCATION","INBOUND - HUB SUB"), 0)</f>
        <v>0</v>
      </c>
      <c r="N14" s="332">
        <v>0</v>
      </c>
      <c r="O14" s="332">
        <v>0</v>
      </c>
      <c r="P14" s="357">
        <f t="shared" si="0"/>
        <v>102240</v>
      </c>
      <c r="Q14" s="324">
        <f t="shared" si="1"/>
        <v>-97760</v>
      </c>
      <c r="R14" s="325"/>
      <c r="S14" s="324"/>
      <c r="T14" s="325">
        <f>SUM(F14,G14,H14,J14,L14,N14,O14)</f>
        <v>9</v>
      </c>
    </row>
    <row r="15" spans="2:21" ht="16" x14ac:dyDescent="0.35">
      <c r="B15" s="323" t="s">
        <v>497</v>
      </c>
      <c r="C15" s="333">
        <v>150000</v>
      </c>
      <c r="D15" s="333"/>
      <c r="E15" s="324">
        <v>150000</v>
      </c>
      <c r="F15" s="325">
        <f>IFERROR(GETPIVOTDATA("Count of TANK ID",'SUM ISOTANK'!$L$1,"Vendor","ADIMITRA PRIMA LESTARI, PT","STATUS","EMPTY","LOCATION","WAREHOUSE"),0) + IFERROR(GETPIVOTDATA("Count of TANK ID",'SUM ISOTANK'!$L$1,"Vendor","ADIMITRA PRIMA LESTARI, PT","STATUS","EMPTY","LOCATION","25KT"),0)</f>
        <v>0</v>
      </c>
      <c r="G15" s="333">
        <f>IFERROR(GETPIVOTDATA("Count of TANK ID",'SUM ISOTANK'!$L$1,"Vendor","ADIMITRA PRIMA LESTARI, PT","STATUS","FULL","LOCATION","WAREHOUSE"),0) + IFERROR(GETPIVOTDATA("Count of TANK ID",'SUM ISOTANK'!$L$1,"Vendor","ADIMITRA PRIMA LESTARI, PT","STATUS","FULL","LOCATION","25KT"),0)</f>
        <v>1</v>
      </c>
      <c r="H15" s="326">
        <f>GETPIVOTDATA("Count of TANK ID",'SUM ISOTANK'!$L$1,"Vendor","ADIMITRA PRIMA LESTARI, PT","STATUS","FULL","LOCATION","INBOUND- KOE WTR")</f>
        <v>16</v>
      </c>
      <c r="I15" s="327">
        <f>IFERROR(GETPIVOTDATA("Sum of Qty PO",'SUM ISOTANK'!$L$1,"Vendor","ADIMITRA PRIMA LESTARI, PT","STATUS","FULL","LOCATION","INBOUND- KOE WTR"), 0)</f>
        <v>367000</v>
      </c>
      <c r="J15" s="328">
        <f>GETPIVOTDATA("Count of TANK ID",'SUM ISOTANK'!$L$1,"Vendor","ADIMITRA PRIMA LESTARI, PT","STATUS","FULL","LOCATION","INBOUND - SUB KOE")</f>
        <v>2</v>
      </c>
      <c r="K15" s="329">
        <f>IFERROR(GETPIVOTDATA("Sum of Qty PO",'SUM ISOTANK'!$L$1,"Vendor","ADIMITRA PRIMA LESTARI, PT","STATUS","FULL","LOCATION","INBOUND - SUB KOE"),0)</f>
        <v>44000</v>
      </c>
      <c r="L15" s="330">
        <f>IFERROR(GETPIVOTDATA("Count of TANK ID",#REF!,"Vendor","ADIMITRA PRIMA LESTARI, PT","STATUS","FULL","LOCATION","INBOUND - HUB SUB"), 0)</f>
        <v>0</v>
      </c>
      <c r="M15" s="330">
        <f>IFERROR(GETPIVOTDATA("Sum of Qty PO",'SUM ISOTANK'!$L$1,"Vendor","ADIMITRA PRIMA LESTARI, PT","STATUS","FULL","LOCATION","INBOUND - HUB SUB"), 0)</f>
        <v>0</v>
      </c>
      <c r="N15" s="332">
        <v>0</v>
      </c>
      <c r="O15" s="332">
        <v>0</v>
      </c>
      <c r="P15" s="357">
        <f t="shared" si="0"/>
        <v>411000</v>
      </c>
      <c r="Q15" s="324">
        <f t="shared" si="1"/>
        <v>261000</v>
      </c>
      <c r="R15" s="325"/>
      <c r="S15" s="324"/>
      <c r="T15" s="325">
        <f>SUM(F15,G15,H15,J15,L15,N15,O15)</f>
        <v>19</v>
      </c>
    </row>
    <row r="16" spans="2:21" ht="16" x14ac:dyDescent="0.35">
      <c r="B16" s="368" t="s">
        <v>529</v>
      </c>
      <c r="C16" s="369">
        <f>SUM(C12:C15)</f>
        <v>800000</v>
      </c>
      <c r="E16" s="369">
        <f t="shared" ref="E16" si="2">SUM(E12:E15)</f>
        <v>692000</v>
      </c>
      <c r="F16" s="369">
        <f t="shared" ref="F16" si="3">SUM(F12:F15)</f>
        <v>10</v>
      </c>
      <c r="G16" s="369">
        <f t="shared" ref="G16" si="4">SUM(G12:G15)</f>
        <v>16</v>
      </c>
      <c r="H16" s="369">
        <f t="shared" ref="H16" si="5">SUM(H12:H15)</f>
        <v>39</v>
      </c>
      <c r="I16" s="369">
        <f t="shared" ref="I16" si="6">SUM(I12:I15)</f>
        <v>836660</v>
      </c>
      <c r="J16" s="369">
        <f t="shared" ref="J16" si="7">SUM(J12:J15)</f>
        <v>7</v>
      </c>
      <c r="K16" s="369">
        <f t="shared" ref="K16" si="8">SUM(K12:K15)</f>
        <v>148440</v>
      </c>
      <c r="L16" s="369">
        <f t="shared" ref="L16" si="9">SUM(L12:L15)</f>
        <v>0</v>
      </c>
      <c r="M16" s="369">
        <f t="shared" ref="M16" si="10">SUM(M12:M15)</f>
        <v>0</v>
      </c>
      <c r="N16" s="369">
        <f t="shared" ref="N16" si="11">SUM(N12:N15)</f>
        <v>0</v>
      </c>
      <c r="O16" s="369">
        <f t="shared" ref="O16" si="12">SUM(O12:O15)</f>
        <v>2</v>
      </c>
      <c r="P16" s="369">
        <f t="shared" ref="P16" si="13">SUM(P12:P15)</f>
        <v>985100</v>
      </c>
      <c r="Q16" s="369">
        <f t="shared" ref="Q16" si="14">SUM(Q12:Q15)</f>
        <v>293100</v>
      </c>
      <c r="R16" s="369">
        <f t="shared" ref="R16" si="15">SUM(R12:R15)</f>
        <v>5</v>
      </c>
      <c r="S16" s="361">
        <f t="shared" ref="S16" si="16">SUM(S12:S15)</f>
        <v>103620</v>
      </c>
      <c r="T16" s="371">
        <f>SUM(T12:T15)</f>
        <v>74</v>
      </c>
    </row>
    <row r="17" spans="2:20" x14ac:dyDescent="0.35">
      <c r="C17" s="28"/>
      <c r="D17" s="28"/>
    </row>
    <row r="18" spans="2:20" ht="18.5" x14ac:dyDescent="0.45">
      <c r="B18" s="362" t="s">
        <v>550</v>
      </c>
      <c r="C18" s="28"/>
      <c r="D18" s="28"/>
      <c r="Q18" s="358"/>
    </row>
    <row r="19" spans="2:20" ht="29" x14ac:dyDescent="0.35">
      <c r="B19" s="396" t="s">
        <v>211</v>
      </c>
      <c r="C19" s="397" t="s">
        <v>564</v>
      </c>
      <c r="D19" s="397" t="s">
        <v>565</v>
      </c>
      <c r="E19" s="391" t="s">
        <v>553</v>
      </c>
      <c r="F19" s="398" t="s">
        <v>540</v>
      </c>
      <c r="G19" s="398"/>
      <c r="H19" s="399" t="s">
        <v>548</v>
      </c>
      <c r="I19" s="399"/>
      <c r="J19" s="385" t="s">
        <v>546</v>
      </c>
      <c r="K19" s="385"/>
      <c r="L19" s="386" t="s">
        <v>547</v>
      </c>
      <c r="M19" s="386"/>
      <c r="N19" s="387" t="s">
        <v>541</v>
      </c>
      <c r="O19" s="388"/>
      <c r="P19" s="355" t="s">
        <v>544</v>
      </c>
      <c r="Q19" s="253" t="s">
        <v>545</v>
      </c>
      <c r="R19" s="389" t="s">
        <v>554</v>
      </c>
      <c r="S19" s="390"/>
      <c r="T19" s="391" t="s">
        <v>555</v>
      </c>
    </row>
    <row r="20" spans="2:20" x14ac:dyDescent="0.35">
      <c r="B20" s="396"/>
      <c r="C20" s="397"/>
      <c r="D20" s="397"/>
      <c r="E20" s="391"/>
      <c r="F20" s="292" t="s">
        <v>14</v>
      </c>
      <c r="G20" s="292" t="s">
        <v>528</v>
      </c>
      <c r="H20" s="239" t="s">
        <v>537</v>
      </c>
      <c r="I20" s="239" t="s">
        <v>538</v>
      </c>
      <c r="J20" s="241" t="s">
        <v>537</v>
      </c>
      <c r="K20" s="241" t="s">
        <v>538</v>
      </c>
      <c r="L20" s="243" t="s">
        <v>537</v>
      </c>
      <c r="M20" s="243" t="s">
        <v>538</v>
      </c>
      <c r="N20" s="245" t="s">
        <v>567</v>
      </c>
      <c r="O20" s="245" t="s">
        <v>568</v>
      </c>
      <c r="P20" s="356" t="s">
        <v>539</v>
      </c>
      <c r="Q20" s="254" t="s">
        <v>538</v>
      </c>
      <c r="R20" s="243" t="s">
        <v>537</v>
      </c>
      <c r="S20" s="243" t="s">
        <v>538</v>
      </c>
      <c r="T20" s="391"/>
    </row>
    <row r="21" spans="2:20" ht="16" x14ac:dyDescent="0.35">
      <c r="B21" s="323" t="s">
        <v>236</v>
      </c>
      <c r="C21" s="333">
        <v>300000</v>
      </c>
      <c r="D21" s="333">
        <v>10999</v>
      </c>
      <c r="E21" s="324">
        <f>SUMIFS('SUM ISOTANK'!G:G, 'SUM ISOTANK'!B:B, "SOC ROLIMEX", 'SUM ISOTANK'!H:H, "&gt;="&amp;DATE(2026,7,1), 'SUM ISOTANK'!H:H, "&lt;="&amp;DATE(2026,7,31))</f>
        <v>92000</v>
      </c>
      <c r="F21" s="325">
        <v>0</v>
      </c>
      <c r="G21" s="333">
        <v>0</v>
      </c>
      <c r="H21" s="326">
        <v>0</v>
      </c>
      <c r="I21" s="327">
        <v>0</v>
      </c>
      <c r="J21" s="328">
        <v>0</v>
      </c>
      <c r="K21" s="329">
        <v>0</v>
      </c>
      <c r="L21" s="330"/>
      <c r="M21" s="331"/>
      <c r="N21" s="332">
        <v>4</v>
      </c>
      <c r="O21" s="332">
        <v>0</v>
      </c>
      <c r="P21" s="357">
        <f>SUM(M21,K21,I21)</f>
        <v>0</v>
      </c>
      <c r="Q21" s="324">
        <f>SUM(M21,K21,I21)-E21</f>
        <v>-92000</v>
      </c>
      <c r="R21" s="325">
        <f>T12-N21-O21</f>
        <v>17</v>
      </c>
      <c r="S21" s="360">
        <f>P12</f>
        <v>261490</v>
      </c>
      <c r="T21" s="325">
        <f>SUM(F21,G21,H21,J21,L21,N21,O21)</f>
        <v>4</v>
      </c>
    </row>
    <row r="22" spans="2:20" ht="16" x14ac:dyDescent="0.35">
      <c r="B22" s="323" t="s">
        <v>494</v>
      </c>
      <c r="C22" s="333">
        <v>350000</v>
      </c>
      <c r="D22" s="333">
        <v>12000</v>
      </c>
      <c r="E22" s="324">
        <f>SUMIFS('SUM ISOTANK'!G:G, 'SUM ISOTANK'!B:B, "SOC DJE", 'SUM ISOTANK'!H:H, "&gt;="&amp;DATE(2026,7,1), 'SUM ISOTANK'!H:H, "&lt;="&amp;DATE(2026,7,31))</f>
        <v>115000</v>
      </c>
      <c r="F22" s="325">
        <v>0</v>
      </c>
      <c r="G22" s="333">
        <v>0</v>
      </c>
      <c r="H22" s="326">
        <v>0</v>
      </c>
      <c r="I22" s="327">
        <v>0</v>
      </c>
      <c r="J22" s="328">
        <v>0</v>
      </c>
      <c r="K22" s="329">
        <v>0</v>
      </c>
      <c r="L22" s="330"/>
      <c r="M22" s="331"/>
      <c r="N22" s="332">
        <v>6</v>
      </c>
      <c r="O22" s="332">
        <v>0</v>
      </c>
      <c r="P22" s="357">
        <f t="shared" ref="P22:P24" si="17">SUM(M22,K22,I22)</f>
        <v>0</v>
      </c>
      <c r="Q22" s="324">
        <f t="shared" ref="Q22:Q24" si="18">SUM(M22,K22,I22)-E22</f>
        <v>-115000</v>
      </c>
      <c r="R22" s="325">
        <f>T13-N22-O22</f>
        <v>19</v>
      </c>
      <c r="S22" s="360">
        <f t="shared" ref="S22:S24" si="19">P13</f>
        <v>210370</v>
      </c>
      <c r="T22" s="325">
        <f>SUM(F22,G22,H22,J22,L22,N22,O22)</f>
        <v>6</v>
      </c>
    </row>
    <row r="23" spans="2:20" ht="16" x14ac:dyDescent="0.35">
      <c r="B23" s="323" t="s">
        <v>452</v>
      </c>
      <c r="C23" s="333">
        <v>176000</v>
      </c>
      <c r="D23" s="333">
        <v>12500</v>
      </c>
      <c r="E23" s="324">
        <f>SUMIFS('SUM ISOTANK'!G:G, 'SUM ISOTANK'!B:B, "ENERGI JAYA INOVASI, PT", 'SUM ISOTANK'!H:H, "&gt;="&amp;DATE(2026,7,1), 'SUM ISOTANK'!H:H, "&lt;="&amp;DATE(2026,7,31))</f>
        <v>0</v>
      </c>
      <c r="F23" s="325">
        <v>0</v>
      </c>
      <c r="G23" s="333">
        <v>0</v>
      </c>
      <c r="H23" s="326">
        <v>0</v>
      </c>
      <c r="I23" s="327">
        <v>0</v>
      </c>
      <c r="J23" s="328">
        <v>0</v>
      </c>
      <c r="K23" s="329">
        <v>0</v>
      </c>
      <c r="L23" s="330"/>
      <c r="M23" s="331"/>
      <c r="N23" s="332"/>
      <c r="O23" s="332"/>
      <c r="P23" s="357">
        <f t="shared" si="17"/>
        <v>0</v>
      </c>
      <c r="Q23" s="324">
        <f t="shared" si="18"/>
        <v>0</v>
      </c>
      <c r="R23" s="325">
        <f>T14-N23-O23</f>
        <v>9</v>
      </c>
      <c r="S23" s="360">
        <f t="shared" si="19"/>
        <v>102240</v>
      </c>
      <c r="T23" s="325">
        <f>SUM(F23,G23,H23,J23,L23,N23,O23)</f>
        <v>0</v>
      </c>
    </row>
    <row r="24" spans="2:20" ht="15" customHeight="1" x14ac:dyDescent="0.35">
      <c r="B24" s="323" t="s">
        <v>497</v>
      </c>
      <c r="C24" s="333">
        <v>220000</v>
      </c>
      <c r="D24" s="333">
        <v>15000</v>
      </c>
      <c r="E24" s="324">
        <f>SUMIFS('SUM ISOTANK'!G:G, 'SUM ISOTANK'!B:B, "ADIMITRA PRIMA LESTARI, PT", 'SUM ISOTANK'!H:H, "&gt;="&amp;DATE(2026,7,1), 'SUM ISOTANK'!H:H, "&lt;="&amp;DATE(2026,7,31))</f>
        <v>92000</v>
      </c>
      <c r="F24" s="325">
        <v>0</v>
      </c>
      <c r="G24" s="333">
        <v>0</v>
      </c>
      <c r="H24" s="326">
        <v>0</v>
      </c>
      <c r="I24" s="327">
        <v>0</v>
      </c>
      <c r="J24" s="328">
        <v>0</v>
      </c>
      <c r="K24" s="329">
        <v>0</v>
      </c>
      <c r="L24" s="330"/>
      <c r="M24" s="331"/>
      <c r="N24" s="332"/>
      <c r="O24" s="332"/>
      <c r="P24" s="357">
        <f t="shared" si="17"/>
        <v>0</v>
      </c>
      <c r="Q24" s="324">
        <f t="shared" si="18"/>
        <v>-92000</v>
      </c>
      <c r="R24" s="325">
        <f>T15-N24-O24</f>
        <v>19</v>
      </c>
      <c r="S24" s="360">
        <f t="shared" si="19"/>
        <v>411000</v>
      </c>
      <c r="T24" s="325">
        <f>SUM(F24,G24,H24,J24,L24,N24,O24)</f>
        <v>0</v>
      </c>
    </row>
    <row r="25" spans="2:20" ht="16" x14ac:dyDescent="0.35">
      <c r="B25" s="368" t="s">
        <v>529</v>
      </c>
      <c r="C25" s="369">
        <f>SUM(C21:C24)</f>
        <v>1046000</v>
      </c>
      <c r="E25" s="369">
        <f t="shared" ref="E25:Q25" si="20">SUM(E21:E24)</f>
        <v>299000</v>
      </c>
      <c r="F25" s="369">
        <f t="shared" si="20"/>
        <v>0</v>
      </c>
      <c r="G25" s="369">
        <f t="shared" si="20"/>
        <v>0</v>
      </c>
      <c r="H25" s="369">
        <f t="shared" si="20"/>
        <v>0</v>
      </c>
      <c r="I25" s="369">
        <f t="shared" si="20"/>
        <v>0</v>
      </c>
      <c r="J25" s="369">
        <f t="shared" si="20"/>
        <v>0</v>
      </c>
      <c r="K25" s="369">
        <f t="shared" si="20"/>
        <v>0</v>
      </c>
      <c r="L25" s="369">
        <f t="shared" si="20"/>
        <v>0</v>
      </c>
      <c r="M25" s="369">
        <f t="shared" si="20"/>
        <v>0</v>
      </c>
      <c r="N25" s="369">
        <f t="shared" si="20"/>
        <v>10</v>
      </c>
      <c r="O25" s="369">
        <f t="shared" si="20"/>
        <v>0</v>
      </c>
      <c r="P25" s="369">
        <f t="shared" si="20"/>
        <v>0</v>
      </c>
      <c r="Q25" s="369">
        <f t="shared" si="20"/>
        <v>-299000</v>
      </c>
      <c r="R25" s="359">
        <f t="shared" ref="R25:S25" si="21">SUM(R21:R24)</f>
        <v>64</v>
      </c>
      <c r="S25" s="361">
        <f t="shared" si="21"/>
        <v>985100</v>
      </c>
      <c r="T25" s="367">
        <f>SUM(T21:T24)</f>
        <v>10</v>
      </c>
    </row>
    <row r="26" spans="2:20" ht="16" x14ac:dyDescent="0.35">
      <c r="Q26" s="366"/>
    </row>
    <row r="27" spans="2:20" x14ac:dyDescent="0.35">
      <c r="S27" s="373" t="s">
        <v>563</v>
      </c>
      <c r="T27" s="372">
        <f>T16+T25</f>
        <v>84</v>
      </c>
    </row>
    <row r="28" spans="2:20" x14ac:dyDescent="0.35">
      <c r="G28">
        <f>35*21000</f>
        <v>735000</v>
      </c>
    </row>
    <row r="29" spans="2:20" x14ac:dyDescent="0.35">
      <c r="G29">
        <v>176000</v>
      </c>
    </row>
    <row r="30" spans="2:20" x14ac:dyDescent="0.35">
      <c r="G30">
        <f>G29/22000</f>
        <v>8</v>
      </c>
    </row>
  </sheetData>
  <mergeCells count="34">
    <mergeCell ref="B3:D3"/>
    <mergeCell ref="B4:D4"/>
    <mergeCell ref="F3:H3"/>
    <mergeCell ref="J3:L3"/>
    <mergeCell ref="B10:B11"/>
    <mergeCell ref="C10:C11"/>
    <mergeCell ref="E10:E11"/>
    <mergeCell ref="F10:G10"/>
    <mergeCell ref="H10:I10"/>
    <mergeCell ref="F4:H4"/>
    <mergeCell ref="J4:L4"/>
    <mergeCell ref="J10:K10"/>
    <mergeCell ref="L10:M10"/>
    <mergeCell ref="D10:D11"/>
    <mergeCell ref="B5:D5"/>
    <mergeCell ref="J5:L5"/>
    <mergeCell ref="B19:B20"/>
    <mergeCell ref="C19:C20"/>
    <mergeCell ref="E19:E20"/>
    <mergeCell ref="F19:G19"/>
    <mergeCell ref="H19:I19"/>
    <mergeCell ref="D19:D20"/>
    <mergeCell ref="T19:T20"/>
    <mergeCell ref="R10:S10"/>
    <mergeCell ref="T10:T11"/>
    <mergeCell ref="N3:P3"/>
    <mergeCell ref="N4:P4"/>
    <mergeCell ref="N10:O10"/>
    <mergeCell ref="N5:P5"/>
    <mergeCell ref="F5:H5"/>
    <mergeCell ref="J19:K19"/>
    <mergeCell ref="L19:M19"/>
    <mergeCell ref="N19:O19"/>
    <mergeCell ref="R19:S19"/>
  </mergeCells>
  <conditionalFormatting sqref="Q12:Q15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Q21:Q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00C7-7BF2-4C7D-9610-884DCE64849B}">
  <sheetPr>
    <tabColor rgb="FF7030A0"/>
  </sheetPr>
  <dimension ref="A1:P298"/>
  <sheetViews>
    <sheetView tabSelected="1" topLeftCell="C1" zoomScale="72" workbookViewId="0">
      <selection activeCell="O5" sqref="O5:O7"/>
    </sheetView>
  </sheetViews>
  <sheetFormatPr defaultRowHeight="14.5" x14ac:dyDescent="0.35"/>
  <cols>
    <col min="1" max="1" width="12.54296875" bestFit="1" customWidth="1"/>
    <col min="2" max="2" width="25.54296875" bestFit="1" customWidth="1"/>
    <col min="3" max="3" width="18" customWidth="1"/>
    <col min="4" max="4" width="12.453125" customWidth="1"/>
    <col min="5" max="5" width="20.81640625" customWidth="1"/>
    <col min="6" max="6" width="10" customWidth="1"/>
    <col min="7" max="7" width="13.81640625" customWidth="1"/>
    <col min="8" max="8" width="14.54296875" style="365" bestFit="1" customWidth="1"/>
    <col min="12" max="12" width="25.54296875" bestFit="1" customWidth="1"/>
    <col min="13" max="13" width="12.90625" bestFit="1" customWidth="1"/>
    <col min="14" max="14" width="18.1796875" bestFit="1" customWidth="1"/>
    <col min="15" max="15" width="16" bestFit="1" customWidth="1"/>
    <col min="16" max="16" width="13.7265625" bestFit="1" customWidth="1"/>
    <col min="17" max="19" width="14.36328125" bestFit="1" customWidth="1"/>
    <col min="20" max="20" width="9.6328125" bestFit="1" customWidth="1"/>
    <col min="21" max="21" width="10.81640625" bestFit="1" customWidth="1"/>
  </cols>
  <sheetData>
    <row r="1" spans="1:16" x14ac:dyDescent="0.35">
      <c r="B1" s="281" t="s">
        <v>211</v>
      </c>
      <c r="C1" s="281" t="s">
        <v>3</v>
      </c>
      <c r="D1" s="281" t="s">
        <v>6</v>
      </c>
      <c r="E1" s="281" t="s">
        <v>57</v>
      </c>
      <c r="F1" s="281" t="s">
        <v>559</v>
      </c>
      <c r="G1" s="281" t="s">
        <v>560</v>
      </c>
      <c r="H1" s="364" t="s">
        <v>561</v>
      </c>
      <c r="I1" s="281" t="s">
        <v>224</v>
      </c>
      <c r="L1" s="282" t="s">
        <v>211</v>
      </c>
      <c r="M1" s="282" t="s">
        <v>6</v>
      </c>
      <c r="N1" s="282" t="s">
        <v>57</v>
      </c>
      <c r="O1" t="s">
        <v>505</v>
      </c>
      <c r="P1" t="s">
        <v>562</v>
      </c>
    </row>
    <row r="2" spans="1:16" x14ac:dyDescent="0.35">
      <c r="A2" t="str">
        <f>TRIM(C2)</f>
        <v>DJEU0303868</v>
      </c>
      <c r="B2" t="s">
        <v>440</v>
      </c>
      <c r="C2" s="290" t="s">
        <v>174</v>
      </c>
      <c r="D2" t="str">
        <f>_xlfn.XLOOKUP(A2,'ACID &amp; ESCAID STATUS '!D:D,'ACID &amp; ESCAID STATUS '!G:G," ",0,-1)</f>
        <v>EMPTY</v>
      </c>
      <c r="E2" t="str">
        <f>_xlfn.XLOOKUP(A2,'ACID &amp; ESCAID STATUS '!D:D,'ACID &amp; ESCAID STATUS '!H:H," ",0,-1)</f>
        <v>OUTBOUND</v>
      </c>
      <c r="F2">
        <f>_xlfn.XLOOKUP(A2,'ACID &amp; ESCAID STATUS '!D:D,'ACID &amp; ESCAID STATUS '!E:E," ",0,-1)</f>
        <v>20860</v>
      </c>
      <c r="G2">
        <f>_xlfn.XLOOKUP(A2,'ACID &amp; ESCAID STATUS '!D:D,'ACID &amp; ESCAID STATUS '!P:P," ",0,-1)</f>
        <v>23000</v>
      </c>
      <c r="H2" s="365">
        <f>_xlfn.XLOOKUP(A2,'ACID &amp; ESCAID STATUS '!D:D,'ACID &amp; ESCAID STATUS '!R:R, " ",0,-1)</f>
        <v>46206</v>
      </c>
      <c r="I2">
        <f>_xlfn.XLOOKUP(A2,'ACID &amp; ESCAID STATUS '!D:D,'ACID &amp; ESCAID STATUS '!N:N," ",0,-1)</f>
        <v>99615</v>
      </c>
      <c r="L2" t="s">
        <v>380</v>
      </c>
      <c r="M2" t="s">
        <v>29</v>
      </c>
      <c r="N2" t="s">
        <v>536</v>
      </c>
      <c r="O2" s="422">
        <v>2</v>
      </c>
      <c r="P2" s="422">
        <v>44000</v>
      </c>
    </row>
    <row r="3" spans="1:16" x14ac:dyDescent="0.35">
      <c r="A3" t="str">
        <f t="shared" ref="A3:A66" si="0">TRIM(C3)</f>
        <v>DJEU0303739</v>
      </c>
      <c r="B3" t="s">
        <v>440</v>
      </c>
      <c r="C3" s="290" t="s">
        <v>99</v>
      </c>
      <c r="D3" t="str">
        <f>_xlfn.XLOOKUP(A3,'ACID &amp; ESCAID STATUS '!D:D,'ACID &amp; ESCAID STATUS '!G:G," ",0,-1)</f>
        <v>EMPTY</v>
      </c>
      <c r="E3" t="str">
        <f>_xlfn.XLOOKUP(A3,'ACID &amp; ESCAID STATUS '!D:D,'ACID &amp; ESCAID STATUS '!H:H," ",0,-1)</f>
        <v>OUTBOUND</v>
      </c>
      <c r="F3">
        <f>_xlfn.XLOOKUP(A3,'ACID &amp; ESCAID STATUS '!D:D,'ACID &amp; ESCAID STATUS '!E:E," ",0,-1)</f>
        <v>22700</v>
      </c>
      <c r="G3">
        <f>_xlfn.XLOOKUP(A3,'ACID &amp; ESCAID STATUS '!D:D,'ACID &amp; ESCAID STATUS '!P:P," ",0,-1)</f>
        <v>23000</v>
      </c>
      <c r="H3" s="365">
        <f>_xlfn.XLOOKUP(A3,'ACID &amp; ESCAID STATUS '!D:D,'ACID &amp; ESCAID STATUS '!R:R, " ",0,-1)</f>
        <v>46206</v>
      </c>
      <c r="I3">
        <f>_xlfn.XLOOKUP(A3,'ACID &amp; ESCAID STATUS '!D:D,'ACID &amp; ESCAID STATUS '!N:N," ",0,-1)</f>
        <v>99625</v>
      </c>
      <c r="N3" t="s">
        <v>2</v>
      </c>
      <c r="O3" s="422">
        <v>1</v>
      </c>
      <c r="P3" s="422">
        <v>25000</v>
      </c>
    </row>
    <row r="4" spans="1:16" x14ac:dyDescent="0.35">
      <c r="A4" t="str">
        <f t="shared" si="0"/>
        <v>DJEU0303805</v>
      </c>
      <c r="B4" t="s">
        <v>440</v>
      </c>
      <c r="C4" s="290" t="s">
        <v>162</v>
      </c>
      <c r="D4" t="str">
        <f>_xlfn.XLOOKUP(A4,'ACID &amp; ESCAID STATUS '!D:D,'ACID &amp; ESCAID STATUS '!G:G," ",0,-1)</f>
        <v>EMPTY</v>
      </c>
      <c r="E4" t="str">
        <f>_xlfn.XLOOKUP(A4,'ACID &amp; ESCAID STATUS '!D:D,'ACID &amp; ESCAID STATUS '!H:H," ",0,-1)</f>
        <v>OUTBOUND</v>
      </c>
      <c r="F4">
        <f>_xlfn.XLOOKUP(A4,'ACID &amp; ESCAID STATUS '!D:D,'ACID &amp; ESCAID STATUS '!E:E," ",0,-1)</f>
        <v>20810</v>
      </c>
      <c r="G4">
        <f>_xlfn.XLOOKUP(A4,'ACID &amp; ESCAID STATUS '!D:D,'ACID &amp; ESCAID STATUS '!P:P," ",0,-1)</f>
        <v>23000</v>
      </c>
      <c r="H4" s="365">
        <f>_xlfn.XLOOKUP(A4,'ACID &amp; ESCAID STATUS '!D:D,'ACID &amp; ESCAID STATUS '!R:R, " ",0,-1)</f>
        <v>46206</v>
      </c>
      <c r="I4">
        <f>_xlfn.XLOOKUP(A4,'ACID &amp; ESCAID STATUS '!D:D,'ACID &amp; ESCAID STATUS '!N:N," ",0,-1)</f>
        <v>99623</v>
      </c>
      <c r="N4" t="s">
        <v>535</v>
      </c>
      <c r="O4" s="422">
        <v>16</v>
      </c>
      <c r="P4" s="422">
        <v>367000</v>
      </c>
    </row>
    <row r="5" spans="1:16" x14ac:dyDescent="0.35">
      <c r="A5" t="str">
        <f t="shared" si="0"/>
        <v>DJEU0303929</v>
      </c>
      <c r="B5" t="s">
        <v>440</v>
      </c>
      <c r="C5" s="290" t="s">
        <v>253</v>
      </c>
      <c r="D5" t="str">
        <f>_xlfn.XLOOKUP(A5,'ACID &amp; ESCAID STATUS '!D:D,'ACID &amp; ESCAID STATUS '!G:G," ",0,-1)</f>
        <v>FULL</v>
      </c>
      <c r="E5" t="str">
        <f>_xlfn.XLOOKUP(A5,'ACID &amp; ESCAID STATUS '!D:D,'ACID &amp; ESCAID STATUS '!H:H," ",0,-1)</f>
        <v>25KT</v>
      </c>
      <c r="F5">
        <f>_xlfn.XLOOKUP(A5,'ACID &amp; ESCAID STATUS '!D:D,'ACID &amp; ESCAID STATUS '!E:E," ",0,-1)</f>
        <v>19890</v>
      </c>
      <c r="G5">
        <f>_xlfn.XLOOKUP(A5,'ACID &amp; ESCAID STATUS '!D:D,'ACID &amp; ESCAID STATUS '!P:P," ",0,-1)</f>
        <v>23000</v>
      </c>
      <c r="H5" s="365">
        <f>_xlfn.XLOOKUP(A5,'ACID &amp; ESCAID STATUS '!D:D,'ACID &amp; ESCAID STATUS '!R:R, " ",0,-1)</f>
        <v>46153</v>
      </c>
      <c r="I5">
        <f>_xlfn.XLOOKUP(A5,'ACID &amp; ESCAID STATUS '!D:D,'ACID &amp; ESCAID STATUS '!N:N," ",0,-1)</f>
        <v>100006</v>
      </c>
      <c r="L5" t="s">
        <v>525</v>
      </c>
      <c r="M5" t="s">
        <v>29</v>
      </c>
      <c r="N5" t="s">
        <v>536</v>
      </c>
      <c r="O5" s="422">
        <v>1</v>
      </c>
      <c r="P5" s="422">
        <v>22000</v>
      </c>
    </row>
    <row r="6" spans="1:16" x14ac:dyDescent="0.35">
      <c r="A6" t="str">
        <f t="shared" si="0"/>
        <v>DJEU0303913</v>
      </c>
      <c r="B6" t="s">
        <v>440</v>
      </c>
      <c r="C6" s="290" t="s">
        <v>242</v>
      </c>
      <c r="D6" t="str">
        <f>_xlfn.XLOOKUP(A6,'ACID &amp; ESCAID STATUS '!D:D,'ACID &amp; ESCAID STATUS '!G:G," ",0,-1)</f>
        <v>EMPTY</v>
      </c>
      <c r="E6" t="str">
        <f>_xlfn.XLOOKUP(A6,'ACID &amp; ESCAID STATUS '!D:D,'ACID &amp; ESCAID STATUS '!H:H," ",0,-1)</f>
        <v>25KT</v>
      </c>
      <c r="F6">
        <f>_xlfn.XLOOKUP(A6,'ACID &amp; ESCAID STATUS '!D:D,'ACID &amp; ESCAID STATUS '!E:E," ",0,-1)</f>
        <v>20080</v>
      </c>
      <c r="G6">
        <f>_xlfn.XLOOKUP(A6,'ACID &amp; ESCAID STATUS '!D:D,'ACID &amp; ESCAID STATUS '!P:P," ",0,-1)</f>
        <v>23000</v>
      </c>
      <c r="H6" s="365">
        <f>_xlfn.XLOOKUP(A6,'ACID &amp; ESCAID STATUS '!D:D,'ACID &amp; ESCAID STATUS '!R:R, " ",0,-1)</f>
        <v>46153</v>
      </c>
      <c r="I6">
        <f>_xlfn.XLOOKUP(A6,'ACID &amp; ESCAID STATUS '!D:D,'ACID &amp; ESCAID STATUS '!N:N," ",0,-1)</f>
        <v>100007</v>
      </c>
      <c r="N6" t="s">
        <v>2</v>
      </c>
      <c r="O6" s="422">
        <v>4</v>
      </c>
      <c r="P6" s="422">
        <v>100000</v>
      </c>
    </row>
    <row r="7" spans="1:16" x14ac:dyDescent="0.35">
      <c r="A7" t="str">
        <f t="shared" si="0"/>
        <v>DJEU0303908</v>
      </c>
      <c r="B7" t="s">
        <v>440</v>
      </c>
      <c r="C7" s="290" t="s">
        <v>227</v>
      </c>
      <c r="D7" t="str">
        <f>_xlfn.XLOOKUP(A7,'ACID &amp; ESCAID STATUS '!D:D,'ACID &amp; ESCAID STATUS '!G:G," ",0,-1)</f>
        <v>EMPTY</v>
      </c>
      <c r="E7" t="str">
        <f>_xlfn.XLOOKUP(A7,'ACID &amp; ESCAID STATUS '!D:D,'ACID &amp; ESCAID STATUS '!H:H," ",0,-1)</f>
        <v>OUTBOUND</v>
      </c>
      <c r="F7">
        <f>_xlfn.XLOOKUP(A7,'ACID &amp; ESCAID STATUS '!D:D,'ACID &amp; ESCAID STATUS '!E:E," ",0,-1)</f>
        <v>21560</v>
      </c>
      <c r="G7">
        <f>_xlfn.XLOOKUP(A7,'ACID &amp; ESCAID STATUS '!D:D,'ACID &amp; ESCAID STATUS '!P:P," ",0,-1)</f>
        <v>23000</v>
      </c>
      <c r="H7" s="365">
        <f>_xlfn.XLOOKUP(A7,'ACID &amp; ESCAID STATUS '!D:D,'ACID &amp; ESCAID STATUS '!R:R, " ",0,-1)</f>
        <v>46206</v>
      </c>
      <c r="I7">
        <f>_xlfn.XLOOKUP(A7,'ACID &amp; ESCAID STATUS '!D:D,'ACID &amp; ESCAID STATUS '!N:N," ",0,-1)</f>
        <v>99624</v>
      </c>
      <c r="N7" t="s">
        <v>535</v>
      </c>
      <c r="O7" s="422">
        <v>4</v>
      </c>
      <c r="P7" s="422">
        <v>80240</v>
      </c>
    </row>
    <row r="8" spans="1:16" x14ac:dyDescent="0.35">
      <c r="A8" t="str">
        <f t="shared" si="0"/>
        <v>NTTU1752748</v>
      </c>
      <c r="B8" t="s">
        <v>440</v>
      </c>
      <c r="C8" s="290" t="s">
        <v>300</v>
      </c>
      <c r="D8" t="str">
        <f>_xlfn.XLOOKUP(A8,'ACID &amp; ESCAID STATUS '!D:D,'ACID &amp; ESCAID STATUS '!G:G," ",0,-1)</f>
        <v>EMPTY</v>
      </c>
      <c r="E8" t="str">
        <f>_xlfn.XLOOKUP(A8,'ACID &amp; ESCAID STATUS '!D:D,'ACID &amp; ESCAID STATUS '!H:H," ",0,-1)</f>
        <v>OUTBOUND</v>
      </c>
      <c r="F8">
        <f>_xlfn.XLOOKUP(A8,'ACID &amp; ESCAID STATUS '!D:D,'ACID &amp; ESCAID STATUS '!E:E," ",0,-1)</f>
        <v>21370</v>
      </c>
      <c r="G8">
        <f>_xlfn.XLOOKUP(A8,'ACID &amp; ESCAID STATUS '!D:D,'ACID &amp; ESCAID STATUS '!P:P," ",0,-1)</f>
        <v>23000</v>
      </c>
      <c r="H8" s="365">
        <f>_xlfn.XLOOKUP(A8,'ACID &amp; ESCAID STATUS '!D:D,'ACID &amp; ESCAID STATUS '!R:R, " ",0,-1)</f>
        <v>46206</v>
      </c>
      <c r="I8">
        <f>_xlfn.XLOOKUP(A8,'ACID &amp; ESCAID STATUS '!D:D,'ACID &amp; ESCAID STATUS '!N:N," ",0,-1)</f>
        <v>100008</v>
      </c>
      <c r="L8" t="s">
        <v>440</v>
      </c>
      <c r="M8" t="s">
        <v>12</v>
      </c>
      <c r="N8" t="s">
        <v>16</v>
      </c>
      <c r="O8" s="422">
        <v>1</v>
      </c>
      <c r="P8" s="422">
        <v>20080</v>
      </c>
    </row>
    <row r="9" spans="1:16" x14ac:dyDescent="0.35">
      <c r="A9" t="str">
        <f t="shared" si="0"/>
        <v>DJEU0303699</v>
      </c>
      <c r="B9" t="s">
        <v>440</v>
      </c>
      <c r="C9" s="290" t="s">
        <v>54</v>
      </c>
      <c r="D9" t="str">
        <f>_xlfn.XLOOKUP(A9,'ACID &amp; ESCAID STATUS '!D:D,'ACID &amp; ESCAID STATUS '!G:G," ",0,-1)</f>
        <v>EMPTY</v>
      </c>
      <c r="E9" t="str">
        <f>_xlfn.XLOOKUP(A9,'ACID &amp; ESCAID STATUS '!D:D,'ACID &amp; ESCAID STATUS '!H:H," ",0,-1)</f>
        <v>WAREHOUSE</v>
      </c>
      <c r="F9">
        <f>_xlfn.XLOOKUP(A9,'ACID &amp; ESCAID STATUS '!D:D,'ACID &amp; ESCAID STATUS '!E:E," ",0,-1)</f>
        <v>21250</v>
      </c>
      <c r="G9">
        <f>_xlfn.XLOOKUP(A9,'ACID &amp; ESCAID STATUS '!D:D,'ACID &amp; ESCAID STATUS '!P:P," ",0,-1)</f>
        <v>23000</v>
      </c>
      <c r="H9" s="365">
        <f>_xlfn.XLOOKUP(A9,'ACID &amp; ESCAID STATUS '!D:D,'ACID &amp; ESCAID STATUS '!R:R, " ",0,-1)</f>
        <v>46153</v>
      </c>
      <c r="I9">
        <f>_xlfn.XLOOKUP(A9,'ACID &amp; ESCAID STATUS '!D:D,'ACID &amp; ESCAID STATUS '!N:N," ",0,-1)</f>
        <v>100381</v>
      </c>
      <c r="N9" t="s">
        <v>34</v>
      </c>
      <c r="O9" s="422">
        <v>6</v>
      </c>
      <c r="P9" s="422">
        <v>128580</v>
      </c>
    </row>
    <row r="10" spans="1:16" x14ac:dyDescent="0.35">
      <c r="A10" t="str">
        <f t="shared" si="0"/>
        <v>DJEU0303791</v>
      </c>
      <c r="B10" t="s">
        <v>440</v>
      </c>
      <c r="C10" s="290" t="s">
        <v>151</v>
      </c>
      <c r="D10" t="str">
        <f>_xlfn.XLOOKUP(A10,'ACID &amp; ESCAID STATUS '!D:D,'ACID &amp; ESCAID STATUS '!G:G," ",0,-1)</f>
        <v>EMPTY</v>
      </c>
      <c r="E10" t="str">
        <f>_xlfn.XLOOKUP(A10,'ACID &amp; ESCAID STATUS '!D:D,'ACID &amp; ESCAID STATUS '!H:H," ",0,-1)</f>
        <v>WAREHOUSE</v>
      </c>
      <c r="F10">
        <f>_xlfn.XLOOKUP(A10,'ACID &amp; ESCAID STATUS '!D:D,'ACID &amp; ESCAID STATUS '!E:E," ",0,-1)</f>
        <v>21320</v>
      </c>
      <c r="G10">
        <f>_xlfn.XLOOKUP(A10,'ACID &amp; ESCAID STATUS '!D:D,'ACID &amp; ESCAID STATUS '!P:P," ",0,-1)</f>
        <v>23000</v>
      </c>
      <c r="H10" s="365">
        <f>_xlfn.XLOOKUP(A10,'ACID &amp; ESCAID STATUS '!D:D,'ACID &amp; ESCAID STATUS '!R:R, " ",0,-1)</f>
        <v>46153</v>
      </c>
      <c r="I10">
        <f>_xlfn.XLOOKUP(A10,'ACID &amp; ESCAID STATUS '!D:D,'ACID &amp; ESCAID STATUS '!N:N," ",0,-1)</f>
        <v>100010</v>
      </c>
      <c r="N10" t="s">
        <v>2</v>
      </c>
      <c r="O10" s="422">
        <v>5</v>
      </c>
      <c r="P10" s="422">
        <v>105410</v>
      </c>
    </row>
    <row r="11" spans="1:16" x14ac:dyDescent="0.35">
      <c r="A11" t="str">
        <f t="shared" si="0"/>
        <v>DJEU0303765</v>
      </c>
      <c r="B11" t="s">
        <v>440</v>
      </c>
      <c r="C11" s="290" t="s">
        <v>144</v>
      </c>
      <c r="D11" t="str">
        <f>_xlfn.XLOOKUP(A11,'ACID &amp; ESCAID STATUS '!D:D,'ACID &amp; ESCAID STATUS '!G:G," ",0,-1)</f>
        <v>EMPTY</v>
      </c>
      <c r="E11" t="str">
        <f>_xlfn.XLOOKUP(A11,'ACID &amp; ESCAID STATUS '!D:D,'ACID &amp; ESCAID STATUS '!H:H," ",0,-1)</f>
        <v>WAREHOUSE</v>
      </c>
      <c r="F11">
        <f>_xlfn.XLOOKUP(A11,'ACID &amp; ESCAID STATUS '!D:D,'ACID &amp; ESCAID STATUS '!E:E," ",0,-1)</f>
        <v>20960</v>
      </c>
      <c r="G11">
        <f>_xlfn.XLOOKUP(A11,'ACID &amp; ESCAID STATUS '!D:D,'ACID &amp; ESCAID STATUS '!P:P," ",0,-1)</f>
        <v>23000</v>
      </c>
      <c r="H11" s="365">
        <f>_xlfn.XLOOKUP(A11,'ACID &amp; ESCAID STATUS '!D:D,'ACID &amp; ESCAID STATUS '!R:R, " ",0,-1)</f>
        <v>46153</v>
      </c>
      <c r="I11">
        <f>_xlfn.XLOOKUP(A11,'ACID &amp; ESCAID STATUS '!D:D,'ACID &amp; ESCAID STATUS '!N:N," ",0,-1)</f>
        <v>100011</v>
      </c>
      <c r="M11" t="s">
        <v>29</v>
      </c>
      <c r="N11" t="s">
        <v>16</v>
      </c>
      <c r="O11" s="422">
        <v>2</v>
      </c>
      <c r="P11" s="422">
        <v>41420</v>
      </c>
    </row>
    <row r="12" spans="1:16" x14ac:dyDescent="0.35">
      <c r="A12" t="str">
        <f t="shared" si="0"/>
        <v>NTTU1752795</v>
      </c>
      <c r="B12" t="s">
        <v>440</v>
      </c>
      <c r="C12" s="290" t="s">
        <v>290</v>
      </c>
      <c r="D12" t="str">
        <f>_xlfn.XLOOKUP(A12,'ACID &amp; ESCAID STATUS '!D:D,'ACID &amp; ESCAID STATUS '!G:G," ",0,-1)</f>
        <v>EMPTY</v>
      </c>
      <c r="E12" t="str">
        <f>_xlfn.XLOOKUP(A12,'ACID &amp; ESCAID STATUS '!D:D,'ACID &amp; ESCAID STATUS '!H:H," ",0,-1)</f>
        <v>WAREHOUSE</v>
      </c>
      <c r="F12">
        <f>_xlfn.XLOOKUP(A12,'ACID &amp; ESCAID STATUS '!D:D,'ACID &amp; ESCAID STATUS '!E:E," ",0,-1)</f>
        <v>20640</v>
      </c>
      <c r="G12">
        <f>_xlfn.XLOOKUP(A12,'ACID &amp; ESCAID STATUS '!D:D,'ACID &amp; ESCAID STATUS '!P:P," ",0,-1)</f>
        <v>23000</v>
      </c>
      <c r="H12" s="365">
        <f>_xlfn.XLOOKUP(A12,'ACID &amp; ESCAID STATUS '!D:D,'ACID &amp; ESCAID STATUS '!R:R, " ",0,-1)</f>
        <v>46175</v>
      </c>
      <c r="I12">
        <f>_xlfn.XLOOKUP(A12,'ACID &amp; ESCAID STATUS '!D:D,'ACID &amp; ESCAID STATUS '!N:N," ",0,-1)</f>
        <v>100382</v>
      </c>
      <c r="N12" t="s">
        <v>536</v>
      </c>
      <c r="O12" s="422">
        <v>2</v>
      </c>
      <c r="P12" s="422">
        <v>41930</v>
      </c>
    </row>
    <row r="13" spans="1:16" x14ac:dyDescent="0.35">
      <c r="A13" t="str">
        <f t="shared" si="0"/>
        <v>DJEU0303810</v>
      </c>
      <c r="B13" t="s">
        <v>440</v>
      </c>
      <c r="C13" s="290" t="s">
        <v>159</v>
      </c>
      <c r="D13" t="str">
        <f>_xlfn.XLOOKUP(A13,'ACID &amp; ESCAID STATUS '!D:D,'ACID &amp; ESCAID STATUS '!G:G," ",0,-1)</f>
        <v>FULL</v>
      </c>
      <c r="E13" t="str">
        <f>_xlfn.XLOOKUP(A13,'ACID &amp; ESCAID STATUS '!D:D,'ACID &amp; ESCAID STATUS '!H:H," ",0,-1)</f>
        <v>WAREHOUSE</v>
      </c>
      <c r="F13">
        <f>_xlfn.XLOOKUP(A13,'ACID &amp; ESCAID STATUS '!D:D,'ACID &amp; ESCAID STATUS '!E:E," ",0,-1)</f>
        <v>21300</v>
      </c>
      <c r="G13">
        <f>_xlfn.XLOOKUP(A13,'ACID &amp; ESCAID STATUS '!D:D,'ACID &amp; ESCAID STATUS '!P:P," ",0,-1)</f>
        <v>23000</v>
      </c>
      <c r="H13" s="365">
        <f>_xlfn.XLOOKUP(A13,'ACID &amp; ESCAID STATUS '!D:D,'ACID &amp; ESCAID STATUS '!R:R, " ",0,-1)</f>
        <v>46175</v>
      </c>
      <c r="I13">
        <f>_xlfn.XLOOKUP(A13,'ACID &amp; ESCAID STATUS '!D:D,'ACID &amp; ESCAID STATUS '!N:N," ",0,-1)</f>
        <v>100383</v>
      </c>
      <c r="J13" s="365" t="str">
        <f>_xlfn.XLOOKUP(C13,'ACID &amp; ESCAID STATUS '!F:F,'ACID &amp; ESCAID STATUS '!T:T, " ",0,-1)</f>
        <v xml:space="preserve"> </v>
      </c>
      <c r="N13" t="s">
        <v>2</v>
      </c>
      <c r="O13" s="422">
        <v>6</v>
      </c>
      <c r="P13" s="422">
        <v>124960</v>
      </c>
    </row>
    <row r="14" spans="1:16" x14ac:dyDescent="0.35">
      <c r="A14" t="str">
        <f t="shared" si="0"/>
        <v>NTTU1752711</v>
      </c>
      <c r="B14" t="s">
        <v>440</v>
      </c>
      <c r="C14" s="290" t="s">
        <v>312</v>
      </c>
      <c r="D14" t="str">
        <f>_xlfn.XLOOKUP(A14,'ACID &amp; ESCAID STATUS '!D:D,'ACID &amp; ESCAID STATUS '!G:G," ",0,-1)</f>
        <v>FULL</v>
      </c>
      <c r="E14" t="str">
        <f>_xlfn.XLOOKUP(A14,'ACID &amp; ESCAID STATUS '!D:D,'ACID &amp; ESCAID STATUS '!H:H," ",0,-1)</f>
        <v>WAREHOUSE</v>
      </c>
      <c r="F14">
        <f>_xlfn.XLOOKUP(A14,'ACID &amp; ESCAID STATUS '!D:D,'ACID &amp; ESCAID STATUS '!E:E," ",0,-1)</f>
        <v>20350</v>
      </c>
      <c r="G14">
        <f>_xlfn.XLOOKUP(A14,'ACID &amp; ESCAID STATUS '!D:D,'ACID &amp; ESCAID STATUS '!P:P," ",0,-1)</f>
        <v>0</v>
      </c>
      <c r="H14" s="365">
        <f>_xlfn.XLOOKUP(A14,'ACID &amp; ESCAID STATUS '!D:D,'ACID &amp; ESCAID STATUS '!R:R, " ",0,-1)</f>
        <v>0</v>
      </c>
      <c r="I14">
        <f>_xlfn.XLOOKUP(A14,'ACID &amp; ESCAID STATUS '!D:D,'ACID &amp; ESCAID STATUS '!N:N," ",0,-1)</f>
        <v>100384</v>
      </c>
      <c r="N14" t="s">
        <v>535</v>
      </c>
      <c r="O14" s="422">
        <v>8</v>
      </c>
      <c r="P14" s="422">
        <v>168440</v>
      </c>
    </row>
    <row r="15" spans="1:16" x14ac:dyDescent="0.35">
      <c r="A15" t="str">
        <f t="shared" si="0"/>
        <v>DJEU0303826</v>
      </c>
      <c r="B15" t="s">
        <v>440</v>
      </c>
      <c r="C15" s="290" t="s">
        <v>158</v>
      </c>
      <c r="D15" t="str">
        <f>_xlfn.XLOOKUP(A15,'ACID &amp; ESCAID STATUS '!D:D,'ACID &amp; ESCAID STATUS '!G:G," ",0,-1)</f>
        <v>INSTALL</v>
      </c>
      <c r="E15" t="str">
        <f>_xlfn.XLOOKUP(A15,'ACID &amp; ESCAID STATUS '!D:D,'ACID &amp; ESCAID STATUS '!H:H," ",0,-1)</f>
        <v>WAREHOUSE</v>
      </c>
      <c r="F15">
        <f>_xlfn.XLOOKUP(A15,'ACID &amp; ESCAID STATUS '!D:D,'ACID &amp; ESCAID STATUS '!E:E," ",0,-1)</f>
        <v>20250</v>
      </c>
      <c r="G15">
        <f>_xlfn.XLOOKUP(A15,'ACID &amp; ESCAID STATUS '!D:D,'ACID &amp; ESCAID STATUS '!P:P," ",0,-1)</f>
        <v>23000</v>
      </c>
      <c r="H15" s="365">
        <f>_xlfn.XLOOKUP(A15,'ACID &amp; ESCAID STATUS '!D:D,'ACID &amp; ESCAID STATUS '!R:R, " ",0,-1)</f>
        <v>0</v>
      </c>
      <c r="I15">
        <f>_xlfn.XLOOKUP(A15,'ACID &amp; ESCAID STATUS '!D:D,'ACID &amp; ESCAID STATUS '!N:N," ",0,-1)</f>
        <v>100385</v>
      </c>
      <c r="M15" t="s">
        <v>503</v>
      </c>
      <c r="N15" t="s">
        <v>2</v>
      </c>
      <c r="O15" s="422">
        <v>1</v>
      </c>
      <c r="P15" s="422">
        <v>20250</v>
      </c>
    </row>
    <row r="16" spans="1:16" x14ac:dyDescent="0.35">
      <c r="A16" t="str">
        <f t="shared" si="0"/>
        <v>DJEU0303852</v>
      </c>
      <c r="B16" t="s">
        <v>440</v>
      </c>
      <c r="C16" s="290" t="s">
        <v>175</v>
      </c>
      <c r="D16" t="str">
        <f>_xlfn.XLOOKUP(A16,'ACID &amp; ESCAID STATUS '!D:D,'ACID &amp; ESCAID STATUS '!G:G," ",0,-1)</f>
        <v>FULL</v>
      </c>
      <c r="E16" t="str">
        <f>_xlfn.XLOOKUP(A16,'ACID &amp; ESCAID STATUS '!D:D,'ACID &amp; ESCAID STATUS '!H:H," ",0,-1)</f>
        <v>WAREHOUSE</v>
      </c>
      <c r="F16">
        <f>_xlfn.XLOOKUP(A16,'ACID &amp; ESCAID STATUS '!D:D,'ACID &amp; ESCAID STATUS '!E:E," ",0,-1)</f>
        <v>21250</v>
      </c>
      <c r="G16">
        <f>_xlfn.XLOOKUP(A16,'ACID &amp; ESCAID STATUS '!D:D,'ACID &amp; ESCAID STATUS '!P:P," ",0,-1)</f>
        <v>23000</v>
      </c>
      <c r="H16" s="365">
        <f>_xlfn.XLOOKUP(A16,'ACID &amp; ESCAID STATUS '!D:D,'ACID &amp; ESCAID STATUS '!R:R, " ",0,-1)</f>
        <v>46175</v>
      </c>
      <c r="I16">
        <f>_xlfn.XLOOKUP(A16,'ACID &amp; ESCAID STATUS '!D:D,'ACID &amp; ESCAID STATUS '!N:N," ",0,-1)</f>
        <v>100386</v>
      </c>
      <c r="L16" t="s">
        <v>441</v>
      </c>
      <c r="M16" t="s">
        <v>12</v>
      </c>
      <c r="N16" t="s">
        <v>34</v>
      </c>
      <c r="O16" s="422">
        <v>6</v>
      </c>
      <c r="P16" s="422">
        <v>120940</v>
      </c>
    </row>
    <row r="17" spans="1:16" x14ac:dyDescent="0.35">
      <c r="A17" t="str">
        <f t="shared" si="0"/>
        <v>NTTU1752692</v>
      </c>
      <c r="B17" t="s">
        <v>440</v>
      </c>
      <c r="C17" s="290" t="s">
        <v>292</v>
      </c>
      <c r="D17" t="str">
        <f>_xlfn.XLOOKUP(A17,'ACID &amp; ESCAID STATUS '!D:D,'ACID &amp; ESCAID STATUS '!G:G," ",0,-1)</f>
        <v>FULL</v>
      </c>
      <c r="E17" t="str">
        <f>_xlfn.XLOOKUP(A17,'ACID &amp; ESCAID STATUS '!D:D,'ACID &amp; ESCAID STATUS '!H:H," ",0,-1)</f>
        <v>WAREHOUSE</v>
      </c>
      <c r="F17">
        <f>_xlfn.XLOOKUP(A17,'ACID &amp; ESCAID STATUS '!D:D,'ACID &amp; ESCAID STATUS '!E:E," ",0,-1)</f>
        <v>20660</v>
      </c>
      <c r="G17">
        <f>_xlfn.XLOOKUP(A17,'ACID &amp; ESCAID STATUS '!D:D,'ACID &amp; ESCAID STATUS '!P:P," ",0,-1)</f>
        <v>0</v>
      </c>
      <c r="H17" s="365">
        <f>_xlfn.XLOOKUP(A17,'ACID &amp; ESCAID STATUS '!D:D,'ACID &amp; ESCAID STATUS '!R:R, " ",0,-1)</f>
        <v>0</v>
      </c>
      <c r="I17">
        <f>_xlfn.XLOOKUP(A17,'ACID &amp; ESCAID STATUS '!D:D,'ACID &amp; ESCAID STATUS '!N:N," ",0,-1)</f>
        <v>100387</v>
      </c>
      <c r="N17" t="s">
        <v>2</v>
      </c>
      <c r="O17" s="422">
        <v>4</v>
      </c>
      <c r="P17" s="422">
        <v>82700</v>
      </c>
    </row>
    <row r="18" spans="1:16" x14ac:dyDescent="0.35">
      <c r="A18" t="str">
        <f t="shared" si="0"/>
        <v>DJEU0303636</v>
      </c>
      <c r="B18" t="s">
        <v>440</v>
      </c>
      <c r="C18" s="290" t="s">
        <v>13</v>
      </c>
      <c r="D18" t="str">
        <f>_xlfn.XLOOKUP(A18,'ACID &amp; ESCAID STATUS '!D:D,'ACID &amp; ESCAID STATUS '!G:G," ",0,-1)</f>
        <v>FULL</v>
      </c>
      <c r="E18" t="str">
        <f>_xlfn.XLOOKUP(A18,'ACID &amp; ESCAID STATUS '!D:D,'ACID &amp; ESCAID STATUS '!H:H," ",0,-1)</f>
        <v>WAREHOUSE</v>
      </c>
      <c r="F18">
        <f>_xlfn.XLOOKUP(A18,'ACID &amp; ESCAID STATUS '!D:D,'ACID &amp; ESCAID STATUS '!E:E," ",0,-1)</f>
        <v>20030</v>
      </c>
      <c r="G18">
        <f>_xlfn.XLOOKUP(A18,'ACID &amp; ESCAID STATUS '!D:D,'ACID &amp; ESCAID STATUS '!P:P," ",0,-1)</f>
        <v>23000</v>
      </c>
      <c r="H18" s="365">
        <f>_xlfn.XLOOKUP(A18,'ACID &amp; ESCAID STATUS '!D:D,'ACID &amp; ESCAID STATUS '!R:R, " ",0,-1)</f>
        <v>46175</v>
      </c>
      <c r="I18">
        <f>_xlfn.XLOOKUP(A18,'ACID &amp; ESCAID STATUS '!D:D,'ACID &amp; ESCAID STATUS '!N:N," ",0,-1)</f>
        <v>100388</v>
      </c>
      <c r="M18" t="s">
        <v>29</v>
      </c>
      <c r="N18" t="s">
        <v>16</v>
      </c>
      <c r="O18" s="422">
        <v>1</v>
      </c>
      <c r="P18" s="422">
        <v>20130</v>
      </c>
    </row>
    <row r="19" spans="1:16" x14ac:dyDescent="0.35">
      <c r="A19" t="str">
        <f t="shared" si="0"/>
        <v>DJEU0303718</v>
      </c>
      <c r="B19" t="s">
        <v>440</v>
      </c>
      <c r="C19" s="290" t="s">
        <v>53</v>
      </c>
      <c r="D19" t="str">
        <f>_xlfn.XLOOKUP(A19,'ACID &amp; ESCAID STATUS '!D:D,'ACID &amp; ESCAID STATUS '!G:G," ",0,-1)</f>
        <v>FULL</v>
      </c>
      <c r="E19" t="str">
        <f>_xlfn.XLOOKUP(A19,'ACID &amp; ESCAID STATUS '!D:D,'ACID &amp; ESCAID STATUS '!H:H," ",0,-1)</f>
        <v>25KT</v>
      </c>
      <c r="F19">
        <f>_xlfn.XLOOKUP(A19,'ACID &amp; ESCAID STATUS '!D:D,'ACID &amp; ESCAID STATUS '!E:E," ",0,-1)</f>
        <v>21530</v>
      </c>
      <c r="G19">
        <f>_xlfn.XLOOKUP(A19,'ACID &amp; ESCAID STATUS '!D:D,'ACID &amp; ESCAID STATUS '!P:P," ",0,-1)</f>
        <v>23000</v>
      </c>
      <c r="H19" s="365">
        <f>_xlfn.XLOOKUP(A19,'ACID &amp; ESCAID STATUS '!D:D,'ACID &amp; ESCAID STATUS '!R:R, " ",0,-1)</f>
        <v>46175</v>
      </c>
      <c r="I19">
        <f>_xlfn.XLOOKUP(A19,'ACID &amp; ESCAID STATUS '!D:D,'ACID &amp; ESCAID STATUS '!N:N," ",0,-1)</f>
        <v>100389</v>
      </c>
      <c r="N19" t="s">
        <v>536</v>
      </c>
      <c r="O19" s="422">
        <v>2</v>
      </c>
      <c r="P19" s="422">
        <v>40510</v>
      </c>
    </row>
    <row r="20" spans="1:16" x14ac:dyDescent="0.35">
      <c r="A20" t="str">
        <f t="shared" si="0"/>
        <v>DJEU0303641</v>
      </c>
      <c r="B20" t="s">
        <v>440</v>
      </c>
      <c r="C20" s="290" t="s">
        <v>10</v>
      </c>
      <c r="D20" t="str">
        <f>_xlfn.XLOOKUP(A20,'ACID &amp; ESCAID STATUS '!D:D,'ACID &amp; ESCAID STATUS '!G:G," ",0,-1)</f>
        <v>FULL</v>
      </c>
      <c r="E20" t="str">
        <f>_xlfn.XLOOKUP(A20,'ACID &amp; ESCAID STATUS '!D:D,'ACID &amp; ESCAID STATUS '!H:H," ",0,-1)</f>
        <v>WAREHOUSE</v>
      </c>
      <c r="F20">
        <f>_xlfn.XLOOKUP(A20,'ACID &amp; ESCAID STATUS '!D:D,'ACID &amp; ESCAID STATUS '!E:E," ",0,-1)</f>
        <v>21370</v>
      </c>
      <c r="G20">
        <f>_xlfn.XLOOKUP(A20,'ACID &amp; ESCAID STATUS '!D:D,'ACID &amp; ESCAID STATUS '!P:P," ",0,-1)</f>
        <v>23000</v>
      </c>
      <c r="H20" s="365">
        <f>_xlfn.XLOOKUP(A20,'ACID &amp; ESCAID STATUS '!D:D,'ACID &amp; ESCAID STATUS '!R:R, " ",0,-1)</f>
        <v>46175</v>
      </c>
      <c r="I20">
        <f>_xlfn.XLOOKUP(A20,'ACID &amp; ESCAID STATUS '!D:D,'ACID &amp; ESCAID STATUS '!N:N," ",0,-1)</f>
        <v>100391</v>
      </c>
      <c r="N20" t="s">
        <v>535</v>
      </c>
      <c r="O20" s="422">
        <v>11</v>
      </c>
      <c r="P20" s="422">
        <v>220980</v>
      </c>
    </row>
    <row r="21" spans="1:16" x14ac:dyDescent="0.35">
      <c r="A21" t="str">
        <f t="shared" si="0"/>
        <v>DJEU0303702</v>
      </c>
      <c r="B21" t="s">
        <v>440</v>
      </c>
      <c r="C21" s="290" t="s">
        <v>52</v>
      </c>
      <c r="D21" t="str">
        <f>_xlfn.XLOOKUP(A21,'ACID &amp; ESCAID STATUS '!D:D,'ACID &amp; ESCAID STATUS '!G:G," ",0,-1)</f>
        <v>FULL</v>
      </c>
      <c r="E21" t="str">
        <f>_xlfn.XLOOKUP(A21,'ACID &amp; ESCAID STATUS '!D:D,'ACID &amp; ESCAID STATUS '!H:H," ",0,-1)</f>
        <v>INBOUND - SUB KOE</v>
      </c>
      <c r="F21">
        <f>_xlfn.XLOOKUP(A21,'ACID &amp; ESCAID STATUS '!D:D,'ACID &amp; ESCAID STATUS '!E:E," ",0,-1)</f>
        <v>21170</v>
      </c>
      <c r="G21">
        <f>_xlfn.XLOOKUP(A21,'ACID &amp; ESCAID STATUS '!D:D,'ACID &amp; ESCAID STATUS '!P:P," ",0,-1)</f>
        <v>23000</v>
      </c>
      <c r="H21" s="365">
        <f>_xlfn.XLOOKUP(A21,'ACID &amp; ESCAID STATUS '!D:D,'ACID &amp; ESCAID STATUS '!R:R, " ",0,-1)</f>
        <v>0</v>
      </c>
      <c r="I21">
        <f>_xlfn.XLOOKUP(A21,'ACID &amp; ESCAID STATUS '!D:D,'ACID &amp; ESCAID STATUS '!N:N," ",0,-1)</f>
        <v>100770</v>
      </c>
      <c r="M21" t="s">
        <v>503</v>
      </c>
      <c r="N21" t="s">
        <v>2</v>
      </c>
      <c r="O21" s="422">
        <v>1</v>
      </c>
      <c r="P21" s="422">
        <v>21070</v>
      </c>
    </row>
    <row r="22" spans="1:16" x14ac:dyDescent="0.35">
      <c r="A22" t="str">
        <f t="shared" si="0"/>
        <v>NTTU1752780</v>
      </c>
      <c r="B22" t="s">
        <v>440</v>
      </c>
      <c r="C22" s="290" t="s">
        <v>287</v>
      </c>
      <c r="D22" t="str">
        <f>_xlfn.XLOOKUP(A22,'ACID &amp; ESCAID STATUS '!D:D,'ACID &amp; ESCAID STATUS '!G:G," ",0,-1)</f>
        <v>FULL</v>
      </c>
      <c r="E22" t="str">
        <f>_xlfn.XLOOKUP(A22,'ACID &amp; ESCAID STATUS '!D:D,'ACID &amp; ESCAID STATUS '!H:H," ",0,-1)</f>
        <v>INBOUND - SUB KOE</v>
      </c>
      <c r="F22">
        <f>_xlfn.XLOOKUP(A22,'ACID &amp; ESCAID STATUS '!D:D,'ACID &amp; ESCAID STATUS '!E:E," ",0,-1)</f>
        <v>20760</v>
      </c>
      <c r="G22">
        <f>_xlfn.XLOOKUP(A22,'ACID &amp; ESCAID STATUS '!D:D,'ACID &amp; ESCAID STATUS '!P:P," ",0,-1)</f>
        <v>23000</v>
      </c>
      <c r="H22" s="365">
        <f>_xlfn.XLOOKUP(A22,'ACID &amp; ESCAID STATUS '!D:D,'ACID &amp; ESCAID STATUS '!R:R, " ",0,-1)</f>
        <v>0</v>
      </c>
      <c r="I22">
        <f>_xlfn.XLOOKUP(A22,'ACID &amp; ESCAID STATUS '!D:D,'ACID &amp; ESCAID STATUS '!N:N," ",0,-1)</f>
        <v>100768</v>
      </c>
      <c r="L22" t="s">
        <v>582</v>
      </c>
      <c r="M22" t="s">
        <v>582</v>
      </c>
      <c r="N22" t="s">
        <v>582</v>
      </c>
      <c r="O22" s="422"/>
      <c r="P22" s="422"/>
    </row>
    <row r="23" spans="1:16" x14ac:dyDescent="0.35">
      <c r="A23" t="str">
        <f t="shared" si="0"/>
        <v>DJEU0303662</v>
      </c>
      <c r="B23" t="s">
        <v>440</v>
      </c>
      <c r="C23" s="290" t="s">
        <v>18</v>
      </c>
      <c r="D23" t="str">
        <f>_xlfn.XLOOKUP(A23,'ACID &amp; ESCAID STATUS '!D:D,'ACID &amp; ESCAID STATUS '!G:G," ",0,-1)</f>
        <v>FULL</v>
      </c>
      <c r="E23" t="str">
        <f>_xlfn.XLOOKUP(A23,'ACID &amp; ESCAID STATUS '!D:D,'ACID &amp; ESCAID STATUS '!H:H," ",0,-1)</f>
        <v>INBOUND- KOE WTR</v>
      </c>
      <c r="F23">
        <f>_xlfn.XLOOKUP(A23,'ACID &amp; ESCAID STATUS '!D:D,'ACID &amp; ESCAID STATUS '!E:E," ",0,-1)</f>
        <v>21180</v>
      </c>
      <c r="G23">
        <f>_xlfn.XLOOKUP(A23,'ACID &amp; ESCAID STATUS '!D:D,'ACID &amp; ESCAID STATUS '!P:P," ",0,-1)</f>
        <v>23000</v>
      </c>
      <c r="H23" s="365">
        <f>_xlfn.XLOOKUP(A23,'ACID &amp; ESCAID STATUS '!D:D,'ACID &amp; ESCAID STATUS '!R:R, " ",0,-1)</f>
        <v>0</v>
      </c>
      <c r="I23">
        <f>_xlfn.XLOOKUP(A23,'ACID &amp; ESCAID STATUS '!D:D,'ACID &amp; ESCAID STATUS '!N:N," ",0,-1)</f>
        <v>100577</v>
      </c>
      <c r="L23" t="s">
        <v>504</v>
      </c>
      <c r="O23" s="422">
        <v>84</v>
      </c>
      <c r="P23" s="422">
        <v>1795640</v>
      </c>
    </row>
    <row r="24" spans="1:16" x14ac:dyDescent="0.35">
      <c r="A24" t="str">
        <f t="shared" si="0"/>
        <v>DJEU0303873</v>
      </c>
      <c r="B24" t="s">
        <v>440</v>
      </c>
      <c r="C24" s="290" t="s">
        <v>184</v>
      </c>
      <c r="D24" t="str">
        <f>_xlfn.XLOOKUP(A24,'ACID &amp; ESCAID STATUS '!D:D,'ACID &amp; ESCAID STATUS '!G:G," ",0,-1)</f>
        <v>FULL</v>
      </c>
      <c r="E24" t="str">
        <f>_xlfn.XLOOKUP(A24,'ACID &amp; ESCAID STATUS '!D:D,'ACID &amp; ESCAID STATUS '!H:H," ",0,-1)</f>
        <v>INBOUND- KOE WTR</v>
      </c>
      <c r="F24">
        <f>_xlfn.XLOOKUP(A24,'ACID &amp; ESCAID STATUS '!D:D,'ACID &amp; ESCAID STATUS '!E:E," ",0,-1)</f>
        <v>21390</v>
      </c>
      <c r="G24">
        <f>_xlfn.XLOOKUP(A24,'ACID &amp; ESCAID STATUS '!D:D,'ACID &amp; ESCAID STATUS '!P:P," ",0,-1)</f>
        <v>23000</v>
      </c>
      <c r="H24" s="365">
        <f>_xlfn.XLOOKUP(A24,'ACID &amp; ESCAID STATUS '!D:D,'ACID &amp; ESCAID STATUS '!R:R, " ",0,-1)</f>
        <v>0</v>
      </c>
      <c r="I24">
        <f>_xlfn.XLOOKUP(A24,'ACID &amp; ESCAID STATUS '!D:D,'ACID &amp; ESCAID STATUS '!N:N," ",0,-1)</f>
        <v>100572</v>
      </c>
    </row>
    <row r="25" spans="1:16" x14ac:dyDescent="0.35">
      <c r="A25" t="str">
        <f t="shared" si="0"/>
        <v>NTTU1752727</v>
      </c>
      <c r="B25" t="s">
        <v>440</v>
      </c>
      <c r="C25" s="290" t="s">
        <v>361</v>
      </c>
      <c r="D25" t="str">
        <f>_xlfn.XLOOKUP(A25,'ACID &amp; ESCAID STATUS '!D:D,'ACID &amp; ESCAID STATUS '!G:G," ",0,-1)</f>
        <v>FULL</v>
      </c>
      <c r="E25" t="str">
        <f>_xlfn.XLOOKUP(A25,'ACID &amp; ESCAID STATUS '!D:D,'ACID &amp; ESCAID STATUS '!H:H," ",0,-1)</f>
        <v>INBOUND- KOE WTR</v>
      </c>
      <c r="F25">
        <f>_xlfn.XLOOKUP(A25,'ACID &amp; ESCAID STATUS '!D:D,'ACID &amp; ESCAID STATUS '!E:E," ",0,-1)</f>
        <v>20830</v>
      </c>
      <c r="G25">
        <f>_xlfn.XLOOKUP(A25,'ACID &amp; ESCAID STATUS '!D:D,'ACID &amp; ESCAID STATUS '!P:P," ",0,-1)</f>
        <v>23000</v>
      </c>
      <c r="H25" s="365">
        <f>_xlfn.XLOOKUP(A25,'ACID &amp; ESCAID STATUS '!D:D,'ACID &amp; ESCAID STATUS '!R:R, " ",0,-1)</f>
        <v>0</v>
      </c>
      <c r="I25">
        <f>_xlfn.XLOOKUP(A25,'ACID &amp; ESCAID STATUS '!D:D,'ACID &amp; ESCAID STATUS '!N:N," ",0,-1)</f>
        <v>100769</v>
      </c>
    </row>
    <row r="26" spans="1:16" x14ac:dyDescent="0.35">
      <c r="A26" t="str">
        <f t="shared" si="0"/>
        <v>NTTU1752732</v>
      </c>
      <c r="B26" t="s">
        <v>440</v>
      </c>
      <c r="C26" s="290" t="s">
        <v>313</v>
      </c>
      <c r="D26" t="str">
        <f>_xlfn.XLOOKUP(A26,'ACID &amp; ESCAID STATUS '!D:D,'ACID &amp; ESCAID STATUS '!G:G," ",0,-1)</f>
        <v>FULL</v>
      </c>
      <c r="E26" t="str">
        <f>_xlfn.XLOOKUP(A26,'ACID &amp; ESCAID STATUS '!D:D,'ACID &amp; ESCAID STATUS '!H:H," ",0,-1)</f>
        <v>INBOUND- KOE WTR</v>
      </c>
      <c r="F26">
        <f>_xlfn.XLOOKUP(A26,'ACID &amp; ESCAID STATUS '!D:D,'ACID &amp; ESCAID STATUS '!E:E," ",0,-1)</f>
        <v>20720</v>
      </c>
      <c r="G26">
        <f>_xlfn.XLOOKUP(A26,'ACID &amp; ESCAID STATUS '!D:D,'ACID &amp; ESCAID STATUS '!P:P," ",0,-1)</f>
        <v>23000</v>
      </c>
      <c r="H26" s="365">
        <f>_xlfn.XLOOKUP(A26,'ACID &amp; ESCAID STATUS '!D:D,'ACID &amp; ESCAID STATUS '!R:R, " ",0,-1)</f>
        <v>0</v>
      </c>
      <c r="I26">
        <f>_xlfn.XLOOKUP(A26,'ACID &amp; ESCAID STATUS '!D:D,'ACID &amp; ESCAID STATUS '!N:N," ",0,-1)</f>
        <v>100576</v>
      </c>
    </row>
    <row r="27" spans="1:16" x14ac:dyDescent="0.35">
      <c r="A27" t="str">
        <f t="shared" si="0"/>
        <v>DJEU0303894</v>
      </c>
      <c r="B27" t="s">
        <v>440</v>
      </c>
      <c r="C27" s="290" t="s">
        <v>217</v>
      </c>
      <c r="D27" t="str">
        <f>_xlfn.XLOOKUP(A27,'ACID &amp; ESCAID STATUS '!D:D,'ACID &amp; ESCAID STATUS '!G:G," ",0,-1)</f>
        <v>EMPTY</v>
      </c>
      <c r="E27" t="str">
        <f>_xlfn.XLOOKUP(A27,'ACID &amp; ESCAID STATUS '!D:D,'ACID &amp; ESCAID STATUS '!H:H," ",0,-1)</f>
        <v>OUTBOUND</v>
      </c>
      <c r="F27">
        <f>_xlfn.XLOOKUP(A27,'ACID &amp; ESCAID STATUS '!D:D,'ACID &amp; ESCAID STATUS '!E:E," ",0,-1)</f>
        <v>21280</v>
      </c>
      <c r="G27">
        <f>_xlfn.XLOOKUP(A27,'ACID &amp; ESCAID STATUS '!D:D,'ACID &amp; ESCAID STATUS '!P:P," ",0,-1)</f>
        <v>23000</v>
      </c>
      <c r="H27" s="365">
        <f>_xlfn.XLOOKUP(A27,'ACID &amp; ESCAID STATUS '!D:D,'ACID &amp; ESCAID STATUS '!R:R, " ",0,-1)</f>
        <v>46194</v>
      </c>
      <c r="I27">
        <f>_xlfn.XLOOKUP(A27,'ACID &amp; ESCAID STATUS '!D:D,'ACID &amp; ESCAID STATUS '!N:N," ",0,-1)</f>
        <v>99437</v>
      </c>
    </row>
    <row r="28" spans="1:16" x14ac:dyDescent="0.35">
      <c r="A28" t="str">
        <f t="shared" si="0"/>
        <v>NTTU1752687</v>
      </c>
      <c r="B28" t="s">
        <v>440</v>
      </c>
      <c r="C28" s="290" t="s">
        <v>336</v>
      </c>
      <c r="D28" t="str">
        <f>_xlfn.XLOOKUP(A28,'ACID &amp; ESCAID STATUS '!D:D,'ACID &amp; ESCAID STATUS '!G:G," ",0,-1)</f>
        <v>FULL</v>
      </c>
      <c r="E28" t="str">
        <f>_xlfn.XLOOKUP(A28,'ACID &amp; ESCAID STATUS '!D:D,'ACID &amp; ESCAID STATUS '!H:H," ",0,-1)</f>
        <v>INBOUND- KOE WTR</v>
      </c>
      <c r="F28">
        <f>_xlfn.XLOOKUP(A28,'ACID &amp; ESCAID STATUS '!D:D,'ACID &amp; ESCAID STATUS '!E:E," ",0,-1)</f>
        <v>20850</v>
      </c>
      <c r="G28">
        <f>_xlfn.XLOOKUP(A28,'ACID &amp; ESCAID STATUS '!D:D,'ACID &amp; ESCAID STATUS '!P:P," ",0,-1)</f>
        <v>23000</v>
      </c>
      <c r="H28" s="365">
        <f>_xlfn.XLOOKUP(A28,'ACID &amp; ESCAID STATUS '!D:D,'ACID &amp; ESCAID STATUS '!R:R, " ",0,-1)</f>
        <v>0</v>
      </c>
      <c r="I28">
        <f>_xlfn.XLOOKUP(A28,'ACID &amp; ESCAID STATUS '!D:D,'ACID &amp; ESCAID STATUS '!N:N," ",0,-1)</f>
        <v>100766</v>
      </c>
    </row>
    <row r="29" spans="1:16" x14ac:dyDescent="0.35">
      <c r="A29" t="str">
        <f t="shared" si="0"/>
        <v>DJEU0303750</v>
      </c>
      <c r="B29" t="s">
        <v>440</v>
      </c>
      <c r="C29" s="290" t="s">
        <v>124</v>
      </c>
      <c r="D29" t="str">
        <f>_xlfn.XLOOKUP(A29,'ACID &amp; ESCAID STATUS '!D:D,'ACID &amp; ESCAID STATUS '!G:G," ",0,-1)</f>
        <v>FULL</v>
      </c>
      <c r="E29" t="str">
        <f>_xlfn.XLOOKUP(A29,'ACID &amp; ESCAID STATUS '!D:D,'ACID &amp; ESCAID STATUS '!H:H," ",0,-1)</f>
        <v>INBOUND- KOE WTR</v>
      </c>
      <c r="F29">
        <f>_xlfn.XLOOKUP(A29,'ACID &amp; ESCAID STATUS '!D:D,'ACID &amp; ESCAID STATUS '!E:E," ",0,-1)</f>
        <v>21480</v>
      </c>
      <c r="G29">
        <f>_xlfn.XLOOKUP(A29,'ACID &amp; ESCAID STATUS '!D:D,'ACID &amp; ESCAID STATUS '!P:P," ",0,-1)</f>
        <v>23000</v>
      </c>
      <c r="H29" s="365">
        <f>_xlfn.XLOOKUP(A29,'ACID &amp; ESCAID STATUS '!D:D,'ACID &amp; ESCAID STATUS '!R:R, " ",0,-1)</f>
        <v>0</v>
      </c>
      <c r="I29">
        <f>_xlfn.XLOOKUP(A29,'ACID &amp; ESCAID STATUS '!D:D,'ACID &amp; ESCAID STATUS '!N:N," ",0,-1)</f>
        <v>100573</v>
      </c>
    </row>
    <row r="30" spans="1:16" x14ac:dyDescent="0.35">
      <c r="A30" t="str">
        <f t="shared" si="0"/>
        <v>NTTU1752753</v>
      </c>
      <c r="B30" t="s">
        <v>440</v>
      </c>
      <c r="C30" s="290" t="s">
        <v>286</v>
      </c>
      <c r="D30" t="str">
        <f>_xlfn.XLOOKUP(A30,'ACID &amp; ESCAID STATUS '!D:D,'ACID &amp; ESCAID STATUS '!G:G," ",0,-1)</f>
        <v>FULL</v>
      </c>
      <c r="E30" t="str">
        <f>_xlfn.XLOOKUP(A30,'ACID &amp; ESCAID STATUS '!D:D,'ACID &amp; ESCAID STATUS '!H:H," ",0,-1)</f>
        <v>INBOUND- KOE WTR</v>
      </c>
      <c r="F30">
        <f>_xlfn.XLOOKUP(A30,'ACID &amp; ESCAID STATUS '!D:D,'ACID &amp; ESCAID STATUS '!E:E," ",0,-1)</f>
        <v>20560</v>
      </c>
      <c r="G30">
        <f>_xlfn.XLOOKUP(A30,'ACID &amp; ESCAID STATUS '!D:D,'ACID &amp; ESCAID STATUS '!P:P," ",0,-1)</f>
        <v>23000</v>
      </c>
      <c r="H30" s="365">
        <f>_xlfn.XLOOKUP(A30,'ACID &amp; ESCAID STATUS '!D:D,'ACID &amp; ESCAID STATUS '!R:R, " ",0,-1)</f>
        <v>0</v>
      </c>
      <c r="I30">
        <f>_xlfn.XLOOKUP(A30,'ACID &amp; ESCAID STATUS '!D:D,'ACID &amp; ESCAID STATUS '!N:N," ",0,-1)</f>
        <v>100574</v>
      </c>
    </row>
    <row r="31" spans="1:16" x14ac:dyDescent="0.35">
      <c r="A31" t="str">
        <f t="shared" si="0"/>
        <v>DJEU0303615</v>
      </c>
      <c r="B31" t="s">
        <v>440</v>
      </c>
      <c r="C31" s="290" t="s">
        <v>146</v>
      </c>
      <c r="D31" t="str">
        <f>_xlfn.XLOOKUP(A31,'ACID &amp; ESCAID STATUS '!D:D,'ACID &amp; ESCAID STATUS '!G:G," ",0,-1)</f>
        <v>FULL</v>
      </c>
      <c r="E31" t="str">
        <f>_xlfn.XLOOKUP(A31,'ACID &amp; ESCAID STATUS '!D:D,'ACID &amp; ESCAID STATUS '!H:H," ",0,-1)</f>
        <v>INBOUND- KOE WTR</v>
      </c>
      <c r="F31">
        <f>_xlfn.XLOOKUP(A31,'ACID &amp; ESCAID STATUS '!D:D,'ACID &amp; ESCAID STATUS '!E:E," ",0,-1)</f>
        <v>21430</v>
      </c>
      <c r="G31">
        <f>_xlfn.XLOOKUP(A31,'ACID &amp; ESCAID STATUS '!D:D,'ACID &amp; ESCAID STATUS '!P:P," ",0,-1)</f>
        <v>23000</v>
      </c>
      <c r="H31" s="365">
        <f>_xlfn.XLOOKUP(A31,'ACID &amp; ESCAID STATUS '!D:D,'ACID &amp; ESCAID STATUS '!R:R, " ",0,-1)</f>
        <v>0</v>
      </c>
      <c r="I31">
        <f>_xlfn.XLOOKUP(A31,'ACID &amp; ESCAID STATUS '!D:D,'ACID &amp; ESCAID STATUS '!N:N," ",0,-1)</f>
        <v>100575</v>
      </c>
    </row>
    <row r="32" spans="1:16" x14ac:dyDescent="0.35">
      <c r="A32" t="str">
        <f t="shared" si="0"/>
        <v>DJEU0303770</v>
      </c>
      <c r="B32" t="s">
        <v>440</v>
      </c>
      <c r="C32" s="290" t="s">
        <v>157</v>
      </c>
      <c r="D32" t="str">
        <f>_xlfn.XLOOKUP(A32,'ACID &amp; ESCAID STATUS '!D:D,'ACID &amp; ESCAID STATUS '!G:G," ",0,-1)</f>
        <v>EMPTY</v>
      </c>
      <c r="E32" t="str">
        <f>_xlfn.XLOOKUP(A32,'ACID &amp; ESCAID STATUS '!D:D,'ACID &amp; ESCAID STATUS '!H:H," ",0,-1)</f>
        <v>WAREHOUSE</v>
      </c>
      <c r="F32">
        <f>_xlfn.XLOOKUP(A32,'ACID &amp; ESCAID STATUS '!D:D,'ACID &amp; ESCAID STATUS '!E:E," ",0,-1)</f>
        <v>21240</v>
      </c>
      <c r="G32">
        <f>_xlfn.XLOOKUP(A32,'ACID &amp; ESCAID STATUS '!D:D,'ACID &amp; ESCAID STATUS '!P:P," ",0,-1)</f>
        <v>23000</v>
      </c>
      <c r="H32" s="365">
        <f>_xlfn.XLOOKUP(A32,'ACID &amp; ESCAID STATUS '!D:D,'ACID &amp; ESCAID STATUS '!R:R, " ",0,-1)</f>
        <v>46175</v>
      </c>
      <c r="I32">
        <f>_xlfn.XLOOKUP(A32,'ACID &amp; ESCAID STATUS '!D:D,'ACID &amp; ESCAID STATUS '!N:N," ",0,-1)</f>
        <v>100390</v>
      </c>
    </row>
    <row r="33" spans="1:9" x14ac:dyDescent="0.35">
      <c r="A33" t="str">
        <f t="shared" si="0"/>
        <v>SJIU2221578</v>
      </c>
      <c r="B33" t="s">
        <v>441</v>
      </c>
      <c r="C33" s="290" t="s">
        <v>163</v>
      </c>
      <c r="D33" t="str">
        <f>_xlfn.XLOOKUP(A33,'ACID &amp; ESCAID STATUS '!D:D,'ACID &amp; ESCAID STATUS '!G:G," ",0,-1)</f>
        <v>EMPTY</v>
      </c>
      <c r="E33" t="str">
        <f>_xlfn.XLOOKUP(A33,'ACID &amp; ESCAID STATUS '!D:D,'ACID &amp; ESCAID STATUS '!H:H," ",0,-1)</f>
        <v>WAREHOUSE</v>
      </c>
      <c r="F33">
        <f>_xlfn.XLOOKUP(A33,'ACID &amp; ESCAID STATUS '!D:D,'ACID &amp; ESCAID STATUS '!E:E," ",0,-1)</f>
        <v>20870</v>
      </c>
      <c r="G33">
        <f>_xlfn.XLOOKUP(A33,'ACID &amp; ESCAID STATUS '!D:D,'ACID &amp; ESCAID STATUS '!P:P," ",0,-1)</f>
        <v>23000</v>
      </c>
      <c r="H33" s="365">
        <f>_xlfn.XLOOKUP(A33,'ACID &amp; ESCAID STATUS '!D:D,'ACID &amp; ESCAID STATUS '!R:R, " ",0,-1)</f>
        <v>46153</v>
      </c>
      <c r="I33">
        <f>_xlfn.XLOOKUP(A33,'ACID &amp; ESCAID STATUS '!D:D,'ACID &amp; ESCAID STATUS '!N:N," ",0,-1)</f>
        <v>99997</v>
      </c>
    </row>
    <row r="34" spans="1:9" x14ac:dyDescent="0.35">
      <c r="A34" t="str">
        <f t="shared" si="0"/>
        <v>SJIU2221710</v>
      </c>
      <c r="B34" t="s">
        <v>441</v>
      </c>
      <c r="C34" s="290" t="s">
        <v>194</v>
      </c>
      <c r="D34" t="str">
        <f>_xlfn.XLOOKUP(A34,'ACID &amp; ESCAID STATUS '!D:D,'ACID &amp; ESCAID STATUS '!G:G," ",0,-1)</f>
        <v>FULL</v>
      </c>
      <c r="E34" t="str">
        <f>_xlfn.XLOOKUP(A34,'ACID &amp; ESCAID STATUS '!D:D,'ACID &amp; ESCAID STATUS '!H:H," ",0,-1)</f>
        <v>INBOUND - SUB KOE</v>
      </c>
      <c r="F34">
        <f>_xlfn.XLOOKUP(A34,'ACID &amp; ESCAID STATUS '!D:D,'ACID &amp; ESCAID STATUS '!E:E," ",0,-1)</f>
        <v>20270</v>
      </c>
      <c r="G34">
        <f>_xlfn.XLOOKUP(A34,'ACID &amp; ESCAID STATUS '!D:D,'ACID &amp; ESCAID STATUS '!P:P," ",0,-1)</f>
        <v>23000</v>
      </c>
      <c r="H34" s="365">
        <f>_xlfn.XLOOKUP(A34,'ACID &amp; ESCAID STATUS '!D:D,'ACID &amp; ESCAID STATUS '!R:R, " ",0,-1)</f>
        <v>0</v>
      </c>
      <c r="I34">
        <f>_xlfn.XLOOKUP(A34,'ACID &amp; ESCAID STATUS '!D:D,'ACID &amp; ESCAID STATUS '!N:N," ",0,-1)</f>
        <v>100761</v>
      </c>
    </row>
    <row r="35" spans="1:9" x14ac:dyDescent="0.35">
      <c r="A35" t="str">
        <f t="shared" si="0"/>
        <v>SJIU2221541</v>
      </c>
      <c r="B35" t="s">
        <v>441</v>
      </c>
      <c r="C35" s="290" t="s">
        <v>160</v>
      </c>
      <c r="D35" t="str">
        <f>_xlfn.XLOOKUP(A35,'ACID &amp; ESCAID STATUS '!D:D,'ACID &amp; ESCAID STATUS '!G:G," ",0,-1)</f>
        <v>FULL</v>
      </c>
      <c r="E35" t="str">
        <f>_xlfn.XLOOKUP(A35,'ACID &amp; ESCAID STATUS '!D:D,'ACID &amp; ESCAID STATUS '!H:H," ",0,-1)</f>
        <v>INBOUND- KOE WTR</v>
      </c>
      <c r="F35">
        <f>_xlfn.XLOOKUP(A35,'ACID &amp; ESCAID STATUS '!D:D,'ACID &amp; ESCAID STATUS '!E:E," ",0,-1)</f>
        <v>20030</v>
      </c>
      <c r="G35">
        <f>_xlfn.XLOOKUP(A35,'ACID &amp; ESCAID STATUS '!D:D,'ACID &amp; ESCAID STATUS '!P:P," ",0,-1)</f>
        <v>23000</v>
      </c>
      <c r="H35" s="365">
        <f>_xlfn.XLOOKUP(A35,'ACID &amp; ESCAID STATUS '!D:D,'ACID &amp; ESCAID STATUS '!R:R, " ",0,-1)</f>
        <v>0</v>
      </c>
      <c r="I35">
        <f>_xlfn.XLOOKUP(A35,'ACID &amp; ESCAID STATUS '!D:D,'ACID &amp; ESCAID STATUS '!N:N," ",0,-1)</f>
        <v>100584</v>
      </c>
    </row>
    <row r="36" spans="1:9" x14ac:dyDescent="0.35">
      <c r="A36" t="str">
        <f t="shared" si="0"/>
        <v>SJIU2221536</v>
      </c>
      <c r="B36" t="s">
        <v>441</v>
      </c>
      <c r="C36" s="290" t="s">
        <v>161</v>
      </c>
      <c r="D36" t="str">
        <f>_xlfn.XLOOKUP(A36,'ACID &amp; ESCAID STATUS '!D:D,'ACID &amp; ESCAID STATUS '!G:G," ",0,-1)</f>
        <v>FULL</v>
      </c>
      <c r="E36" t="str">
        <f>_xlfn.XLOOKUP(A36,'ACID &amp; ESCAID STATUS '!D:D,'ACID &amp; ESCAID STATUS '!H:H," ",0,-1)</f>
        <v>INBOUND- KOE WTR</v>
      </c>
      <c r="F36">
        <f>_xlfn.XLOOKUP(A36,'ACID &amp; ESCAID STATUS '!D:D,'ACID &amp; ESCAID STATUS '!E:E," ",0,-1)</f>
        <v>20320</v>
      </c>
      <c r="G36">
        <f>_xlfn.XLOOKUP(A36,'ACID &amp; ESCAID STATUS '!D:D,'ACID &amp; ESCAID STATUS '!P:P," ",0,-1)</f>
        <v>23000</v>
      </c>
      <c r="H36" s="365">
        <f>_xlfn.XLOOKUP(A36,'ACID &amp; ESCAID STATUS '!D:D,'ACID &amp; ESCAID STATUS '!R:R, " ",0,-1)</f>
        <v>0</v>
      </c>
      <c r="I36">
        <f>_xlfn.XLOOKUP(A36,'ACID &amp; ESCAID STATUS '!D:D,'ACID &amp; ESCAID STATUS '!N:N," ",0,-1)</f>
        <v>100762</v>
      </c>
    </row>
    <row r="37" spans="1:9" x14ac:dyDescent="0.35">
      <c r="A37" t="str">
        <f t="shared" si="0"/>
        <v>SJIU2221705</v>
      </c>
      <c r="B37" t="s">
        <v>441</v>
      </c>
      <c r="C37" s="290" t="s">
        <v>193</v>
      </c>
      <c r="D37" t="str">
        <f>_xlfn.XLOOKUP(A37,'ACID &amp; ESCAID STATUS '!D:D,'ACID &amp; ESCAID STATUS '!G:G," ",0,-1)</f>
        <v>FULL</v>
      </c>
      <c r="E37" t="str">
        <f>_xlfn.XLOOKUP(A37,'ACID &amp; ESCAID STATUS '!D:D,'ACID &amp; ESCAID STATUS '!H:H," ",0,-1)</f>
        <v>INBOUND- KOE WTR</v>
      </c>
      <c r="F37">
        <f>_xlfn.XLOOKUP(A37,'ACID &amp; ESCAID STATUS '!D:D,'ACID &amp; ESCAID STATUS '!E:E," ",0,-1)</f>
        <v>20040</v>
      </c>
      <c r="G37">
        <f>_xlfn.XLOOKUP(A37,'ACID &amp; ESCAID STATUS '!D:D,'ACID &amp; ESCAID STATUS '!P:P," ",0,-1)</f>
        <v>23000</v>
      </c>
      <c r="H37" s="365">
        <f>_xlfn.XLOOKUP(A37,'ACID &amp; ESCAID STATUS '!D:D,'ACID &amp; ESCAID STATUS '!R:R, " ",0,-1)</f>
        <v>0</v>
      </c>
      <c r="I37">
        <f>_xlfn.XLOOKUP(A37,'ACID &amp; ESCAID STATUS '!D:D,'ACID &amp; ESCAID STATUS '!N:N," ",0,-1)</f>
        <v>100764</v>
      </c>
    </row>
    <row r="38" spans="1:9" x14ac:dyDescent="0.35">
      <c r="A38" t="str">
        <f t="shared" si="0"/>
        <v>SJIU2322001</v>
      </c>
      <c r="B38" t="s">
        <v>441</v>
      </c>
      <c r="C38" s="290" t="s">
        <v>263</v>
      </c>
      <c r="D38" t="str">
        <f>_xlfn.XLOOKUP(A38,'ACID &amp; ESCAID STATUS '!D:D,'ACID &amp; ESCAID STATUS '!G:G," ",0,-1)</f>
        <v>FULL</v>
      </c>
      <c r="E38" t="str">
        <f>_xlfn.XLOOKUP(A38,'ACID &amp; ESCAID STATUS '!D:D,'ACID &amp; ESCAID STATUS '!H:H," ",0,-1)</f>
        <v>INBOUND- KOE WTR</v>
      </c>
      <c r="F38">
        <f>_xlfn.XLOOKUP(A38,'ACID &amp; ESCAID STATUS '!D:D,'ACID &amp; ESCAID STATUS '!E:E," ",0,-1)</f>
        <v>20050</v>
      </c>
      <c r="G38">
        <f>_xlfn.XLOOKUP(A38,'ACID &amp; ESCAID STATUS '!D:D,'ACID &amp; ESCAID STATUS '!P:P," ",0,-1)</f>
        <v>23000</v>
      </c>
      <c r="H38" s="365">
        <f>_xlfn.XLOOKUP(A38,'ACID &amp; ESCAID STATUS '!D:D,'ACID &amp; ESCAID STATUS '!R:R, " ",0,-1)</f>
        <v>0</v>
      </c>
      <c r="I38">
        <f>_xlfn.XLOOKUP(A38,'ACID &amp; ESCAID STATUS '!D:D,'ACID &amp; ESCAID STATUS '!N:N," ",0,-1)</f>
        <v>100582</v>
      </c>
    </row>
    <row r="39" spans="1:9" x14ac:dyDescent="0.35">
      <c r="A39" t="str">
        <f t="shared" si="0"/>
        <v>SJIU2322090</v>
      </c>
      <c r="B39" t="s">
        <v>441</v>
      </c>
      <c r="C39" s="290" t="s">
        <v>335</v>
      </c>
      <c r="D39" t="str">
        <f>_xlfn.XLOOKUP(A39,'ACID &amp; ESCAID STATUS '!D:D,'ACID &amp; ESCAID STATUS '!G:G," ",0,-1)</f>
        <v>EMPTY</v>
      </c>
      <c r="E39" t="str">
        <f>_xlfn.XLOOKUP(A39,'ACID &amp; ESCAID STATUS '!D:D,'ACID &amp; ESCAID STATUS '!H:H," ",0,-1)</f>
        <v>OUTBOUND</v>
      </c>
      <c r="F39">
        <f>_xlfn.XLOOKUP(A39,'ACID &amp; ESCAID STATUS '!D:D,'ACID &amp; ESCAID STATUS '!E:E," ",0,-1)</f>
        <v>20940</v>
      </c>
      <c r="G39">
        <f>_xlfn.XLOOKUP(A39,'ACID &amp; ESCAID STATUS '!D:D,'ACID &amp; ESCAID STATUS '!P:P," ",0,-1)</f>
        <v>23000</v>
      </c>
      <c r="H39" s="365">
        <f>_xlfn.XLOOKUP(A39,'ACID &amp; ESCAID STATUS '!D:D,'ACID &amp; ESCAID STATUS '!R:R, " ",0,-1)</f>
        <v>46194</v>
      </c>
      <c r="I39">
        <f>_xlfn.XLOOKUP(A39,'ACID &amp; ESCAID STATUS '!D:D,'ACID &amp; ESCAID STATUS '!N:N," ",0,-1)</f>
        <v>99616</v>
      </c>
    </row>
    <row r="40" spans="1:9" x14ac:dyDescent="0.35">
      <c r="A40" t="str">
        <f t="shared" si="0"/>
        <v>NTTU1753699</v>
      </c>
      <c r="B40" t="s">
        <v>441</v>
      </c>
      <c r="C40" s="290" t="s">
        <v>362</v>
      </c>
      <c r="D40" t="str">
        <f>_xlfn.XLOOKUP(A40,'ACID &amp; ESCAID STATUS '!D:D,'ACID &amp; ESCAID STATUS '!G:G," ",0,-1)</f>
        <v>FULL</v>
      </c>
      <c r="E40" t="str">
        <f>_xlfn.XLOOKUP(A40,'ACID &amp; ESCAID STATUS '!D:D,'ACID &amp; ESCAID STATUS '!H:H," ",0,-1)</f>
        <v>INBOUND- KOE WTR</v>
      </c>
      <c r="F40">
        <f>_xlfn.XLOOKUP(A40,'ACID &amp; ESCAID STATUS '!D:D,'ACID &amp; ESCAID STATUS '!E:E," ",0,-1)</f>
        <v>20130</v>
      </c>
      <c r="G40">
        <f>_xlfn.XLOOKUP(A40,'ACID &amp; ESCAID STATUS '!D:D,'ACID &amp; ESCAID STATUS '!P:P," ",0,-1)</f>
        <v>23000</v>
      </c>
      <c r="H40" s="365">
        <f>_xlfn.XLOOKUP(A40,'ACID &amp; ESCAID STATUS '!D:D,'ACID &amp; ESCAID STATUS '!R:R, " ",0,-1)</f>
        <v>0</v>
      </c>
      <c r="I40">
        <f>_xlfn.XLOOKUP(A40,'ACID &amp; ESCAID STATUS '!D:D,'ACID &amp; ESCAID STATUS '!N:N," ",0,-1)</f>
        <v>100581</v>
      </c>
    </row>
    <row r="41" spans="1:9" x14ac:dyDescent="0.35">
      <c r="A41" t="str">
        <f t="shared" si="0"/>
        <v>SJIU2221691</v>
      </c>
      <c r="B41" t="s">
        <v>441</v>
      </c>
      <c r="C41" s="290" t="s">
        <v>192</v>
      </c>
      <c r="D41" t="str">
        <f>_xlfn.XLOOKUP(A41,'ACID &amp; ESCAID STATUS '!D:D,'ACID &amp; ESCAID STATUS '!G:G," ",0,-1)</f>
        <v>EMPTY</v>
      </c>
      <c r="E41" t="str">
        <f>_xlfn.XLOOKUP(A41,'ACID &amp; ESCAID STATUS '!D:D,'ACID &amp; ESCAID STATUS '!H:H," ",0,-1)</f>
        <v>OUTBOUND</v>
      </c>
      <c r="F41">
        <f>_xlfn.XLOOKUP(A41,'ACID &amp; ESCAID STATUS '!D:D,'ACID &amp; ESCAID STATUS '!E:E," ",0,-1)</f>
        <v>20220</v>
      </c>
      <c r="G41">
        <f>_xlfn.XLOOKUP(A41,'ACID &amp; ESCAID STATUS '!D:D,'ACID &amp; ESCAID STATUS '!P:P," ",0,-1)</f>
        <v>23000</v>
      </c>
      <c r="H41" s="365">
        <f>_xlfn.XLOOKUP(A41,'ACID &amp; ESCAID STATUS '!D:D,'ACID &amp; ESCAID STATUS '!R:R, " ",0,-1)</f>
        <v>46194</v>
      </c>
      <c r="I41">
        <f>_xlfn.XLOOKUP(A41,'ACID &amp; ESCAID STATUS '!D:D,'ACID &amp; ESCAID STATUS '!N:N," ",0,-1)</f>
        <v>99614</v>
      </c>
    </row>
    <row r="42" spans="1:9" x14ac:dyDescent="0.35">
      <c r="A42" t="str">
        <f t="shared" si="0"/>
        <v>NTTU1753750</v>
      </c>
      <c r="B42" t="s">
        <v>441</v>
      </c>
      <c r="C42" s="290" t="s">
        <v>368</v>
      </c>
      <c r="D42" t="str">
        <f>_xlfn.XLOOKUP(A42,'ACID &amp; ESCAID STATUS '!D:D,'ACID &amp; ESCAID STATUS '!G:G," ",0,-1)</f>
        <v>FULL</v>
      </c>
      <c r="E42" t="str">
        <f>_xlfn.XLOOKUP(A42,'ACID &amp; ESCAID STATUS '!D:D,'ACID &amp; ESCAID STATUS '!H:H," ",0,-1)</f>
        <v>INBOUND- KOE WTR</v>
      </c>
      <c r="F42">
        <f>_xlfn.XLOOKUP(A42,'ACID &amp; ESCAID STATUS '!D:D,'ACID &amp; ESCAID STATUS '!E:E," ",0,-1)</f>
        <v>20010</v>
      </c>
      <c r="G42">
        <f>_xlfn.XLOOKUP(A42,'ACID &amp; ESCAID STATUS '!D:D,'ACID &amp; ESCAID STATUS '!P:P," ",0,-1)</f>
        <v>23000</v>
      </c>
      <c r="H42" s="365">
        <f>_xlfn.XLOOKUP(A42,'ACID &amp; ESCAID STATUS '!D:D,'ACID &amp; ESCAID STATUS '!R:R, " ",0,-1)</f>
        <v>0</v>
      </c>
      <c r="I42">
        <f>_xlfn.XLOOKUP(A42,'ACID &amp; ESCAID STATUS '!D:D,'ACID &amp; ESCAID STATUS '!N:N," ",0,-1)</f>
        <v>100585</v>
      </c>
    </row>
    <row r="43" spans="1:9" x14ac:dyDescent="0.35">
      <c r="A43" t="str">
        <f t="shared" si="0"/>
        <v>SJIU2322043</v>
      </c>
      <c r="B43" t="s">
        <v>441</v>
      </c>
      <c r="C43" s="290" t="s">
        <v>341</v>
      </c>
      <c r="D43" t="str">
        <f>_xlfn.XLOOKUP(A43,'ACID &amp; ESCAID STATUS '!D:D,'ACID &amp; ESCAID STATUS '!G:G," ",0,-1)</f>
        <v>EMPTY</v>
      </c>
      <c r="E43" t="str">
        <f>_xlfn.XLOOKUP(A43,'ACID &amp; ESCAID STATUS '!D:D,'ACID &amp; ESCAID STATUS '!H:H," ",0,-1)</f>
        <v>OUTBOUND</v>
      </c>
      <c r="F43">
        <f>_xlfn.XLOOKUP(A43,'ACID &amp; ESCAID STATUS '!D:D,'ACID &amp; ESCAID STATUS '!E:E," ",0,-1)</f>
        <v>20340</v>
      </c>
      <c r="G43">
        <f>_xlfn.XLOOKUP(A43,'ACID &amp; ESCAID STATUS '!D:D,'ACID &amp; ESCAID STATUS '!P:P," ",0,-1)</f>
        <v>23000</v>
      </c>
      <c r="H43" s="365">
        <f>_xlfn.XLOOKUP(A43,'ACID &amp; ESCAID STATUS '!D:D,'ACID &amp; ESCAID STATUS '!R:R, " ",0,-1)</f>
        <v>46206</v>
      </c>
      <c r="I43">
        <f>_xlfn.XLOOKUP(A43,'ACID &amp; ESCAID STATUS '!D:D,'ACID &amp; ESCAID STATUS '!N:N," ",0,-1)</f>
        <v>100000</v>
      </c>
    </row>
    <row r="44" spans="1:9" x14ac:dyDescent="0.35">
      <c r="A44" t="str">
        <f t="shared" si="0"/>
        <v>NTTU1753765</v>
      </c>
      <c r="B44" t="s">
        <v>441</v>
      </c>
      <c r="C44" s="290" t="s">
        <v>367</v>
      </c>
      <c r="D44" t="str">
        <f>_xlfn.XLOOKUP(A44,'ACID &amp; ESCAID STATUS '!D:D,'ACID &amp; ESCAID STATUS '!G:G," ",0,-1)</f>
        <v>FULL</v>
      </c>
      <c r="E44" t="str">
        <f>_xlfn.XLOOKUP(A44,'ACID &amp; ESCAID STATUS '!D:D,'ACID &amp; ESCAID STATUS '!H:H," ",0,-1)</f>
        <v>INBOUND- KOE WTR</v>
      </c>
      <c r="F44">
        <f>_xlfn.XLOOKUP(A44,'ACID &amp; ESCAID STATUS '!D:D,'ACID &amp; ESCAID STATUS '!E:E," ",0,-1)</f>
        <v>20010</v>
      </c>
      <c r="G44">
        <f>_xlfn.XLOOKUP(A44,'ACID &amp; ESCAID STATUS '!D:D,'ACID &amp; ESCAID STATUS '!P:P," ",0,-1)</f>
        <v>23000</v>
      </c>
      <c r="H44" s="365">
        <f>_xlfn.XLOOKUP(A44,'ACID &amp; ESCAID STATUS '!D:D,'ACID &amp; ESCAID STATUS '!R:R, " ",0,-1)</f>
        <v>0</v>
      </c>
      <c r="I44">
        <f>_xlfn.XLOOKUP(A44,'ACID &amp; ESCAID STATUS '!D:D,'ACID &amp; ESCAID STATUS '!N:N," ",0,-1)</f>
        <v>100763</v>
      </c>
    </row>
    <row r="45" spans="1:9" x14ac:dyDescent="0.35">
      <c r="A45" t="str">
        <f t="shared" si="0"/>
        <v>SJIU2322059</v>
      </c>
      <c r="B45" t="s">
        <v>441</v>
      </c>
      <c r="C45" s="290" t="s">
        <v>256</v>
      </c>
      <c r="D45" t="str">
        <f>_xlfn.XLOOKUP(A45,'ACID &amp; ESCAID STATUS '!D:D,'ACID &amp; ESCAID STATUS '!G:G," ",0,-1)</f>
        <v>EMPTY</v>
      </c>
      <c r="E45" t="str">
        <f>_xlfn.XLOOKUP(A45,'ACID &amp; ESCAID STATUS '!D:D,'ACID &amp; ESCAID STATUS '!H:H," ",0,-1)</f>
        <v>WAREHOUSE</v>
      </c>
      <c r="F45">
        <f>_xlfn.XLOOKUP(A45,'ACID &amp; ESCAID STATUS '!D:D,'ACID &amp; ESCAID STATUS '!E:E," ",0,-1)</f>
        <v>20940</v>
      </c>
      <c r="G45">
        <f>_xlfn.XLOOKUP(A45,'ACID &amp; ESCAID STATUS '!D:D,'ACID &amp; ESCAID STATUS '!P:P," ",0,-1)</f>
        <v>23000</v>
      </c>
      <c r="H45" s="365">
        <f>_xlfn.XLOOKUP(A45,'ACID &amp; ESCAID STATUS '!D:D,'ACID &amp; ESCAID STATUS '!R:R, " ",0,-1)</f>
        <v>46153</v>
      </c>
      <c r="I45">
        <f>_xlfn.XLOOKUP(A45,'ACID &amp; ESCAID STATUS '!D:D,'ACID &amp; ESCAID STATUS '!N:N," ",0,-1)</f>
        <v>100002</v>
      </c>
    </row>
    <row r="46" spans="1:9" x14ac:dyDescent="0.35">
      <c r="A46" t="str">
        <f t="shared" si="0"/>
        <v>SJIU2322064</v>
      </c>
      <c r="B46" t="s">
        <v>441</v>
      </c>
      <c r="C46" s="290" t="s">
        <v>262</v>
      </c>
      <c r="D46" t="str">
        <f>_xlfn.XLOOKUP(A46,'ACID &amp; ESCAID STATUS '!D:D,'ACID &amp; ESCAID STATUS '!G:G," ",0,-1)</f>
        <v>EMPTY</v>
      </c>
      <c r="E46" t="str">
        <f>_xlfn.XLOOKUP(A46,'ACID &amp; ESCAID STATUS '!D:D,'ACID &amp; ESCAID STATUS '!H:H," ",0,-1)</f>
        <v>OUTBOUND</v>
      </c>
      <c r="F46">
        <f>_xlfn.XLOOKUP(A46,'ACID &amp; ESCAID STATUS '!D:D,'ACID &amp; ESCAID STATUS '!E:E," ",0,-1)</f>
        <v>18990</v>
      </c>
      <c r="G46">
        <f>_xlfn.XLOOKUP(A46,'ACID &amp; ESCAID STATUS '!D:D,'ACID &amp; ESCAID STATUS '!P:P," ",0,-1)</f>
        <v>23000</v>
      </c>
      <c r="H46" s="365">
        <f>_xlfn.XLOOKUP(A46,'ACID &amp; ESCAID STATUS '!D:D,'ACID &amp; ESCAID STATUS '!R:R, " ",0,-1)</f>
        <v>46206</v>
      </c>
      <c r="I46">
        <f>_xlfn.XLOOKUP(A46,'ACID &amp; ESCAID STATUS '!D:D,'ACID &amp; ESCAID STATUS '!N:N," ",0,-1)</f>
        <v>100003</v>
      </c>
    </row>
    <row r="47" spans="1:9" x14ac:dyDescent="0.35">
      <c r="A47" t="str">
        <f t="shared" si="0"/>
        <v>SJIU2001275</v>
      </c>
      <c r="B47" t="s">
        <v>441</v>
      </c>
      <c r="C47" s="290" t="s">
        <v>31</v>
      </c>
      <c r="D47" t="str">
        <f>_xlfn.XLOOKUP(A47,'ACID &amp; ESCAID STATUS '!D:D,'ACID &amp; ESCAID STATUS '!G:G," ",0,-1)</f>
        <v>EMPTY</v>
      </c>
      <c r="E47" t="str">
        <f>_xlfn.XLOOKUP(A47,'ACID &amp; ESCAID STATUS '!D:D,'ACID &amp; ESCAID STATUS '!H:H," ",0,-1)</f>
        <v>OUTBOUND</v>
      </c>
      <c r="F47">
        <f>_xlfn.XLOOKUP(A47,'ACID &amp; ESCAID STATUS '!D:D,'ACID &amp; ESCAID STATUS '!E:E," ",0,-1)</f>
        <v>20230</v>
      </c>
      <c r="G47">
        <f>_xlfn.XLOOKUP(A47,'ACID &amp; ESCAID STATUS '!D:D,'ACID &amp; ESCAID STATUS '!P:P," ",0,-1)</f>
        <v>23000</v>
      </c>
      <c r="H47" s="365">
        <f>_xlfn.XLOOKUP(A47,'ACID &amp; ESCAID STATUS '!D:D,'ACID &amp; ESCAID STATUS '!R:R, " ",0,-1)</f>
        <v>46206</v>
      </c>
      <c r="I47">
        <f>_xlfn.XLOOKUP(A47,'ACID &amp; ESCAID STATUS '!D:D,'ACID &amp; ESCAID STATUS '!N:N," ",0,-1)</f>
        <v>100004</v>
      </c>
    </row>
    <row r="48" spans="1:9" x14ac:dyDescent="0.35">
      <c r="A48" t="str">
        <f t="shared" si="0"/>
        <v>SJIU2322085</v>
      </c>
      <c r="B48" t="s">
        <v>441</v>
      </c>
      <c r="C48" s="290" t="s">
        <v>342</v>
      </c>
      <c r="D48" t="str">
        <f>_xlfn.XLOOKUP(A48,'ACID &amp; ESCAID STATUS '!D:D,'ACID &amp; ESCAID STATUS '!G:G," ",0,-1)</f>
        <v>EMPTY</v>
      </c>
      <c r="E48" t="str">
        <f>_xlfn.XLOOKUP(A48,'ACID &amp; ESCAID STATUS '!D:D,'ACID &amp; ESCAID STATUS '!H:H," ",0,-1)</f>
        <v>OUTBOUND</v>
      </c>
      <c r="F48">
        <f>_xlfn.XLOOKUP(A48,'ACID &amp; ESCAID STATUS '!D:D,'ACID &amp; ESCAID STATUS '!E:E," ",0,-1)</f>
        <v>20220</v>
      </c>
      <c r="G48">
        <f>_xlfn.XLOOKUP(A48,'ACID &amp; ESCAID STATUS '!D:D,'ACID &amp; ESCAID STATUS '!P:P," ",0,-1)</f>
        <v>23000</v>
      </c>
      <c r="H48" s="365">
        <f>_xlfn.XLOOKUP(A48,'ACID &amp; ESCAID STATUS '!D:D,'ACID &amp; ESCAID STATUS '!R:R, " ",0,-1)</f>
        <v>46206</v>
      </c>
      <c r="I48">
        <f>_xlfn.XLOOKUP(A48,'ACID &amp; ESCAID STATUS '!D:D,'ACID &amp; ESCAID STATUS '!N:N," ",0,-1)</f>
        <v>100005</v>
      </c>
    </row>
    <row r="49" spans="1:9" x14ac:dyDescent="0.35">
      <c r="A49" t="str">
        <f t="shared" si="0"/>
        <v>SJIU2322017</v>
      </c>
      <c r="B49" t="s">
        <v>441</v>
      </c>
      <c r="C49" s="290" t="s">
        <v>327</v>
      </c>
      <c r="D49" t="str">
        <f>_xlfn.XLOOKUP(A49,'ACID &amp; ESCAID STATUS '!D:D,'ACID &amp; ESCAID STATUS '!G:G," ",0,-1)</f>
        <v>FULL</v>
      </c>
      <c r="E49" t="str">
        <f>_xlfn.XLOOKUP(A49,'ACID &amp; ESCAID STATUS '!D:D,'ACID &amp; ESCAID STATUS '!H:H," ",0,-1)</f>
        <v>INBOUND - SUB KOE</v>
      </c>
      <c r="F49">
        <f>_xlfn.XLOOKUP(A49,'ACID &amp; ESCAID STATUS '!D:D,'ACID &amp; ESCAID STATUS '!E:E," ",0,-1)</f>
        <v>20240</v>
      </c>
      <c r="G49">
        <f>_xlfn.XLOOKUP(A49,'ACID &amp; ESCAID STATUS '!D:D,'ACID &amp; ESCAID STATUS '!P:P," ",0,-1)</f>
        <v>23000</v>
      </c>
      <c r="H49" s="365">
        <f>_xlfn.XLOOKUP(A49,'ACID &amp; ESCAID STATUS '!D:D,'ACID &amp; ESCAID STATUS '!R:R, " ",0,-1)</f>
        <v>0</v>
      </c>
      <c r="I49">
        <f>_xlfn.XLOOKUP(A49,'ACID &amp; ESCAID STATUS '!D:D,'ACID &amp; ESCAID STATUS '!N:N," ",0,-1)</f>
        <v>100765</v>
      </c>
    </row>
    <row r="50" spans="1:9" x14ac:dyDescent="0.35">
      <c r="A50" t="str">
        <f t="shared" si="0"/>
        <v>SJIU2001260</v>
      </c>
      <c r="B50" t="s">
        <v>441</v>
      </c>
      <c r="C50" s="290" t="s">
        <v>30</v>
      </c>
      <c r="D50" t="str">
        <f>_xlfn.XLOOKUP(A50,'ACID &amp; ESCAID STATUS '!D:D,'ACID &amp; ESCAID STATUS '!G:G," ",0,-1)</f>
        <v>FULL</v>
      </c>
      <c r="E50" t="str">
        <f>_xlfn.XLOOKUP(A50,'ACID &amp; ESCAID STATUS '!D:D,'ACID &amp; ESCAID STATUS '!H:H," ",0,-1)</f>
        <v>INBOUND- KOE WTR</v>
      </c>
      <c r="F50">
        <f>_xlfn.XLOOKUP(A50,'ACID &amp; ESCAID STATUS '!D:D,'ACID &amp; ESCAID STATUS '!E:E," ",0,-1)</f>
        <v>20270</v>
      </c>
      <c r="G50">
        <f>_xlfn.XLOOKUP(A50,'ACID &amp; ESCAID STATUS '!D:D,'ACID &amp; ESCAID STATUS '!P:P," ",0,-1)</f>
        <v>23000</v>
      </c>
      <c r="H50" s="365">
        <f>_xlfn.XLOOKUP(A50,'ACID &amp; ESCAID STATUS '!D:D,'ACID &amp; ESCAID STATUS '!R:R, " ",0,-1)</f>
        <v>0</v>
      </c>
      <c r="I50">
        <f>_xlfn.XLOOKUP(A50,'ACID &amp; ESCAID STATUS '!D:D,'ACID &amp; ESCAID STATUS '!N:N," ",0,-1)</f>
        <v>100579</v>
      </c>
    </row>
    <row r="51" spans="1:9" x14ac:dyDescent="0.35">
      <c r="A51" t="str">
        <f t="shared" si="0"/>
        <v>SJIU2221557</v>
      </c>
      <c r="B51" t="s">
        <v>441</v>
      </c>
      <c r="C51" s="290" t="s">
        <v>164</v>
      </c>
      <c r="D51" t="str">
        <f>_xlfn.XLOOKUP(A51,'ACID &amp; ESCAID STATUS '!D:D,'ACID &amp; ESCAID STATUS '!G:G," ",0,-1)</f>
        <v>FULL</v>
      </c>
      <c r="E51" t="str">
        <f>_xlfn.XLOOKUP(A51,'ACID &amp; ESCAID STATUS '!D:D,'ACID &amp; ESCAID STATUS '!H:H," ",0,-1)</f>
        <v>INBOUND- KOE WTR</v>
      </c>
      <c r="F51">
        <f>_xlfn.XLOOKUP(A51,'ACID &amp; ESCAID STATUS '!D:D,'ACID &amp; ESCAID STATUS '!E:E," ",0,-1)</f>
        <v>20020</v>
      </c>
      <c r="G51">
        <f>_xlfn.XLOOKUP(A51,'ACID &amp; ESCAID STATUS '!D:D,'ACID &amp; ESCAID STATUS '!P:P," ",0,-1)</f>
        <v>23000</v>
      </c>
      <c r="H51" s="365">
        <f>_xlfn.XLOOKUP(A51,'ACID &amp; ESCAID STATUS '!D:D,'ACID &amp; ESCAID STATUS '!R:R, " ",0,-1)</f>
        <v>0</v>
      </c>
      <c r="I51">
        <f>_xlfn.XLOOKUP(A51,'ACID &amp; ESCAID STATUS '!D:D,'ACID &amp; ESCAID STATUS '!N:N," ",0,-1)</f>
        <v>100578</v>
      </c>
    </row>
    <row r="52" spans="1:9" x14ac:dyDescent="0.35">
      <c r="A52" t="str">
        <f t="shared" si="0"/>
        <v>SJIU2221726</v>
      </c>
      <c r="B52" t="s">
        <v>441</v>
      </c>
      <c r="C52" s="290" t="s">
        <v>195</v>
      </c>
      <c r="D52" t="str">
        <f>_xlfn.XLOOKUP(A52,'ACID &amp; ESCAID STATUS '!D:D,'ACID &amp; ESCAID STATUS '!G:G," ",0,-1)</f>
        <v>FULL</v>
      </c>
      <c r="E52" t="str">
        <f>_xlfn.XLOOKUP(A52,'ACID &amp; ESCAID STATUS '!D:D,'ACID &amp; ESCAID STATUS '!H:H," ",0,-1)</f>
        <v>INBOUND- KOE WTR</v>
      </c>
      <c r="F52">
        <f>_xlfn.XLOOKUP(A52,'ACID &amp; ESCAID STATUS '!D:D,'ACID &amp; ESCAID STATUS '!E:E," ",0,-1)</f>
        <v>20070</v>
      </c>
      <c r="G52">
        <f>_xlfn.XLOOKUP(A52,'ACID &amp; ESCAID STATUS '!D:D,'ACID &amp; ESCAID STATUS '!P:P," ",0,-1)</f>
        <v>23000</v>
      </c>
      <c r="H52" s="365">
        <f>_xlfn.XLOOKUP(A52,'ACID &amp; ESCAID STATUS '!D:D,'ACID &amp; ESCAID STATUS '!R:R, " ",0,-1)</f>
        <v>0</v>
      </c>
      <c r="I52">
        <f>_xlfn.XLOOKUP(A52,'ACID &amp; ESCAID STATUS '!D:D,'ACID &amp; ESCAID STATUS '!N:N," ",0,-1)</f>
        <v>100580</v>
      </c>
    </row>
    <row r="53" spans="1:9" x14ac:dyDescent="0.35">
      <c r="A53" t="str">
        <f t="shared" si="0"/>
        <v>SJIU2322022</v>
      </c>
      <c r="B53" t="s">
        <v>441</v>
      </c>
      <c r="C53" s="290" t="s">
        <v>232</v>
      </c>
      <c r="D53" t="str">
        <f>_xlfn.XLOOKUP(A53,'ACID &amp; ESCAID STATUS '!D:D,'ACID &amp; ESCAID STATUS '!G:G," ",0,-1)</f>
        <v>INSTALL</v>
      </c>
      <c r="E53" t="str">
        <f>_xlfn.XLOOKUP(A53,'ACID &amp; ESCAID STATUS '!D:D,'ACID &amp; ESCAID STATUS '!H:H," ",0,-1)</f>
        <v>WAREHOUSE</v>
      </c>
      <c r="F53">
        <f>_xlfn.XLOOKUP(A53,'ACID &amp; ESCAID STATUS '!D:D,'ACID &amp; ESCAID STATUS '!E:E," ",0,-1)</f>
        <v>21070</v>
      </c>
      <c r="G53">
        <f>_xlfn.XLOOKUP(A53,'ACID &amp; ESCAID STATUS '!D:D,'ACID &amp; ESCAID STATUS '!P:P," ",0,-1)</f>
        <v>0</v>
      </c>
      <c r="H53" s="365">
        <f>_xlfn.XLOOKUP(A53,'ACID &amp; ESCAID STATUS '!D:D,'ACID &amp; ESCAID STATUS '!R:R, " ",0,-1)</f>
        <v>46168</v>
      </c>
      <c r="I53">
        <f>_xlfn.XLOOKUP(A53,'ACID &amp; ESCAID STATUS '!D:D,'ACID &amp; ESCAID STATUS '!N:N," ",0,-1)</f>
        <v>100291</v>
      </c>
    </row>
    <row r="54" spans="1:9" x14ac:dyDescent="0.35">
      <c r="A54" t="str">
        <f t="shared" si="0"/>
        <v>NTTU1753723</v>
      </c>
      <c r="B54" t="s">
        <v>441</v>
      </c>
      <c r="C54" s="290" t="s">
        <v>366</v>
      </c>
      <c r="D54" t="str">
        <f>_xlfn.XLOOKUP(A54,'ACID &amp; ESCAID STATUS '!D:D,'ACID &amp; ESCAID STATUS '!G:G," ",0,-1)</f>
        <v>EMPTY</v>
      </c>
      <c r="E54" t="str">
        <f>_xlfn.XLOOKUP(A54,'ACID &amp; ESCAID STATUS '!D:D,'ACID &amp; ESCAID STATUS '!H:H," ",0,-1)</f>
        <v>WAREHOUSE</v>
      </c>
      <c r="F54">
        <f>_xlfn.XLOOKUP(A54,'ACID &amp; ESCAID STATUS '!D:D,'ACID &amp; ESCAID STATUS '!E:E," ",0,-1)</f>
        <v>20250</v>
      </c>
      <c r="G54">
        <f>_xlfn.XLOOKUP(A54,'ACID &amp; ESCAID STATUS '!D:D,'ACID &amp; ESCAID STATUS '!P:P," ",0,-1)</f>
        <v>0</v>
      </c>
      <c r="H54" s="365">
        <f>_xlfn.XLOOKUP(A54,'ACID &amp; ESCAID STATUS '!D:D,'ACID &amp; ESCAID STATUS '!R:R, " ",0,-1)</f>
        <v>46168</v>
      </c>
      <c r="I54">
        <f>_xlfn.XLOOKUP(A54,'ACID &amp; ESCAID STATUS '!D:D,'ACID &amp; ESCAID STATUS '!N:N," ",0,-1)</f>
        <v>100292</v>
      </c>
    </row>
    <row r="55" spans="1:9" x14ac:dyDescent="0.35">
      <c r="A55" t="str">
        <f t="shared" si="0"/>
        <v>SJIU2322038</v>
      </c>
      <c r="B55" t="s">
        <v>441</v>
      </c>
      <c r="C55" s="290" t="s">
        <v>233</v>
      </c>
      <c r="D55" t="str">
        <f>_xlfn.XLOOKUP(A55,'ACID &amp; ESCAID STATUS '!D:D,'ACID &amp; ESCAID STATUS '!G:G," ",0,-1)</f>
        <v>FULL</v>
      </c>
      <c r="E55" t="str">
        <f>_xlfn.XLOOKUP(A55,'ACID &amp; ESCAID STATUS '!D:D,'ACID &amp; ESCAID STATUS '!H:H," ",0,-1)</f>
        <v>25KT</v>
      </c>
      <c r="F55">
        <f>_xlfn.XLOOKUP(A55,'ACID &amp; ESCAID STATUS '!D:D,'ACID &amp; ESCAID STATUS '!E:E," ",0,-1)</f>
        <v>20130</v>
      </c>
      <c r="G55">
        <f>_xlfn.XLOOKUP(A55,'ACID &amp; ESCAID STATUS '!D:D,'ACID &amp; ESCAID STATUS '!P:P," ",0,-1)</f>
        <v>0</v>
      </c>
      <c r="H55" s="365">
        <f>_xlfn.XLOOKUP(A55,'ACID &amp; ESCAID STATUS '!D:D,'ACID &amp; ESCAID STATUS '!R:R, " ",0,-1)</f>
        <v>46168</v>
      </c>
      <c r="I55">
        <f>_xlfn.XLOOKUP(A55,'ACID &amp; ESCAID STATUS '!D:D,'ACID &amp; ESCAID STATUS '!N:N," ",0,-1)</f>
        <v>100289</v>
      </c>
    </row>
    <row r="56" spans="1:9" x14ac:dyDescent="0.35">
      <c r="A56" t="str">
        <f t="shared" si="0"/>
        <v>NTTU1753702</v>
      </c>
      <c r="B56" t="s">
        <v>441</v>
      </c>
      <c r="C56" s="290" t="s">
        <v>363</v>
      </c>
      <c r="D56" t="str">
        <f>_xlfn.XLOOKUP(A56,'ACID &amp; ESCAID STATUS '!D:D,'ACID &amp; ESCAID STATUS '!G:G," ",0,-1)</f>
        <v>EMPTY</v>
      </c>
      <c r="E56" t="str">
        <f>_xlfn.XLOOKUP(A56,'ACID &amp; ESCAID STATUS '!D:D,'ACID &amp; ESCAID STATUS '!H:H," ",0,-1)</f>
        <v>WAREHOUSE</v>
      </c>
      <c r="F56">
        <f>_xlfn.XLOOKUP(A56,'ACID &amp; ESCAID STATUS '!D:D,'ACID &amp; ESCAID STATUS '!E:E," ",0,-1)</f>
        <v>20640</v>
      </c>
      <c r="G56">
        <f>_xlfn.XLOOKUP(A56,'ACID &amp; ESCAID STATUS '!D:D,'ACID &amp; ESCAID STATUS '!P:P," ",0,-1)</f>
        <v>0</v>
      </c>
      <c r="H56" s="365">
        <f>_xlfn.XLOOKUP(A56,'ACID &amp; ESCAID STATUS '!D:D,'ACID &amp; ESCAID STATUS '!R:R, " ",0,-1)</f>
        <v>46168</v>
      </c>
      <c r="I56">
        <f>_xlfn.XLOOKUP(A56,'ACID &amp; ESCAID STATUS '!D:D,'ACID &amp; ESCAID STATUS '!N:N," ",0,-1)</f>
        <v>100288</v>
      </c>
    </row>
    <row r="57" spans="1:9" x14ac:dyDescent="0.35">
      <c r="A57" t="str">
        <f t="shared" si="0"/>
        <v>NTTU1753739</v>
      </c>
      <c r="B57" t="s">
        <v>441</v>
      </c>
      <c r="C57" s="290" t="s">
        <v>383</v>
      </c>
      <c r="D57" t="str">
        <f>_xlfn.XLOOKUP(A57,'ACID &amp; ESCAID STATUS '!D:D,'ACID &amp; ESCAID STATUS '!G:G," ",0,-1)</f>
        <v>FULL</v>
      </c>
      <c r="E57" t="str">
        <f>_xlfn.XLOOKUP(A57,'ACID &amp; ESCAID STATUS '!D:D,'ACID &amp; ESCAID STATUS '!H:H," ",0,-1)</f>
        <v>INBOUND- KOE WTR</v>
      </c>
      <c r="F57">
        <f>_xlfn.XLOOKUP(A57,'ACID &amp; ESCAID STATUS '!D:D,'ACID &amp; ESCAID STATUS '!E:E," ",0,-1)</f>
        <v>20030</v>
      </c>
      <c r="G57">
        <f>_xlfn.XLOOKUP(A57,'ACID &amp; ESCAID STATUS '!D:D,'ACID &amp; ESCAID STATUS '!P:P," ",0,-1)</f>
        <v>23000</v>
      </c>
      <c r="H57" s="365">
        <f>_xlfn.XLOOKUP(A57,'ACID &amp; ESCAID STATUS '!D:D,'ACID &amp; ESCAID STATUS '!R:R, " ",0,-1)</f>
        <v>0</v>
      </c>
      <c r="I57">
        <f>_xlfn.XLOOKUP(A57,'ACID &amp; ESCAID STATUS '!D:D,'ACID &amp; ESCAID STATUS '!N:N," ",0,-1)</f>
        <v>100583</v>
      </c>
    </row>
    <row r="58" spans="1:9" x14ac:dyDescent="0.35">
      <c r="A58" t="str">
        <f t="shared" si="0"/>
        <v>NTTU1754550</v>
      </c>
      <c r="B58" t="s">
        <v>380</v>
      </c>
      <c r="C58" s="290" t="s">
        <v>512</v>
      </c>
      <c r="D58" t="str">
        <f>_xlfn.XLOOKUP(A58,'ACID &amp; ESCAID STATUS '!D:D,'ACID &amp; ESCAID STATUS '!G:G," ",0,-1)</f>
        <v>FULL</v>
      </c>
      <c r="E58" t="str">
        <f>_xlfn.XLOOKUP(A58,'ACID &amp; ESCAID STATUS '!D:D,'ACID &amp; ESCAID STATUS '!H:H," ",0,-1)</f>
        <v>WAREHOUSE</v>
      </c>
      <c r="F58">
        <f>_xlfn.XLOOKUP(A58,'ACID &amp; ESCAID STATUS '!D:D,'ACID &amp; ESCAID STATUS '!E:E," ",0,-1)</f>
        <v>25000</v>
      </c>
      <c r="G58">
        <f>_xlfn.XLOOKUP(A58,'ACID &amp; ESCAID STATUS '!D:D,'ACID &amp; ESCAID STATUS '!P:P," ",0,-1)</f>
        <v>25000</v>
      </c>
      <c r="H58" s="365">
        <f>_xlfn.XLOOKUP(A58,'ACID &amp; ESCAID STATUS '!D:D,'ACID &amp; ESCAID STATUS '!R:R, " ",0,-1)</f>
        <v>46170</v>
      </c>
      <c r="I58">
        <f>_xlfn.XLOOKUP(A58,'ACID &amp; ESCAID STATUS '!D:D,'ACID &amp; ESCAID STATUS '!N:N," ",0,-1)</f>
        <v>100337</v>
      </c>
    </row>
    <row r="59" spans="1:9" x14ac:dyDescent="0.35">
      <c r="A59" t="str">
        <f t="shared" si="0"/>
        <v>NTTU1754587</v>
      </c>
      <c r="B59" t="s">
        <v>380</v>
      </c>
      <c r="C59" s="290" t="s">
        <v>513</v>
      </c>
      <c r="D59" t="str">
        <f>_xlfn.XLOOKUP(A59,'ACID &amp; ESCAID STATUS '!D:D,'ACID &amp; ESCAID STATUS '!G:G," ",0,-1)</f>
        <v>FULL</v>
      </c>
      <c r="E59" t="str">
        <f>_xlfn.XLOOKUP(A59,'ACID &amp; ESCAID STATUS '!D:D,'ACID &amp; ESCAID STATUS '!H:H," ",0,-1)</f>
        <v>INBOUND- KOE WTR</v>
      </c>
      <c r="F59">
        <f>_xlfn.XLOOKUP(A59,'ACID &amp; ESCAID STATUS '!D:D,'ACID &amp; ESCAID STATUS '!E:E," ",0,-1)</f>
        <v>25000</v>
      </c>
      <c r="G59">
        <f>_xlfn.XLOOKUP(A59,'ACID &amp; ESCAID STATUS '!D:D,'ACID &amp; ESCAID STATUS '!P:P," ",0,-1)</f>
        <v>23000</v>
      </c>
      <c r="H59" s="365">
        <f>_xlfn.XLOOKUP(A59,'ACID &amp; ESCAID STATUS '!D:D,'ACID &amp; ESCAID STATUS '!R:R, " ",0,-1)</f>
        <v>46176</v>
      </c>
      <c r="I59">
        <f>_xlfn.XLOOKUP(A59,'ACID &amp; ESCAID STATUS '!D:D,'ACID &amp; ESCAID STATUS '!N:N," ",0,-1)</f>
        <v>100426</v>
      </c>
    </row>
    <row r="60" spans="1:9" x14ac:dyDescent="0.35">
      <c r="A60" t="str">
        <f t="shared" si="0"/>
        <v>NTTU1754437</v>
      </c>
      <c r="B60" t="s">
        <v>380</v>
      </c>
      <c r="C60" s="290" t="s">
        <v>514</v>
      </c>
      <c r="D60" t="str">
        <f>_xlfn.XLOOKUP(A60,'ACID &amp; ESCAID STATUS '!D:D,'ACID &amp; ESCAID STATUS '!G:G," ",0,-1)</f>
        <v>FULL</v>
      </c>
      <c r="E60" t="str">
        <f>_xlfn.XLOOKUP(A60,'ACID &amp; ESCAID STATUS '!D:D,'ACID &amp; ESCAID STATUS '!H:H," ",0,-1)</f>
        <v>INBOUND- KOE WTR</v>
      </c>
      <c r="F60">
        <f>_xlfn.XLOOKUP(A60,'ACID &amp; ESCAID STATUS '!D:D,'ACID &amp; ESCAID STATUS '!E:E," ",0,-1)</f>
        <v>25000</v>
      </c>
      <c r="G60">
        <f>_xlfn.XLOOKUP(A60,'ACID &amp; ESCAID STATUS '!D:D,'ACID &amp; ESCAID STATUS '!P:P," ",0,-1)</f>
        <v>25000</v>
      </c>
      <c r="H60" s="365">
        <f>_xlfn.XLOOKUP(A60,'ACID &amp; ESCAID STATUS '!D:D,'ACID &amp; ESCAID STATUS '!R:R, " ",0,-1)</f>
        <v>46170</v>
      </c>
      <c r="I60">
        <f>_xlfn.XLOOKUP(A60,'ACID &amp; ESCAID STATUS '!D:D,'ACID &amp; ESCAID STATUS '!N:N," ",0,-1)</f>
        <v>100337</v>
      </c>
    </row>
    <row r="61" spans="1:9" x14ac:dyDescent="0.35">
      <c r="A61" t="str">
        <f t="shared" si="0"/>
        <v>NTTU1754524</v>
      </c>
      <c r="B61" t="s">
        <v>380</v>
      </c>
      <c r="C61" s="374" t="s">
        <v>515</v>
      </c>
      <c r="D61" t="str">
        <f>_xlfn.XLOOKUP(A61,'ACID &amp; ESCAID STATUS '!D:D,'ACID &amp; ESCAID STATUS '!G:G," ",0,-1)</f>
        <v>FULL</v>
      </c>
      <c r="E61" t="str">
        <f>_xlfn.XLOOKUP(A61,'ACID &amp; ESCAID STATUS '!D:D,'ACID &amp; ESCAID STATUS '!H:H," ",0,-1)</f>
        <v>INBOUND- KOE WTR</v>
      </c>
      <c r="F61">
        <f>_xlfn.XLOOKUP(A61,'ACID &amp; ESCAID STATUS '!D:D,'ACID &amp; ESCAID STATUS '!E:E," ",0,-1)</f>
        <v>25000</v>
      </c>
      <c r="G61">
        <f>_xlfn.XLOOKUP(A61,'ACID &amp; ESCAID STATUS '!D:D,'ACID &amp; ESCAID STATUS '!P:P," ",0,-1)</f>
        <v>25000</v>
      </c>
      <c r="H61" s="365">
        <f>_xlfn.XLOOKUP(A61,'ACID &amp; ESCAID STATUS '!D:D,'ACID &amp; ESCAID STATUS '!R:R, " ",0,-1)</f>
        <v>46170</v>
      </c>
      <c r="I61">
        <f>_xlfn.XLOOKUP(A61,'ACID &amp; ESCAID STATUS '!D:D,'ACID &amp; ESCAID STATUS '!N:N," ",0,-1)</f>
        <v>100337</v>
      </c>
    </row>
    <row r="62" spans="1:9" x14ac:dyDescent="0.35">
      <c r="A62" t="str">
        <f t="shared" si="0"/>
        <v>NTTU1754421</v>
      </c>
      <c r="B62" t="s">
        <v>380</v>
      </c>
      <c r="C62" s="290" t="s">
        <v>516</v>
      </c>
      <c r="D62" t="str">
        <f>_xlfn.XLOOKUP(A62,'ACID &amp; ESCAID STATUS '!D:D,'ACID &amp; ESCAID STATUS '!G:G," ",0,-1)</f>
        <v>FULL</v>
      </c>
      <c r="E62" t="str">
        <f>_xlfn.XLOOKUP(A62,'ACID &amp; ESCAID STATUS '!D:D,'ACID &amp; ESCAID STATUS '!H:H," ",0,-1)</f>
        <v>INBOUND- KOE WTR</v>
      </c>
      <c r="F62">
        <f>_xlfn.XLOOKUP(A62,'ACID &amp; ESCAID STATUS '!D:D,'ACID &amp; ESCAID STATUS '!E:E," ",0,-1)</f>
        <v>25000</v>
      </c>
      <c r="G62">
        <f>_xlfn.XLOOKUP(A62,'ACID &amp; ESCAID STATUS '!D:D,'ACID &amp; ESCAID STATUS '!P:P," ",0,-1)</f>
        <v>25000</v>
      </c>
      <c r="H62" s="365">
        <f>_xlfn.XLOOKUP(A62,'ACID &amp; ESCAID STATUS '!D:D,'ACID &amp; ESCAID STATUS '!R:R, " ",0,-1)</f>
        <v>46170</v>
      </c>
      <c r="I62">
        <f>_xlfn.XLOOKUP(A62,'ACID &amp; ESCAID STATUS '!D:D,'ACID &amp; ESCAID STATUS '!N:N," ",0,-1)</f>
        <v>100337</v>
      </c>
    </row>
    <row r="63" spans="1:9" x14ac:dyDescent="0.35">
      <c r="A63" t="str">
        <f t="shared" si="0"/>
        <v>NTTU1754484</v>
      </c>
      <c r="B63" t="s">
        <v>380</v>
      </c>
      <c r="C63" s="290" t="s">
        <v>517</v>
      </c>
      <c r="D63" t="str">
        <f>_xlfn.XLOOKUP(A63,'ACID &amp; ESCAID STATUS '!D:D,'ACID &amp; ESCAID STATUS '!G:G," ",0,-1)</f>
        <v>FULL</v>
      </c>
      <c r="E63" t="str">
        <f>_xlfn.XLOOKUP(A63,'ACID &amp; ESCAID STATUS '!D:D,'ACID &amp; ESCAID STATUS '!H:H," ",0,-1)</f>
        <v>INBOUND- KOE WTR</v>
      </c>
      <c r="F63">
        <f>_xlfn.XLOOKUP(A63,'ACID &amp; ESCAID STATUS '!D:D,'ACID &amp; ESCAID STATUS '!E:E," ",0,-1)</f>
        <v>25000</v>
      </c>
      <c r="G63">
        <f>_xlfn.XLOOKUP(A63,'ACID &amp; ESCAID STATUS '!D:D,'ACID &amp; ESCAID STATUS '!P:P," ",0,-1)</f>
        <v>25000</v>
      </c>
      <c r="H63" s="365">
        <f>_xlfn.XLOOKUP(A63,'ACID &amp; ESCAID STATUS '!D:D,'ACID &amp; ESCAID STATUS '!R:R, " ",0,-1)</f>
        <v>46170</v>
      </c>
      <c r="I63">
        <f>_xlfn.XLOOKUP(A63,'ACID &amp; ESCAID STATUS '!D:D,'ACID &amp; ESCAID STATUS '!N:N," ",0,-1)</f>
        <v>100337</v>
      </c>
    </row>
    <row r="64" spans="1:9" x14ac:dyDescent="0.35">
      <c r="A64" t="str">
        <f t="shared" si="0"/>
        <v>NTTU1754566</v>
      </c>
      <c r="B64" t="s">
        <v>525</v>
      </c>
      <c r="C64" s="290" t="s">
        <v>521</v>
      </c>
      <c r="D64" t="str">
        <f>_xlfn.XLOOKUP(A64,'ACID &amp; ESCAID STATUS '!D:D,'ACID &amp; ESCAID STATUS '!G:G," ",0,-1)</f>
        <v>FULL</v>
      </c>
      <c r="E64" t="str">
        <f>_xlfn.XLOOKUP(A64,'ACID &amp; ESCAID STATUS '!D:D,'ACID &amp; ESCAID STATUS '!H:H," ",0,-1)</f>
        <v>WAREHOUSE</v>
      </c>
      <c r="F64">
        <f>_xlfn.XLOOKUP(A64,'ACID &amp; ESCAID STATUS '!D:D,'ACID &amp; ESCAID STATUS '!E:E," ",0,-1)</f>
        <v>25000</v>
      </c>
      <c r="G64">
        <f>_xlfn.XLOOKUP(A64,'ACID &amp; ESCAID STATUS '!D:D,'ACID &amp; ESCAID STATUS '!P:P," ",0,-1)</f>
        <v>25000</v>
      </c>
      <c r="H64" s="365">
        <f>_xlfn.XLOOKUP(A64,'ACID &amp; ESCAID STATUS '!D:D,'ACID &amp; ESCAID STATUS '!R:R, " ",0,-1)</f>
        <v>46159</v>
      </c>
      <c r="I64">
        <f>_xlfn.XLOOKUP(A64,'ACID &amp; ESCAID STATUS '!D:D,'ACID &amp; ESCAID STATUS '!N:N," ",0,-1)</f>
        <v>100106</v>
      </c>
    </row>
    <row r="65" spans="1:9" x14ac:dyDescent="0.35">
      <c r="A65" t="str">
        <f t="shared" si="0"/>
        <v>NTTU1754490</v>
      </c>
      <c r="B65" t="s">
        <v>525</v>
      </c>
      <c r="C65" s="290" t="s">
        <v>522</v>
      </c>
      <c r="D65" t="str">
        <f>_xlfn.XLOOKUP(A65,'ACID &amp; ESCAID STATUS '!D:D,'ACID &amp; ESCAID STATUS '!G:G," ",0,-1)</f>
        <v>FULL</v>
      </c>
      <c r="E65" t="str">
        <f>_xlfn.XLOOKUP(A65,'ACID &amp; ESCAID STATUS '!D:D,'ACID &amp; ESCAID STATUS '!H:H," ",0,-1)</f>
        <v>WAREHOUSE</v>
      </c>
      <c r="F65">
        <f>_xlfn.XLOOKUP(A65,'ACID &amp; ESCAID STATUS '!D:D,'ACID &amp; ESCAID STATUS '!E:E," ",0,-1)</f>
        <v>25000</v>
      </c>
      <c r="G65">
        <f>_xlfn.XLOOKUP(A65,'ACID &amp; ESCAID STATUS '!D:D,'ACID &amp; ESCAID STATUS '!P:P," ",0,-1)</f>
        <v>25000</v>
      </c>
      <c r="H65" s="365">
        <f>_xlfn.XLOOKUP(A65,'ACID &amp; ESCAID STATUS '!D:D,'ACID &amp; ESCAID STATUS '!R:R, " ",0,-1)</f>
        <v>46159</v>
      </c>
      <c r="I65">
        <f>_xlfn.XLOOKUP(A65,'ACID &amp; ESCAID STATUS '!D:D,'ACID &amp; ESCAID STATUS '!N:N," ",0,-1)</f>
        <v>100107</v>
      </c>
    </row>
    <row r="66" spans="1:9" x14ac:dyDescent="0.35">
      <c r="A66" t="str">
        <f t="shared" si="0"/>
        <v>NTTU1754503</v>
      </c>
      <c r="B66" t="s">
        <v>525</v>
      </c>
      <c r="C66" s="290" t="s">
        <v>523</v>
      </c>
      <c r="D66" t="str">
        <f>_xlfn.XLOOKUP(A66,'ACID &amp; ESCAID STATUS '!D:D,'ACID &amp; ESCAID STATUS '!G:G," ",0,-1)</f>
        <v>FULL</v>
      </c>
      <c r="E66" t="str">
        <f>_xlfn.XLOOKUP(A66,'ACID &amp; ESCAID STATUS '!D:D,'ACID &amp; ESCAID STATUS '!H:H," ",0,-1)</f>
        <v>WAREHOUSE</v>
      </c>
      <c r="F66">
        <f>_xlfn.XLOOKUP(A66,'ACID &amp; ESCAID STATUS '!D:D,'ACID &amp; ESCAID STATUS '!E:E," ",0,-1)</f>
        <v>25000</v>
      </c>
      <c r="G66">
        <f>_xlfn.XLOOKUP(A66,'ACID &amp; ESCAID STATUS '!D:D,'ACID &amp; ESCAID STATUS '!P:P," ",0,-1)</f>
        <v>25000</v>
      </c>
      <c r="H66" s="365">
        <f>_xlfn.XLOOKUP(A66,'ACID &amp; ESCAID STATUS '!D:D,'ACID &amp; ESCAID STATUS '!R:R, " ",0,-1)</f>
        <v>46167</v>
      </c>
      <c r="I66">
        <f>_xlfn.XLOOKUP(A66,'ACID &amp; ESCAID STATUS '!D:D,'ACID &amp; ESCAID STATUS '!N:N," ",0,-1)</f>
        <v>100281</v>
      </c>
    </row>
    <row r="67" spans="1:9" x14ac:dyDescent="0.35">
      <c r="A67" t="str">
        <f t="shared" ref="A67:A130" si="1">TRIM(C67)</f>
        <v>NTTU1754458</v>
      </c>
      <c r="B67" t="s">
        <v>525</v>
      </c>
      <c r="C67" s="290" t="s">
        <v>524</v>
      </c>
      <c r="D67" t="str">
        <f>_xlfn.XLOOKUP(A67,'ACID &amp; ESCAID STATUS '!D:D,'ACID &amp; ESCAID STATUS '!G:G," ",0,-1)</f>
        <v>FULL</v>
      </c>
      <c r="E67" t="str">
        <f>_xlfn.XLOOKUP(A67,'ACID &amp; ESCAID STATUS '!D:D,'ACID &amp; ESCAID STATUS '!H:H," ",0,-1)</f>
        <v>WAREHOUSE</v>
      </c>
      <c r="F67">
        <f>_xlfn.XLOOKUP(A67,'ACID &amp; ESCAID STATUS '!D:D,'ACID &amp; ESCAID STATUS '!E:E," ",0,-1)</f>
        <v>25000</v>
      </c>
      <c r="G67">
        <f>_xlfn.XLOOKUP(A67,'ACID &amp; ESCAID STATUS '!D:D,'ACID &amp; ESCAID STATUS '!P:P," ",0,-1)</f>
        <v>25000</v>
      </c>
      <c r="H67" s="365">
        <f>_xlfn.XLOOKUP(A67,'ACID &amp; ESCAID STATUS '!D:D,'ACID &amp; ESCAID STATUS '!R:R, " ",0,-1)</f>
        <v>46167</v>
      </c>
      <c r="I67">
        <f>_xlfn.XLOOKUP(A67,'ACID &amp; ESCAID STATUS '!D:D,'ACID &amp; ESCAID STATUS '!N:N," ",0,-1)</f>
        <v>100281</v>
      </c>
    </row>
    <row r="68" spans="1:9" x14ac:dyDescent="0.35">
      <c r="A68" t="str">
        <f t="shared" si="1"/>
        <v>NTTU1754416</v>
      </c>
      <c r="B68" t="s">
        <v>380</v>
      </c>
      <c r="C68" s="290" t="s">
        <v>526</v>
      </c>
      <c r="D68" t="str">
        <f>_xlfn.XLOOKUP(A68,'ACID &amp; ESCAID STATUS '!D:D,'ACID &amp; ESCAID STATUS '!G:G," ",0,-1)</f>
        <v>FULL</v>
      </c>
      <c r="E68" t="str">
        <f>_xlfn.XLOOKUP(A68,'ACID &amp; ESCAID STATUS '!D:D,'ACID &amp; ESCAID STATUS '!H:H," ",0,-1)</f>
        <v>INBOUND- KOE WTR</v>
      </c>
      <c r="F68">
        <f>_xlfn.XLOOKUP(A68,'ACID &amp; ESCAID STATUS '!D:D,'ACID &amp; ESCAID STATUS '!E:E," ",0,-1)</f>
        <v>22000</v>
      </c>
      <c r="G68">
        <f>_xlfn.XLOOKUP(A68,'ACID &amp; ESCAID STATUS '!D:D,'ACID &amp; ESCAID STATUS '!P:P," ",0,-1)</f>
        <v>23000</v>
      </c>
      <c r="H68" s="365">
        <f>_xlfn.XLOOKUP(A68,'ACID &amp; ESCAID STATUS '!D:D,'ACID &amp; ESCAID STATUS '!R:R, " ",0,-1)</f>
        <v>46176</v>
      </c>
      <c r="I68">
        <f>_xlfn.XLOOKUP(A68,'ACID &amp; ESCAID STATUS '!D:D,'ACID &amp; ESCAID STATUS '!N:N," ",0,-1)</f>
        <v>100426</v>
      </c>
    </row>
    <row r="69" spans="1:9" x14ac:dyDescent="0.35">
      <c r="A69" t="str">
        <f t="shared" si="1"/>
        <v>NTTU1754519</v>
      </c>
      <c r="B69" t="s">
        <v>380</v>
      </c>
      <c r="C69" s="290" t="s">
        <v>527</v>
      </c>
      <c r="D69" t="str">
        <f>_xlfn.XLOOKUP(A69,'ACID &amp; ESCAID STATUS '!D:D,'ACID &amp; ESCAID STATUS '!G:G," ",0,-1)</f>
        <v>FULL</v>
      </c>
      <c r="E69" t="str">
        <f>_xlfn.XLOOKUP(A69,'ACID &amp; ESCAID STATUS '!D:D,'ACID &amp; ESCAID STATUS '!H:H," ",0,-1)</f>
        <v>INBOUND- KOE WTR</v>
      </c>
      <c r="F69">
        <f>_xlfn.XLOOKUP(A69,'ACID &amp; ESCAID STATUS '!D:D,'ACID &amp; ESCAID STATUS '!E:E," ",0,-1)</f>
        <v>22000</v>
      </c>
      <c r="G69">
        <f>_xlfn.XLOOKUP(A69,'ACID &amp; ESCAID STATUS '!D:D,'ACID &amp; ESCAID STATUS '!P:P," ",0,-1)</f>
        <v>23000</v>
      </c>
      <c r="H69" s="365">
        <f>_xlfn.XLOOKUP(A69,'ACID &amp; ESCAID STATUS '!D:D,'ACID &amp; ESCAID STATUS '!R:R, " ",0,-1)</f>
        <v>46176</v>
      </c>
      <c r="I69">
        <f>_xlfn.XLOOKUP(A69,'ACID &amp; ESCAID STATUS '!D:D,'ACID &amp; ESCAID STATUS '!N:N," ",0,-1)</f>
        <v>100426</v>
      </c>
    </row>
    <row r="70" spans="1:9" x14ac:dyDescent="0.35">
      <c r="A70" t="str">
        <f t="shared" si="1"/>
        <v>SJIU2522988</v>
      </c>
      <c r="B70" t="s">
        <v>380</v>
      </c>
      <c r="C70" s="290" t="s">
        <v>377</v>
      </c>
      <c r="D70" t="str">
        <f>_xlfn.XLOOKUP(A70,'ACID &amp; ESCAID STATUS '!D:D,'ACID &amp; ESCAID STATUS '!G:G," ",0,-1)</f>
        <v>FULL</v>
      </c>
      <c r="E70" t="str">
        <f>_xlfn.XLOOKUP(A70,'ACID &amp; ESCAID STATUS '!D:D,'ACID &amp; ESCAID STATUS '!H:H," ",0,-1)</f>
        <v>INBOUND- KOE WTR</v>
      </c>
      <c r="F70">
        <f>_xlfn.XLOOKUP(A70,'ACID &amp; ESCAID STATUS '!D:D,'ACID &amp; ESCAID STATUS '!E:E," ",0,-1)</f>
        <v>22000</v>
      </c>
      <c r="G70">
        <f>_xlfn.XLOOKUP(A70,'ACID &amp; ESCAID STATUS '!D:D,'ACID &amp; ESCAID STATUS '!P:P," ",0,-1)</f>
        <v>23000</v>
      </c>
      <c r="H70" s="365">
        <f>_xlfn.XLOOKUP(A70,'ACID &amp; ESCAID STATUS '!D:D,'ACID &amp; ESCAID STATUS '!R:R, " ",0,-1)</f>
        <v>46176</v>
      </c>
      <c r="I70">
        <f>_xlfn.XLOOKUP(A70,'ACID &amp; ESCAID STATUS '!D:D,'ACID &amp; ESCAID STATUS '!N:N," ",0,-1)</f>
        <v>100426</v>
      </c>
    </row>
    <row r="71" spans="1:9" x14ac:dyDescent="0.35">
      <c r="A71" t="str">
        <f t="shared" si="1"/>
        <v>SJIU2422675</v>
      </c>
      <c r="B71" t="s">
        <v>380</v>
      </c>
      <c r="C71" s="290" t="s">
        <v>402</v>
      </c>
      <c r="D71" t="str">
        <f>_xlfn.XLOOKUP(A71,'ACID &amp; ESCAID STATUS '!D:D,'ACID &amp; ESCAID STATUS '!G:G," ",0,-1)</f>
        <v>FULL</v>
      </c>
      <c r="E71" t="str">
        <f>_xlfn.XLOOKUP(A71,'ACID &amp; ESCAID STATUS '!D:D,'ACID &amp; ESCAID STATUS '!H:H," ",0,-1)</f>
        <v>INBOUND- KOE WTR</v>
      </c>
      <c r="F71">
        <f>_xlfn.XLOOKUP(A71,'ACID &amp; ESCAID STATUS '!D:D,'ACID &amp; ESCAID STATUS '!E:E," ",0,-1)</f>
        <v>22000</v>
      </c>
      <c r="G71">
        <f>_xlfn.XLOOKUP(A71,'ACID &amp; ESCAID STATUS '!D:D,'ACID &amp; ESCAID STATUS '!P:P," ",0,-1)</f>
        <v>23000</v>
      </c>
      <c r="H71" s="365">
        <f>_xlfn.XLOOKUP(A71,'ACID &amp; ESCAID STATUS '!D:D,'ACID &amp; ESCAID STATUS '!R:R, " ",0,-1)</f>
        <v>46176</v>
      </c>
      <c r="I71">
        <f>_xlfn.XLOOKUP(A71,'ACID &amp; ESCAID STATUS '!D:D,'ACID &amp; ESCAID STATUS '!N:N," ",0,-1)</f>
        <v>100426</v>
      </c>
    </row>
    <row r="72" spans="1:9" x14ac:dyDescent="0.35">
      <c r="A72" t="str">
        <f t="shared" si="1"/>
        <v>SJIU2422633</v>
      </c>
      <c r="B72" t="s">
        <v>525</v>
      </c>
      <c r="C72" s="290" t="s">
        <v>399</v>
      </c>
      <c r="D72" t="str">
        <f>_xlfn.XLOOKUP(A72,'ACID &amp; ESCAID STATUS '!D:D,'ACID &amp; ESCAID STATUS '!G:G," ",0,-1)</f>
        <v>FULL</v>
      </c>
      <c r="E72" t="str">
        <f>_xlfn.XLOOKUP(A72,'ACID &amp; ESCAID STATUS '!D:D,'ACID &amp; ESCAID STATUS '!H:H," ",0,-1)</f>
        <v>INBOUND- KOE WTR</v>
      </c>
      <c r="F72">
        <f>_xlfn.XLOOKUP(A72,'ACID &amp; ESCAID STATUS '!D:D,'ACID &amp; ESCAID STATUS '!E:E," ",0,-1)</f>
        <v>20150</v>
      </c>
      <c r="G72">
        <f>_xlfn.XLOOKUP(A72,'ACID &amp; ESCAID STATUS '!D:D,'ACID &amp; ESCAID STATUS '!P:P," ",0,-1)</f>
        <v>25000</v>
      </c>
      <c r="H72" s="365">
        <f>_xlfn.XLOOKUP(A72,'ACID &amp; ESCAID STATUS '!D:D,'ACID &amp; ESCAID STATUS '!R:R, " ",0,-1)</f>
        <v>46167</v>
      </c>
      <c r="I72">
        <f>_xlfn.XLOOKUP(A72,'ACID &amp; ESCAID STATUS '!D:D,'ACID &amp; ESCAID STATUS '!N:N," ",0,-1)</f>
        <v>100281</v>
      </c>
    </row>
    <row r="73" spans="1:9" x14ac:dyDescent="0.35">
      <c r="A73" t="str">
        <f t="shared" si="1"/>
        <v>SJIU2422628</v>
      </c>
      <c r="B73" t="s">
        <v>525</v>
      </c>
      <c r="C73" s="290" t="s">
        <v>392</v>
      </c>
      <c r="D73" t="str">
        <f>_xlfn.XLOOKUP(A73,'ACID &amp; ESCAID STATUS '!D:D,'ACID &amp; ESCAID STATUS '!G:G," ",0,-1)</f>
        <v>FULL</v>
      </c>
      <c r="E73" t="str">
        <f>_xlfn.XLOOKUP(A73,'ACID &amp; ESCAID STATUS '!D:D,'ACID &amp; ESCAID STATUS '!H:H," ",0,-1)</f>
        <v>INBOUND- KOE WTR</v>
      </c>
      <c r="F73">
        <f>_xlfn.XLOOKUP(A73,'ACID &amp; ESCAID STATUS '!D:D,'ACID &amp; ESCAID STATUS '!E:E," ",0,-1)</f>
        <v>20090</v>
      </c>
      <c r="G73">
        <f>_xlfn.XLOOKUP(A73,'ACID &amp; ESCAID STATUS '!D:D,'ACID &amp; ESCAID STATUS '!P:P," ",0,-1)</f>
        <v>25000</v>
      </c>
      <c r="H73" s="365">
        <f>_xlfn.XLOOKUP(A73,'ACID &amp; ESCAID STATUS '!D:D,'ACID &amp; ESCAID STATUS '!R:R, " ",0,-1)</f>
        <v>46167</v>
      </c>
      <c r="I73">
        <f>_xlfn.XLOOKUP(A73,'ACID &amp; ESCAID STATUS '!D:D,'ACID &amp; ESCAID STATUS '!N:N," ",0,-1)</f>
        <v>100281</v>
      </c>
    </row>
    <row r="74" spans="1:9" x14ac:dyDescent="0.35">
      <c r="A74" t="str">
        <f t="shared" si="1"/>
        <v>SJIU2422612</v>
      </c>
      <c r="B74" t="s">
        <v>380</v>
      </c>
      <c r="C74" s="290" t="s">
        <v>391</v>
      </c>
      <c r="D74" t="str">
        <f>_xlfn.XLOOKUP(A74,'ACID &amp; ESCAID STATUS '!D:D,'ACID &amp; ESCAID STATUS '!G:G," ",0,-1)</f>
        <v>FULL</v>
      </c>
      <c r="E74" t="str">
        <f>_xlfn.XLOOKUP(A74,'ACID &amp; ESCAID STATUS '!D:D,'ACID &amp; ESCAID STATUS '!H:H," ",0,-1)</f>
        <v>INBOUND- KOE WTR</v>
      </c>
      <c r="F74">
        <f>_xlfn.XLOOKUP(A74,'ACID &amp; ESCAID STATUS '!D:D,'ACID &amp; ESCAID STATUS '!E:E," ",0,-1)</f>
        <v>22000</v>
      </c>
      <c r="G74">
        <f>_xlfn.XLOOKUP(A74,'ACID &amp; ESCAID STATUS '!D:D,'ACID &amp; ESCAID STATUS '!P:P," ",0,-1)</f>
        <v>23000</v>
      </c>
      <c r="H74" s="365">
        <f>_xlfn.XLOOKUP(A74,'ACID &amp; ESCAID STATUS '!D:D,'ACID &amp; ESCAID STATUS '!R:R, " ",0,-1)</f>
        <v>46198</v>
      </c>
      <c r="I74">
        <f>_xlfn.XLOOKUP(A74,'ACID &amp; ESCAID STATUS '!D:D,'ACID &amp; ESCAID STATUS '!N:N," ",0,-1)</f>
        <v>100840</v>
      </c>
    </row>
    <row r="75" spans="1:9" x14ac:dyDescent="0.35">
      <c r="A75" t="str">
        <f t="shared" si="1"/>
        <v>SJIU2422680</v>
      </c>
      <c r="B75" t="s">
        <v>380</v>
      </c>
      <c r="C75" s="290" t="s">
        <v>403</v>
      </c>
      <c r="D75" t="str">
        <f>_xlfn.XLOOKUP(A75,'ACID &amp; ESCAID STATUS '!D:D,'ACID &amp; ESCAID STATUS '!G:G," ",0,-1)</f>
        <v>FULL</v>
      </c>
      <c r="E75" t="str">
        <f>_xlfn.XLOOKUP(A75,'ACID &amp; ESCAID STATUS '!D:D,'ACID &amp; ESCAID STATUS '!H:H," ",0,-1)</f>
        <v>INBOUND- KOE WTR</v>
      </c>
      <c r="F75">
        <f>_xlfn.XLOOKUP(A75,'ACID &amp; ESCAID STATUS '!D:D,'ACID &amp; ESCAID STATUS '!E:E," ",0,-1)</f>
        <v>22000</v>
      </c>
      <c r="G75">
        <f>_xlfn.XLOOKUP(A75,'ACID &amp; ESCAID STATUS '!D:D,'ACID &amp; ESCAID STATUS '!P:P," ",0,-1)</f>
        <v>23000</v>
      </c>
      <c r="H75" s="365">
        <f>_xlfn.XLOOKUP(A75,'ACID &amp; ESCAID STATUS '!D:D,'ACID &amp; ESCAID STATUS '!R:R, " ",0,-1)</f>
        <v>46198</v>
      </c>
      <c r="I75">
        <f>_xlfn.XLOOKUP(A75,'ACID &amp; ESCAID STATUS '!D:D,'ACID &amp; ESCAID STATUS '!N:N," ",0,-1)</f>
        <v>100840</v>
      </c>
    </row>
    <row r="76" spans="1:9" x14ac:dyDescent="0.35">
      <c r="A76" t="str">
        <f t="shared" si="1"/>
        <v>SJIU2422660</v>
      </c>
      <c r="B76" t="s">
        <v>380</v>
      </c>
      <c r="C76" s="290" t="s">
        <v>401</v>
      </c>
      <c r="D76" t="str">
        <f>_xlfn.XLOOKUP(A76,'ACID &amp; ESCAID STATUS '!D:D,'ACID &amp; ESCAID STATUS '!G:G," ",0,-1)</f>
        <v>FULL</v>
      </c>
      <c r="E76" t="str">
        <f>_xlfn.XLOOKUP(A76,'ACID &amp; ESCAID STATUS '!D:D,'ACID &amp; ESCAID STATUS '!H:H," ",0,-1)</f>
        <v>INBOUND- KOE WTR</v>
      </c>
      <c r="F76">
        <f>_xlfn.XLOOKUP(A76,'ACID &amp; ESCAID STATUS '!D:D,'ACID &amp; ESCAID STATUS '!E:E," ",0,-1)</f>
        <v>22000</v>
      </c>
      <c r="G76">
        <f>_xlfn.XLOOKUP(A76,'ACID &amp; ESCAID STATUS '!D:D,'ACID &amp; ESCAID STATUS '!P:P," ",0,-1)</f>
        <v>23000</v>
      </c>
      <c r="H76" s="365">
        <f>_xlfn.XLOOKUP(A76,'ACID &amp; ESCAID STATUS '!D:D,'ACID &amp; ESCAID STATUS '!R:R, " ",0,-1)</f>
        <v>46198</v>
      </c>
      <c r="I76">
        <f>_xlfn.XLOOKUP(A76,'ACID &amp; ESCAID STATUS '!D:D,'ACID &amp; ESCAID STATUS '!N:N," ",0,-1)</f>
        <v>100840</v>
      </c>
    </row>
    <row r="77" spans="1:9" x14ac:dyDescent="0.35">
      <c r="A77" t="str">
        <f t="shared" si="1"/>
        <v>SJIU2522972</v>
      </c>
      <c r="B77" t="s">
        <v>380</v>
      </c>
      <c r="C77" s="290" t="s">
        <v>376</v>
      </c>
      <c r="D77" t="str">
        <f>_xlfn.XLOOKUP(A77,'ACID &amp; ESCAID STATUS '!D:D,'ACID &amp; ESCAID STATUS '!G:G," ",0,-1)</f>
        <v>FULL</v>
      </c>
      <c r="E77" t="str">
        <f>_xlfn.XLOOKUP(A77,'ACID &amp; ESCAID STATUS '!D:D,'ACID &amp; ESCAID STATUS '!H:H," ",0,-1)</f>
        <v>INBOUND- KOE WTR</v>
      </c>
      <c r="F77">
        <f>_xlfn.XLOOKUP(A77,'ACID &amp; ESCAID STATUS '!D:D,'ACID &amp; ESCAID STATUS '!E:E," ",0,-1)</f>
        <v>22000</v>
      </c>
      <c r="G77">
        <f>_xlfn.XLOOKUP(A77,'ACID &amp; ESCAID STATUS '!D:D,'ACID &amp; ESCAID STATUS '!P:P," ",0,-1)</f>
        <v>23000</v>
      </c>
      <c r="H77" s="365">
        <f>_xlfn.XLOOKUP(A77,'ACID &amp; ESCAID STATUS '!D:D,'ACID &amp; ESCAID STATUS '!R:R, " ",0,-1)</f>
        <v>46176</v>
      </c>
      <c r="I77">
        <f>_xlfn.XLOOKUP(A77,'ACID &amp; ESCAID STATUS '!D:D,'ACID &amp; ESCAID STATUS '!N:N," ",0,-1)</f>
        <v>100426</v>
      </c>
    </row>
    <row r="78" spans="1:9" x14ac:dyDescent="0.35">
      <c r="A78" t="str">
        <f t="shared" si="1"/>
        <v>SJIU2422649</v>
      </c>
      <c r="B78" t="s">
        <v>380</v>
      </c>
      <c r="C78" s="290" t="s">
        <v>400</v>
      </c>
      <c r="D78" t="str">
        <f>_xlfn.XLOOKUP(A78,'ACID &amp; ESCAID STATUS '!D:D,'ACID &amp; ESCAID STATUS '!G:G," ",0,-1)</f>
        <v>FULL</v>
      </c>
      <c r="E78" t="str">
        <f>_xlfn.XLOOKUP(A78,'ACID &amp; ESCAID STATUS '!D:D,'ACID &amp; ESCAID STATUS '!H:H," ",0,-1)</f>
        <v>INBOUND- KOE WTR</v>
      </c>
      <c r="F78">
        <f>_xlfn.XLOOKUP(A78,'ACID &amp; ESCAID STATUS '!D:D,'ACID &amp; ESCAID STATUS '!E:E," ",0,-1)</f>
        <v>22000</v>
      </c>
      <c r="G78">
        <f>_xlfn.XLOOKUP(A78,'ACID &amp; ESCAID STATUS '!D:D,'ACID &amp; ESCAID STATUS '!P:P," ",0,-1)</f>
        <v>23000</v>
      </c>
      <c r="H78" s="365">
        <f>_xlfn.XLOOKUP(A78,'ACID &amp; ESCAID STATUS '!D:D,'ACID &amp; ESCAID STATUS '!R:R, " ",0,-1)</f>
        <v>46198</v>
      </c>
      <c r="I78">
        <f>_xlfn.XLOOKUP(A78,'ACID &amp; ESCAID STATUS '!D:D,'ACID &amp; ESCAID STATUS '!N:N," ",0,-1)</f>
        <v>100840</v>
      </c>
    </row>
    <row r="79" spans="1:9" x14ac:dyDescent="0.35">
      <c r="A79" t="str">
        <f t="shared" si="1"/>
        <v>NTTU1754479</v>
      </c>
      <c r="B79" t="s">
        <v>380</v>
      </c>
      <c r="C79" s="290" t="s">
        <v>551</v>
      </c>
      <c r="D79" t="str">
        <f>_xlfn.XLOOKUP(A79,'ACID &amp; ESCAID STATUS '!D:D,'ACID &amp; ESCAID STATUS '!G:G," ",0,-1)</f>
        <v>FULL</v>
      </c>
      <c r="E79" t="str">
        <f>_xlfn.XLOOKUP(A79,'ACID &amp; ESCAID STATUS '!D:D,'ACID &amp; ESCAID STATUS '!H:H," ",0,-1)</f>
        <v>INBOUND- KOE WTR</v>
      </c>
      <c r="F79">
        <f>_xlfn.XLOOKUP(A79,'ACID &amp; ESCAID STATUS '!D:D,'ACID &amp; ESCAID STATUS '!E:E," ",0,-1)</f>
        <v>22000</v>
      </c>
      <c r="G79">
        <f>_xlfn.XLOOKUP(A79,'ACID &amp; ESCAID STATUS '!D:D,'ACID &amp; ESCAID STATUS '!P:P," ",0,-1)</f>
        <v>23000</v>
      </c>
      <c r="H79" s="365">
        <f>_xlfn.XLOOKUP(A79,'ACID &amp; ESCAID STATUS '!D:D,'ACID &amp; ESCAID STATUS '!R:R, " ",0,-1)</f>
        <v>46198</v>
      </c>
      <c r="I79">
        <f>_xlfn.XLOOKUP(A79,'ACID &amp; ESCAID STATUS '!D:D,'ACID &amp; ESCAID STATUS '!N:N," ",0,-1)</f>
        <v>100840</v>
      </c>
    </row>
    <row r="80" spans="1:9" x14ac:dyDescent="0.35">
      <c r="A80" t="str">
        <f t="shared" si="1"/>
        <v>NTTU1754530</v>
      </c>
      <c r="B80" t="s">
        <v>380</v>
      </c>
      <c r="C80" s="290" t="s">
        <v>552</v>
      </c>
      <c r="D80" t="str">
        <f>_xlfn.XLOOKUP(A80,'ACID &amp; ESCAID STATUS '!D:D,'ACID &amp; ESCAID STATUS '!G:G," ",0,-1)</f>
        <v>FULL</v>
      </c>
      <c r="E80" t="str">
        <f>_xlfn.XLOOKUP(A80,'ACID &amp; ESCAID STATUS '!D:D,'ACID &amp; ESCAID STATUS '!H:H," ",0,-1)</f>
        <v>INBOUND- KOE WTR</v>
      </c>
      <c r="F80">
        <f>_xlfn.XLOOKUP(A80,'ACID &amp; ESCAID STATUS '!D:D,'ACID &amp; ESCAID STATUS '!E:E," ",0,-1)</f>
        <v>22000</v>
      </c>
      <c r="G80">
        <f>_xlfn.XLOOKUP(A80,'ACID &amp; ESCAID STATUS '!D:D,'ACID &amp; ESCAID STATUS '!P:P," ",0,-1)</f>
        <v>23000</v>
      </c>
      <c r="H80" s="365">
        <f>_xlfn.XLOOKUP(A80,'ACID &amp; ESCAID STATUS '!D:D,'ACID &amp; ESCAID STATUS '!R:R, " ",0,-1)</f>
        <v>46198</v>
      </c>
      <c r="I80">
        <f>_xlfn.XLOOKUP(A80,'ACID &amp; ESCAID STATUS '!D:D,'ACID &amp; ESCAID STATUS '!N:N," ",0,-1)</f>
        <v>100840</v>
      </c>
    </row>
    <row r="81" spans="1:9" x14ac:dyDescent="0.35">
      <c r="A81" t="str">
        <f t="shared" si="1"/>
        <v>SJIU2522967</v>
      </c>
      <c r="B81" t="s">
        <v>525</v>
      </c>
      <c r="C81" s="290" t="s">
        <v>375</v>
      </c>
      <c r="D81" t="str">
        <f>_xlfn.XLOOKUP(A81,'ACID &amp; ESCAID STATUS '!D:D,'ACID &amp; ESCAID STATUS '!G:G," ",0,-1)</f>
        <v>FULL</v>
      </c>
      <c r="E81" t="str">
        <f>_xlfn.XLOOKUP(A81,'ACID &amp; ESCAID STATUS '!D:D,'ACID &amp; ESCAID STATUS '!H:H," ",0,-1)</f>
        <v>INBOUND- KOE WTR</v>
      </c>
      <c r="F81">
        <f>_xlfn.XLOOKUP(A81,'ACID &amp; ESCAID STATUS '!D:D,'ACID &amp; ESCAID STATUS '!E:E," ",0,-1)</f>
        <v>20000</v>
      </c>
      <c r="G81">
        <f>_xlfn.XLOOKUP(A81,'ACID &amp; ESCAID STATUS '!D:D,'ACID &amp; ESCAID STATUS '!P:P," ",0,-1)</f>
        <v>25000</v>
      </c>
      <c r="H81" s="365">
        <f>_xlfn.XLOOKUP(A81,'ACID &amp; ESCAID STATUS '!D:D,'ACID &amp; ESCAID STATUS '!R:R, " ",0,-1)</f>
        <v>46167</v>
      </c>
      <c r="I81">
        <f>_xlfn.XLOOKUP(A81,'ACID &amp; ESCAID STATUS '!D:D,'ACID &amp; ESCAID STATUS '!N:N," ",0,-1)</f>
        <v>100281</v>
      </c>
    </row>
    <row r="82" spans="1:9" x14ac:dyDescent="0.35">
      <c r="A82" t="str">
        <f t="shared" si="1"/>
        <v>SJIU2522993</v>
      </c>
      <c r="B82" t="s">
        <v>525</v>
      </c>
      <c r="C82" s="290" t="s">
        <v>378</v>
      </c>
      <c r="D82" t="str">
        <f>_xlfn.XLOOKUP(A82,'ACID &amp; ESCAID STATUS '!D:D,'ACID &amp; ESCAID STATUS '!G:G," ",0,-1)</f>
        <v>FULL</v>
      </c>
      <c r="E82" t="str">
        <f>_xlfn.XLOOKUP(A82,'ACID &amp; ESCAID STATUS '!D:D,'ACID &amp; ESCAID STATUS '!H:H," ",0,-1)</f>
        <v>INBOUND- KOE WTR</v>
      </c>
      <c r="F82">
        <f>_xlfn.XLOOKUP(A82,'ACID &amp; ESCAID STATUS '!D:D,'ACID &amp; ESCAID STATUS '!E:E," ",0,-1)</f>
        <v>20000</v>
      </c>
      <c r="G82">
        <f>_xlfn.XLOOKUP(A82,'ACID &amp; ESCAID STATUS '!D:D,'ACID &amp; ESCAID STATUS '!P:P," ",0,-1)</f>
        <v>25000</v>
      </c>
      <c r="H82" s="365">
        <f>_xlfn.XLOOKUP(A82,'ACID &amp; ESCAID STATUS '!D:D,'ACID &amp; ESCAID STATUS '!R:R, " ",0,-1)</f>
        <v>46167</v>
      </c>
      <c r="I82">
        <f>_xlfn.XLOOKUP(A82,'ACID &amp; ESCAID STATUS '!D:D,'ACID &amp; ESCAID STATUS '!N:N," ",0,-1)</f>
        <v>100281</v>
      </c>
    </row>
    <row r="83" spans="1:9" x14ac:dyDescent="0.35">
      <c r="A83" t="str">
        <f t="shared" si="1"/>
        <v>NTTU1754592</v>
      </c>
      <c r="B83" t="s">
        <v>380</v>
      </c>
      <c r="C83" s="290" t="s">
        <v>569</v>
      </c>
      <c r="D83" t="str">
        <f>_xlfn.XLOOKUP(A83,'ACID &amp; ESCAID STATUS '!D:D,'ACID &amp; ESCAID STATUS '!G:G," ",0,-1)</f>
        <v>FULL</v>
      </c>
      <c r="E83" t="str">
        <f>_xlfn.XLOOKUP(A83,'ACID &amp; ESCAID STATUS '!D:D,'ACID &amp; ESCAID STATUS '!H:H," ",0,-1)</f>
        <v>INBOUND - SUB KOE</v>
      </c>
      <c r="F83">
        <f>_xlfn.XLOOKUP(A83,'ACID &amp; ESCAID STATUS '!D:D,'ACID &amp; ESCAID STATUS '!E:E," ",0,-1)</f>
        <v>22000</v>
      </c>
      <c r="G83">
        <f>_xlfn.XLOOKUP(A83,'ACID &amp; ESCAID STATUS '!D:D,'ACID &amp; ESCAID STATUS '!P:P," ",0,-1)</f>
        <v>23000</v>
      </c>
      <c r="H83" s="365">
        <f>_xlfn.XLOOKUP(A83,'ACID &amp; ESCAID STATUS '!D:D,'ACID &amp; ESCAID STATUS '!R:R, " ",0,-1)</f>
        <v>46176</v>
      </c>
      <c r="I83">
        <f>_xlfn.XLOOKUP(A83,'ACID &amp; ESCAID STATUS '!D:D,'ACID &amp; ESCAID STATUS '!N:N," ",0,-1)</f>
        <v>100426</v>
      </c>
    </row>
    <row r="84" spans="1:9" x14ac:dyDescent="0.35">
      <c r="A84" t="str">
        <f t="shared" si="1"/>
        <v>NTTU1754463</v>
      </c>
      <c r="B84" t="s">
        <v>380</v>
      </c>
      <c r="C84" s="374" t="s">
        <v>570</v>
      </c>
      <c r="D84" t="str">
        <f>_xlfn.XLOOKUP(A84,'ACID &amp; ESCAID STATUS '!D:D,'ACID &amp; ESCAID STATUS '!G:G," ",0,-1)</f>
        <v>FULL</v>
      </c>
      <c r="E84" t="str">
        <f>_xlfn.XLOOKUP(A84,'ACID &amp; ESCAID STATUS '!D:D,'ACID &amp; ESCAID STATUS '!H:H," ",0,-1)</f>
        <v>INBOUND - SUB KOE</v>
      </c>
      <c r="F84">
        <f>_xlfn.XLOOKUP(A84,'ACID &amp; ESCAID STATUS '!D:D,'ACID &amp; ESCAID STATUS '!E:E," ",0,-1)</f>
        <v>22000</v>
      </c>
      <c r="G84">
        <f>_xlfn.XLOOKUP(A84,'ACID &amp; ESCAID STATUS '!D:D,'ACID &amp; ESCAID STATUS '!P:P," ",0,-1)</f>
        <v>23000</v>
      </c>
      <c r="H84" s="365">
        <f>_xlfn.XLOOKUP(A84,'ACID &amp; ESCAID STATUS '!D:D,'ACID &amp; ESCAID STATUS '!R:R, " ",0,-1)</f>
        <v>46176</v>
      </c>
      <c r="I84">
        <f>_xlfn.XLOOKUP(A84,'ACID &amp; ESCAID STATUS '!D:D,'ACID &amp; ESCAID STATUS '!N:N," ",0,-1)</f>
        <v>100426</v>
      </c>
    </row>
    <row r="85" spans="1:9" x14ac:dyDescent="0.35">
      <c r="A85" t="str">
        <f t="shared" si="1"/>
        <v>NTTU1754542</v>
      </c>
      <c r="B85" t="s">
        <v>380</v>
      </c>
      <c r="C85" t="s">
        <v>575</v>
      </c>
      <c r="D85">
        <f>_xlfn.XLOOKUP(A85,'ACID &amp; ESCAID STATUS '!D:D,'ACID &amp; ESCAID STATUS '!G:G," ",0,-1)</f>
        <v>0</v>
      </c>
      <c r="E85" t="str">
        <f>_xlfn.XLOOKUP(A85,'ACID &amp; ESCAID STATUS '!D:D,'ACID &amp; ESCAID STATUS '!H:H," ",0,-1)</f>
        <v>VENDOR</v>
      </c>
      <c r="F85">
        <f>_xlfn.XLOOKUP(A85,'ACID &amp; ESCAID STATUS '!D:D,'ACID &amp; ESCAID STATUS '!E:E," ",0,-1)</f>
        <v>0</v>
      </c>
      <c r="G85">
        <f>_xlfn.XLOOKUP(A85,'ACID &amp; ESCAID STATUS '!D:D,'ACID &amp; ESCAID STATUS '!P:P," ",0,-1)</f>
        <v>23000</v>
      </c>
      <c r="H85" s="365">
        <f>_xlfn.XLOOKUP(A85,'ACID &amp; ESCAID STATUS '!D:D,'ACID &amp; ESCAID STATUS '!R:R, " ",0,-1)</f>
        <v>46212</v>
      </c>
      <c r="I85">
        <f>_xlfn.XLOOKUP(A85,'ACID &amp; ESCAID STATUS '!D:D,'ACID &amp; ESCAID STATUS '!N:N," ",0,-1)</f>
        <v>0</v>
      </c>
    </row>
    <row r="86" spans="1:9" x14ac:dyDescent="0.35">
      <c r="A86" t="str">
        <f t="shared" si="1"/>
        <v>NTTU1754563</v>
      </c>
      <c r="B86" t="s">
        <v>380</v>
      </c>
      <c r="C86" t="s">
        <v>576</v>
      </c>
      <c r="D86">
        <f>_xlfn.XLOOKUP(A86,'ACID &amp; ESCAID STATUS '!D:D,'ACID &amp; ESCAID STATUS '!G:G," ",0,-1)</f>
        <v>0</v>
      </c>
      <c r="E86" t="str">
        <f>_xlfn.XLOOKUP(A86,'ACID &amp; ESCAID STATUS '!D:D,'ACID &amp; ESCAID STATUS '!H:H," ",0,-1)</f>
        <v>VENDOR</v>
      </c>
      <c r="F86">
        <f>_xlfn.XLOOKUP(A86,'ACID &amp; ESCAID STATUS '!D:D,'ACID &amp; ESCAID STATUS '!E:E," ",0,-1)</f>
        <v>0</v>
      </c>
      <c r="G86">
        <f>_xlfn.XLOOKUP(A86,'ACID &amp; ESCAID STATUS '!D:D,'ACID &amp; ESCAID STATUS '!P:P," ",0,-1)</f>
        <v>23000</v>
      </c>
      <c r="H86" s="365">
        <f>_xlfn.XLOOKUP(A86,'ACID &amp; ESCAID STATUS '!D:D,'ACID &amp; ESCAID STATUS '!R:R, " ",0,-1)</f>
        <v>46212</v>
      </c>
      <c r="I86">
        <f>_xlfn.XLOOKUP(A86,'ACID &amp; ESCAID STATUS '!D:D,'ACID &amp; ESCAID STATUS '!N:N," ",0,-1)</f>
        <v>0</v>
      </c>
    </row>
    <row r="87" spans="1:9" x14ac:dyDescent="0.35">
      <c r="A87" t="str">
        <f t="shared" si="1"/>
        <v>NTTU1754606</v>
      </c>
      <c r="B87" t="s">
        <v>380</v>
      </c>
      <c r="C87" t="s">
        <v>577</v>
      </c>
      <c r="D87">
        <f>_xlfn.XLOOKUP(A87,'ACID &amp; ESCAID STATUS '!D:D,'ACID &amp; ESCAID STATUS '!G:G," ",0,-1)</f>
        <v>0</v>
      </c>
      <c r="E87" t="str">
        <f>_xlfn.XLOOKUP(A87,'ACID &amp; ESCAID STATUS '!D:D,'ACID &amp; ESCAID STATUS '!H:H," ",0,-1)</f>
        <v>VENDOR</v>
      </c>
      <c r="F87">
        <f>_xlfn.XLOOKUP(A87,'ACID &amp; ESCAID STATUS '!D:D,'ACID &amp; ESCAID STATUS '!E:E," ",0,-1)</f>
        <v>0</v>
      </c>
      <c r="G87">
        <f>_xlfn.XLOOKUP(A87,'ACID &amp; ESCAID STATUS '!D:D,'ACID &amp; ESCAID STATUS '!P:P," ",0,-1)</f>
        <v>23000</v>
      </c>
      <c r="H87" s="365">
        <f>_xlfn.XLOOKUP(A87,'ACID &amp; ESCAID STATUS '!D:D,'ACID &amp; ESCAID STATUS '!R:R, " ",0,-1)</f>
        <v>46212</v>
      </c>
      <c r="I87">
        <f>_xlfn.XLOOKUP(A87,'ACID &amp; ESCAID STATUS '!D:D,'ACID &amp; ESCAID STATUS '!N:N," ",0,-1)</f>
        <v>0</v>
      </c>
    </row>
    <row r="88" spans="1:9" x14ac:dyDescent="0.35">
      <c r="A88" t="str">
        <f t="shared" si="1"/>
        <v>NTTU1754442</v>
      </c>
      <c r="B88" t="s">
        <v>380</v>
      </c>
      <c r="C88" t="s">
        <v>578</v>
      </c>
      <c r="D88">
        <f>_xlfn.XLOOKUP(A88,'ACID &amp; ESCAID STATUS '!D:D,'ACID &amp; ESCAID STATUS '!G:G," ",0,-1)</f>
        <v>0</v>
      </c>
      <c r="E88" t="str">
        <f>_xlfn.XLOOKUP(A88,'ACID &amp; ESCAID STATUS '!D:D,'ACID &amp; ESCAID STATUS '!H:H," ",0,-1)</f>
        <v>VENDOR</v>
      </c>
      <c r="F88">
        <f>_xlfn.XLOOKUP(A88,'ACID &amp; ESCAID STATUS '!D:D,'ACID &amp; ESCAID STATUS '!E:E," ",0,-1)</f>
        <v>0</v>
      </c>
      <c r="G88">
        <f>_xlfn.XLOOKUP(A88,'ACID &amp; ESCAID STATUS '!D:D,'ACID &amp; ESCAID STATUS '!P:P," ",0,-1)</f>
        <v>23000</v>
      </c>
      <c r="H88" s="365">
        <f>_xlfn.XLOOKUP(A88,'ACID &amp; ESCAID STATUS '!D:D,'ACID &amp; ESCAID STATUS '!R:R, " ",0,-1)</f>
        <v>46212</v>
      </c>
      <c r="I88">
        <f>_xlfn.XLOOKUP(A88,'ACID &amp; ESCAID STATUS '!D:D,'ACID &amp; ESCAID STATUS '!N:N," ",0,-1)</f>
        <v>0</v>
      </c>
    </row>
    <row r="89" spans="1:9" x14ac:dyDescent="0.35">
      <c r="A89" t="str">
        <f t="shared" si="1"/>
        <v/>
      </c>
      <c r="I89" t="str">
        <f>_xlfn.XLOOKUP(A89,'ACID &amp; ESCAID STATUS '!D:D,'ACID &amp; ESCAID STATUS '!N:N," ",0,-1)</f>
        <v xml:space="preserve"> </v>
      </c>
    </row>
    <row r="90" spans="1:9" x14ac:dyDescent="0.35">
      <c r="A90" t="str">
        <f t="shared" si="1"/>
        <v/>
      </c>
      <c r="I90" t="str">
        <f>_xlfn.XLOOKUP(A90,'ACID &amp; ESCAID STATUS '!D:D,'ACID &amp; ESCAID STATUS '!N:N," ",0,-1)</f>
        <v xml:space="preserve"> </v>
      </c>
    </row>
    <row r="91" spans="1:9" x14ac:dyDescent="0.35">
      <c r="A91" t="str">
        <f t="shared" si="1"/>
        <v/>
      </c>
      <c r="I91" t="str">
        <f>_xlfn.XLOOKUP(A91,'ACID &amp; ESCAID STATUS '!D:D,'ACID &amp; ESCAID STATUS '!N:N," ",0,-1)</f>
        <v xml:space="preserve"> </v>
      </c>
    </row>
    <row r="92" spans="1:9" x14ac:dyDescent="0.35">
      <c r="A92" t="str">
        <f t="shared" si="1"/>
        <v/>
      </c>
      <c r="I92" t="str">
        <f>_xlfn.XLOOKUP(A92,'ACID &amp; ESCAID STATUS '!D:D,'ACID &amp; ESCAID STATUS '!N:N," ",0,-1)</f>
        <v xml:space="preserve"> </v>
      </c>
    </row>
    <row r="93" spans="1:9" x14ac:dyDescent="0.35">
      <c r="A93" t="str">
        <f t="shared" si="1"/>
        <v/>
      </c>
      <c r="I93" t="str">
        <f>_xlfn.XLOOKUP(A93,'ACID &amp; ESCAID STATUS '!D:D,'ACID &amp; ESCAID STATUS '!N:N," ",0,-1)</f>
        <v xml:space="preserve"> </v>
      </c>
    </row>
    <row r="94" spans="1:9" x14ac:dyDescent="0.35">
      <c r="A94" t="str">
        <f t="shared" si="1"/>
        <v/>
      </c>
      <c r="I94" t="str">
        <f>_xlfn.XLOOKUP(A94,'ACID &amp; ESCAID STATUS '!D:D,'ACID &amp; ESCAID STATUS '!N:N," ",0,-1)</f>
        <v xml:space="preserve"> </v>
      </c>
    </row>
    <row r="95" spans="1:9" x14ac:dyDescent="0.35">
      <c r="A95" t="str">
        <f t="shared" si="1"/>
        <v/>
      </c>
      <c r="I95" t="str">
        <f>_xlfn.XLOOKUP(A95,'ACID &amp; ESCAID STATUS '!D:D,'ACID &amp; ESCAID STATUS '!N:N," ",0,-1)</f>
        <v xml:space="preserve"> </v>
      </c>
    </row>
    <row r="96" spans="1:9" x14ac:dyDescent="0.35">
      <c r="A96" t="str">
        <f t="shared" si="1"/>
        <v/>
      </c>
      <c r="I96" t="str">
        <f>_xlfn.XLOOKUP(A96,'ACID &amp; ESCAID STATUS '!D:D,'ACID &amp; ESCAID STATUS '!N:N," ",0,-1)</f>
        <v xml:space="preserve"> </v>
      </c>
    </row>
    <row r="97" spans="1:9" x14ac:dyDescent="0.35">
      <c r="A97" t="str">
        <f t="shared" si="1"/>
        <v/>
      </c>
      <c r="I97" t="str">
        <f>_xlfn.XLOOKUP(A97,'ACID &amp; ESCAID STATUS '!D:D,'ACID &amp; ESCAID STATUS '!N:N," ",0,-1)</f>
        <v xml:space="preserve"> </v>
      </c>
    </row>
    <row r="98" spans="1:9" x14ac:dyDescent="0.35">
      <c r="A98" t="str">
        <f t="shared" si="1"/>
        <v/>
      </c>
      <c r="I98" t="str">
        <f>_xlfn.XLOOKUP(A98,'ACID &amp; ESCAID STATUS '!D:D,'ACID &amp; ESCAID STATUS '!N:N," ",0,-1)</f>
        <v xml:space="preserve"> </v>
      </c>
    </row>
    <row r="99" spans="1:9" x14ac:dyDescent="0.35">
      <c r="A99" t="str">
        <f t="shared" si="1"/>
        <v/>
      </c>
      <c r="I99" t="str">
        <f>_xlfn.XLOOKUP(A99,'ACID &amp; ESCAID STATUS '!D:D,'ACID &amp; ESCAID STATUS '!N:N," ",0,-1)</f>
        <v xml:space="preserve"> </v>
      </c>
    </row>
    <row r="100" spans="1:9" x14ac:dyDescent="0.35">
      <c r="A100" t="str">
        <f t="shared" si="1"/>
        <v/>
      </c>
      <c r="I100" t="str">
        <f>_xlfn.XLOOKUP(A100,'ACID &amp; ESCAID STATUS '!D:D,'ACID &amp; ESCAID STATUS '!N:N," ",0,-1)</f>
        <v xml:space="preserve"> </v>
      </c>
    </row>
    <row r="101" spans="1:9" x14ac:dyDescent="0.35">
      <c r="A101" t="str">
        <f t="shared" si="1"/>
        <v/>
      </c>
      <c r="I101" t="str">
        <f>_xlfn.XLOOKUP(A101,'ACID &amp; ESCAID STATUS '!D:D,'ACID &amp; ESCAID STATUS '!N:N," ",0,-1)</f>
        <v xml:space="preserve"> </v>
      </c>
    </row>
    <row r="102" spans="1:9" x14ac:dyDescent="0.35">
      <c r="A102" t="str">
        <f t="shared" si="1"/>
        <v/>
      </c>
      <c r="I102" t="str">
        <f>_xlfn.XLOOKUP(A102,'ACID &amp; ESCAID STATUS '!D:D,'ACID &amp; ESCAID STATUS '!N:N," ",0,-1)</f>
        <v xml:space="preserve"> </v>
      </c>
    </row>
    <row r="103" spans="1:9" x14ac:dyDescent="0.35">
      <c r="A103" t="str">
        <f t="shared" si="1"/>
        <v/>
      </c>
      <c r="I103" t="str">
        <f>_xlfn.XLOOKUP(A103,'ACID &amp; ESCAID STATUS '!D:D,'ACID &amp; ESCAID STATUS '!N:N," ",0,-1)</f>
        <v xml:space="preserve"> </v>
      </c>
    </row>
    <row r="104" spans="1:9" x14ac:dyDescent="0.35">
      <c r="A104" t="str">
        <f t="shared" si="1"/>
        <v/>
      </c>
      <c r="I104" t="str">
        <f>_xlfn.XLOOKUP(A104,'ACID &amp; ESCAID STATUS '!D:D,'ACID &amp; ESCAID STATUS '!N:N," ",0,-1)</f>
        <v xml:space="preserve"> </v>
      </c>
    </row>
    <row r="105" spans="1:9" x14ac:dyDescent="0.35">
      <c r="A105" t="str">
        <f t="shared" si="1"/>
        <v/>
      </c>
      <c r="I105" t="str">
        <f>_xlfn.XLOOKUP(A105,'ACID &amp; ESCAID STATUS '!D:D,'ACID &amp; ESCAID STATUS '!N:N," ",0,-1)</f>
        <v xml:space="preserve"> </v>
      </c>
    </row>
    <row r="106" spans="1:9" x14ac:dyDescent="0.35">
      <c r="A106" t="str">
        <f t="shared" si="1"/>
        <v/>
      </c>
      <c r="I106" t="str">
        <f>_xlfn.XLOOKUP(A106,'ACID &amp; ESCAID STATUS '!D:D,'ACID &amp; ESCAID STATUS '!N:N," ",0,-1)</f>
        <v xml:space="preserve"> </v>
      </c>
    </row>
    <row r="107" spans="1:9" x14ac:dyDescent="0.35">
      <c r="A107" t="str">
        <f t="shared" si="1"/>
        <v/>
      </c>
      <c r="I107" t="str">
        <f>_xlfn.XLOOKUP(A107,'ACID &amp; ESCAID STATUS '!D:D,'ACID &amp; ESCAID STATUS '!N:N," ",0,-1)</f>
        <v xml:space="preserve"> </v>
      </c>
    </row>
    <row r="108" spans="1:9" x14ac:dyDescent="0.35">
      <c r="A108" t="str">
        <f t="shared" si="1"/>
        <v/>
      </c>
      <c r="I108" t="str">
        <f>_xlfn.XLOOKUP(A108,'ACID &amp; ESCAID STATUS '!D:D,'ACID &amp; ESCAID STATUS '!N:N," ",0,-1)</f>
        <v xml:space="preserve"> </v>
      </c>
    </row>
    <row r="109" spans="1:9" x14ac:dyDescent="0.35">
      <c r="A109" t="str">
        <f t="shared" si="1"/>
        <v/>
      </c>
      <c r="I109" t="str">
        <f>_xlfn.XLOOKUP(A109,'ACID &amp; ESCAID STATUS '!D:D,'ACID &amp; ESCAID STATUS '!N:N," ",0,-1)</f>
        <v xml:space="preserve"> </v>
      </c>
    </row>
    <row r="110" spans="1:9" x14ac:dyDescent="0.35">
      <c r="A110" t="str">
        <f t="shared" si="1"/>
        <v/>
      </c>
      <c r="I110" t="str">
        <f>_xlfn.XLOOKUP(A110,'ACID &amp; ESCAID STATUS '!D:D,'ACID &amp; ESCAID STATUS '!N:N," ",0,-1)</f>
        <v xml:space="preserve"> </v>
      </c>
    </row>
    <row r="111" spans="1:9" x14ac:dyDescent="0.35">
      <c r="A111" t="str">
        <f t="shared" si="1"/>
        <v/>
      </c>
      <c r="I111" t="str">
        <f>_xlfn.XLOOKUP(A111,'ACID &amp; ESCAID STATUS '!D:D,'ACID &amp; ESCAID STATUS '!N:N," ",0,-1)</f>
        <v xml:space="preserve"> </v>
      </c>
    </row>
    <row r="112" spans="1:9" x14ac:dyDescent="0.35">
      <c r="A112" t="str">
        <f t="shared" si="1"/>
        <v/>
      </c>
      <c r="I112" t="str">
        <f>_xlfn.XLOOKUP(A112,'ACID &amp; ESCAID STATUS '!D:D,'ACID &amp; ESCAID STATUS '!N:N," ",0,-1)</f>
        <v xml:space="preserve"> </v>
      </c>
    </row>
    <row r="113" spans="1:9" x14ac:dyDescent="0.35">
      <c r="A113" t="str">
        <f t="shared" si="1"/>
        <v/>
      </c>
      <c r="I113" t="str">
        <f>_xlfn.XLOOKUP(A113,'ACID &amp; ESCAID STATUS '!D:D,'ACID &amp; ESCAID STATUS '!N:N," ",0,-1)</f>
        <v xml:space="preserve"> </v>
      </c>
    </row>
    <row r="114" spans="1:9" x14ac:dyDescent="0.35">
      <c r="A114" t="str">
        <f t="shared" si="1"/>
        <v/>
      </c>
      <c r="I114" t="str">
        <f>_xlfn.XLOOKUP(A114,'ACID &amp; ESCAID STATUS '!D:D,'ACID &amp; ESCAID STATUS '!N:N," ",0,-1)</f>
        <v xml:space="preserve"> </v>
      </c>
    </row>
    <row r="115" spans="1:9" x14ac:dyDescent="0.35">
      <c r="A115" t="str">
        <f t="shared" si="1"/>
        <v/>
      </c>
      <c r="I115" t="str">
        <f>_xlfn.XLOOKUP(A115,'ACID &amp; ESCAID STATUS '!D:D,'ACID &amp; ESCAID STATUS '!N:N," ",0,-1)</f>
        <v xml:space="preserve"> </v>
      </c>
    </row>
    <row r="116" spans="1:9" x14ac:dyDescent="0.35">
      <c r="A116" t="str">
        <f t="shared" si="1"/>
        <v/>
      </c>
      <c r="I116" t="str">
        <f>_xlfn.XLOOKUP(A116,'ACID &amp; ESCAID STATUS '!D:D,'ACID &amp; ESCAID STATUS '!N:N," ",0,-1)</f>
        <v xml:space="preserve"> </v>
      </c>
    </row>
    <row r="117" spans="1:9" x14ac:dyDescent="0.35">
      <c r="A117" t="str">
        <f t="shared" si="1"/>
        <v/>
      </c>
      <c r="I117" t="str">
        <f>_xlfn.XLOOKUP(A117,'ACID &amp; ESCAID STATUS '!D:D,'ACID &amp; ESCAID STATUS '!N:N," ",0,-1)</f>
        <v xml:space="preserve"> </v>
      </c>
    </row>
    <row r="118" spans="1:9" x14ac:dyDescent="0.35">
      <c r="A118" t="str">
        <f t="shared" si="1"/>
        <v/>
      </c>
      <c r="I118" t="str">
        <f>_xlfn.XLOOKUP(A118,'ACID &amp; ESCAID STATUS '!D:D,'ACID &amp; ESCAID STATUS '!N:N," ",0,-1)</f>
        <v xml:space="preserve"> </v>
      </c>
    </row>
    <row r="119" spans="1:9" x14ac:dyDescent="0.35">
      <c r="A119" t="str">
        <f t="shared" si="1"/>
        <v/>
      </c>
      <c r="I119" t="str">
        <f>_xlfn.XLOOKUP(A119,'ACID &amp; ESCAID STATUS '!D:D,'ACID &amp; ESCAID STATUS '!N:N," ",0,-1)</f>
        <v xml:space="preserve"> </v>
      </c>
    </row>
    <row r="120" spans="1:9" x14ac:dyDescent="0.35">
      <c r="A120" t="str">
        <f t="shared" si="1"/>
        <v/>
      </c>
      <c r="I120" t="str">
        <f>_xlfn.XLOOKUP(A120,'ACID &amp; ESCAID STATUS '!D:D,'ACID &amp; ESCAID STATUS '!N:N," ",0,-1)</f>
        <v xml:space="preserve"> </v>
      </c>
    </row>
    <row r="121" spans="1:9" x14ac:dyDescent="0.35">
      <c r="A121" t="str">
        <f t="shared" si="1"/>
        <v/>
      </c>
      <c r="I121" t="str">
        <f>_xlfn.XLOOKUP(A121,'ACID &amp; ESCAID STATUS '!D:D,'ACID &amp; ESCAID STATUS '!N:N," ",0,-1)</f>
        <v xml:space="preserve"> </v>
      </c>
    </row>
    <row r="122" spans="1:9" x14ac:dyDescent="0.35">
      <c r="A122" t="str">
        <f t="shared" si="1"/>
        <v/>
      </c>
      <c r="I122" t="str">
        <f>_xlfn.XLOOKUP(A122,'ACID &amp; ESCAID STATUS '!D:D,'ACID &amp; ESCAID STATUS '!N:N," ",0,-1)</f>
        <v xml:space="preserve"> </v>
      </c>
    </row>
    <row r="123" spans="1:9" x14ac:dyDescent="0.35">
      <c r="A123" t="str">
        <f t="shared" si="1"/>
        <v/>
      </c>
      <c r="I123" t="str">
        <f>_xlfn.XLOOKUP(A123,'ACID &amp; ESCAID STATUS '!D:D,'ACID &amp; ESCAID STATUS '!N:N," ",0,-1)</f>
        <v xml:space="preserve"> </v>
      </c>
    </row>
    <row r="124" spans="1:9" x14ac:dyDescent="0.35">
      <c r="A124" t="str">
        <f t="shared" si="1"/>
        <v/>
      </c>
      <c r="I124" t="str">
        <f>_xlfn.XLOOKUP(A124,'ACID &amp; ESCAID STATUS '!D:D,'ACID &amp; ESCAID STATUS '!N:N," ",0,-1)</f>
        <v xml:space="preserve"> </v>
      </c>
    </row>
    <row r="125" spans="1:9" x14ac:dyDescent="0.35">
      <c r="A125" t="str">
        <f t="shared" si="1"/>
        <v/>
      </c>
      <c r="I125" t="str">
        <f>_xlfn.XLOOKUP(A125,'ACID &amp; ESCAID STATUS '!D:D,'ACID &amp; ESCAID STATUS '!N:N," ",0,-1)</f>
        <v xml:space="preserve"> </v>
      </c>
    </row>
    <row r="126" spans="1:9" x14ac:dyDescent="0.35">
      <c r="A126" t="str">
        <f t="shared" si="1"/>
        <v/>
      </c>
      <c r="I126" t="str">
        <f>_xlfn.XLOOKUP(A126,'ACID &amp; ESCAID STATUS '!D:D,'ACID &amp; ESCAID STATUS '!N:N," ",0,-1)</f>
        <v xml:space="preserve"> </v>
      </c>
    </row>
    <row r="127" spans="1:9" x14ac:dyDescent="0.35">
      <c r="A127" t="str">
        <f t="shared" si="1"/>
        <v/>
      </c>
      <c r="I127" t="str">
        <f>_xlfn.XLOOKUP(A127,'ACID &amp; ESCAID STATUS '!D:D,'ACID &amp; ESCAID STATUS '!N:N," ",0,-1)</f>
        <v xml:space="preserve"> </v>
      </c>
    </row>
    <row r="128" spans="1:9" x14ac:dyDescent="0.35">
      <c r="A128" t="str">
        <f t="shared" si="1"/>
        <v/>
      </c>
      <c r="I128" t="str">
        <f>_xlfn.XLOOKUP(A128,'ACID &amp; ESCAID STATUS '!D:D,'ACID &amp; ESCAID STATUS '!N:N," ",0,-1)</f>
        <v xml:space="preserve"> </v>
      </c>
    </row>
    <row r="129" spans="1:9" x14ac:dyDescent="0.35">
      <c r="A129" t="str">
        <f t="shared" si="1"/>
        <v/>
      </c>
      <c r="I129" t="str">
        <f>_xlfn.XLOOKUP(A129,'ACID &amp; ESCAID STATUS '!D:D,'ACID &amp; ESCAID STATUS '!N:N," ",0,-1)</f>
        <v xml:space="preserve"> </v>
      </c>
    </row>
    <row r="130" spans="1:9" x14ac:dyDescent="0.35">
      <c r="A130" t="str">
        <f t="shared" si="1"/>
        <v/>
      </c>
      <c r="I130" t="str">
        <f>_xlfn.XLOOKUP(A130,'ACID &amp; ESCAID STATUS '!D:D,'ACID &amp; ESCAID STATUS '!N:N," ",0,-1)</f>
        <v xml:space="preserve"> </v>
      </c>
    </row>
    <row r="131" spans="1:9" x14ac:dyDescent="0.35">
      <c r="A131" t="str">
        <f t="shared" ref="A131:A194" si="2">TRIM(C131)</f>
        <v/>
      </c>
      <c r="I131" t="str">
        <f>_xlfn.XLOOKUP(A131,'ACID &amp; ESCAID STATUS '!D:D,'ACID &amp; ESCAID STATUS '!N:N," ",0,-1)</f>
        <v xml:space="preserve"> </v>
      </c>
    </row>
    <row r="132" spans="1:9" x14ac:dyDescent="0.35">
      <c r="A132" t="str">
        <f t="shared" si="2"/>
        <v/>
      </c>
      <c r="I132" t="str">
        <f>_xlfn.XLOOKUP(A132,'ACID &amp; ESCAID STATUS '!D:D,'ACID &amp; ESCAID STATUS '!N:N," ",0,-1)</f>
        <v xml:space="preserve"> </v>
      </c>
    </row>
    <row r="133" spans="1:9" x14ac:dyDescent="0.35">
      <c r="A133" t="str">
        <f t="shared" si="2"/>
        <v/>
      </c>
      <c r="I133" t="str">
        <f>_xlfn.XLOOKUP(A133,'ACID &amp; ESCAID STATUS '!D:D,'ACID &amp; ESCAID STATUS '!N:N," ",0,-1)</f>
        <v xml:space="preserve"> </v>
      </c>
    </row>
    <row r="134" spans="1:9" x14ac:dyDescent="0.35">
      <c r="A134" t="str">
        <f t="shared" si="2"/>
        <v/>
      </c>
      <c r="I134" t="str">
        <f>_xlfn.XLOOKUP(A134,'ACID &amp; ESCAID STATUS '!D:D,'ACID &amp; ESCAID STATUS '!N:N," ",0,-1)</f>
        <v xml:space="preserve"> </v>
      </c>
    </row>
    <row r="135" spans="1:9" x14ac:dyDescent="0.35">
      <c r="A135" t="str">
        <f t="shared" si="2"/>
        <v/>
      </c>
      <c r="I135" t="str">
        <f>_xlfn.XLOOKUP(A135,'ACID &amp; ESCAID STATUS '!D:D,'ACID &amp; ESCAID STATUS '!N:N," ",0,-1)</f>
        <v xml:space="preserve"> </v>
      </c>
    </row>
    <row r="136" spans="1:9" x14ac:dyDescent="0.35">
      <c r="A136" t="str">
        <f t="shared" si="2"/>
        <v/>
      </c>
      <c r="I136" t="str">
        <f>_xlfn.XLOOKUP(A136,'ACID &amp; ESCAID STATUS '!D:D,'ACID &amp; ESCAID STATUS '!N:N," ",0,-1)</f>
        <v xml:space="preserve"> </v>
      </c>
    </row>
    <row r="137" spans="1:9" x14ac:dyDescent="0.35">
      <c r="A137" t="str">
        <f t="shared" si="2"/>
        <v/>
      </c>
      <c r="I137" t="str">
        <f>_xlfn.XLOOKUP(A137,'ACID &amp; ESCAID STATUS '!D:D,'ACID &amp; ESCAID STATUS '!N:N," ",0,-1)</f>
        <v xml:space="preserve"> </v>
      </c>
    </row>
    <row r="138" spans="1:9" x14ac:dyDescent="0.35">
      <c r="A138" t="str">
        <f t="shared" si="2"/>
        <v/>
      </c>
      <c r="I138" t="str">
        <f>_xlfn.XLOOKUP(A138,'ACID &amp; ESCAID STATUS '!D:D,'ACID &amp; ESCAID STATUS '!N:N," ",0,-1)</f>
        <v xml:space="preserve"> </v>
      </c>
    </row>
    <row r="139" spans="1:9" x14ac:dyDescent="0.35">
      <c r="A139" t="str">
        <f t="shared" si="2"/>
        <v/>
      </c>
      <c r="I139" t="str">
        <f>_xlfn.XLOOKUP(A139,'ACID &amp; ESCAID STATUS '!D:D,'ACID &amp; ESCAID STATUS '!N:N," ",0,-1)</f>
        <v xml:space="preserve"> </v>
      </c>
    </row>
    <row r="140" spans="1:9" x14ac:dyDescent="0.35">
      <c r="A140" t="str">
        <f t="shared" si="2"/>
        <v/>
      </c>
      <c r="I140" t="str">
        <f>_xlfn.XLOOKUP(A140,'ACID &amp; ESCAID STATUS '!D:D,'ACID &amp; ESCAID STATUS '!N:N," ",0,-1)</f>
        <v xml:space="preserve"> </v>
      </c>
    </row>
    <row r="141" spans="1:9" x14ac:dyDescent="0.35">
      <c r="A141" t="str">
        <f t="shared" si="2"/>
        <v/>
      </c>
      <c r="I141" t="str">
        <f>_xlfn.XLOOKUP(A141,'ACID &amp; ESCAID STATUS '!D:D,'ACID &amp; ESCAID STATUS '!N:N," ",0,-1)</f>
        <v xml:space="preserve"> </v>
      </c>
    </row>
    <row r="142" spans="1:9" x14ac:dyDescent="0.35">
      <c r="A142" t="str">
        <f t="shared" si="2"/>
        <v/>
      </c>
      <c r="I142" t="str">
        <f>_xlfn.XLOOKUP(A142,'ACID &amp; ESCAID STATUS '!D:D,'ACID &amp; ESCAID STATUS '!N:N," ",0,-1)</f>
        <v xml:space="preserve"> </v>
      </c>
    </row>
    <row r="143" spans="1:9" x14ac:dyDescent="0.35">
      <c r="A143" t="str">
        <f t="shared" si="2"/>
        <v/>
      </c>
      <c r="I143" t="str">
        <f>_xlfn.XLOOKUP(A143,'ACID &amp; ESCAID STATUS '!D:D,'ACID &amp; ESCAID STATUS '!N:N," ",0,-1)</f>
        <v xml:space="preserve"> </v>
      </c>
    </row>
    <row r="144" spans="1:9" x14ac:dyDescent="0.35">
      <c r="A144" t="str">
        <f t="shared" si="2"/>
        <v/>
      </c>
      <c r="I144" t="str">
        <f>_xlfn.XLOOKUP(A144,'ACID &amp; ESCAID STATUS '!D:D,'ACID &amp; ESCAID STATUS '!N:N," ",0,-1)</f>
        <v xml:space="preserve"> </v>
      </c>
    </row>
    <row r="145" spans="1:9" x14ac:dyDescent="0.35">
      <c r="A145" t="str">
        <f t="shared" si="2"/>
        <v/>
      </c>
      <c r="I145" t="str">
        <f>_xlfn.XLOOKUP(A145,'ACID &amp; ESCAID STATUS '!D:D,'ACID &amp; ESCAID STATUS '!N:N," ",0,-1)</f>
        <v xml:space="preserve"> </v>
      </c>
    </row>
    <row r="146" spans="1:9" x14ac:dyDescent="0.35">
      <c r="A146" t="str">
        <f t="shared" si="2"/>
        <v/>
      </c>
      <c r="I146" t="str">
        <f>_xlfn.XLOOKUP(A146,'ACID &amp; ESCAID STATUS '!D:D,'ACID &amp; ESCAID STATUS '!N:N," ",0,-1)</f>
        <v xml:space="preserve"> </v>
      </c>
    </row>
    <row r="147" spans="1:9" x14ac:dyDescent="0.35">
      <c r="A147" t="str">
        <f t="shared" si="2"/>
        <v/>
      </c>
      <c r="I147" t="str">
        <f>_xlfn.XLOOKUP(A147,'ACID &amp; ESCAID STATUS '!D:D,'ACID &amp; ESCAID STATUS '!N:N," ",0,-1)</f>
        <v xml:space="preserve"> </v>
      </c>
    </row>
    <row r="148" spans="1:9" x14ac:dyDescent="0.35">
      <c r="A148" t="str">
        <f t="shared" si="2"/>
        <v/>
      </c>
      <c r="I148" t="str">
        <f>_xlfn.XLOOKUP(A148,'ACID &amp; ESCAID STATUS '!D:D,'ACID &amp; ESCAID STATUS '!N:N," ",0,-1)</f>
        <v xml:space="preserve"> </v>
      </c>
    </row>
    <row r="149" spans="1:9" x14ac:dyDescent="0.35">
      <c r="A149" t="str">
        <f t="shared" si="2"/>
        <v/>
      </c>
      <c r="I149" t="str">
        <f>_xlfn.XLOOKUP(A149,'ACID &amp; ESCAID STATUS '!D:D,'ACID &amp; ESCAID STATUS '!N:N," ",0,-1)</f>
        <v xml:space="preserve"> </v>
      </c>
    </row>
    <row r="150" spans="1:9" x14ac:dyDescent="0.35">
      <c r="A150" t="str">
        <f t="shared" si="2"/>
        <v/>
      </c>
      <c r="I150" t="str">
        <f>_xlfn.XLOOKUP(A150,'ACID &amp; ESCAID STATUS '!D:D,'ACID &amp; ESCAID STATUS '!N:N," ",0,-1)</f>
        <v xml:space="preserve"> </v>
      </c>
    </row>
    <row r="151" spans="1:9" x14ac:dyDescent="0.35">
      <c r="A151" t="str">
        <f t="shared" si="2"/>
        <v/>
      </c>
      <c r="I151" t="str">
        <f>_xlfn.XLOOKUP(A151,'ACID &amp; ESCAID STATUS '!D:D,'ACID &amp; ESCAID STATUS '!N:N," ",0,-1)</f>
        <v xml:space="preserve"> </v>
      </c>
    </row>
    <row r="152" spans="1:9" x14ac:dyDescent="0.35">
      <c r="A152" t="str">
        <f t="shared" si="2"/>
        <v/>
      </c>
      <c r="I152" t="str">
        <f>_xlfn.XLOOKUP(A152,'ACID &amp; ESCAID STATUS '!D:D,'ACID &amp; ESCAID STATUS '!N:N," ",0,-1)</f>
        <v xml:space="preserve"> </v>
      </c>
    </row>
    <row r="153" spans="1:9" x14ac:dyDescent="0.35">
      <c r="A153" t="str">
        <f t="shared" si="2"/>
        <v/>
      </c>
      <c r="I153" t="str">
        <f>_xlfn.XLOOKUP(A153,'ACID &amp; ESCAID STATUS '!D:D,'ACID &amp; ESCAID STATUS '!N:N," ",0,-1)</f>
        <v xml:space="preserve"> </v>
      </c>
    </row>
    <row r="154" spans="1:9" x14ac:dyDescent="0.35">
      <c r="A154" t="str">
        <f t="shared" si="2"/>
        <v/>
      </c>
      <c r="I154" t="str">
        <f>_xlfn.XLOOKUP(A154,'ACID &amp; ESCAID STATUS '!D:D,'ACID &amp; ESCAID STATUS '!N:N," ",0,-1)</f>
        <v xml:space="preserve"> </v>
      </c>
    </row>
    <row r="155" spans="1:9" x14ac:dyDescent="0.35">
      <c r="A155" t="str">
        <f t="shared" si="2"/>
        <v/>
      </c>
      <c r="I155" t="str">
        <f>_xlfn.XLOOKUP(A155,'ACID &amp; ESCAID STATUS '!D:D,'ACID &amp; ESCAID STATUS '!N:N," ",0,-1)</f>
        <v xml:space="preserve"> </v>
      </c>
    </row>
    <row r="156" spans="1:9" x14ac:dyDescent="0.35">
      <c r="A156" t="str">
        <f t="shared" si="2"/>
        <v/>
      </c>
      <c r="I156" t="str">
        <f>_xlfn.XLOOKUP(A156,'ACID &amp; ESCAID STATUS '!D:D,'ACID &amp; ESCAID STATUS '!N:N," ",0,-1)</f>
        <v xml:space="preserve"> </v>
      </c>
    </row>
    <row r="157" spans="1:9" x14ac:dyDescent="0.35">
      <c r="A157" t="str">
        <f t="shared" si="2"/>
        <v/>
      </c>
      <c r="I157" t="str">
        <f>_xlfn.XLOOKUP(A157,'ACID &amp; ESCAID STATUS '!D:D,'ACID &amp; ESCAID STATUS '!N:N," ",0,-1)</f>
        <v xml:space="preserve"> </v>
      </c>
    </row>
    <row r="158" spans="1:9" x14ac:dyDescent="0.35">
      <c r="A158" t="str">
        <f t="shared" si="2"/>
        <v/>
      </c>
      <c r="I158" t="str">
        <f>_xlfn.XLOOKUP(A158,'ACID &amp; ESCAID STATUS '!D:D,'ACID &amp; ESCAID STATUS '!N:N," ",0,-1)</f>
        <v xml:space="preserve"> </v>
      </c>
    </row>
    <row r="159" spans="1:9" x14ac:dyDescent="0.35">
      <c r="A159" t="str">
        <f t="shared" si="2"/>
        <v/>
      </c>
      <c r="I159" t="str">
        <f>_xlfn.XLOOKUP(A159,'ACID &amp; ESCAID STATUS '!D:D,'ACID &amp; ESCAID STATUS '!N:N," ",0,-1)</f>
        <v xml:space="preserve"> </v>
      </c>
    </row>
    <row r="160" spans="1:9" x14ac:dyDescent="0.35">
      <c r="A160" t="str">
        <f t="shared" si="2"/>
        <v/>
      </c>
      <c r="I160" t="str">
        <f>_xlfn.XLOOKUP(A160,'ACID &amp; ESCAID STATUS '!D:D,'ACID &amp; ESCAID STATUS '!N:N," ",0,-1)</f>
        <v xml:space="preserve"> </v>
      </c>
    </row>
    <row r="161" spans="1:9" x14ac:dyDescent="0.35">
      <c r="A161" t="str">
        <f t="shared" si="2"/>
        <v/>
      </c>
      <c r="I161" t="str">
        <f>_xlfn.XLOOKUP(A161,'ACID &amp; ESCAID STATUS '!D:D,'ACID &amp; ESCAID STATUS '!N:N," ",0,-1)</f>
        <v xml:space="preserve"> </v>
      </c>
    </row>
    <row r="162" spans="1:9" x14ac:dyDescent="0.35">
      <c r="A162" t="str">
        <f t="shared" si="2"/>
        <v/>
      </c>
      <c r="I162" t="str">
        <f>_xlfn.XLOOKUP(A162,'ACID &amp; ESCAID STATUS '!D:D,'ACID &amp; ESCAID STATUS '!N:N," ",0,-1)</f>
        <v xml:space="preserve"> </v>
      </c>
    </row>
    <row r="163" spans="1:9" x14ac:dyDescent="0.35">
      <c r="A163" t="str">
        <f t="shared" si="2"/>
        <v/>
      </c>
      <c r="I163" t="str">
        <f>_xlfn.XLOOKUP(A163,'ACID &amp; ESCAID STATUS '!D:D,'ACID &amp; ESCAID STATUS '!N:N," ",0,-1)</f>
        <v xml:space="preserve"> </v>
      </c>
    </row>
    <row r="164" spans="1:9" x14ac:dyDescent="0.35">
      <c r="A164" t="str">
        <f t="shared" si="2"/>
        <v/>
      </c>
      <c r="I164" t="str">
        <f>_xlfn.XLOOKUP(A164,'ACID &amp; ESCAID STATUS '!D:D,'ACID &amp; ESCAID STATUS '!N:N," ",0,-1)</f>
        <v xml:space="preserve"> </v>
      </c>
    </row>
    <row r="165" spans="1:9" x14ac:dyDescent="0.35">
      <c r="A165" t="str">
        <f t="shared" si="2"/>
        <v/>
      </c>
      <c r="I165" t="str">
        <f>_xlfn.XLOOKUP(A165,'ACID &amp; ESCAID STATUS '!D:D,'ACID &amp; ESCAID STATUS '!N:N," ",0,-1)</f>
        <v xml:space="preserve"> </v>
      </c>
    </row>
    <row r="166" spans="1:9" x14ac:dyDescent="0.35">
      <c r="A166" t="str">
        <f t="shared" si="2"/>
        <v/>
      </c>
      <c r="I166" t="str">
        <f>_xlfn.XLOOKUP(A166,'ACID &amp; ESCAID STATUS '!D:D,'ACID &amp; ESCAID STATUS '!N:N," ",0,-1)</f>
        <v xml:space="preserve"> </v>
      </c>
    </row>
    <row r="167" spans="1:9" x14ac:dyDescent="0.35">
      <c r="A167" t="str">
        <f t="shared" si="2"/>
        <v/>
      </c>
      <c r="I167" t="str">
        <f>_xlfn.XLOOKUP(A167,'ACID &amp; ESCAID STATUS '!D:D,'ACID &amp; ESCAID STATUS '!N:N," ",0,-1)</f>
        <v xml:space="preserve"> </v>
      </c>
    </row>
    <row r="168" spans="1:9" x14ac:dyDescent="0.35">
      <c r="A168" t="str">
        <f t="shared" si="2"/>
        <v/>
      </c>
      <c r="I168" t="str">
        <f>_xlfn.XLOOKUP(A168,'ACID &amp; ESCAID STATUS '!D:D,'ACID &amp; ESCAID STATUS '!N:N," ",0,-1)</f>
        <v xml:space="preserve"> </v>
      </c>
    </row>
    <row r="169" spans="1:9" x14ac:dyDescent="0.35">
      <c r="A169" t="str">
        <f t="shared" si="2"/>
        <v/>
      </c>
      <c r="I169" t="str">
        <f>_xlfn.XLOOKUP(A169,'ACID &amp; ESCAID STATUS '!D:D,'ACID &amp; ESCAID STATUS '!N:N," ",0,-1)</f>
        <v xml:space="preserve"> </v>
      </c>
    </row>
    <row r="170" spans="1:9" x14ac:dyDescent="0.35">
      <c r="A170" t="str">
        <f t="shared" si="2"/>
        <v/>
      </c>
      <c r="I170" t="str">
        <f>_xlfn.XLOOKUP(A170,'ACID &amp; ESCAID STATUS '!D:D,'ACID &amp; ESCAID STATUS '!N:N," ",0,-1)</f>
        <v xml:space="preserve"> </v>
      </c>
    </row>
    <row r="171" spans="1:9" x14ac:dyDescent="0.35">
      <c r="A171" t="str">
        <f t="shared" si="2"/>
        <v/>
      </c>
      <c r="I171" t="str">
        <f>_xlfn.XLOOKUP(A171,'ACID &amp; ESCAID STATUS '!D:D,'ACID &amp; ESCAID STATUS '!N:N," ",0,-1)</f>
        <v xml:space="preserve"> </v>
      </c>
    </row>
    <row r="172" spans="1:9" x14ac:dyDescent="0.35">
      <c r="A172" t="str">
        <f t="shared" si="2"/>
        <v/>
      </c>
      <c r="I172" t="str">
        <f>_xlfn.XLOOKUP(A172,'ACID &amp; ESCAID STATUS '!D:D,'ACID &amp; ESCAID STATUS '!N:N," ",0,-1)</f>
        <v xml:space="preserve"> </v>
      </c>
    </row>
    <row r="173" spans="1:9" x14ac:dyDescent="0.35">
      <c r="A173" t="str">
        <f t="shared" si="2"/>
        <v/>
      </c>
      <c r="I173" t="str">
        <f>_xlfn.XLOOKUP(A173,'ACID &amp; ESCAID STATUS '!D:D,'ACID &amp; ESCAID STATUS '!N:N," ",0,-1)</f>
        <v xml:space="preserve"> </v>
      </c>
    </row>
    <row r="174" spans="1:9" x14ac:dyDescent="0.35">
      <c r="A174" t="str">
        <f t="shared" si="2"/>
        <v/>
      </c>
      <c r="I174" t="str">
        <f>_xlfn.XLOOKUP(A174,'ACID &amp; ESCAID STATUS '!D:D,'ACID &amp; ESCAID STATUS '!N:N," ",0,-1)</f>
        <v xml:space="preserve"> </v>
      </c>
    </row>
    <row r="175" spans="1:9" x14ac:dyDescent="0.35">
      <c r="A175" t="str">
        <f t="shared" si="2"/>
        <v/>
      </c>
      <c r="I175" t="str">
        <f>_xlfn.XLOOKUP(A175,'ACID &amp; ESCAID STATUS '!D:D,'ACID &amp; ESCAID STATUS '!N:N," ",0,-1)</f>
        <v xml:space="preserve"> </v>
      </c>
    </row>
    <row r="176" spans="1:9" x14ac:dyDescent="0.35">
      <c r="A176" t="str">
        <f t="shared" si="2"/>
        <v/>
      </c>
      <c r="I176" t="str">
        <f>_xlfn.XLOOKUP(A176,'ACID &amp; ESCAID STATUS '!D:D,'ACID &amp; ESCAID STATUS '!N:N," ",0,-1)</f>
        <v xml:space="preserve"> </v>
      </c>
    </row>
    <row r="177" spans="1:9" x14ac:dyDescent="0.35">
      <c r="A177" t="str">
        <f t="shared" si="2"/>
        <v/>
      </c>
      <c r="I177" t="str">
        <f>_xlfn.XLOOKUP(A177,'ACID &amp; ESCAID STATUS '!D:D,'ACID &amp; ESCAID STATUS '!N:N," ",0,-1)</f>
        <v xml:space="preserve"> </v>
      </c>
    </row>
    <row r="178" spans="1:9" x14ac:dyDescent="0.35">
      <c r="A178" t="str">
        <f t="shared" si="2"/>
        <v/>
      </c>
      <c r="I178" t="str">
        <f>_xlfn.XLOOKUP(A178,'ACID &amp; ESCAID STATUS '!D:D,'ACID &amp; ESCAID STATUS '!N:N," ",0,-1)</f>
        <v xml:space="preserve"> </v>
      </c>
    </row>
    <row r="179" spans="1:9" x14ac:dyDescent="0.35">
      <c r="A179" t="str">
        <f t="shared" si="2"/>
        <v/>
      </c>
      <c r="I179" t="str">
        <f>_xlfn.XLOOKUP(A179,'ACID &amp; ESCAID STATUS '!D:D,'ACID &amp; ESCAID STATUS '!N:N," ",0,-1)</f>
        <v xml:space="preserve"> </v>
      </c>
    </row>
    <row r="180" spans="1:9" x14ac:dyDescent="0.35">
      <c r="A180" t="str">
        <f t="shared" si="2"/>
        <v/>
      </c>
      <c r="I180" t="str">
        <f>_xlfn.XLOOKUP(A180,'ACID &amp; ESCAID STATUS '!D:D,'ACID &amp; ESCAID STATUS '!N:N," ",0,-1)</f>
        <v xml:space="preserve"> </v>
      </c>
    </row>
    <row r="181" spans="1:9" x14ac:dyDescent="0.35">
      <c r="A181" t="str">
        <f t="shared" si="2"/>
        <v/>
      </c>
      <c r="I181" t="str">
        <f>_xlfn.XLOOKUP(A181,'ACID &amp; ESCAID STATUS '!D:D,'ACID &amp; ESCAID STATUS '!N:N," ",0,-1)</f>
        <v xml:space="preserve"> </v>
      </c>
    </row>
    <row r="182" spans="1:9" x14ac:dyDescent="0.35">
      <c r="A182" t="str">
        <f t="shared" si="2"/>
        <v/>
      </c>
      <c r="I182" t="str">
        <f>_xlfn.XLOOKUP(A182,'ACID &amp; ESCAID STATUS '!D:D,'ACID &amp; ESCAID STATUS '!N:N," ",0,-1)</f>
        <v xml:space="preserve"> </v>
      </c>
    </row>
    <row r="183" spans="1:9" x14ac:dyDescent="0.35">
      <c r="A183" t="str">
        <f t="shared" si="2"/>
        <v/>
      </c>
      <c r="I183" t="str">
        <f>_xlfn.XLOOKUP(A183,'ACID &amp; ESCAID STATUS '!D:D,'ACID &amp; ESCAID STATUS '!N:N," ",0,-1)</f>
        <v xml:space="preserve"> </v>
      </c>
    </row>
    <row r="184" spans="1:9" x14ac:dyDescent="0.35">
      <c r="A184" t="str">
        <f t="shared" si="2"/>
        <v/>
      </c>
      <c r="I184" t="str">
        <f>_xlfn.XLOOKUP(A184,'ACID &amp; ESCAID STATUS '!D:D,'ACID &amp; ESCAID STATUS '!N:N," ",0,-1)</f>
        <v xml:space="preserve"> </v>
      </c>
    </row>
    <row r="185" spans="1:9" x14ac:dyDescent="0.35">
      <c r="A185" t="str">
        <f t="shared" si="2"/>
        <v/>
      </c>
      <c r="I185" t="str">
        <f>_xlfn.XLOOKUP(A185,'ACID &amp; ESCAID STATUS '!D:D,'ACID &amp; ESCAID STATUS '!N:N," ",0,-1)</f>
        <v xml:space="preserve"> </v>
      </c>
    </row>
    <row r="186" spans="1:9" x14ac:dyDescent="0.35">
      <c r="A186" t="str">
        <f t="shared" si="2"/>
        <v/>
      </c>
      <c r="I186" t="str">
        <f>_xlfn.XLOOKUP(A186,'ACID &amp; ESCAID STATUS '!D:D,'ACID &amp; ESCAID STATUS '!N:N," ",0,-1)</f>
        <v xml:space="preserve"> </v>
      </c>
    </row>
    <row r="187" spans="1:9" x14ac:dyDescent="0.35">
      <c r="A187" t="str">
        <f t="shared" si="2"/>
        <v/>
      </c>
      <c r="I187" t="str">
        <f>_xlfn.XLOOKUP(A187,'ACID &amp; ESCAID STATUS '!D:D,'ACID &amp; ESCAID STATUS '!N:N," ",0,-1)</f>
        <v xml:space="preserve"> </v>
      </c>
    </row>
    <row r="188" spans="1:9" x14ac:dyDescent="0.35">
      <c r="A188" t="str">
        <f t="shared" si="2"/>
        <v/>
      </c>
      <c r="I188" t="str">
        <f>_xlfn.XLOOKUP(A188,'ACID &amp; ESCAID STATUS '!D:D,'ACID &amp; ESCAID STATUS '!N:N," ",0,-1)</f>
        <v xml:space="preserve"> </v>
      </c>
    </row>
    <row r="189" spans="1:9" x14ac:dyDescent="0.35">
      <c r="A189" t="str">
        <f t="shared" si="2"/>
        <v/>
      </c>
      <c r="I189" t="str">
        <f>_xlfn.XLOOKUP(A189,'ACID &amp; ESCAID STATUS '!D:D,'ACID &amp; ESCAID STATUS '!N:N," ",0,-1)</f>
        <v xml:space="preserve"> </v>
      </c>
    </row>
    <row r="190" spans="1:9" x14ac:dyDescent="0.35">
      <c r="A190" t="str">
        <f t="shared" si="2"/>
        <v/>
      </c>
      <c r="I190" t="str">
        <f>_xlfn.XLOOKUP(A190,'ACID &amp; ESCAID STATUS '!D:D,'ACID &amp; ESCAID STATUS '!N:N," ",0,-1)</f>
        <v xml:space="preserve"> </v>
      </c>
    </row>
    <row r="191" spans="1:9" x14ac:dyDescent="0.35">
      <c r="A191" t="str">
        <f t="shared" si="2"/>
        <v/>
      </c>
      <c r="I191" t="str">
        <f>_xlfn.XLOOKUP(A191,'ACID &amp; ESCAID STATUS '!D:D,'ACID &amp; ESCAID STATUS '!N:N," ",0,-1)</f>
        <v xml:space="preserve"> </v>
      </c>
    </row>
    <row r="192" spans="1:9" x14ac:dyDescent="0.35">
      <c r="A192" t="str">
        <f t="shared" si="2"/>
        <v/>
      </c>
      <c r="I192" t="str">
        <f>_xlfn.XLOOKUP(A192,'ACID &amp; ESCAID STATUS '!D:D,'ACID &amp; ESCAID STATUS '!N:N," ",0,-1)</f>
        <v xml:space="preserve"> </v>
      </c>
    </row>
    <row r="193" spans="1:9" x14ac:dyDescent="0.35">
      <c r="A193" t="str">
        <f t="shared" si="2"/>
        <v/>
      </c>
      <c r="I193" t="str">
        <f>_xlfn.XLOOKUP(A193,'ACID &amp; ESCAID STATUS '!D:D,'ACID &amp; ESCAID STATUS '!N:N," ",0,-1)</f>
        <v xml:space="preserve"> </v>
      </c>
    </row>
    <row r="194" spans="1:9" x14ac:dyDescent="0.35">
      <c r="A194" t="str">
        <f t="shared" si="2"/>
        <v/>
      </c>
      <c r="I194" t="str">
        <f>_xlfn.XLOOKUP(A194,'ACID &amp; ESCAID STATUS '!D:D,'ACID &amp; ESCAID STATUS '!N:N," ",0,-1)</f>
        <v xml:space="preserve"> </v>
      </c>
    </row>
    <row r="195" spans="1:9" x14ac:dyDescent="0.35">
      <c r="A195" t="str">
        <f t="shared" ref="A195:A258" si="3">TRIM(C195)</f>
        <v/>
      </c>
      <c r="I195" t="str">
        <f>_xlfn.XLOOKUP(A195,'ACID &amp; ESCAID STATUS '!D:D,'ACID &amp; ESCAID STATUS '!N:N," ",0,-1)</f>
        <v xml:space="preserve"> </v>
      </c>
    </row>
    <row r="196" spans="1:9" x14ac:dyDescent="0.35">
      <c r="A196" t="str">
        <f t="shared" si="3"/>
        <v/>
      </c>
      <c r="I196" t="str">
        <f>_xlfn.XLOOKUP(A196,'ACID &amp; ESCAID STATUS '!D:D,'ACID &amp; ESCAID STATUS '!N:N," ",0,-1)</f>
        <v xml:space="preserve"> </v>
      </c>
    </row>
    <row r="197" spans="1:9" x14ac:dyDescent="0.35">
      <c r="A197" t="str">
        <f t="shared" si="3"/>
        <v/>
      </c>
      <c r="I197" t="str">
        <f>_xlfn.XLOOKUP(A197,'ACID &amp; ESCAID STATUS '!D:D,'ACID &amp; ESCAID STATUS '!N:N," ",0,-1)</f>
        <v xml:space="preserve"> </v>
      </c>
    </row>
    <row r="198" spans="1:9" x14ac:dyDescent="0.35">
      <c r="A198" t="str">
        <f t="shared" si="3"/>
        <v/>
      </c>
      <c r="I198" t="str">
        <f>_xlfn.XLOOKUP(A198,'ACID &amp; ESCAID STATUS '!D:D,'ACID &amp; ESCAID STATUS '!N:N," ",0,-1)</f>
        <v xml:space="preserve"> </v>
      </c>
    </row>
    <row r="199" spans="1:9" x14ac:dyDescent="0.35">
      <c r="A199" t="str">
        <f t="shared" si="3"/>
        <v/>
      </c>
      <c r="I199" t="str">
        <f>_xlfn.XLOOKUP(A199,'ACID &amp; ESCAID STATUS '!D:D,'ACID &amp; ESCAID STATUS '!N:N," ",0,-1)</f>
        <v xml:space="preserve"> </v>
      </c>
    </row>
    <row r="200" spans="1:9" x14ac:dyDescent="0.35">
      <c r="A200" t="str">
        <f t="shared" si="3"/>
        <v/>
      </c>
      <c r="I200" t="str">
        <f>_xlfn.XLOOKUP(A200,'ACID &amp; ESCAID STATUS '!D:D,'ACID &amp; ESCAID STATUS '!N:N," ",0,-1)</f>
        <v xml:space="preserve"> </v>
      </c>
    </row>
    <row r="201" spans="1:9" x14ac:dyDescent="0.35">
      <c r="A201" t="str">
        <f t="shared" si="3"/>
        <v/>
      </c>
      <c r="I201" t="str">
        <f>_xlfn.XLOOKUP(A201,'ACID &amp; ESCAID STATUS '!D:D,'ACID &amp; ESCAID STATUS '!N:N," ",0,-1)</f>
        <v xml:space="preserve"> </v>
      </c>
    </row>
    <row r="202" spans="1:9" x14ac:dyDescent="0.35">
      <c r="A202" t="str">
        <f t="shared" si="3"/>
        <v/>
      </c>
      <c r="I202" t="str">
        <f>_xlfn.XLOOKUP(A202,'ACID &amp; ESCAID STATUS '!D:D,'ACID &amp; ESCAID STATUS '!N:N," ",0,-1)</f>
        <v xml:space="preserve"> </v>
      </c>
    </row>
    <row r="203" spans="1:9" x14ac:dyDescent="0.35">
      <c r="A203" t="str">
        <f t="shared" si="3"/>
        <v/>
      </c>
      <c r="I203" t="str">
        <f>_xlfn.XLOOKUP(A203,'ACID &amp; ESCAID STATUS '!D:D,'ACID &amp; ESCAID STATUS '!N:N," ",0,-1)</f>
        <v xml:space="preserve"> </v>
      </c>
    </row>
    <row r="204" spans="1:9" x14ac:dyDescent="0.35">
      <c r="A204" t="str">
        <f t="shared" si="3"/>
        <v/>
      </c>
      <c r="I204" t="str">
        <f>_xlfn.XLOOKUP(A204,'ACID &amp; ESCAID STATUS '!D:D,'ACID &amp; ESCAID STATUS '!N:N," ",0,-1)</f>
        <v xml:space="preserve"> </v>
      </c>
    </row>
    <row r="205" spans="1:9" x14ac:dyDescent="0.35">
      <c r="A205" t="str">
        <f t="shared" si="3"/>
        <v/>
      </c>
      <c r="I205" t="str">
        <f>_xlfn.XLOOKUP(A205,'ACID &amp; ESCAID STATUS '!D:D,'ACID &amp; ESCAID STATUS '!N:N," ",0,-1)</f>
        <v xml:space="preserve"> </v>
      </c>
    </row>
    <row r="206" spans="1:9" x14ac:dyDescent="0.35">
      <c r="A206" t="str">
        <f t="shared" si="3"/>
        <v/>
      </c>
      <c r="I206" t="str">
        <f>_xlfn.XLOOKUP(A206,'ACID &amp; ESCAID STATUS '!D:D,'ACID &amp; ESCAID STATUS '!N:N," ",0,-1)</f>
        <v xml:space="preserve"> </v>
      </c>
    </row>
    <row r="207" spans="1:9" x14ac:dyDescent="0.35">
      <c r="A207" t="str">
        <f t="shared" si="3"/>
        <v/>
      </c>
      <c r="I207" t="str">
        <f>_xlfn.XLOOKUP(A207,'ACID &amp; ESCAID STATUS '!D:D,'ACID &amp; ESCAID STATUS '!N:N," ",0,-1)</f>
        <v xml:space="preserve"> </v>
      </c>
    </row>
    <row r="208" spans="1:9" x14ac:dyDescent="0.35">
      <c r="A208" t="str">
        <f t="shared" si="3"/>
        <v/>
      </c>
      <c r="I208" t="str">
        <f>_xlfn.XLOOKUP(A208,'ACID &amp; ESCAID STATUS '!D:D,'ACID &amp; ESCAID STATUS '!N:N," ",0,-1)</f>
        <v xml:space="preserve"> </v>
      </c>
    </row>
    <row r="209" spans="1:9" x14ac:dyDescent="0.35">
      <c r="A209" t="str">
        <f t="shared" si="3"/>
        <v/>
      </c>
      <c r="I209" t="str">
        <f>_xlfn.XLOOKUP(A209,'ACID &amp; ESCAID STATUS '!D:D,'ACID &amp; ESCAID STATUS '!N:N," ",0,-1)</f>
        <v xml:space="preserve"> </v>
      </c>
    </row>
    <row r="210" spans="1:9" x14ac:dyDescent="0.35">
      <c r="A210" t="str">
        <f t="shared" si="3"/>
        <v/>
      </c>
      <c r="I210" t="str">
        <f>_xlfn.XLOOKUP(A210,'ACID &amp; ESCAID STATUS '!D:D,'ACID &amp; ESCAID STATUS '!N:N," ",0,-1)</f>
        <v xml:space="preserve"> </v>
      </c>
    </row>
    <row r="211" spans="1:9" x14ac:dyDescent="0.35">
      <c r="A211" t="str">
        <f t="shared" si="3"/>
        <v/>
      </c>
      <c r="I211" t="str">
        <f>_xlfn.XLOOKUP(A211,'ACID &amp; ESCAID STATUS '!D:D,'ACID &amp; ESCAID STATUS '!N:N," ",0,-1)</f>
        <v xml:space="preserve"> </v>
      </c>
    </row>
    <row r="212" spans="1:9" x14ac:dyDescent="0.35">
      <c r="A212" t="str">
        <f t="shared" si="3"/>
        <v/>
      </c>
      <c r="I212" t="str">
        <f>_xlfn.XLOOKUP(A212,'ACID &amp; ESCAID STATUS '!D:D,'ACID &amp; ESCAID STATUS '!N:N," ",0,-1)</f>
        <v xml:space="preserve"> </v>
      </c>
    </row>
    <row r="213" spans="1:9" x14ac:dyDescent="0.35">
      <c r="A213" t="str">
        <f t="shared" si="3"/>
        <v/>
      </c>
      <c r="I213" t="str">
        <f>_xlfn.XLOOKUP(A213,'ACID &amp; ESCAID STATUS '!D:D,'ACID &amp; ESCAID STATUS '!N:N," ",0,-1)</f>
        <v xml:space="preserve"> </v>
      </c>
    </row>
    <row r="214" spans="1:9" x14ac:dyDescent="0.35">
      <c r="A214" t="str">
        <f t="shared" si="3"/>
        <v/>
      </c>
      <c r="I214" t="str">
        <f>_xlfn.XLOOKUP(A214,'ACID &amp; ESCAID STATUS '!D:D,'ACID &amp; ESCAID STATUS '!N:N," ",0,-1)</f>
        <v xml:space="preserve"> </v>
      </c>
    </row>
    <row r="215" spans="1:9" x14ac:dyDescent="0.35">
      <c r="A215" t="str">
        <f t="shared" si="3"/>
        <v/>
      </c>
      <c r="I215" t="str">
        <f>_xlfn.XLOOKUP(A215,'ACID &amp; ESCAID STATUS '!D:D,'ACID &amp; ESCAID STATUS '!N:N," ",0,-1)</f>
        <v xml:space="preserve"> </v>
      </c>
    </row>
    <row r="216" spans="1:9" x14ac:dyDescent="0.35">
      <c r="A216" t="str">
        <f t="shared" si="3"/>
        <v/>
      </c>
      <c r="I216" t="str">
        <f>_xlfn.XLOOKUP(A216,'ACID &amp; ESCAID STATUS '!D:D,'ACID &amp; ESCAID STATUS '!N:N," ",0,-1)</f>
        <v xml:space="preserve"> </v>
      </c>
    </row>
    <row r="217" spans="1:9" x14ac:dyDescent="0.35">
      <c r="A217" t="str">
        <f t="shared" si="3"/>
        <v/>
      </c>
      <c r="I217" t="str">
        <f>_xlfn.XLOOKUP(A217,'ACID &amp; ESCAID STATUS '!D:D,'ACID &amp; ESCAID STATUS '!N:N," ",0,-1)</f>
        <v xml:space="preserve"> </v>
      </c>
    </row>
    <row r="218" spans="1:9" x14ac:dyDescent="0.35">
      <c r="A218" t="str">
        <f t="shared" si="3"/>
        <v/>
      </c>
      <c r="I218" t="str">
        <f>_xlfn.XLOOKUP(A218,'ACID &amp; ESCAID STATUS '!D:D,'ACID &amp; ESCAID STATUS '!N:N," ",0,-1)</f>
        <v xml:space="preserve"> </v>
      </c>
    </row>
    <row r="219" spans="1:9" x14ac:dyDescent="0.35">
      <c r="A219" t="str">
        <f t="shared" si="3"/>
        <v/>
      </c>
      <c r="I219" t="str">
        <f>_xlfn.XLOOKUP(A219,'ACID &amp; ESCAID STATUS '!D:D,'ACID &amp; ESCAID STATUS '!N:N," ",0,-1)</f>
        <v xml:space="preserve"> </v>
      </c>
    </row>
    <row r="220" spans="1:9" x14ac:dyDescent="0.35">
      <c r="A220" t="str">
        <f t="shared" si="3"/>
        <v/>
      </c>
      <c r="I220" t="str">
        <f>_xlfn.XLOOKUP(A220,'ACID &amp; ESCAID STATUS '!D:D,'ACID &amp; ESCAID STATUS '!N:N," ",0,-1)</f>
        <v xml:space="preserve"> </v>
      </c>
    </row>
    <row r="221" spans="1:9" x14ac:dyDescent="0.35">
      <c r="A221" t="str">
        <f t="shared" si="3"/>
        <v/>
      </c>
      <c r="I221" t="str">
        <f>_xlfn.XLOOKUP(A221,'ACID &amp; ESCAID STATUS '!D:D,'ACID &amp; ESCAID STATUS '!N:N," ",0,-1)</f>
        <v xml:space="preserve"> </v>
      </c>
    </row>
    <row r="222" spans="1:9" x14ac:dyDescent="0.35">
      <c r="A222" t="str">
        <f t="shared" si="3"/>
        <v/>
      </c>
      <c r="I222" t="str">
        <f>_xlfn.XLOOKUP(A222,'ACID &amp; ESCAID STATUS '!D:D,'ACID &amp; ESCAID STATUS '!N:N," ",0,-1)</f>
        <v xml:space="preserve"> </v>
      </c>
    </row>
    <row r="223" spans="1:9" x14ac:dyDescent="0.35">
      <c r="A223" t="str">
        <f t="shared" si="3"/>
        <v/>
      </c>
      <c r="I223" t="str">
        <f>_xlfn.XLOOKUP(A223,'ACID &amp; ESCAID STATUS '!D:D,'ACID &amp; ESCAID STATUS '!N:N," ",0,-1)</f>
        <v xml:space="preserve"> </v>
      </c>
    </row>
    <row r="224" spans="1:9" x14ac:dyDescent="0.35">
      <c r="A224" t="str">
        <f t="shared" si="3"/>
        <v/>
      </c>
      <c r="I224" t="str">
        <f>_xlfn.XLOOKUP(A224,'ACID &amp; ESCAID STATUS '!D:D,'ACID &amp; ESCAID STATUS '!N:N," ",0,-1)</f>
        <v xml:space="preserve"> </v>
      </c>
    </row>
    <row r="225" spans="1:9" x14ac:dyDescent="0.35">
      <c r="A225" t="str">
        <f t="shared" si="3"/>
        <v/>
      </c>
      <c r="I225" t="str">
        <f>_xlfn.XLOOKUP(A225,'ACID &amp; ESCAID STATUS '!D:D,'ACID &amp; ESCAID STATUS '!N:N," ",0,-1)</f>
        <v xml:space="preserve"> </v>
      </c>
    </row>
    <row r="226" spans="1:9" x14ac:dyDescent="0.35">
      <c r="A226" t="str">
        <f t="shared" si="3"/>
        <v/>
      </c>
      <c r="I226" t="str">
        <f>_xlfn.XLOOKUP(A226,'ACID &amp; ESCAID STATUS '!D:D,'ACID &amp; ESCAID STATUS '!N:N," ",0,-1)</f>
        <v xml:space="preserve"> </v>
      </c>
    </row>
    <row r="227" spans="1:9" x14ac:dyDescent="0.35">
      <c r="A227" t="str">
        <f t="shared" si="3"/>
        <v/>
      </c>
      <c r="I227" t="str">
        <f>_xlfn.XLOOKUP(A227,'ACID &amp; ESCAID STATUS '!D:D,'ACID &amp; ESCAID STATUS '!N:N," ",0,-1)</f>
        <v xml:space="preserve"> </v>
      </c>
    </row>
    <row r="228" spans="1:9" x14ac:dyDescent="0.35">
      <c r="A228" t="str">
        <f t="shared" si="3"/>
        <v/>
      </c>
      <c r="I228" t="str">
        <f>_xlfn.XLOOKUP(A228,'ACID &amp; ESCAID STATUS '!D:D,'ACID &amp; ESCAID STATUS '!N:N," ",0,-1)</f>
        <v xml:space="preserve"> </v>
      </c>
    </row>
    <row r="229" spans="1:9" x14ac:dyDescent="0.35">
      <c r="A229" t="str">
        <f t="shared" si="3"/>
        <v/>
      </c>
      <c r="I229" t="str">
        <f>_xlfn.XLOOKUP(A229,'ACID &amp; ESCAID STATUS '!D:D,'ACID &amp; ESCAID STATUS '!N:N," ",0,-1)</f>
        <v xml:space="preserve"> </v>
      </c>
    </row>
    <row r="230" spans="1:9" x14ac:dyDescent="0.35">
      <c r="A230" t="str">
        <f t="shared" si="3"/>
        <v/>
      </c>
      <c r="I230" t="str">
        <f>_xlfn.XLOOKUP(A230,'ACID &amp; ESCAID STATUS '!D:D,'ACID &amp; ESCAID STATUS '!N:N," ",0,-1)</f>
        <v xml:space="preserve"> </v>
      </c>
    </row>
    <row r="231" spans="1:9" x14ac:dyDescent="0.35">
      <c r="A231" t="str">
        <f t="shared" si="3"/>
        <v/>
      </c>
      <c r="I231" t="str">
        <f>_xlfn.XLOOKUP(A231,'ACID &amp; ESCAID STATUS '!D:D,'ACID &amp; ESCAID STATUS '!N:N," ",0,-1)</f>
        <v xml:space="preserve"> </v>
      </c>
    </row>
    <row r="232" spans="1:9" x14ac:dyDescent="0.35">
      <c r="A232" t="str">
        <f t="shared" si="3"/>
        <v/>
      </c>
      <c r="I232" t="str">
        <f>_xlfn.XLOOKUP(A232,'ACID &amp; ESCAID STATUS '!D:D,'ACID &amp; ESCAID STATUS '!N:N," ",0,-1)</f>
        <v xml:space="preserve"> </v>
      </c>
    </row>
    <row r="233" spans="1:9" x14ac:dyDescent="0.35">
      <c r="A233" t="str">
        <f t="shared" si="3"/>
        <v/>
      </c>
      <c r="I233" t="str">
        <f>_xlfn.XLOOKUP(A233,'ACID &amp; ESCAID STATUS '!D:D,'ACID &amp; ESCAID STATUS '!N:N," ",0,-1)</f>
        <v xml:space="preserve"> </v>
      </c>
    </row>
    <row r="234" spans="1:9" x14ac:dyDescent="0.35">
      <c r="A234" t="str">
        <f t="shared" si="3"/>
        <v/>
      </c>
      <c r="I234" t="str">
        <f>_xlfn.XLOOKUP(A234,'ACID &amp; ESCAID STATUS '!D:D,'ACID &amp; ESCAID STATUS '!N:N," ",0,-1)</f>
        <v xml:space="preserve"> </v>
      </c>
    </row>
    <row r="235" spans="1:9" x14ac:dyDescent="0.35">
      <c r="A235" t="str">
        <f t="shared" si="3"/>
        <v/>
      </c>
      <c r="I235" t="str">
        <f>_xlfn.XLOOKUP(A235,'ACID &amp; ESCAID STATUS '!D:D,'ACID &amp; ESCAID STATUS '!N:N," ",0,-1)</f>
        <v xml:space="preserve"> </v>
      </c>
    </row>
    <row r="236" spans="1:9" x14ac:dyDescent="0.35">
      <c r="A236" t="str">
        <f t="shared" si="3"/>
        <v/>
      </c>
      <c r="I236" t="str">
        <f>_xlfn.XLOOKUP(A236,'ACID &amp; ESCAID STATUS '!D:D,'ACID &amp; ESCAID STATUS '!N:N," ",0,-1)</f>
        <v xml:space="preserve"> </v>
      </c>
    </row>
    <row r="237" spans="1:9" x14ac:dyDescent="0.35">
      <c r="A237" t="str">
        <f t="shared" si="3"/>
        <v/>
      </c>
      <c r="I237" t="str">
        <f>_xlfn.XLOOKUP(A237,'ACID &amp; ESCAID STATUS '!D:D,'ACID &amp; ESCAID STATUS '!N:N," ",0,-1)</f>
        <v xml:space="preserve"> </v>
      </c>
    </row>
    <row r="238" spans="1:9" x14ac:dyDescent="0.35">
      <c r="A238" t="str">
        <f t="shared" si="3"/>
        <v/>
      </c>
      <c r="I238" t="str">
        <f>_xlfn.XLOOKUP(A238,'ACID &amp; ESCAID STATUS '!D:D,'ACID &amp; ESCAID STATUS '!N:N," ",0,-1)</f>
        <v xml:space="preserve"> </v>
      </c>
    </row>
    <row r="239" spans="1:9" x14ac:dyDescent="0.35">
      <c r="A239" t="str">
        <f t="shared" si="3"/>
        <v/>
      </c>
      <c r="I239" t="str">
        <f>_xlfn.XLOOKUP(A239,'ACID &amp; ESCAID STATUS '!D:D,'ACID &amp; ESCAID STATUS '!N:N," ",0,-1)</f>
        <v xml:space="preserve"> </v>
      </c>
    </row>
    <row r="240" spans="1:9" x14ac:dyDescent="0.35">
      <c r="A240" t="str">
        <f t="shared" si="3"/>
        <v/>
      </c>
      <c r="I240" t="str">
        <f>_xlfn.XLOOKUP(A240,'ACID &amp; ESCAID STATUS '!D:D,'ACID &amp; ESCAID STATUS '!N:N," ",0,-1)</f>
        <v xml:space="preserve"> </v>
      </c>
    </row>
    <row r="241" spans="1:9" x14ac:dyDescent="0.35">
      <c r="A241" t="str">
        <f t="shared" si="3"/>
        <v/>
      </c>
      <c r="I241" t="str">
        <f>_xlfn.XLOOKUP(A241,'ACID &amp; ESCAID STATUS '!D:D,'ACID &amp; ESCAID STATUS '!N:N," ",0,-1)</f>
        <v xml:space="preserve"> </v>
      </c>
    </row>
    <row r="242" spans="1:9" x14ac:dyDescent="0.35">
      <c r="A242" t="str">
        <f t="shared" si="3"/>
        <v/>
      </c>
      <c r="I242" t="str">
        <f>_xlfn.XLOOKUP(A242,'ACID &amp; ESCAID STATUS '!D:D,'ACID &amp; ESCAID STATUS '!N:N," ",0,-1)</f>
        <v xml:space="preserve"> </v>
      </c>
    </row>
    <row r="243" spans="1:9" x14ac:dyDescent="0.35">
      <c r="A243" t="str">
        <f t="shared" si="3"/>
        <v/>
      </c>
      <c r="I243" t="str">
        <f>_xlfn.XLOOKUP(A243,'ACID &amp; ESCAID STATUS '!D:D,'ACID &amp; ESCAID STATUS '!N:N," ",0,-1)</f>
        <v xml:space="preserve"> </v>
      </c>
    </row>
    <row r="244" spans="1:9" x14ac:dyDescent="0.35">
      <c r="A244" t="str">
        <f t="shared" si="3"/>
        <v/>
      </c>
      <c r="I244" t="str">
        <f>_xlfn.XLOOKUP(A244,'ACID &amp; ESCAID STATUS '!D:D,'ACID &amp; ESCAID STATUS '!N:N," ",0,-1)</f>
        <v xml:space="preserve"> </v>
      </c>
    </row>
    <row r="245" spans="1:9" x14ac:dyDescent="0.35">
      <c r="A245" t="str">
        <f t="shared" si="3"/>
        <v/>
      </c>
      <c r="I245" t="str">
        <f>_xlfn.XLOOKUP(A245,'ACID &amp; ESCAID STATUS '!D:D,'ACID &amp; ESCAID STATUS '!N:N," ",0,-1)</f>
        <v xml:space="preserve"> </v>
      </c>
    </row>
    <row r="246" spans="1:9" x14ac:dyDescent="0.35">
      <c r="A246" t="str">
        <f t="shared" si="3"/>
        <v/>
      </c>
      <c r="I246" t="str">
        <f>_xlfn.XLOOKUP(A246,'ACID &amp; ESCAID STATUS '!D:D,'ACID &amp; ESCAID STATUS '!N:N," ",0,-1)</f>
        <v xml:space="preserve"> </v>
      </c>
    </row>
    <row r="247" spans="1:9" x14ac:dyDescent="0.35">
      <c r="A247" t="str">
        <f t="shared" si="3"/>
        <v/>
      </c>
      <c r="I247" t="str">
        <f>_xlfn.XLOOKUP(A247,'ACID &amp; ESCAID STATUS '!D:D,'ACID &amp; ESCAID STATUS '!N:N," ",0,-1)</f>
        <v xml:space="preserve"> </v>
      </c>
    </row>
    <row r="248" spans="1:9" x14ac:dyDescent="0.35">
      <c r="A248" t="str">
        <f t="shared" si="3"/>
        <v/>
      </c>
      <c r="I248" t="str">
        <f>_xlfn.XLOOKUP(A248,'ACID &amp; ESCAID STATUS '!D:D,'ACID &amp; ESCAID STATUS '!N:N," ",0,-1)</f>
        <v xml:space="preserve"> </v>
      </c>
    </row>
    <row r="249" spans="1:9" x14ac:dyDescent="0.35">
      <c r="A249" t="str">
        <f t="shared" si="3"/>
        <v/>
      </c>
      <c r="I249" t="str">
        <f>_xlfn.XLOOKUP(A249,'ACID &amp; ESCAID STATUS '!D:D,'ACID &amp; ESCAID STATUS '!N:N," ",0,-1)</f>
        <v xml:space="preserve"> </v>
      </c>
    </row>
    <row r="250" spans="1:9" x14ac:dyDescent="0.35">
      <c r="A250" t="str">
        <f t="shared" si="3"/>
        <v/>
      </c>
      <c r="I250" t="str">
        <f>_xlfn.XLOOKUP(A250,'ACID &amp; ESCAID STATUS '!D:D,'ACID &amp; ESCAID STATUS '!N:N," ",0,-1)</f>
        <v xml:space="preserve"> </v>
      </c>
    </row>
    <row r="251" spans="1:9" x14ac:dyDescent="0.35">
      <c r="A251" t="str">
        <f t="shared" si="3"/>
        <v/>
      </c>
      <c r="I251" t="str">
        <f>_xlfn.XLOOKUP(A251,'ACID &amp; ESCAID STATUS '!D:D,'ACID &amp; ESCAID STATUS '!N:N," ",0,-1)</f>
        <v xml:space="preserve"> </v>
      </c>
    </row>
    <row r="252" spans="1:9" x14ac:dyDescent="0.35">
      <c r="A252" t="str">
        <f t="shared" si="3"/>
        <v/>
      </c>
      <c r="I252" t="str">
        <f>_xlfn.XLOOKUP(A252,'ACID &amp; ESCAID STATUS '!D:D,'ACID &amp; ESCAID STATUS '!N:N," ",0,-1)</f>
        <v xml:space="preserve"> </v>
      </c>
    </row>
    <row r="253" spans="1:9" x14ac:dyDescent="0.35">
      <c r="A253" t="str">
        <f t="shared" si="3"/>
        <v/>
      </c>
      <c r="I253" t="str">
        <f>_xlfn.XLOOKUP(A253,'ACID &amp; ESCAID STATUS '!D:D,'ACID &amp; ESCAID STATUS '!N:N," ",0,-1)</f>
        <v xml:space="preserve"> </v>
      </c>
    </row>
    <row r="254" spans="1:9" x14ac:dyDescent="0.35">
      <c r="A254" t="str">
        <f t="shared" si="3"/>
        <v/>
      </c>
      <c r="I254" t="str">
        <f>_xlfn.XLOOKUP(A254,'ACID &amp; ESCAID STATUS '!D:D,'ACID &amp; ESCAID STATUS '!N:N," ",0,-1)</f>
        <v xml:space="preserve"> </v>
      </c>
    </row>
    <row r="255" spans="1:9" x14ac:dyDescent="0.35">
      <c r="A255" t="str">
        <f t="shared" si="3"/>
        <v/>
      </c>
      <c r="I255" t="str">
        <f>_xlfn.XLOOKUP(A255,'ACID &amp; ESCAID STATUS '!D:D,'ACID &amp; ESCAID STATUS '!N:N," ",0,-1)</f>
        <v xml:space="preserve"> </v>
      </c>
    </row>
    <row r="256" spans="1:9" x14ac:dyDescent="0.35">
      <c r="A256" t="str">
        <f t="shared" si="3"/>
        <v/>
      </c>
      <c r="I256" t="str">
        <f>_xlfn.XLOOKUP(A256,'ACID &amp; ESCAID STATUS '!D:D,'ACID &amp; ESCAID STATUS '!N:N," ",0,-1)</f>
        <v xml:space="preserve"> </v>
      </c>
    </row>
    <row r="257" spans="1:9" x14ac:dyDescent="0.35">
      <c r="A257" t="str">
        <f t="shared" si="3"/>
        <v/>
      </c>
      <c r="I257" t="str">
        <f>_xlfn.XLOOKUP(A257,'ACID &amp; ESCAID STATUS '!D:D,'ACID &amp; ESCAID STATUS '!N:N," ",0,-1)</f>
        <v xml:space="preserve"> </v>
      </c>
    </row>
    <row r="258" spans="1:9" x14ac:dyDescent="0.35">
      <c r="A258" t="str">
        <f t="shared" si="3"/>
        <v/>
      </c>
      <c r="I258" t="str">
        <f>_xlfn.XLOOKUP(A258,'ACID &amp; ESCAID STATUS '!D:D,'ACID &amp; ESCAID STATUS '!N:N," ",0,-1)</f>
        <v xml:space="preserve"> </v>
      </c>
    </row>
    <row r="259" spans="1:9" x14ac:dyDescent="0.35">
      <c r="A259" t="str">
        <f t="shared" ref="A259:A298" si="4">TRIM(C259)</f>
        <v/>
      </c>
      <c r="I259" t="str">
        <f>_xlfn.XLOOKUP(A259,'ACID &amp; ESCAID STATUS '!D:D,'ACID &amp; ESCAID STATUS '!N:N," ",0,-1)</f>
        <v xml:space="preserve"> </v>
      </c>
    </row>
    <row r="260" spans="1:9" x14ac:dyDescent="0.35">
      <c r="A260" t="str">
        <f t="shared" si="4"/>
        <v/>
      </c>
      <c r="I260" t="str">
        <f>_xlfn.XLOOKUP(A260,'ACID &amp; ESCAID STATUS '!D:D,'ACID &amp; ESCAID STATUS '!N:N," ",0,-1)</f>
        <v xml:space="preserve"> </v>
      </c>
    </row>
    <row r="261" spans="1:9" x14ac:dyDescent="0.35">
      <c r="A261" t="str">
        <f t="shared" si="4"/>
        <v/>
      </c>
      <c r="I261" t="str">
        <f>_xlfn.XLOOKUP(A261,'ACID &amp; ESCAID STATUS '!D:D,'ACID &amp; ESCAID STATUS '!N:N," ",0,-1)</f>
        <v xml:space="preserve"> </v>
      </c>
    </row>
    <row r="262" spans="1:9" x14ac:dyDescent="0.35">
      <c r="A262" t="str">
        <f t="shared" si="4"/>
        <v/>
      </c>
      <c r="I262" t="str">
        <f>_xlfn.XLOOKUP(A262,'ACID &amp; ESCAID STATUS '!D:D,'ACID &amp; ESCAID STATUS '!N:N," ",0,-1)</f>
        <v xml:space="preserve"> </v>
      </c>
    </row>
    <row r="263" spans="1:9" x14ac:dyDescent="0.35">
      <c r="A263" t="str">
        <f t="shared" si="4"/>
        <v/>
      </c>
      <c r="I263" t="str">
        <f>_xlfn.XLOOKUP(A263,'ACID &amp; ESCAID STATUS '!D:D,'ACID &amp; ESCAID STATUS '!N:N," ",0,-1)</f>
        <v xml:space="preserve"> </v>
      </c>
    </row>
    <row r="264" spans="1:9" x14ac:dyDescent="0.35">
      <c r="A264" t="str">
        <f t="shared" si="4"/>
        <v/>
      </c>
      <c r="I264" t="str">
        <f>_xlfn.XLOOKUP(A264,'ACID &amp; ESCAID STATUS '!D:D,'ACID &amp; ESCAID STATUS '!N:N," ",0,-1)</f>
        <v xml:space="preserve"> </v>
      </c>
    </row>
    <row r="265" spans="1:9" x14ac:dyDescent="0.35">
      <c r="A265" t="str">
        <f t="shared" si="4"/>
        <v/>
      </c>
      <c r="I265" t="str">
        <f>_xlfn.XLOOKUP(A265,'ACID &amp; ESCAID STATUS '!D:D,'ACID &amp; ESCAID STATUS '!N:N," ",0,-1)</f>
        <v xml:space="preserve"> </v>
      </c>
    </row>
    <row r="266" spans="1:9" x14ac:dyDescent="0.35">
      <c r="A266" t="str">
        <f t="shared" si="4"/>
        <v/>
      </c>
      <c r="I266" t="str">
        <f>_xlfn.XLOOKUP(A266,'ACID &amp; ESCAID STATUS '!D:D,'ACID &amp; ESCAID STATUS '!N:N," ",0,-1)</f>
        <v xml:space="preserve"> </v>
      </c>
    </row>
    <row r="267" spans="1:9" x14ac:dyDescent="0.35">
      <c r="A267" t="str">
        <f t="shared" si="4"/>
        <v/>
      </c>
      <c r="I267" t="str">
        <f>_xlfn.XLOOKUP(A267,'ACID &amp; ESCAID STATUS '!D:D,'ACID &amp; ESCAID STATUS '!N:N," ",0,-1)</f>
        <v xml:space="preserve"> </v>
      </c>
    </row>
    <row r="268" spans="1:9" x14ac:dyDescent="0.35">
      <c r="A268" t="str">
        <f t="shared" si="4"/>
        <v/>
      </c>
      <c r="I268" t="str">
        <f>_xlfn.XLOOKUP(A268,'ACID &amp; ESCAID STATUS '!D:D,'ACID &amp; ESCAID STATUS '!N:N," ",0,-1)</f>
        <v xml:space="preserve"> </v>
      </c>
    </row>
    <row r="269" spans="1:9" x14ac:dyDescent="0.35">
      <c r="A269" t="str">
        <f t="shared" si="4"/>
        <v/>
      </c>
      <c r="I269" t="str">
        <f>_xlfn.XLOOKUP(A269,'ACID &amp; ESCAID STATUS '!D:D,'ACID &amp; ESCAID STATUS '!N:N," ",0,-1)</f>
        <v xml:space="preserve"> </v>
      </c>
    </row>
    <row r="270" spans="1:9" x14ac:dyDescent="0.35">
      <c r="A270" t="str">
        <f t="shared" si="4"/>
        <v/>
      </c>
      <c r="I270" t="str">
        <f>_xlfn.XLOOKUP(A270,'ACID &amp; ESCAID STATUS '!D:D,'ACID &amp; ESCAID STATUS '!N:N," ",0,-1)</f>
        <v xml:space="preserve"> </v>
      </c>
    </row>
    <row r="271" spans="1:9" x14ac:dyDescent="0.35">
      <c r="A271" t="str">
        <f t="shared" si="4"/>
        <v/>
      </c>
      <c r="I271" t="str">
        <f>_xlfn.XLOOKUP(A271,'ACID &amp; ESCAID STATUS '!D:D,'ACID &amp; ESCAID STATUS '!N:N," ",0,-1)</f>
        <v xml:space="preserve"> </v>
      </c>
    </row>
    <row r="272" spans="1:9" x14ac:dyDescent="0.35">
      <c r="A272" t="str">
        <f t="shared" si="4"/>
        <v/>
      </c>
      <c r="I272" t="str">
        <f>_xlfn.XLOOKUP(A272,'ACID &amp; ESCAID STATUS '!D:D,'ACID &amp; ESCAID STATUS '!N:N," ",0,-1)</f>
        <v xml:space="preserve"> </v>
      </c>
    </row>
    <row r="273" spans="1:9" x14ac:dyDescent="0.35">
      <c r="A273" t="str">
        <f t="shared" si="4"/>
        <v/>
      </c>
      <c r="I273" t="str">
        <f>_xlfn.XLOOKUP(A273,'ACID &amp; ESCAID STATUS '!D:D,'ACID &amp; ESCAID STATUS '!N:N," ",0,-1)</f>
        <v xml:space="preserve"> </v>
      </c>
    </row>
    <row r="274" spans="1:9" x14ac:dyDescent="0.35">
      <c r="A274" t="str">
        <f t="shared" si="4"/>
        <v/>
      </c>
      <c r="I274" t="str">
        <f>_xlfn.XLOOKUP(A274,'ACID &amp; ESCAID STATUS '!D:D,'ACID &amp; ESCAID STATUS '!N:N," ",0,-1)</f>
        <v xml:space="preserve"> </v>
      </c>
    </row>
    <row r="275" spans="1:9" x14ac:dyDescent="0.35">
      <c r="A275" t="str">
        <f t="shared" si="4"/>
        <v/>
      </c>
      <c r="I275" t="str">
        <f>_xlfn.XLOOKUP(A275,'ACID &amp; ESCAID STATUS '!D:D,'ACID &amp; ESCAID STATUS '!N:N," ",0,-1)</f>
        <v xml:space="preserve"> </v>
      </c>
    </row>
    <row r="276" spans="1:9" x14ac:dyDescent="0.35">
      <c r="A276" t="str">
        <f t="shared" si="4"/>
        <v/>
      </c>
      <c r="I276" t="str">
        <f>_xlfn.XLOOKUP(A276,'ACID &amp; ESCAID STATUS '!D:D,'ACID &amp; ESCAID STATUS '!N:N," ",0,-1)</f>
        <v xml:space="preserve"> </v>
      </c>
    </row>
    <row r="277" spans="1:9" x14ac:dyDescent="0.35">
      <c r="A277" t="str">
        <f t="shared" si="4"/>
        <v/>
      </c>
      <c r="I277" t="str">
        <f>_xlfn.XLOOKUP(A277,'ACID &amp; ESCAID STATUS '!D:D,'ACID &amp; ESCAID STATUS '!N:N," ",0,-1)</f>
        <v xml:space="preserve"> </v>
      </c>
    </row>
    <row r="278" spans="1:9" x14ac:dyDescent="0.35">
      <c r="A278" t="str">
        <f t="shared" si="4"/>
        <v/>
      </c>
      <c r="I278" t="str">
        <f>_xlfn.XLOOKUP(A278,'ACID &amp; ESCAID STATUS '!D:D,'ACID &amp; ESCAID STATUS '!N:N," ",0,-1)</f>
        <v xml:space="preserve"> </v>
      </c>
    </row>
    <row r="279" spans="1:9" x14ac:dyDescent="0.35">
      <c r="A279" t="str">
        <f t="shared" si="4"/>
        <v/>
      </c>
      <c r="I279" t="str">
        <f>_xlfn.XLOOKUP(A279,'ACID &amp; ESCAID STATUS '!D:D,'ACID &amp; ESCAID STATUS '!N:N," ",0,-1)</f>
        <v xml:space="preserve"> </v>
      </c>
    </row>
    <row r="280" spans="1:9" x14ac:dyDescent="0.35">
      <c r="A280" t="str">
        <f t="shared" si="4"/>
        <v/>
      </c>
      <c r="I280" t="str">
        <f>_xlfn.XLOOKUP(A280,'ACID &amp; ESCAID STATUS '!D:D,'ACID &amp; ESCAID STATUS '!N:N," ",0,-1)</f>
        <v xml:space="preserve"> </v>
      </c>
    </row>
    <row r="281" spans="1:9" x14ac:dyDescent="0.35">
      <c r="A281" t="str">
        <f t="shared" si="4"/>
        <v/>
      </c>
      <c r="I281" t="str">
        <f>_xlfn.XLOOKUP(A281,'ACID &amp; ESCAID STATUS '!D:D,'ACID &amp; ESCAID STATUS '!N:N," ",0,-1)</f>
        <v xml:space="preserve"> </v>
      </c>
    </row>
    <row r="282" spans="1:9" x14ac:dyDescent="0.35">
      <c r="A282" t="str">
        <f t="shared" si="4"/>
        <v/>
      </c>
      <c r="I282" t="str">
        <f>_xlfn.XLOOKUP(A282,'ACID &amp; ESCAID STATUS '!D:D,'ACID &amp; ESCAID STATUS '!N:N," ",0,-1)</f>
        <v xml:space="preserve"> </v>
      </c>
    </row>
    <row r="283" spans="1:9" x14ac:dyDescent="0.35">
      <c r="A283" t="str">
        <f t="shared" si="4"/>
        <v/>
      </c>
      <c r="I283" t="str">
        <f>_xlfn.XLOOKUP(A283,'ACID &amp; ESCAID STATUS '!D:D,'ACID &amp; ESCAID STATUS '!N:N," ",0,-1)</f>
        <v xml:space="preserve"> </v>
      </c>
    </row>
    <row r="284" spans="1:9" x14ac:dyDescent="0.35">
      <c r="A284" t="str">
        <f t="shared" si="4"/>
        <v/>
      </c>
      <c r="I284" t="str">
        <f>_xlfn.XLOOKUP(A284,'ACID &amp; ESCAID STATUS '!D:D,'ACID &amp; ESCAID STATUS '!N:N," ",0,-1)</f>
        <v xml:space="preserve"> </v>
      </c>
    </row>
    <row r="285" spans="1:9" x14ac:dyDescent="0.35">
      <c r="A285" t="str">
        <f t="shared" si="4"/>
        <v/>
      </c>
      <c r="I285" t="str">
        <f>_xlfn.XLOOKUP(A285,'ACID &amp; ESCAID STATUS '!D:D,'ACID &amp; ESCAID STATUS '!N:N," ",0,-1)</f>
        <v xml:space="preserve"> </v>
      </c>
    </row>
    <row r="286" spans="1:9" x14ac:dyDescent="0.35">
      <c r="A286" t="str">
        <f t="shared" si="4"/>
        <v/>
      </c>
      <c r="I286" t="str">
        <f>_xlfn.XLOOKUP(A286,'ACID &amp; ESCAID STATUS '!D:D,'ACID &amp; ESCAID STATUS '!N:N," ",0,-1)</f>
        <v xml:space="preserve"> </v>
      </c>
    </row>
    <row r="287" spans="1:9" x14ac:dyDescent="0.35">
      <c r="A287" t="str">
        <f t="shared" si="4"/>
        <v/>
      </c>
      <c r="I287" t="str">
        <f>_xlfn.XLOOKUP(A287,'ACID &amp; ESCAID STATUS '!D:D,'ACID &amp; ESCAID STATUS '!N:N," ",0,-1)</f>
        <v xml:space="preserve"> </v>
      </c>
    </row>
    <row r="288" spans="1:9" x14ac:dyDescent="0.35">
      <c r="A288" t="str">
        <f t="shared" si="4"/>
        <v/>
      </c>
      <c r="I288" t="str">
        <f>_xlfn.XLOOKUP(A288,'ACID &amp; ESCAID STATUS '!D:D,'ACID &amp; ESCAID STATUS '!N:N," ",0,-1)</f>
        <v xml:space="preserve"> </v>
      </c>
    </row>
    <row r="289" spans="1:9" x14ac:dyDescent="0.35">
      <c r="A289" t="str">
        <f t="shared" si="4"/>
        <v/>
      </c>
      <c r="I289" t="str">
        <f>_xlfn.XLOOKUP(A289,'ACID &amp; ESCAID STATUS '!D:D,'ACID &amp; ESCAID STATUS '!N:N," ",0,-1)</f>
        <v xml:space="preserve"> </v>
      </c>
    </row>
    <row r="290" spans="1:9" x14ac:dyDescent="0.35">
      <c r="A290" t="str">
        <f t="shared" si="4"/>
        <v/>
      </c>
      <c r="I290" t="str">
        <f>_xlfn.XLOOKUP(A290,'ACID &amp; ESCAID STATUS '!D:D,'ACID &amp; ESCAID STATUS '!N:N," ",0,-1)</f>
        <v xml:space="preserve"> </v>
      </c>
    </row>
    <row r="291" spans="1:9" x14ac:dyDescent="0.35">
      <c r="A291" t="str">
        <f t="shared" si="4"/>
        <v/>
      </c>
      <c r="I291" t="str">
        <f>_xlfn.XLOOKUP(A291,'ACID &amp; ESCAID STATUS '!D:D,'ACID &amp; ESCAID STATUS '!N:N," ",0,-1)</f>
        <v xml:space="preserve"> </v>
      </c>
    </row>
    <row r="292" spans="1:9" x14ac:dyDescent="0.35">
      <c r="A292" t="str">
        <f t="shared" si="4"/>
        <v/>
      </c>
      <c r="I292" t="str">
        <f>_xlfn.XLOOKUP(A292,'ACID &amp; ESCAID STATUS '!D:D,'ACID &amp; ESCAID STATUS '!N:N," ",0,-1)</f>
        <v xml:space="preserve"> </v>
      </c>
    </row>
    <row r="293" spans="1:9" x14ac:dyDescent="0.35">
      <c r="A293" t="str">
        <f t="shared" si="4"/>
        <v/>
      </c>
      <c r="I293" t="str">
        <f>_xlfn.XLOOKUP(A293,'ACID &amp; ESCAID STATUS '!D:D,'ACID &amp; ESCAID STATUS '!N:N," ",0,-1)</f>
        <v xml:space="preserve"> </v>
      </c>
    </row>
    <row r="294" spans="1:9" x14ac:dyDescent="0.35">
      <c r="A294" t="str">
        <f t="shared" si="4"/>
        <v/>
      </c>
      <c r="I294" t="str">
        <f>_xlfn.XLOOKUP(A294,'ACID &amp; ESCAID STATUS '!D:D,'ACID &amp; ESCAID STATUS '!N:N," ",0,-1)</f>
        <v xml:space="preserve"> </v>
      </c>
    </row>
    <row r="295" spans="1:9" x14ac:dyDescent="0.35">
      <c r="A295" t="str">
        <f t="shared" si="4"/>
        <v/>
      </c>
      <c r="I295" t="str">
        <f>_xlfn.XLOOKUP(A295,'ACID &amp; ESCAID STATUS '!D:D,'ACID &amp; ESCAID STATUS '!N:N," ",0,-1)</f>
        <v xml:space="preserve"> </v>
      </c>
    </row>
    <row r="296" spans="1:9" x14ac:dyDescent="0.35">
      <c r="A296" t="str">
        <f t="shared" si="4"/>
        <v/>
      </c>
      <c r="I296" t="str">
        <f>_xlfn.XLOOKUP(A296,'ACID &amp; ESCAID STATUS '!D:D,'ACID &amp; ESCAID STATUS '!N:N," ",0,-1)</f>
        <v xml:space="preserve"> </v>
      </c>
    </row>
    <row r="297" spans="1:9" x14ac:dyDescent="0.35">
      <c r="A297" t="str">
        <f t="shared" si="4"/>
        <v/>
      </c>
      <c r="I297" t="str">
        <f>_xlfn.XLOOKUP(A297,'ACID &amp; ESCAID STATUS '!D:D,'ACID &amp; ESCAID STATUS '!N:N," ",0,-1)</f>
        <v xml:space="preserve"> </v>
      </c>
    </row>
    <row r="298" spans="1:9" x14ac:dyDescent="0.35">
      <c r="A298" t="str">
        <f t="shared" si="4"/>
        <v>SJIU2623350</v>
      </c>
      <c r="B298" t="s">
        <v>525</v>
      </c>
      <c r="C298" t="s">
        <v>572</v>
      </c>
      <c r="D298" t="str">
        <f>_xlfn.XLOOKUP(A298,'ACID &amp; ESCAID STATUS '!D:D,'ACID &amp; ESCAID STATUS '!G:G," ",0,-1)</f>
        <v>FULL</v>
      </c>
      <c r="E298" t="str">
        <f>_xlfn.XLOOKUP(A298,'ACID &amp; ESCAID STATUS '!D:D,'ACID &amp; ESCAID STATUS '!H:H," ",0,-1)</f>
        <v>INBOUND - SUB KOE</v>
      </c>
      <c r="F298">
        <f>_xlfn.XLOOKUP(A298,'ACID &amp; ESCAID STATUS '!D:D,'ACID &amp; ESCAID STATUS '!E:E," ",0,-1)</f>
        <v>22000</v>
      </c>
      <c r="G298">
        <f>_xlfn.XLOOKUP(A298,'ACID &amp; ESCAID STATUS '!D:D,'ACID &amp; ESCAID STATUS '!P:P," ",0,-1)</f>
        <v>23000</v>
      </c>
      <c r="H298" s="365">
        <f>_xlfn.XLOOKUP(A298,'ACID &amp; ESCAID STATUS '!D:D,'ACID &amp; ESCAID STATUS '!R:R, " ",0,-1)</f>
        <v>46182</v>
      </c>
      <c r="I298">
        <f>_xlfn.XLOOKUP(A298,'ACID &amp; ESCAID STATUS '!D:D,'ACID &amp; ESCAID STATUS '!N:N," ",0,-1)</f>
        <v>100566</v>
      </c>
    </row>
  </sheetData>
  <conditionalFormatting sqref="C1:C1048576">
    <cfRule type="duplicateValues" dxfId="13" priority="1"/>
  </conditionalFormatting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  <pageSetUpPr fitToPage="1"/>
  </sheetPr>
  <dimension ref="A1:AA429"/>
  <sheetViews>
    <sheetView showGridLines="0" view="pageBreakPreview" topLeftCell="B1" zoomScale="53" zoomScaleNormal="60" zoomScaleSheetLayoutView="53" workbookViewId="0">
      <pane ySplit="4" topLeftCell="A192" activePane="bottomLeft" state="frozen"/>
      <selection activeCell="B1" sqref="B1"/>
      <selection pane="bottomLeft" activeCell="E46" sqref="E46"/>
    </sheetView>
  </sheetViews>
  <sheetFormatPr defaultColWidth="9.1796875" defaultRowHeight="20.5" outlineLevelRow="2" outlineLevelCol="1" x14ac:dyDescent="0.45"/>
  <cols>
    <col min="1" max="1" width="12.1796875" style="5" hidden="1" customWidth="1"/>
    <col min="2" max="2" width="20.81640625" style="5" bestFit="1" customWidth="1"/>
    <col min="3" max="3" width="23.1796875" style="112" customWidth="1"/>
    <col min="4" max="4" width="30.54296875" style="7" bestFit="1" customWidth="1"/>
    <col min="5" max="5" width="25.54296875" style="9" customWidth="1"/>
    <col min="6" max="6" width="16.1796875" style="9" customWidth="1"/>
    <col min="7" max="7" width="25.1796875" style="9" customWidth="1"/>
    <col min="8" max="8" width="32" style="9" customWidth="1"/>
    <col min="9" max="9" width="36.453125" style="9" customWidth="1"/>
    <col min="10" max="10" width="39.1796875" style="55" customWidth="1"/>
    <col min="11" max="11" width="20.54296875" style="55" customWidth="1"/>
    <col min="12" max="12" width="36.453125" style="7" customWidth="1"/>
    <col min="13" max="13" width="18.1796875" style="7" customWidth="1"/>
    <col min="14" max="14" width="18.54296875" style="9" customWidth="1"/>
    <col min="15" max="16" width="27.81640625" style="9" customWidth="1"/>
    <col min="17" max="17" width="98" style="173" customWidth="1"/>
    <col min="18" max="18" width="45.81640625" style="335" customWidth="1"/>
    <col min="19" max="19" width="36.453125" style="5" customWidth="1"/>
    <col min="20" max="25" width="9.1796875" style="59" customWidth="1" outlineLevel="1"/>
    <col min="26" max="26" width="12.6328125" style="59" bestFit="1" customWidth="1" outlineLevel="1"/>
    <col min="27" max="27" width="13.36328125" style="59" bestFit="1" customWidth="1" outlineLevel="1"/>
    <col min="28" max="14990" width="9.1796875" style="59" outlineLevel="1"/>
    <col min="14991" max="16384" width="11" style="59" customWidth="1" outlineLevel="1"/>
  </cols>
  <sheetData>
    <row r="1" spans="1:20" x14ac:dyDescent="0.45">
      <c r="D1" s="6" t="s">
        <v>500</v>
      </c>
      <c r="E1" s="6"/>
      <c r="F1" s="6"/>
      <c r="G1" s="6"/>
      <c r="H1" s="6"/>
      <c r="I1" s="6"/>
      <c r="J1" s="6"/>
      <c r="K1" s="6"/>
      <c r="L1" s="6"/>
      <c r="N1" s="6"/>
      <c r="O1" s="6"/>
      <c r="P1" s="6"/>
      <c r="Q1" s="172"/>
      <c r="R1" s="334"/>
    </row>
    <row r="2" spans="1:20" x14ac:dyDescent="0.45">
      <c r="E2" s="8">
        <f ca="1">TODAY()</f>
        <v>46215</v>
      </c>
      <c r="F2" s="20"/>
      <c r="H2" s="20"/>
      <c r="I2" s="20"/>
      <c r="J2" s="83">
        <v>100386</v>
      </c>
      <c r="K2" s="83"/>
    </row>
    <row r="3" spans="1:20" ht="27.65" customHeight="1" x14ac:dyDescent="0.45">
      <c r="D3" s="120"/>
      <c r="E3" s="121" t="s">
        <v>223</v>
      </c>
      <c r="F3" s="122" t="s">
        <v>222</v>
      </c>
      <c r="G3" s="122" t="s">
        <v>221</v>
      </c>
      <c r="H3" s="20"/>
      <c r="I3" s="20"/>
      <c r="J3" s="64"/>
      <c r="K3" s="64"/>
      <c r="L3" s="81"/>
      <c r="O3" s="20"/>
      <c r="P3" s="20"/>
      <c r="Q3" s="174"/>
      <c r="R3" s="336"/>
    </row>
    <row r="4" spans="1:20" s="317" customFormat="1" ht="23.9" customHeight="1" x14ac:dyDescent="0.35">
      <c r="C4" s="318" t="s">
        <v>211</v>
      </c>
      <c r="D4" s="319" t="s">
        <v>3</v>
      </c>
      <c r="E4" s="319" t="s">
        <v>4</v>
      </c>
      <c r="F4" s="319" t="s">
        <v>5</v>
      </c>
      <c r="G4" s="319" t="s">
        <v>6</v>
      </c>
      <c r="H4" s="319" t="s">
        <v>57</v>
      </c>
      <c r="I4" s="320" t="s">
        <v>7</v>
      </c>
      <c r="J4" s="321" t="s">
        <v>373</v>
      </c>
      <c r="K4" s="321" t="s">
        <v>260</v>
      </c>
      <c r="L4" s="320" t="s">
        <v>8</v>
      </c>
      <c r="M4" s="321" t="s">
        <v>411</v>
      </c>
      <c r="N4" s="320" t="s">
        <v>213</v>
      </c>
      <c r="O4" s="321" t="s">
        <v>214</v>
      </c>
      <c r="P4" s="321" t="s">
        <v>558</v>
      </c>
      <c r="Q4" s="320" t="s">
        <v>9</v>
      </c>
      <c r="R4" s="337" t="s">
        <v>410</v>
      </c>
    </row>
    <row r="5" spans="1:20" s="5" customFormat="1" ht="0" hidden="1" customHeight="1" x14ac:dyDescent="0.5">
      <c r="A5" s="59">
        <f t="shared" ref="A5:A26" si="0">N5</f>
        <v>96649</v>
      </c>
      <c r="B5" s="59"/>
      <c r="C5" s="117" t="s">
        <v>433</v>
      </c>
      <c r="D5" s="26" t="s">
        <v>377</v>
      </c>
      <c r="E5" s="61">
        <v>25000</v>
      </c>
      <c r="F5" s="23" t="s">
        <v>11</v>
      </c>
      <c r="G5" s="14" t="s">
        <v>12</v>
      </c>
      <c r="H5" s="15" t="s">
        <v>34</v>
      </c>
      <c r="I5" s="14">
        <v>25000</v>
      </c>
      <c r="J5" s="133">
        <v>46017</v>
      </c>
      <c r="K5" s="24">
        <v>214663</v>
      </c>
      <c r="L5" s="23" t="s">
        <v>379</v>
      </c>
      <c r="M5" s="152">
        <v>45959</v>
      </c>
      <c r="N5" s="24">
        <v>96649</v>
      </c>
      <c r="O5" s="14" t="s">
        <v>495</v>
      </c>
      <c r="P5" s="14"/>
      <c r="Q5" s="180" t="s">
        <v>394</v>
      </c>
      <c r="R5" s="338">
        <v>46016</v>
      </c>
    </row>
    <row r="6" spans="1:20" ht="21" outlineLevel="1" x14ac:dyDescent="0.5">
      <c r="A6" s="59">
        <f t="shared" si="0"/>
        <v>96650</v>
      </c>
      <c r="B6" s="59" t="str">
        <f>TRIM(D6)</f>
        <v>SJIU2522993</v>
      </c>
      <c r="C6" s="188" t="s">
        <v>433</v>
      </c>
      <c r="D6" s="293" t="s">
        <v>378</v>
      </c>
      <c r="E6" s="16">
        <v>25000</v>
      </c>
      <c r="F6" s="129" t="s">
        <v>11</v>
      </c>
      <c r="G6" s="22" t="s">
        <v>12</v>
      </c>
      <c r="H6" s="19" t="s">
        <v>34</v>
      </c>
      <c r="I6" s="22">
        <v>25000</v>
      </c>
      <c r="J6" s="130">
        <v>46017</v>
      </c>
      <c r="K6" s="128">
        <v>214663</v>
      </c>
      <c r="L6" s="129" t="s">
        <v>379</v>
      </c>
      <c r="M6" s="151">
        <v>45959</v>
      </c>
      <c r="N6" s="128">
        <v>96650</v>
      </c>
      <c r="O6" s="22" t="s">
        <v>495</v>
      </c>
      <c r="P6" s="131">
        <v>23000</v>
      </c>
      <c r="Q6" s="289" t="s">
        <v>397</v>
      </c>
      <c r="R6" s="339">
        <v>46025</v>
      </c>
      <c r="S6" s="290" t="s">
        <v>389</v>
      </c>
      <c r="T6" s="59" t="str">
        <f>+S6&amp;D6</f>
        <v>REFILL NEW ISOTANK :SJIU2522993</v>
      </c>
    </row>
    <row r="7" spans="1:20" ht="21" outlineLevel="1" x14ac:dyDescent="0.5">
      <c r="A7" s="59">
        <f t="shared" si="0"/>
        <v>96648</v>
      </c>
      <c r="B7" s="59" t="str">
        <f t="shared" ref="B7:B24" si="1">TRIM(D7)</f>
        <v>SJIU2522972</v>
      </c>
      <c r="C7" s="188" t="s">
        <v>433</v>
      </c>
      <c r="D7" s="293" t="s">
        <v>376</v>
      </c>
      <c r="E7" s="16">
        <v>25000</v>
      </c>
      <c r="F7" s="129" t="s">
        <v>11</v>
      </c>
      <c r="G7" s="22" t="s">
        <v>12</v>
      </c>
      <c r="H7" s="19" t="s">
        <v>34</v>
      </c>
      <c r="I7" s="22">
        <v>25000</v>
      </c>
      <c r="J7" s="130"/>
      <c r="K7" s="128"/>
      <c r="L7" s="129" t="s">
        <v>379</v>
      </c>
      <c r="M7" s="151">
        <v>45959</v>
      </c>
      <c r="N7" s="128">
        <v>96648</v>
      </c>
      <c r="O7" s="22" t="s">
        <v>495</v>
      </c>
      <c r="P7" s="131">
        <v>23000</v>
      </c>
      <c r="Q7" s="289" t="s">
        <v>397</v>
      </c>
      <c r="R7" s="339">
        <v>46025</v>
      </c>
      <c r="S7" s="290" t="s">
        <v>389</v>
      </c>
      <c r="T7" s="59" t="str">
        <f t="shared" ref="T7:T70" si="2">+S7&amp;D7</f>
        <v>REFILL NEW ISOTANK :SJIU2522972</v>
      </c>
    </row>
    <row r="8" spans="1:20" ht="21" outlineLevel="2" x14ac:dyDescent="0.5">
      <c r="A8" s="59">
        <f t="shared" si="0"/>
        <v>96647</v>
      </c>
      <c r="B8" s="59" t="str">
        <f t="shared" si="1"/>
        <v>SJIU2522967</v>
      </c>
      <c r="C8" s="188" t="s">
        <v>433</v>
      </c>
      <c r="D8" s="293" t="s">
        <v>375</v>
      </c>
      <c r="E8" s="16">
        <v>25000</v>
      </c>
      <c r="F8" s="129" t="s">
        <v>11</v>
      </c>
      <c r="G8" s="22" t="s">
        <v>12</v>
      </c>
      <c r="H8" s="19" t="s">
        <v>34</v>
      </c>
      <c r="I8" s="22">
        <v>25000</v>
      </c>
      <c r="J8" s="130">
        <v>46022</v>
      </c>
      <c r="K8" s="128">
        <v>214867</v>
      </c>
      <c r="L8" s="129" t="s">
        <v>379</v>
      </c>
      <c r="M8" s="151">
        <v>45959</v>
      </c>
      <c r="N8" s="128">
        <v>96647</v>
      </c>
      <c r="O8" s="22" t="s">
        <v>495</v>
      </c>
      <c r="P8" s="131">
        <v>23000</v>
      </c>
      <c r="Q8" s="289" t="s">
        <v>397</v>
      </c>
      <c r="R8" s="339">
        <v>46025</v>
      </c>
      <c r="S8" s="290" t="s">
        <v>389</v>
      </c>
      <c r="T8" s="59" t="str">
        <f t="shared" si="2"/>
        <v>REFILL NEW ISOTANK :SJIU2522967</v>
      </c>
    </row>
    <row r="9" spans="1:20" ht="21" outlineLevel="2" x14ac:dyDescent="0.5">
      <c r="A9" s="59">
        <f t="shared" si="0"/>
        <v>96075</v>
      </c>
      <c r="B9" s="59" t="str">
        <f t="shared" si="1"/>
        <v>NTTU1753765</v>
      </c>
      <c r="C9" s="188" t="s">
        <v>306</v>
      </c>
      <c r="D9" s="293" t="s">
        <v>367</v>
      </c>
      <c r="E9" s="16">
        <v>20590</v>
      </c>
      <c r="F9" s="129" t="s">
        <v>11</v>
      </c>
      <c r="G9" s="22" t="s">
        <v>12</v>
      </c>
      <c r="H9" s="19" t="s">
        <v>34</v>
      </c>
      <c r="I9" s="22">
        <v>20590</v>
      </c>
      <c r="J9" s="130">
        <v>46023</v>
      </c>
      <c r="K9" s="128">
        <v>214867</v>
      </c>
      <c r="L9" s="129" t="s">
        <v>384</v>
      </c>
      <c r="M9" s="151">
        <v>45982</v>
      </c>
      <c r="N9" s="128">
        <v>96075</v>
      </c>
      <c r="O9" s="22"/>
      <c r="P9" s="131">
        <v>23000</v>
      </c>
      <c r="Q9" s="289" t="s">
        <v>397</v>
      </c>
      <c r="R9" s="339">
        <v>46025</v>
      </c>
      <c r="S9" s="290" t="s">
        <v>389</v>
      </c>
      <c r="T9" s="59" t="str">
        <f t="shared" si="2"/>
        <v>REFILL NEW ISOTANK :NTTU1753765</v>
      </c>
    </row>
    <row r="10" spans="1:20" ht="21" outlineLevel="2" x14ac:dyDescent="0.5">
      <c r="A10" s="59">
        <f t="shared" si="0"/>
        <v>96651</v>
      </c>
      <c r="B10" s="59" t="str">
        <f t="shared" si="1"/>
        <v>SJIU2422612</v>
      </c>
      <c r="C10" s="188" t="s">
        <v>433</v>
      </c>
      <c r="D10" s="293" t="s">
        <v>391</v>
      </c>
      <c r="E10" s="16">
        <v>25000</v>
      </c>
      <c r="F10" s="129" t="s">
        <v>11</v>
      </c>
      <c r="G10" s="22" t="s">
        <v>12</v>
      </c>
      <c r="H10" s="19" t="s">
        <v>34</v>
      </c>
      <c r="I10" s="22">
        <v>25000</v>
      </c>
      <c r="J10" s="130">
        <v>46025</v>
      </c>
      <c r="K10" s="128">
        <v>214908</v>
      </c>
      <c r="L10" s="129" t="s">
        <v>393</v>
      </c>
      <c r="M10" s="151">
        <v>46014</v>
      </c>
      <c r="N10" s="128">
        <v>96651</v>
      </c>
      <c r="O10" s="22" t="s">
        <v>495</v>
      </c>
      <c r="P10" s="131">
        <v>23000</v>
      </c>
      <c r="Q10" s="289" t="s">
        <v>406</v>
      </c>
      <c r="R10" s="339">
        <v>46025</v>
      </c>
      <c r="S10" s="290" t="s">
        <v>389</v>
      </c>
      <c r="T10" s="59" t="str">
        <f t="shared" si="2"/>
        <v>REFILL NEW ISOTANK :SJIU2422612</v>
      </c>
    </row>
    <row r="11" spans="1:20" ht="21" outlineLevel="2" x14ac:dyDescent="0.5">
      <c r="A11" s="59">
        <f t="shared" si="0"/>
        <v>96652</v>
      </c>
      <c r="B11" s="59" t="str">
        <f t="shared" si="1"/>
        <v>SJIU2422628</v>
      </c>
      <c r="C11" s="188" t="s">
        <v>433</v>
      </c>
      <c r="D11" s="293" t="s">
        <v>392</v>
      </c>
      <c r="E11" s="16">
        <v>25000</v>
      </c>
      <c r="F11" s="129" t="s">
        <v>11</v>
      </c>
      <c r="G11" s="22" t="s">
        <v>12</v>
      </c>
      <c r="H11" s="19" t="s">
        <v>34</v>
      </c>
      <c r="I11" s="22">
        <v>25000</v>
      </c>
      <c r="J11" s="130">
        <v>46034</v>
      </c>
      <c r="K11" s="128">
        <v>215181</v>
      </c>
      <c r="L11" s="129" t="s">
        <v>393</v>
      </c>
      <c r="M11" s="151">
        <v>46014</v>
      </c>
      <c r="N11" s="128">
        <v>96652</v>
      </c>
      <c r="O11" s="22" t="s">
        <v>495</v>
      </c>
      <c r="P11" s="131">
        <v>23000</v>
      </c>
      <c r="Q11" s="289" t="s">
        <v>405</v>
      </c>
      <c r="R11" s="339">
        <v>46025</v>
      </c>
      <c r="S11" s="290" t="s">
        <v>389</v>
      </c>
      <c r="T11" s="59" t="str">
        <f t="shared" si="2"/>
        <v>REFILL NEW ISOTANK :SJIU2422628</v>
      </c>
    </row>
    <row r="12" spans="1:20" ht="21" outlineLevel="2" x14ac:dyDescent="0.5">
      <c r="A12" s="59">
        <f t="shared" si="0"/>
        <v>97114</v>
      </c>
      <c r="B12" s="59" t="str">
        <f t="shared" si="1"/>
        <v>DJEU0303636</v>
      </c>
      <c r="C12" s="294" t="s">
        <v>302</v>
      </c>
      <c r="D12" s="293" t="s">
        <v>13</v>
      </c>
      <c r="E12" s="16">
        <v>20370</v>
      </c>
      <c r="F12" s="129" t="s">
        <v>11</v>
      </c>
      <c r="G12" s="22" t="s">
        <v>12</v>
      </c>
      <c r="H12" s="19" t="s">
        <v>34</v>
      </c>
      <c r="I12" s="22">
        <v>20370</v>
      </c>
      <c r="J12" s="130">
        <v>46034</v>
      </c>
      <c r="K12" s="128">
        <v>215181</v>
      </c>
      <c r="L12" s="129" t="s">
        <v>390</v>
      </c>
      <c r="M12" s="151">
        <v>46005</v>
      </c>
      <c r="N12" s="128">
        <v>97114</v>
      </c>
      <c r="O12" s="22"/>
      <c r="P12" s="131">
        <v>23000</v>
      </c>
      <c r="Q12" s="289" t="s">
        <v>405</v>
      </c>
      <c r="R12" s="339">
        <v>46025</v>
      </c>
      <c r="S12" s="290" t="s">
        <v>389</v>
      </c>
      <c r="T12" s="59" t="str">
        <f t="shared" si="2"/>
        <v>REFILL NEW ISOTANK :DJEU0303636</v>
      </c>
    </row>
    <row r="13" spans="1:20" ht="21" outlineLevel="2" x14ac:dyDescent="0.5">
      <c r="A13" s="59">
        <f t="shared" si="0"/>
        <v>96092</v>
      </c>
      <c r="B13" s="59" t="str">
        <f t="shared" si="1"/>
        <v>NTTU1753739</v>
      </c>
      <c r="C13" s="188" t="s">
        <v>306</v>
      </c>
      <c r="D13" s="293" t="s">
        <v>383</v>
      </c>
      <c r="E13" s="16">
        <v>20760</v>
      </c>
      <c r="F13" s="129" t="s">
        <v>11</v>
      </c>
      <c r="G13" s="22" t="s">
        <v>12</v>
      </c>
      <c r="H13" s="19" t="s">
        <v>34</v>
      </c>
      <c r="I13" s="22">
        <v>20760</v>
      </c>
      <c r="J13" s="130">
        <v>46034</v>
      </c>
      <c r="K13" s="128">
        <v>215181</v>
      </c>
      <c r="L13" s="129" t="s">
        <v>384</v>
      </c>
      <c r="M13" s="151">
        <v>45982</v>
      </c>
      <c r="N13" s="128">
        <v>96092</v>
      </c>
      <c r="O13" s="22"/>
      <c r="P13" s="131">
        <v>23000</v>
      </c>
      <c r="Q13" s="289" t="s">
        <v>405</v>
      </c>
      <c r="R13" s="339">
        <v>46025</v>
      </c>
      <c r="S13" s="290" t="s">
        <v>389</v>
      </c>
      <c r="T13" s="59" t="str">
        <f t="shared" si="2"/>
        <v>REFILL NEW ISOTANK :NTTU1753739</v>
      </c>
    </row>
    <row r="14" spans="1:20" ht="21" outlineLevel="2" x14ac:dyDescent="0.5">
      <c r="A14" s="59">
        <f t="shared" si="0"/>
        <v>95545</v>
      </c>
      <c r="B14" s="59" t="str">
        <f t="shared" si="1"/>
        <v>NTTU1753702</v>
      </c>
      <c r="C14" s="188" t="s">
        <v>306</v>
      </c>
      <c r="D14" s="293" t="s">
        <v>363</v>
      </c>
      <c r="E14" s="16">
        <v>19790</v>
      </c>
      <c r="F14" s="129" t="s">
        <v>11</v>
      </c>
      <c r="G14" s="22" t="s">
        <v>12</v>
      </c>
      <c r="H14" s="19" t="s">
        <v>34</v>
      </c>
      <c r="I14" s="22">
        <v>19790</v>
      </c>
      <c r="J14" s="130">
        <v>46037</v>
      </c>
      <c r="K14" s="128"/>
      <c r="L14" s="129" t="s">
        <v>379</v>
      </c>
      <c r="M14" s="151">
        <v>45959</v>
      </c>
      <c r="N14" s="128">
        <v>95545</v>
      </c>
      <c r="O14" s="22"/>
      <c r="P14" s="131">
        <v>23000</v>
      </c>
      <c r="Q14" s="289" t="s">
        <v>405</v>
      </c>
      <c r="R14" s="339">
        <v>46025</v>
      </c>
      <c r="S14" s="290" t="s">
        <v>389</v>
      </c>
      <c r="T14" s="59" t="str">
        <f t="shared" si="2"/>
        <v>REFILL NEW ISOTANK :NTTU1753702</v>
      </c>
    </row>
    <row r="15" spans="1:20" ht="21" outlineLevel="1" x14ac:dyDescent="0.5">
      <c r="A15" s="59">
        <f t="shared" si="0"/>
        <v>97116</v>
      </c>
      <c r="B15" s="59" t="str">
        <f t="shared" si="1"/>
        <v>NTTU1752748</v>
      </c>
      <c r="C15" s="294" t="s">
        <v>302</v>
      </c>
      <c r="D15" s="293" t="s">
        <v>300</v>
      </c>
      <c r="E15" s="16">
        <v>20330</v>
      </c>
      <c r="F15" s="129" t="s">
        <v>11</v>
      </c>
      <c r="G15" s="22" t="s">
        <v>12</v>
      </c>
      <c r="H15" s="19" t="s">
        <v>34</v>
      </c>
      <c r="I15" s="22">
        <v>20330</v>
      </c>
      <c r="J15" s="130">
        <v>46038</v>
      </c>
      <c r="K15" s="128">
        <v>215498</v>
      </c>
      <c r="L15" s="129" t="s">
        <v>390</v>
      </c>
      <c r="M15" s="151">
        <v>46005</v>
      </c>
      <c r="N15" s="128">
        <v>97116</v>
      </c>
      <c r="O15" s="22"/>
      <c r="P15" s="131">
        <v>23000</v>
      </c>
      <c r="Q15" s="289" t="s">
        <v>405</v>
      </c>
      <c r="R15" s="339">
        <v>46025</v>
      </c>
      <c r="S15" s="290" t="s">
        <v>389</v>
      </c>
      <c r="T15" s="59" t="str">
        <f t="shared" si="2"/>
        <v>REFILL NEW ISOTANK :NTTU1752748</v>
      </c>
    </row>
    <row r="16" spans="1:20" ht="21" outlineLevel="2" x14ac:dyDescent="0.5">
      <c r="A16" s="59">
        <f t="shared" si="0"/>
        <v>97245</v>
      </c>
      <c r="B16" s="59" t="str">
        <f t="shared" si="1"/>
        <v>DJEU0303810</v>
      </c>
      <c r="C16" s="294" t="s">
        <v>302</v>
      </c>
      <c r="D16" s="295" t="s">
        <v>159</v>
      </c>
      <c r="E16" s="16">
        <v>20340</v>
      </c>
      <c r="F16" s="129" t="s">
        <v>11</v>
      </c>
      <c r="G16" s="22" t="s">
        <v>12</v>
      </c>
      <c r="H16" s="19" t="s">
        <v>34</v>
      </c>
      <c r="I16" s="22">
        <v>20340</v>
      </c>
      <c r="J16" s="130">
        <v>46039</v>
      </c>
      <c r="K16" s="128">
        <v>215323</v>
      </c>
      <c r="L16" s="129" t="s">
        <v>390</v>
      </c>
      <c r="M16" s="151">
        <v>46005</v>
      </c>
      <c r="N16" s="128">
        <v>97245</v>
      </c>
      <c r="O16" s="22">
        <v>98457</v>
      </c>
      <c r="P16" s="131">
        <v>23000</v>
      </c>
      <c r="Q16" s="289" t="s">
        <v>405</v>
      </c>
      <c r="R16" s="339">
        <v>46025</v>
      </c>
      <c r="S16" s="290" t="s">
        <v>389</v>
      </c>
      <c r="T16" s="59" t="str">
        <f t="shared" si="2"/>
        <v>REFILL NEW ISOTANK :DJEU0303810</v>
      </c>
    </row>
    <row r="17" spans="1:20" ht="21" outlineLevel="2" x14ac:dyDescent="0.5">
      <c r="A17" s="59">
        <f t="shared" si="0"/>
        <v>97113</v>
      </c>
      <c r="B17" s="59" t="str">
        <f t="shared" si="1"/>
        <v>DJEU0303699</v>
      </c>
      <c r="C17" s="294" t="s">
        <v>302</v>
      </c>
      <c r="D17" s="293" t="s">
        <v>54</v>
      </c>
      <c r="E17" s="16">
        <v>20180</v>
      </c>
      <c r="F17" s="129" t="s">
        <v>11</v>
      </c>
      <c r="G17" s="22" t="s">
        <v>12</v>
      </c>
      <c r="H17" s="19" t="s">
        <v>34</v>
      </c>
      <c r="I17" s="22">
        <v>20180</v>
      </c>
      <c r="J17" s="130"/>
      <c r="K17" s="128">
        <v>215323</v>
      </c>
      <c r="L17" s="129" t="s">
        <v>390</v>
      </c>
      <c r="M17" s="151">
        <v>46005</v>
      </c>
      <c r="N17" s="128">
        <v>97113</v>
      </c>
      <c r="O17" s="22">
        <v>98326</v>
      </c>
      <c r="P17" s="131">
        <v>23000</v>
      </c>
      <c r="Q17" s="289" t="s">
        <v>405</v>
      </c>
      <c r="R17" s="339">
        <v>46025</v>
      </c>
      <c r="S17" s="290" t="s">
        <v>389</v>
      </c>
      <c r="T17" s="59" t="str">
        <f t="shared" si="2"/>
        <v>REFILL NEW ISOTANK :DJEU0303699</v>
      </c>
    </row>
    <row r="18" spans="1:20" ht="21" outlineLevel="2" x14ac:dyDescent="0.5">
      <c r="A18" s="59">
        <f t="shared" si="0"/>
        <v>97246</v>
      </c>
      <c r="B18" s="59" t="str">
        <f t="shared" si="1"/>
        <v>DJEU0303826</v>
      </c>
      <c r="C18" s="294" t="s">
        <v>302</v>
      </c>
      <c r="D18" s="295" t="s">
        <v>158</v>
      </c>
      <c r="E18" s="16">
        <v>20420</v>
      </c>
      <c r="F18" s="129" t="s">
        <v>11</v>
      </c>
      <c r="G18" s="22" t="s">
        <v>12</v>
      </c>
      <c r="H18" s="19" t="s">
        <v>34</v>
      </c>
      <c r="I18" s="22">
        <v>20420</v>
      </c>
      <c r="J18" s="130">
        <v>46042</v>
      </c>
      <c r="K18" s="128">
        <v>215498</v>
      </c>
      <c r="L18" s="129" t="s">
        <v>390</v>
      </c>
      <c r="M18" s="151">
        <v>46005</v>
      </c>
      <c r="N18" s="128">
        <v>97246</v>
      </c>
      <c r="O18" s="22">
        <v>98986</v>
      </c>
      <c r="P18" s="131">
        <v>23000</v>
      </c>
      <c r="Q18" s="289" t="s">
        <v>405</v>
      </c>
      <c r="R18" s="339">
        <v>46045</v>
      </c>
      <c r="S18" s="290" t="s">
        <v>389</v>
      </c>
      <c r="T18" s="59" t="str">
        <f t="shared" si="2"/>
        <v>REFILL NEW ISOTANK :DJEU0303826</v>
      </c>
    </row>
    <row r="19" spans="1:20" ht="21" outlineLevel="1" x14ac:dyDescent="0.5">
      <c r="A19" s="59">
        <f t="shared" si="0"/>
        <v>97247</v>
      </c>
      <c r="B19" s="59" t="str">
        <f t="shared" si="1"/>
        <v>DJEU0303718</v>
      </c>
      <c r="C19" s="294" t="s">
        <v>302</v>
      </c>
      <c r="D19" s="295" t="s">
        <v>53</v>
      </c>
      <c r="E19" s="16">
        <v>20400</v>
      </c>
      <c r="F19" s="129" t="s">
        <v>11</v>
      </c>
      <c r="G19" s="22" t="s">
        <v>12</v>
      </c>
      <c r="H19" s="19" t="s">
        <v>34</v>
      </c>
      <c r="I19" s="22">
        <v>20400</v>
      </c>
      <c r="J19" s="130">
        <v>46040</v>
      </c>
      <c r="K19" s="128">
        <v>215323</v>
      </c>
      <c r="L19" s="129" t="s">
        <v>390</v>
      </c>
      <c r="M19" s="151">
        <v>46005</v>
      </c>
      <c r="N19" s="128">
        <v>97247</v>
      </c>
      <c r="O19" s="296">
        <v>98985</v>
      </c>
      <c r="P19" s="131">
        <v>23000</v>
      </c>
      <c r="Q19" s="289" t="s">
        <v>405</v>
      </c>
      <c r="R19" s="339">
        <v>46045</v>
      </c>
      <c r="S19" s="290" t="s">
        <v>389</v>
      </c>
      <c r="T19" s="59" t="str">
        <f t="shared" si="2"/>
        <v>REFILL NEW ISOTANK :DJEU0303718</v>
      </c>
    </row>
    <row r="20" spans="1:20" ht="21" outlineLevel="1" x14ac:dyDescent="0.5">
      <c r="A20" s="59">
        <f t="shared" si="0"/>
        <v>97115</v>
      </c>
      <c r="B20" s="59" t="str">
        <f t="shared" si="1"/>
        <v>DJEU0303791</v>
      </c>
      <c r="C20" s="294" t="s">
        <v>302</v>
      </c>
      <c r="D20" s="293" t="s">
        <v>151</v>
      </c>
      <c r="E20" s="16">
        <v>20390</v>
      </c>
      <c r="F20" s="129" t="s">
        <v>11</v>
      </c>
      <c r="G20" s="22" t="s">
        <v>12</v>
      </c>
      <c r="H20" s="19" t="s">
        <v>34</v>
      </c>
      <c r="I20" s="22">
        <v>20390</v>
      </c>
      <c r="J20" s="130">
        <v>46044</v>
      </c>
      <c r="K20" s="128">
        <v>215498</v>
      </c>
      <c r="L20" s="129" t="s">
        <v>390</v>
      </c>
      <c r="M20" s="151">
        <v>46005</v>
      </c>
      <c r="N20" s="128">
        <v>97115</v>
      </c>
      <c r="O20" s="22"/>
      <c r="P20" s="131">
        <v>23000</v>
      </c>
      <c r="Q20" s="289" t="s">
        <v>405</v>
      </c>
      <c r="R20" s="339">
        <v>46045</v>
      </c>
      <c r="S20" s="290" t="s">
        <v>389</v>
      </c>
      <c r="T20" s="59" t="str">
        <f t="shared" si="2"/>
        <v>REFILL NEW ISOTANK :DJEU0303791</v>
      </c>
    </row>
    <row r="21" spans="1:20" ht="21" outlineLevel="1" x14ac:dyDescent="0.5">
      <c r="A21" s="59">
        <f t="shared" si="0"/>
        <v>97383</v>
      </c>
      <c r="B21" s="59" t="str">
        <f t="shared" si="1"/>
        <v>NTTU1752711</v>
      </c>
      <c r="C21" s="294" t="s">
        <v>302</v>
      </c>
      <c r="D21" s="293" t="s">
        <v>312</v>
      </c>
      <c r="E21" s="16">
        <v>21340</v>
      </c>
      <c r="F21" s="129" t="s">
        <v>11</v>
      </c>
      <c r="G21" s="22" t="s">
        <v>12</v>
      </c>
      <c r="H21" s="19" t="s">
        <v>34</v>
      </c>
      <c r="I21" s="22">
        <v>21340</v>
      </c>
      <c r="J21" s="130">
        <v>46052</v>
      </c>
      <c r="K21" s="128">
        <v>215665</v>
      </c>
      <c r="L21" s="129" t="s">
        <v>393</v>
      </c>
      <c r="M21" s="151">
        <v>46014</v>
      </c>
      <c r="N21" s="128">
        <v>97383</v>
      </c>
      <c r="O21" s="22">
        <v>98458</v>
      </c>
      <c r="P21" s="131">
        <v>23000</v>
      </c>
      <c r="Q21" s="297" t="s">
        <v>435</v>
      </c>
      <c r="R21" s="340">
        <v>46056</v>
      </c>
      <c r="S21" s="290" t="s">
        <v>389</v>
      </c>
      <c r="T21" s="59" t="str">
        <f t="shared" si="2"/>
        <v>REFILL NEW ISOTANK :NTTU1752711</v>
      </c>
    </row>
    <row r="22" spans="1:20" ht="21" outlineLevel="1" x14ac:dyDescent="0.5">
      <c r="A22" s="59">
        <f t="shared" si="0"/>
        <v>97379</v>
      </c>
      <c r="B22" s="59" t="str">
        <f t="shared" si="1"/>
        <v>DJEU0303765</v>
      </c>
      <c r="C22" s="294" t="s">
        <v>302</v>
      </c>
      <c r="D22" s="293" t="s">
        <v>144</v>
      </c>
      <c r="E22" s="16">
        <v>21390</v>
      </c>
      <c r="F22" s="129" t="s">
        <v>11</v>
      </c>
      <c r="G22" s="22" t="s">
        <v>12</v>
      </c>
      <c r="H22" s="19" t="s">
        <v>34</v>
      </c>
      <c r="I22" s="22">
        <v>21390</v>
      </c>
      <c r="J22" s="130">
        <v>46049</v>
      </c>
      <c r="K22" s="128">
        <v>215543</v>
      </c>
      <c r="L22" s="129" t="s">
        <v>393</v>
      </c>
      <c r="M22" s="151">
        <v>46014</v>
      </c>
      <c r="N22" s="128">
        <v>97379</v>
      </c>
      <c r="O22" s="22">
        <v>98455</v>
      </c>
      <c r="P22" s="131">
        <v>23000</v>
      </c>
      <c r="Q22" s="297" t="s">
        <v>435</v>
      </c>
      <c r="R22" s="340">
        <v>46056</v>
      </c>
      <c r="S22" s="290" t="s">
        <v>389</v>
      </c>
      <c r="T22" s="59" t="str">
        <f t="shared" si="2"/>
        <v>REFILL NEW ISOTANK :DJEU0303765</v>
      </c>
    </row>
    <row r="23" spans="1:20" ht="21" outlineLevel="1" x14ac:dyDescent="0.5">
      <c r="A23" s="59">
        <f t="shared" si="0"/>
        <v>97381</v>
      </c>
      <c r="B23" s="59" t="str">
        <f t="shared" si="1"/>
        <v>NTTU1752795</v>
      </c>
      <c r="C23" s="294" t="s">
        <v>302</v>
      </c>
      <c r="D23" s="293" t="s">
        <v>290</v>
      </c>
      <c r="E23" s="16">
        <v>21370</v>
      </c>
      <c r="F23" s="129" t="s">
        <v>11</v>
      </c>
      <c r="G23" s="22" t="s">
        <v>12</v>
      </c>
      <c r="H23" s="19" t="s">
        <v>34</v>
      </c>
      <c r="I23" s="22">
        <v>21370</v>
      </c>
      <c r="J23" s="130">
        <v>46050</v>
      </c>
      <c r="K23" s="128">
        <v>215543</v>
      </c>
      <c r="L23" s="129" t="s">
        <v>393</v>
      </c>
      <c r="M23" s="151">
        <v>46014</v>
      </c>
      <c r="N23" s="128">
        <v>97381</v>
      </c>
      <c r="O23" s="22" t="s">
        <v>446</v>
      </c>
      <c r="P23" s="131">
        <v>23000</v>
      </c>
      <c r="Q23" s="297" t="s">
        <v>435</v>
      </c>
      <c r="R23" s="340">
        <v>46056</v>
      </c>
      <c r="S23" s="290" t="s">
        <v>389</v>
      </c>
      <c r="T23" s="59" t="str">
        <f t="shared" si="2"/>
        <v>REFILL NEW ISOTANK :NTTU1752795</v>
      </c>
    </row>
    <row r="24" spans="1:20" ht="21" x14ac:dyDescent="0.5">
      <c r="A24" s="59">
        <f t="shared" si="0"/>
        <v>97382</v>
      </c>
      <c r="B24" s="59" t="str">
        <f t="shared" si="1"/>
        <v>DJEU0303750</v>
      </c>
      <c r="C24" s="294" t="s">
        <v>302</v>
      </c>
      <c r="D24" s="293" t="s">
        <v>124</v>
      </c>
      <c r="E24" s="16">
        <v>21380</v>
      </c>
      <c r="F24" s="129" t="s">
        <v>11</v>
      </c>
      <c r="G24" s="22" t="s">
        <v>12</v>
      </c>
      <c r="H24" s="19" t="s">
        <v>34</v>
      </c>
      <c r="I24" s="22">
        <v>21380</v>
      </c>
      <c r="J24" s="130">
        <v>46046</v>
      </c>
      <c r="K24" s="128">
        <v>215498</v>
      </c>
      <c r="L24" s="129" t="s">
        <v>393</v>
      </c>
      <c r="M24" s="151">
        <v>46014</v>
      </c>
      <c r="N24" s="128">
        <v>97382</v>
      </c>
      <c r="O24" s="22">
        <v>98457</v>
      </c>
      <c r="P24" s="131">
        <v>23000</v>
      </c>
      <c r="Q24" s="297" t="s">
        <v>435</v>
      </c>
      <c r="R24" s="340">
        <v>46056</v>
      </c>
      <c r="S24" s="290" t="s">
        <v>389</v>
      </c>
      <c r="T24" s="59" t="str">
        <f t="shared" si="2"/>
        <v>REFILL NEW ISOTANK :DJEU0303750</v>
      </c>
    </row>
    <row r="25" spans="1:20" ht="21" collapsed="1" x14ac:dyDescent="0.5">
      <c r="A25" s="59">
        <f t="shared" si="0"/>
        <v>97712</v>
      </c>
      <c r="B25" s="59" t="str">
        <f t="shared" ref="B25:B56" si="3">D25</f>
        <v>NTTU1752671</v>
      </c>
      <c r="C25" s="294" t="s">
        <v>302</v>
      </c>
      <c r="D25" s="293" t="s">
        <v>388</v>
      </c>
      <c r="E25" s="16">
        <v>21400</v>
      </c>
      <c r="F25" s="129" t="s">
        <v>11</v>
      </c>
      <c r="G25" s="22" t="s">
        <v>12</v>
      </c>
      <c r="H25" s="19" t="s">
        <v>34</v>
      </c>
      <c r="I25" s="22">
        <v>21400</v>
      </c>
      <c r="J25" s="130">
        <v>46060</v>
      </c>
      <c r="K25" s="128">
        <v>215860</v>
      </c>
      <c r="L25" s="129" t="s">
        <v>396</v>
      </c>
      <c r="M25" s="151">
        <v>46024</v>
      </c>
      <c r="N25" s="128">
        <v>97712</v>
      </c>
      <c r="O25" s="296">
        <v>98987</v>
      </c>
      <c r="P25" s="131">
        <v>23000</v>
      </c>
      <c r="Q25" s="297" t="s">
        <v>426</v>
      </c>
      <c r="R25" s="341">
        <v>46075</v>
      </c>
      <c r="S25" s="290" t="s">
        <v>389</v>
      </c>
      <c r="T25" s="59" t="str">
        <f t="shared" si="2"/>
        <v>REFILL NEW ISOTANK :NTTU1752671</v>
      </c>
    </row>
    <row r="26" spans="1:20" ht="21" x14ac:dyDescent="0.5">
      <c r="A26" s="59">
        <f t="shared" si="0"/>
        <v>97713</v>
      </c>
      <c r="B26" s="59" t="str">
        <f t="shared" si="3"/>
        <v>NTTU1752692</v>
      </c>
      <c r="C26" s="294" t="s">
        <v>302</v>
      </c>
      <c r="D26" s="293" t="s">
        <v>292</v>
      </c>
      <c r="E26" s="16">
        <v>21420</v>
      </c>
      <c r="F26" s="129" t="s">
        <v>11</v>
      </c>
      <c r="G26" s="22" t="s">
        <v>12</v>
      </c>
      <c r="H26" s="19" t="s">
        <v>34</v>
      </c>
      <c r="I26" s="22">
        <v>21420</v>
      </c>
      <c r="J26" s="130">
        <v>46060</v>
      </c>
      <c r="K26" s="128">
        <v>215877</v>
      </c>
      <c r="L26" s="129" t="s">
        <v>396</v>
      </c>
      <c r="M26" s="151">
        <v>46024</v>
      </c>
      <c r="N26" s="128">
        <v>97713</v>
      </c>
      <c r="O26" s="22">
        <v>98988</v>
      </c>
      <c r="P26" s="131">
        <v>23000</v>
      </c>
      <c r="Q26" s="297" t="s">
        <v>426</v>
      </c>
      <c r="R26" s="341">
        <v>46075</v>
      </c>
      <c r="S26" s="290" t="s">
        <v>389</v>
      </c>
      <c r="T26" s="59" t="str">
        <f t="shared" si="2"/>
        <v>REFILL NEW ISOTANK :NTTU1752692</v>
      </c>
    </row>
    <row r="27" spans="1:20" ht="21" x14ac:dyDescent="0.5">
      <c r="A27" s="59" t="str">
        <f t="shared" ref="A27:A58" si="4">TRIM(N27)</f>
        <v>96653</v>
      </c>
      <c r="B27" s="59" t="str">
        <f t="shared" si="3"/>
        <v>SJIU2422633</v>
      </c>
      <c r="C27" s="188" t="s">
        <v>433</v>
      </c>
      <c r="D27" s="293" t="s">
        <v>399</v>
      </c>
      <c r="E27" s="298">
        <v>28200</v>
      </c>
      <c r="F27" s="299" t="s">
        <v>11</v>
      </c>
      <c r="G27" s="22" t="s">
        <v>12</v>
      </c>
      <c r="H27" s="19" t="s">
        <v>34</v>
      </c>
      <c r="I27" s="22">
        <v>27000</v>
      </c>
      <c r="J27" s="130">
        <v>45716</v>
      </c>
      <c r="K27" s="128">
        <v>216425</v>
      </c>
      <c r="L27" s="129" t="s">
        <v>404</v>
      </c>
      <c r="M27" s="151">
        <v>46039</v>
      </c>
      <c r="N27" s="16">
        <v>96653</v>
      </c>
      <c r="O27" s="296" t="s">
        <v>407</v>
      </c>
      <c r="P27" s="131">
        <v>23000</v>
      </c>
      <c r="Q27" s="297" t="s">
        <v>426</v>
      </c>
      <c r="R27" s="341">
        <v>46075</v>
      </c>
      <c r="S27" s="290" t="s">
        <v>389</v>
      </c>
      <c r="T27" s="59" t="str">
        <f t="shared" si="2"/>
        <v>REFILL NEW ISOTANK :SJIU2422633</v>
      </c>
    </row>
    <row r="28" spans="1:20" ht="21" x14ac:dyDescent="0.5">
      <c r="A28" s="59" t="str">
        <f t="shared" si="4"/>
        <v>96654</v>
      </c>
      <c r="B28" s="59" t="str">
        <f t="shared" si="3"/>
        <v>SJIU2422649</v>
      </c>
      <c r="C28" s="188" t="s">
        <v>433</v>
      </c>
      <c r="D28" s="293" t="s">
        <v>400</v>
      </c>
      <c r="E28" s="298">
        <v>28200</v>
      </c>
      <c r="F28" s="299" t="s">
        <v>11</v>
      </c>
      <c r="G28" s="22" t="s">
        <v>12</v>
      </c>
      <c r="H28" s="19" t="s">
        <v>34</v>
      </c>
      <c r="I28" s="22">
        <v>27000</v>
      </c>
      <c r="J28" s="130">
        <v>45716</v>
      </c>
      <c r="K28" s="128">
        <v>216425</v>
      </c>
      <c r="L28" s="129" t="s">
        <v>404</v>
      </c>
      <c r="M28" s="151">
        <v>46039</v>
      </c>
      <c r="N28" s="16">
        <v>96654</v>
      </c>
      <c r="O28" s="296" t="s">
        <v>407</v>
      </c>
      <c r="P28" s="131">
        <v>23000</v>
      </c>
      <c r="Q28" s="297" t="s">
        <v>426</v>
      </c>
      <c r="R28" s="341">
        <v>46075</v>
      </c>
      <c r="S28" s="290" t="s">
        <v>389</v>
      </c>
      <c r="T28" s="59" t="str">
        <f t="shared" si="2"/>
        <v>REFILL NEW ISOTANK :SJIU2422649</v>
      </c>
    </row>
    <row r="29" spans="1:20" ht="21" x14ac:dyDescent="0.5">
      <c r="A29" s="59" t="str">
        <f t="shared" si="4"/>
        <v>96657</v>
      </c>
      <c r="B29" s="59" t="str">
        <f t="shared" si="3"/>
        <v>SJIU2422660</v>
      </c>
      <c r="C29" s="188" t="s">
        <v>433</v>
      </c>
      <c r="D29" s="293" t="s">
        <v>401</v>
      </c>
      <c r="E29" s="298">
        <v>28200</v>
      </c>
      <c r="F29" s="299" t="s">
        <v>11</v>
      </c>
      <c r="G29" s="22" t="s">
        <v>12</v>
      </c>
      <c r="H29" s="19" t="s">
        <v>34</v>
      </c>
      <c r="I29" s="22">
        <v>27000</v>
      </c>
      <c r="J29" s="130">
        <v>45716</v>
      </c>
      <c r="K29" s="128">
        <v>216425</v>
      </c>
      <c r="L29" s="129" t="s">
        <v>404</v>
      </c>
      <c r="M29" s="151">
        <v>46039</v>
      </c>
      <c r="N29" s="16">
        <v>96657</v>
      </c>
      <c r="O29" s="296" t="s">
        <v>407</v>
      </c>
      <c r="P29" s="131">
        <v>23000</v>
      </c>
      <c r="Q29" s="297" t="s">
        <v>426</v>
      </c>
      <c r="R29" s="341">
        <v>46075</v>
      </c>
      <c r="S29" s="290" t="s">
        <v>389</v>
      </c>
      <c r="T29" s="59" t="str">
        <f t="shared" si="2"/>
        <v>REFILL NEW ISOTANK :SJIU2422660</v>
      </c>
    </row>
    <row r="30" spans="1:20" ht="21" x14ac:dyDescent="0.5">
      <c r="A30" s="59" t="str">
        <f t="shared" si="4"/>
        <v>97715</v>
      </c>
      <c r="B30" s="59" t="str">
        <f t="shared" si="3"/>
        <v>NTTU1752732</v>
      </c>
      <c r="C30" s="294" t="s">
        <v>302</v>
      </c>
      <c r="D30" s="293" t="s">
        <v>313</v>
      </c>
      <c r="E30" s="16">
        <v>21260</v>
      </c>
      <c r="F30" s="129" t="s">
        <v>11</v>
      </c>
      <c r="G30" s="22" t="s">
        <v>12</v>
      </c>
      <c r="H30" s="19" t="s">
        <v>34</v>
      </c>
      <c r="I30" s="22">
        <v>21260</v>
      </c>
      <c r="J30" s="130">
        <v>46066</v>
      </c>
      <c r="K30" s="128">
        <v>216014</v>
      </c>
      <c r="L30" s="129" t="s">
        <v>396</v>
      </c>
      <c r="M30" s="151">
        <v>46024</v>
      </c>
      <c r="N30" s="128">
        <v>97715</v>
      </c>
      <c r="O30" s="296" t="s">
        <v>407</v>
      </c>
      <c r="P30" s="131">
        <v>23000</v>
      </c>
      <c r="Q30" s="297" t="s">
        <v>437</v>
      </c>
      <c r="R30" s="341">
        <v>46099</v>
      </c>
      <c r="S30" s="290" t="s">
        <v>389</v>
      </c>
      <c r="T30" s="59" t="str">
        <f t="shared" si="2"/>
        <v>REFILL NEW ISOTANK :NTTU1752732</v>
      </c>
    </row>
    <row r="31" spans="1:20" ht="21" x14ac:dyDescent="0.5">
      <c r="A31" s="59" t="str">
        <f t="shared" si="4"/>
        <v>97576</v>
      </c>
      <c r="B31" s="59" t="str">
        <f t="shared" si="3"/>
        <v>DJEU0303641</v>
      </c>
      <c r="C31" s="294" t="s">
        <v>302</v>
      </c>
      <c r="D31" s="293" t="s">
        <v>10</v>
      </c>
      <c r="E31" s="16">
        <v>20310</v>
      </c>
      <c r="F31" s="299" t="s">
        <v>11</v>
      </c>
      <c r="G31" s="22" t="s">
        <v>12</v>
      </c>
      <c r="H31" s="19" t="s">
        <v>34</v>
      </c>
      <c r="I31" s="22">
        <v>20310</v>
      </c>
      <c r="J31" s="130">
        <v>46068</v>
      </c>
      <c r="K31" s="128">
        <v>216068</v>
      </c>
      <c r="L31" s="129" t="s">
        <v>404</v>
      </c>
      <c r="M31" s="151">
        <v>46039</v>
      </c>
      <c r="N31" s="16">
        <v>97576</v>
      </c>
      <c r="O31" s="296" t="s">
        <v>407</v>
      </c>
      <c r="P31" s="131">
        <v>23000</v>
      </c>
      <c r="Q31" s="297" t="s">
        <v>436</v>
      </c>
      <c r="R31" s="341">
        <v>46091</v>
      </c>
      <c r="S31" s="290" t="s">
        <v>389</v>
      </c>
      <c r="T31" s="59" t="str">
        <f t="shared" si="2"/>
        <v>REFILL NEW ISOTANK :DJEU0303641</v>
      </c>
    </row>
    <row r="32" spans="1:20" ht="21" outlineLevel="2" x14ac:dyDescent="0.5">
      <c r="A32" s="59" t="str">
        <f t="shared" si="4"/>
        <v>97716</v>
      </c>
      <c r="B32" s="59" t="str">
        <f t="shared" si="3"/>
        <v>DJEU0303889</v>
      </c>
      <c r="C32" s="294" t="s">
        <v>302</v>
      </c>
      <c r="D32" s="293" t="s">
        <v>199</v>
      </c>
      <c r="E32" s="16">
        <v>21350</v>
      </c>
      <c r="F32" s="129" t="s">
        <v>11</v>
      </c>
      <c r="G32" s="22" t="s">
        <v>506</v>
      </c>
      <c r="H32" s="19" t="s">
        <v>502</v>
      </c>
      <c r="I32" s="22">
        <v>21350</v>
      </c>
      <c r="J32" s="85" t="s">
        <v>412</v>
      </c>
      <c r="K32" s="128">
        <v>216350</v>
      </c>
      <c r="L32" s="129" t="s">
        <v>396</v>
      </c>
      <c r="M32" s="151">
        <v>46024</v>
      </c>
      <c r="N32" s="128">
        <v>97716</v>
      </c>
      <c r="O32" s="296" t="s">
        <v>407</v>
      </c>
      <c r="P32" s="131">
        <v>23000</v>
      </c>
      <c r="Q32" s="297" t="s">
        <v>436</v>
      </c>
      <c r="R32" s="341">
        <v>46091</v>
      </c>
      <c r="S32" s="290" t="s">
        <v>389</v>
      </c>
      <c r="T32" s="59" t="str">
        <f t="shared" si="2"/>
        <v>REFILL NEW ISOTANK :DJEU0303889</v>
      </c>
    </row>
    <row r="33" spans="1:20" ht="21" outlineLevel="2" x14ac:dyDescent="0.5">
      <c r="A33" s="59" t="str">
        <f t="shared" si="4"/>
        <v>97717</v>
      </c>
      <c r="B33" s="59" t="str">
        <f t="shared" si="3"/>
        <v>DJEU0303894</v>
      </c>
      <c r="C33" s="294" t="s">
        <v>302</v>
      </c>
      <c r="D33" s="293" t="s">
        <v>217</v>
      </c>
      <c r="E33" s="16">
        <v>21370</v>
      </c>
      <c r="F33" s="129" t="s">
        <v>11</v>
      </c>
      <c r="G33" s="22" t="s">
        <v>12</v>
      </c>
      <c r="H33" s="19" t="s">
        <v>34</v>
      </c>
      <c r="I33" s="22">
        <v>21370</v>
      </c>
      <c r="J33" s="85" t="s">
        <v>412</v>
      </c>
      <c r="K33" s="128">
        <v>216350</v>
      </c>
      <c r="L33" s="129" t="s">
        <v>396</v>
      </c>
      <c r="M33" s="151">
        <v>46024</v>
      </c>
      <c r="N33" s="128">
        <v>97717</v>
      </c>
      <c r="O33" s="22">
        <v>99437</v>
      </c>
      <c r="P33" s="131">
        <v>23000</v>
      </c>
      <c r="Q33" s="297" t="s">
        <v>436</v>
      </c>
      <c r="R33" s="341">
        <v>46091</v>
      </c>
      <c r="S33" s="290" t="s">
        <v>389</v>
      </c>
      <c r="T33" s="59" t="str">
        <f t="shared" si="2"/>
        <v>REFILL NEW ISOTANK :DJEU0303894</v>
      </c>
    </row>
    <row r="34" spans="1:20" ht="21" outlineLevel="2" x14ac:dyDescent="0.5">
      <c r="A34" s="59" t="str">
        <f t="shared" si="4"/>
        <v>97663</v>
      </c>
      <c r="B34" s="59" t="str">
        <f t="shared" si="3"/>
        <v>DJEU0303786</v>
      </c>
      <c r="C34" s="294" t="s">
        <v>302</v>
      </c>
      <c r="D34" s="16" t="s">
        <v>141</v>
      </c>
      <c r="E34" s="16">
        <v>21200</v>
      </c>
      <c r="F34" s="129" t="s">
        <v>11</v>
      </c>
      <c r="G34" s="22" t="s">
        <v>12</v>
      </c>
      <c r="H34" s="19" t="s">
        <v>34</v>
      </c>
      <c r="I34" s="22">
        <v>21200</v>
      </c>
      <c r="J34" s="85" t="s">
        <v>412</v>
      </c>
      <c r="K34" s="128">
        <v>216350</v>
      </c>
      <c r="L34" s="129" t="s">
        <v>409</v>
      </c>
      <c r="M34" s="151">
        <v>46052</v>
      </c>
      <c r="N34" s="16">
        <v>97663</v>
      </c>
      <c r="O34" s="300">
        <v>99441</v>
      </c>
      <c r="P34" s="131">
        <v>23000</v>
      </c>
      <c r="Q34" s="297" t="s">
        <v>437</v>
      </c>
      <c r="R34" s="341">
        <v>46099</v>
      </c>
      <c r="S34" s="290" t="s">
        <v>389</v>
      </c>
      <c r="T34" s="59" t="str">
        <f t="shared" si="2"/>
        <v>REFILL NEW ISOTANK :DJEU0303786</v>
      </c>
    </row>
    <row r="35" spans="1:20" ht="21" x14ac:dyDescent="0.5">
      <c r="A35" s="59" t="str">
        <f t="shared" si="4"/>
        <v>96654</v>
      </c>
      <c r="B35" s="59" t="str">
        <f t="shared" si="3"/>
        <v>SJIU2422675</v>
      </c>
      <c r="C35" s="188" t="s">
        <v>433</v>
      </c>
      <c r="D35" s="295" t="s">
        <v>402</v>
      </c>
      <c r="E35" s="298">
        <v>28200</v>
      </c>
      <c r="F35" s="299" t="s">
        <v>11</v>
      </c>
      <c r="G35" s="22" t="s">
        <v>12</v>
      </c>
      <c r="H35" s="19" t="s">
        <v>34</v>
      </c>
      <c r="I35" s="22">
        <v>27000</v>
      </c>
      <c r="J35" s="130">
        <v>45716</v>
      </c>
      <c r="K35" s="128">
        <v>216425</v>
      </c>
      <c r="L35" s="129" t="s">
        <v>404</v>
      </c>
      <c r="M35" s="151">
        <v>46039</v>
      </c>
      <c r="N35" s="16">
        <v>96654</v>
      </c>
      <c r="O35" s="296" t="s">
        <v>407</v>
      </c>
      <c r="P35" s="131">
        <v>23000</v>
      </c>
      <c r="Q35" s="297" t="s">
        <v>436</v>
      </c>
      <c r="R35" s="341">
        <v>46091</v>
      </c>
      <c r="S35" s="290" t="s">
        <v>389</v>
      </c>
      <c r="T35" s="59" t="str">
        <f t="shared" si="2"/>
        <v>REFILL NEW ISOTANK :SJIU2422675</v>
      </c>
    </row>
    <row r="36" spans="1:20" ht="21" x14ac:dyDescent="0.5">
      <c r="A36" s="59" t="str">
        <f t="shared" si="4"/>
        <v>96654</v>
      </c>
      <c r="B36" s="59" t="str">
        <f t="shared" si="3"/>
        <v>SJIU2422680</v>
      </c>
      <c r="C36" s="188" t="s">
        <v>433</v>
      </c>
      <c r="D36" s="293" t="s">
        <v>403</v>
      </c>
      <c r="E36" s="298">
        <v>28200</v>
      </c>
      <c r="F36" s="299" t="s">
        <v>11</v>
      </c>
      <c r="G36" s="22" t="s">
        <v>12</v>
      </c>
      <c r="H36" s="19" t="s">
        <v>34</v>
      </c>
      <c r="I36" s="22">
        <v>27000</v>
      </c>
      <c r="J36" s="130">
        <v>46087</v>
      </c>
      <c r="K36" s="128">
        <v>216561</v>
      </c>
      <c r="L36" s="129" t="s">
        <v>404</v>
      </c>
      <c r="M36" s="151">
        <v>46039</v>
      </c>
      <c r="N36" s="16">
        <v>96654</v>
      </c>
      <c r="O36" s="296" t="s">
        <v>407</v>
      </c>
      <c r="P36" s="131">
        <v>23000</v>
      </c>
      <c r="Q36" s="297" t="s">
        <v>436</v>
      </c>
      <c r="R36" s="341">
        <v>46091</v>
      </c>
      <c r="S36" s="290" t="s">
        <v>389</v>
      </c>
      <c r="T36" s="59" t="str">
        <f t="shared" si="2"/>
        <v>REFILL NEW ISOTANK :SJIU2422680</v>
      </c>
    </row>
    <row r="37" spans="1:20" ht="21" outlineLevel="2" x14ac:dyDescent="0.5">
      <c r="A37" s="59" t="str">
        <f t="shared" si="4"/>
        <v>97658</v>
      </c>
      <c r="B37" s="59" t="str">
        <f t="shared" si="3"/>
        <v>DJEU0303600</v>
      </c>
      <c r="C37" s="294" t="s">
        <v>302</v>
      </c>
      <c r="D37" s="16" t="s">
        <v>22</v>
      </c>
      <c r="E37" s="16">
        <v>21390</v>
      </c>
      <c r="F37" s="129" t="s">
        <v>11</v>
      </c>
      <c r="G37" s="22" t="s">
        <v>506</v>
      </c>
      <c r="H37" s="19" t="s">
        <v>502</v>
      </c>
      <c r="I37" s="22">
        <v>21390</v>
      </c>
      <c r="J37" s="130">
        <v>46087</v>
      </c>
      <c r="K37" s="128">
        <v>216561</v>
      </c>
      <c r="L37" s="129" t="s">
        <v>404</v>
      </c>
      <c r="M37" s="151">
        <v>46039</v>
      </c>
      <c r="N37" s="16">
        <v>97658</v>
      </c>
      <c r="O37" s="300"/>
      <c r="P37" s="131"/>
      <c r="Q37" s="297" t="s">
        <v>443</v>
      </c>
      <c r="R37" s="341"/>
      <c r="S37" s="290" t="s">
        <v>389</v>
      </c>
      <c r="T37" s="59" t="str">
        <f t="shared" si="2"/>
        <v>REFILL NEW ISOTANK :DJEU0303600</v>
      </c>
    </row>
    <row r="38" spans="1:20" ht="21" outlineLevel="2" x14ac:dyDescent="0.5">
      <c r="A38" s="59" t="str">
        <f t="shared" si="4"/>
        <v>96093</v>
      </c>
      <c r="B38" s="59" t="str">
        <f t="shared" si="3"/>
        <v>SJIU2001260</v>
      </c>
      <c r="C38" s="294" t="s">
        <v>306</v>
      </c>
      <c r="D38" s="16" t="s">
        <v>30</v>
      </c>
      <c r="E38" s="16">
        <v>20730</v>
      </c>
      <c r="F38" s="129" t="s">
        <v>11</v>
      </c>
      <c r="G38" s="22" t="s">
        <v>12</v>
      </c>
      <c r="H38" s="19" t="s">
        <v>34</v>
      </c>
      <c r="I38" s="22">
        <f t="shared" ref="I38:I45" si="5">E38</f>
        <v>20730</v>
      </c>
      <c r="J38" s="130">
        <v>46095</v>
      </c>
      <c r="K38" s="128">
        <v>216738</v>
      </c>
      <c r="L38" s="129" t="s">
        <v>409</v>
      </c>
      <c r="M38" s="151">
        <v>46052</v>
      </c>
      <c r="N38" s="16">
        <v>96093</v>
      </c>
      <c r="O38" s="300">
        <v>99395</v>
      </c>
      <c r="P38" s="131">
        <v>23000</v>
      </c>
      <c r="Q38" s="297" t="s">
        <v>443</v>
      </c>
      <c r="R38" s="341">
        <v>46115</v>
      </c>
      <c r="S38" s="290" t="s">
        <v>389</v>
      </c>
      <c r="T38" s="59" t="str">
        <f t="shared" si="2"/>
        <v>REFILL NEW ISOTANK :SJIU2001260</v>
      </c>
    </row>
    <row r="39" spans="1:20" ht="21" outlineLevel="2" x14ac:dyDescent="0.5">
      <c r="A39" s="59" t="str">
        <f t="shared" si="4"/>
        <v>97660</v>
      </c>
      <c r="B39" s="59" t="str">
        <f t="shared" si="3"/>
        <v>DJEU0303702</v>
      </c>
      <c r="C39" s="294" t="s">
        <v>302</v>
      </c>
      <c r="D39" s="16" t="s">
        <v>52</v>
      </c>
      <c r="E39" s="16">
        <v>21580</v>
      </c>
      <c r="F39" s="129" t="s">
        <v>11</v>
      </c>
      <c r="G39" s="22" t="s">
        <v>12</v>
      </c>
      <c r="H39" s="19" t="s">
        <v>34</v>
      </c>
      <c r="I39" s="22">
        <f t="shared" si="5"/>
        <v>21580</v>
      </c>
      <c r="J39" s="130">
        <v>46089</v>
      </c>
      <c r="K39" s="128">
        <v>216617</v>
      </c>
      <c r="L39" s="129" t="s">
        <v>404</v>
      </c>
      <c r="M39" s="151">
        <v>46039</v>
      </c>
      <c r="N39" s="16">
        <v>97660</v>
      </c>
      <c r="O39" s="300">
        <v>99404</v>
      </c>
      <c r="P39" s="131">
        <v>23000</v>
      </c>
      <c r="Q39" s="297" t="s">
        <v>443</v>
      </c>
      <c r="R39" s="341">
        <v>46115</v>
      </c>
      <c r="S39" s="290" t="s">
        <v>389</v>
      </c>
      <c r="T39" s="59" t="str">
        <f t="shared" si="2"/>
        <v>REFILL NEW ISOTANK :DJEU0303702</v>
      </c>
    </row>
    <row r="40" spans="1:20" ht="21" outlineLevel="2" x14ac:dyDescent="0.5">
      <c r="A40" s="59" t="str">
        <f t="shared" si="4"/>
        <v>97662</v>
      </c>
      <c r="B40" s="59" t="str">
        <f t="shared" si="3"/>
        <v>NTTU1752780</v>
      </c>
      <c r="C40" s="294" t="s">
        <v>302</v>
      </c>
      <c r="D40" s="16" t="s">
        <v>287</v>
      </c>
      <c r="E40" s="16">
        <v>21370</v>
      </c>
      <c r="F40" s="129" t="s">
        <v>11</v>
      </c>
      <c r="G40" s="22" t="s">
        <v>12</v>
      </c>
      <c r="H40" s="19" t="s">
        <v>34</v>
      </c>
      <c r="I40" s="22">
        <f t="shared" si="5"/>
        <v>21370</v>
      </c>
      <c r="J40" s="130">
        <v>46089</v>
      </c>
      <c r="K40" s="128">
        <v>216617</v>
      </c>
      <c r="L40" s="129" t="s">
        <v>404</v>
      </c>
      <c r="M40" s="151">
        <v>46039</v>
      </c>
      <c r="N40" s="16">
        <v>97662</v>
      </c>
      <c r="O40" s="300">
        <v>99399</v>
      </c>
      <c r="P40" s="131">
        <v>23000</v>
      </c>
      <c r="Q40" s="297" t="s">
        <v>443</v>
      </c>
      <c r="R40" s="341">
        <v>46115</v>
      </c>
      <c r="S40" s="290" t="s">
        <v>389</v>
      </c>
      <c r="T40" s="59" t="str">
        <f t="shared" si="2"/>
        <v>REFILL NEW ISOTANK :NTTU1752780</v>
      </c>
    </row>
    <row r="41" spans="1:20" ht="21" outlineLevel="2" x14ac:dyDescent="0.5">
      <c r="A41" s="59" t="str">
        <f t="shared" si="4"/>
        <v>96975</v>
      </c>
      <c r="B41" s="59" t="str">
        <f t="shared" si="3"/>
        <v>SJIU2221557</v>
      </c>
      <c r="C41" s="294" t="s">
        <v>306</v>
      </c>
      <c r="D41" s="198" t="s">
        <v>164</v>
      </c>
      <c r="E41" s="16">
        <v>19460</v>
      </c>
      <c r="F41" s="129" t="s">
        <v>11</v>
      </c>
      <c r="G41" s="22" t="s">
        <v>12</v>
      </c>
      <c r="H41" s="19" t="s">
        <v>34</v>
      </c>
      <c r="I41" s="22">
        <f t="shared" si="5"/>
        <v>19460</v>
      </c>
      <c r="J41" s="130">
        <v>46110</v>
      </c>
      <c r="K41" s="128">
        <v>217109</v>
      </c>
      <c r="L41" s="129" t="s">
        <v>413</v>
      </c>
      <c r="M41" s="151">
        <v>46070</v>
      </c>
      <c r="N41" s="16">
        <v>96975</v>
      </c>
      <c r="O41" s="300"/>
      <c r="P41" s="131">
        <v>23000</v>
      </c>
      <c r="Q41" s="297" t="s">
        <v>443</v>
      </c>
      <c r="R41" s="341">
        <v>46115</v>
      </c>
      <c r="S41" s="290" t="s">
        <v>389</v>
      </c>
      <c r="T41" s="59" t="str">
        <f t="shared" si="2"/>
        <v>REFILL NEW ISOTANK :SJIU2221557</v>
      </c>
    </row>
    <row r="42" spans="1:20" ht="21" outlineLevel="2" x14ac:dyDescent="0.5">
      <c r="A42" s="59" t="str">
        <f t="shared" si="4"/>
        <v>97839</v>
      </c>
      <c r="B42" s="59" t="str">
        <f t="shared" si="3"/>
        <v>SJIU2221726</v>
      </c>
      <c r="C42" s="294" t="s">
        <v>306</v>
      </c>
      <c r="D42" s="198" t="s">
        <v>195</v>
      </c>
      <c r="E42" s="16">
        <v>20790</v>
      </c>
      <c r="F42" s="129" t="s">
        <v>11</v>
      </c>
      <c r="G42" s="22" t="s">
        <v>12</v>
      </c>
      <c r="H42" s="19" t="s">
        <v>34</v>
      </c>
      <c r="I42" s="22">
        <f t="shared" si="5"/>
        <v>20790</v>
      </c>
      <c r="J42" s="130">
        <v>46110</v>
      </c>
      <c r="K42" s="128">
        <v>217109</v>
      </c>
      <c r="L42" s="129" t="s">
        <v>413</v>
      </c>
      <c r="M42" s="151">
        <v>46070</v>
      </c>
      <c r="N42" s="16">
        <v>97839</v>
      </c>
      <c r="O42" s="300">
        <v>99403</v>
      </c>
      <c r="P42" s="131">
        <v>23000</v>
      </c>
      <c r="Q42" s="297" t="s">
        <v>443</v>
      </c>
      <c r="R42" s="341">
        <v>46115</v>
      </c>
      <c r="S42" s="290" t="s">
        <v>389</v>
      </c>
      <c r="T42" s="59" t="str">
        <f t="shared" si="2"/>
        <v>REFILL NEW ISOTANK :SJIU2221726</v>
      </c>
    </row>
    <row r="43" spans="1:20" ht="21" outlineLevel="2" x14ac:dyDescent="0.5">
      <c r="A43" s="59" t="str">
        <f t="shared" si="4"/>
        <v>97792</v>
      </c>
      <c r="B43" s="59" t="str">
        <f t="shared" si="3"/>
        <v>DJEU0303662</v>
      </c>
      <c r="C43" s="294" t="s">
        <v>302</v>
      </c>
      <c r="D43" s="16" t="s">
        <v>18</v>
      </c>
      <c r="E43" s="16">
        <v>21360</v>
      </c>
      <c r="F43" s="129" t="s">
        <v>11</v>
      </c>
      <c r="G43" s="22" t="s">
        <v>12</v>
      </c>
      <c r="H43" s="19" t="s">
        <v>34</v>
      </c>
      <c r="I43" s="22">
        <f t="shared" si="5"/>
        <v>21360</v>
      </c>
      <c r="J43" s="130">
        <v>46100</v>
      </c>
      <c r="K43" s="128">
        <v>216934</v>
      </c>
      <c r="L43" s="129" t="s">
        <v>409</v>
      </c>
      <c r="M43" s="151">
        <v>46052</v>
      </c>
      <c r="N43" s="16">
        <v>97792</v>
      </c>
      <c r="O43" s="300">
        <v>99400</v>
      </c>
      <c r="P43" s="131">
        <v>23000</v>
      </c>
      <c r="Q43" s="297" t="s">
        <v>443</v>
      </c>
      <c r="R43" s="341">
        <v>46115</v>
      </c>
      <c r="S43" s="290" t="s">
        <v>389</v>
      </c>
      <c r="T43" s="59" t="str">
        <f t="shared" si="2"/>
        <v>REFILL NEW ISOTANK :DJEU0303662</v>
      </c>
    </row>
    <row r="44" spans="1:20" ht="21" outlineLevel="2" x14ac:dyDescent="0.5">
      <c r="A44" s="59" t="str">
        <f t="shared" si="4"/>
        <v>97843</v>
      </c>
      <c r="B44" s="59" t="str">
        <f t="shared" si="3"/>
        <v>NTTU1753723</v>
      </c>
      <c r="C44" s="294" t="s">
        <v>306</v>
      </c>
      <c r="D44" s="198" t="s">
        <v>366</v>
      </c>
      <c r="E44" s="16">
        <v>20590</v>
      </c>
      <c r="F44" s="129" t="s">
        <v>11</v>
      </c>
      <c r="G44" s="22" t="s">
        <v>12</v>
      </c>
      <c r="H44" s="19" t="s">
        <v>34</v>
      </c>
      <c r="I44" s="22">
        <f t="shared" si="5"/>
        <v>20590</v>
      </c>
      <c r="J44" s="130">
        <v>46109</v>
      </c>
      <c r="K44" s="128">
        <v>217183</v>
      </c>
      <c r="L44" s="129" t="s">
        <v>413</v>
      </c>
      <c r="M44" s="151">
        <v>46070</v>
      </c>
      <c r="N44" s="16">
        <v>97843</v>
      </c>
      <c r="O44" s="300">
        <v>99397</v>
      </c>
      <c r="P44" s="131">
        <v>23000</v>
      </c>
      <c r="Q44" s="297" t="s">
        <v>443</v>
      </c>
      <c r="R44" s="341">
        <v>46115</v>
      </c>
      <c r="S44" s="290" t="s">
        <v>389</v>
      </c>
      <c r="T44" s="59" t="str">
        <f t="shared" si="2"/>
        <v>REFILL NEW ISOTANK :NTTU1753723</v>
      </c>
    </row>
    <row r="45" spans="1:20" ht="21" outlineLevel="2" x14ac:dyDescent="0.5">
      <c r="A45" s="59" t="str">
        <f t="shared" si="4"/>
        <v>95828</v>
      </c>
      <c r="B45" s="59" t="str">
        <f t="shared" si="3"/>
        <v>SJIU2322017</v>
      </c>
      <c r="C45" s="294" t="s">
        <v>306</v>
      </c>
      <c r="D45" s="16" t="s">
        <v>327</v>
      </c>
      <c r="E45" s="16">
        <v>20720</v>
      </c>
      <c r="F45" s="129" t="s">
        <v>11</v>
      </c>
      <c r="G45" s="22" t="s">
        <v>12</v>
      </c>
      <c r="H45" s="19" t="s">
        <v>34</v>
      </c>
      <c r="I45" s="22">
        <f t="shared" si="5"/>
        <v>20720</v>
      </c>
      <c r="J45" s="130">
        <v>46101</v>
      </c>
      <c r="K45" s="128">
        <v>216934</v>
      </c>
      <c r="L45" s="129" t="s">
        <v>409</v>
      </c>
      <c r="M45" s="151">
        <v>46052</v>
      </c>
      <c r="N45" s="16">
        <v>95828</v>
      </c>
      <c r="O45" s="300">
        <v>99401</v>
      </c>
      <c r="P45" s="131">
        <v>23000</v>
      </c>
      <c r="Q45" s="297" t="s">
        <v>443</v>
      </c>
      <c r="R45" s="341">
        <v>46115</v>
      </c>
      <c r="S45" s="290" t="s">
        <v>389</v>
      </c>
      <c r="T45" s="59" t="str">
        <f t="shared" si="2"/>
        <v>REFILL NEW ISOTANK :SJIU2322017</v>
      </c>
    </row>
    <row r="46" spans="1:20" ht="21" outlineLevel="2" x14ac:dyDescent="0.5">
      <c r="A46" s="59" t="str">
        <f t="shared" si="4"/>
        <v>97661</v>
      </c>
      <c r="B46" s="59" t="str">
        <f t="shared" si="3"/>
        <v>NTTU1752753</v>
      </c>
      <c r="C46" s="294" t="s">
        <v>302</v>
      </c>
      <c r="D46" s="16" t="s">
        <v>286</v>
      </c>
      <c r="E46" s="16">
        <v>21400</v>
      </c>
      <c r="F46" s="129" t="s">
        <v>11</v>
      </c>
      <c r="G46" s="22" t="s">
        <v>12</v>
      </c>
      <c r="H46" s="19" t="s">
        <v>34</v>
      </c>
      <c r="I46" s="22">
        <v>21400</v>
      </c>
      <c r="J46" s="130">
        <v>46087</v>
      </c>
      <c r="K46" s="128">
        <v>216561</v>
      </c>
      <c r="L46" s="129" t="s">
        <v>404</v>
      </c>
      <c r="M46" s="151">
        <v>46039</v>
      </c>
      <c r="N46" s="16">
        <v>97661</v>
      </c>
      <c r="O46" s="300">
        <v>99440</v>
      </c>
      <c r="P46" s="131">
        <v>23000</v>
      </c>
      <c r="Q46" s="297" t="s">
        <v>437</v>
      </c>
      <c r="R46" s="341">
        <v>46099</v>
      </c>
      <c r="S46" s="290" t="s">
        <v>389</v>
      </c>
      <c r="T46" s="59" t="str">
        <f t="shared" si="2"/>
        <v>REFILL NEW ISOTANK :NTTU1752753</v>
      </c>
    </row>
    <row r="47" spans="1:20" ht="21" outlineLevel="2" x14ac:dyDescent="0.5">
      <c r="A47" s="59" t="str">
        <f t="shared" si="4"/>
        <v>97577</v>
      </c>
      <c r="B47" s="59" t="str">
        <f t="shared" si="3"/>
        <v>NTTU1752687</v>
      </c>
      <c r="C47" s="294" t="s">
        <v>302</v>
      </c>
      <c r="D47" s="293" t="s">
        <v>336</v>
      </c>
      <c r="E47" s="16">
        <v>20330</v>
      </c>
      <c r="F47" s="129" t="s">
        <v>11</v>
      </c>
      <c r="G47" s="22" t="s">
        <v>12</v>
      </c>
      <c r="H47" s="19" t="s">
        <v>34</v>
      </c>
      <c r="I47" s="22">
        <f>E47</f>
        <v>20330</v>
      </c>
      <c r="J47" s="130">
        <v>46095</v>
      </c>
      <c r="K47" s="128">
        <v>216738</v>
      </c>
      <c r="L47" s="129" t="s">
        <v>404</v>
      </c>
      <c r="M47" s="151">
        <v>46039</v>
      </c>
      <c r="N47" s="16">
        <v>97577</v>
      </c>
      <c r="O47" s="300">
        <v>99438</v>
      </c>
      <c r="P47" s="131">
        <v>23000</v>
      </c>
      <c r="Q47" s="297" t="s">
        <v>437</v>
      </c>
      <c r="R47" s="341">
        <v>46099</v>
      </c>
      <c r="S47" s="290" t="s">
        <v>389</v>
      </c>
      <c r="T47" s="59" t="str">
        <f t="shared" si="2"/>
        <v>REFILL NEW ISOTANK :NTTU1752687</v>
      </c>
    </row>
    <row r="48" spans="1:20" ht="21" outlineLevel="2" x14ac:dyDescent="0.5">
      <c r="A48" s="59" t="str">
        <f t="shared" si="4"/>
        <v>97664</v>
      </c>
      <c r="B48" s="59" t="str">
        <f t="shared" si="3"/>
        <v>DJEU0303770</v>
      </c>
      <c r="C48" s="294" t="s">
        <v>302</v>
      </c>
      <c r="D48" s="16" t="s">
        <v>157</v>
      </c>
      <c r="E48" s="16">
        <v>21520</v>
      </c>
      <c r="F48" s="129" t="s">
        <v>11</v>
      </c>
      <c r="G48" s="22" t="s">
        <v>12</v>
      </c>
      <c r="H48" s="19" t="s">
        <v>34</v>
      </c>
      <c r="I48" s="22">
        <v>21520</v>
      </c>
      <c r="J48" s="130">
        <v>45731</v>
      </c>
      <c r="K48" s="128">
        <v>216780</v>
      </c>
      <c r="L48" s="129" t="s">
        <v>409</v>
      </c>
      <c r="M48" s="151">
        <v>46052</v>
      </c>
      <c r="N48" s="16">
        <v>97664</v>
      </c>
      <c r="O48" s="300">
        <v>99442</v>
      </c>
      <c r="P48" s="131">
        <v>23000</v>
      </c>
      <c r="Q48" s="297" t="s">
        <v>437</v>
      </c>
      <c r="R48" s="341">
        <v>46099</v>
      </c>
      <c r="S48" s="290" t="s">
        <v>389</v>
      </c>
      <c r="T48" s="59" t="str">
        <f t="shared" si="2"/>
        <v>REFILL NEW ISOTANK :DJEU0303770</v>
      </c>
    </row>
    <row r="49" spans="1:20" ht="21" outlineLevel="2" x14ac:dyDescent="0.5">
      <c r="A49" s="59" t="str">
        <f t="shared" si="4"/>
        <v>97659</v>
      </c>
      <c r="B49" s="59" t="str">
        <f t="shared" si="3"/>
        <v>DJEU0303739</v>
      </c>
      <c r="C49" s="294" t="s">
        <v>302</v>
      </c>
      <c r="D49" s="293" t="s">
        <v>99</v>
      </c>
      <c r="E49" s="16">
        <v>21290</v>
      </c>
      <c r="F49" s="299" t="s">
        <v>11</v>
      </c>
      <c r="G49" s="22" t="s">
        <v>12</v>
      </c>
      <c r="H49" s="19" t="s">
        <v>34</v>
      </c>
      <c r="I49" s="22">
        <f>E49</f>
        <v>21290</v>
      </c>
      <c r="J49" s="130">
        <v>46097</v>
      </c>
      <c r="K49" s="128">
        <v>216934</v>
      </c>
      <c r="L49" s="129" t="s">
        <v>404</v>
      </c>
      <c r="M49" s="151">
        <v>46039</v>
      </c>
      <c r="N49" s="16">
        <v>97659</v>
      </c>
      <c r="O49" s="300">
        <v>99439</v>
      </c>
      <c r="P49" s="131">
        <v>23000</v>
      </c>
      <c r="Q49" s="297" t="s">
        <v>437</v>
      </c>
      <c r="R49" s="341">
        <v>46099</v>
      </c>
      <c r="S49" s="290" t="s">
        <v>389</v>
      </c>
      <c r="T49" s="59" t="str">
        <f t="shared" si="2"/>
        <v>REFILL NEW ISOTANK :DJEU0303739</v>
      </c>
    </row>
    <row r="50" spans="1:20" ht="21" outlineLevel="2" x14ac:dyDescent="0.5">
      <c r="A50" s="59" t="str">
        <f t="shared" si="4"/>
        <v>97378</v>
      </c>
      <c r="B50" s="59" t="str">
        <f t="shared" si="3"/>
        <v>DJEU0303615</v>
      </c>
      <c r="C50" s="294" t="s">
        <v>302</v>
      </c>
      <c r="D50" s="301" t="s">
        <v>146</v>
      </c>
      <c r="E50" s="148">
        <v>21260</v>
      </c>
      <c r="F50" s="299" t="s">
        <v>11</v>
      </c>
      <c r="G50" s="22" t="s">
        <v>506</v>
      </c>
      <c r="H50" s="19" t="s">
        <v>502</v>
      </c>
      <c r="I50" s="300">
        <v>21260</v>
      </c>
      <c r="J50" s="302">
        <v>46059</v>
      </c>
      <c r="K50" s="303">
        <v>215860</v>
      </c>
      <c r="L50" s="129" t="s">
        <v>396</v>
      </c>
      <c r="M50" s="151">
        <v>46024</v>
      </c>
      <c r="N50" s="128">
        <v>97378</v>
      </c>
      <c r="O50" s="300"/>
      <c r="P50" s="131">
        <v>23000</v>
      </c>
      <c r="Q50" s="297" t="s">
        <v>437</v>
      </c>
      <c r="R50" s="341">
        <v>46099</v>
      </c>
      <c r="S50" s="290" t="s">
        <v>389</v>
      </c>
      <c r="T50" s="59" t="str">
        <f t="shared" si="2"/>
        <v>REFILL NEW ISOTANK :DJEU0303615</v>
      </c>
    </row>
    <row r="51" spans="1:20" ht="21" x14ac:dyDescent="0.5">
      <c r="A51" s="59" t="str">
        <f t="shared" si="4"/>
        <v>97377</v>
      </c>
      <c r="B51" s="59" t="str">
        <f t="shared" si="3"/>
        <v>DJEU0303873</v>
      </c>
      <c r="C51" s="294" t="s">
        <v>302</v>
      </c>
      <c r="D51" s="293" t="s">
        <v>184</v>
      </c>
      <c r="E51" s="16">
        <v>21390</v>
      </c>
      <c r="F51" s="129" t="s">
        <v>11</v>
      </c>
      <c r="G51" s="22" t="s">
        <v>12</v>
      </c>
      <c r="H51" s="19" t="s">
        <v>34</v>
      </c>
      <c r="I51" s="22">
        <v>21390</v>
      </c>
      <c r="J51" s="130">
        <v>46053</v>
      </c>
      <c r="K51" s="128">
        <v>215665</v>
      </c>
      <c r="L51" s="129" t="s">
        <v>393</v>
      </c>
      <c r="M51" s="151">
        <v>46014</v>
      </c>
      <c r="N51" s="128">
        <v>97377</v>
      </c>
      <c r="O51" s="300">
        <v>99435</v>
      </c>
      <c r="P51" s="131">
        <v>23000</v>
      </c>
      <c r="Q51" s="297" t="s">
        <v>437</v>
      </c>
      <c r="R51" s="341">
        <v>46099</v>
      </c>
      <c r="S51" s="290" t="s">
        <v>389</v>
      </c>
      <c r="T51" s="59" t="str">
        <f t="shared" si="2"/>
        <v>REFILL NEW ISOTANK :DJEU0303873</v>
      </c>
    </row>
    <row r="52" spans="1:20" ht="21" outlineLevel="2" x14ac:dyDescent="0.5">
      <c r="A52" s="59" t="str">
        <f t="shared" si="4"/>
        <v>97380</v>
      </c>
      <c r="B52" s="59" t="str">
        <f t="shared" si="3"/>
        <v>NTTU1752727</v>
      </c>
      <c r="C52" s="294" t="s">
        <v>302</v>
      </c>
      <c r="D52" s="293" t="s">
        <v>361</v>
      </c>
      <c r="E52" s="16">
        <v>21390</v>
      </c>
      <c r="F52" s="129" t="s">
        <v>11</v>
      </c>
      <c r="G52" s="22" t="s">
        <v>12</v>
      </c>
      <c r="H52" s="19" t="s">
        <v>34</v>
      </c>
      <c r="I52" s="22">
        <v>21390</v>
      </c>
      <c r="J52" s="130">
        <v>46066</v>
      </c>
      <c r="K52" s="128">
        <v>216014</v>
      </c>
      <c r="L52" s="129" t="s">
        <v>393</v>
      </c>
      <c r="M52" s="151">
        <v>46014</v>
      </c>
      <c r="N52" s="128">
        <v>97380</v>
      </c>
      <c r="O52" s="300">
        <v>99436</v>
      </c>
      <c r="P52" s="131">
        <v>23000</v>
      </c>
      <c r="Q52" s="297" t="s">
        <v>437</v>
      </c>
      <c r="R52" s="341">
        <v>46099</v>
      </c>
      <c r="S52" s="290" t="s">
        <v>389</v>
      </c>
      <c r="T52" s="59" t="str">
        <f t="shared" si="2"/>
        <v>REFILL NEW ISOTANK :NTTU1752727</v>
      </c>
    </row>
    <row r="53" spans="1:20" ht="21" outlineLevel="2" x14ac:dyDescent="0.5">
      <c r="A53" s="59" t="str">
        <f t="shared" si="4"/>
        <v>95826</v>
      </c>
      <c r="B53" s="59" t="str">
        <f t="shared" si="3"/>
        <v>SJIU2322038</v>
      </c>
      <c r="C53" s="294" t="s">
        <v>306</v>
      </c>
      <c r="D53" s="16" t="s">
        <v>233</v>
      </c>
      <c r="E53" s="16">
        <v>20410</v>
      </c>
      <c r="F53" s="129" t="s">
        <v>11</v>
      </c>
      <c r="G53" s="22" t="s">
        <v>12</v>
      </c>
      <c r="H53" s="19" t="s">
        <v>34</v>
      </c>
      <c r="I53" s="22">
        <f t="shared" ref="I53:I100" si="6">E53</f>
        <v>20410</v>
      </c>
      <c r="J53" s="130">
        <v>46098</v>
      </c>
      <c r="K53" s="128">
        <v>216934</v>
      </c>
      <c r="L53" s="129" t="s">
        <v>409</v>
      </c>
      <c r="M53" s="151">
        <v>46052</v>
      </c>
      <c r="N53" s="16">
        <v>95826</v>
      </c>
      <c r="O53" s="300">
        <v>99443</v>
      </c>
      <c r="P53" s="131">
        <v>23000</v>
      </c>
      <c r="Q53" s="297" t="s">
        <v>437</v>
      </c>
      <c r="R53" s="341">
        <v>46099</v>
      </c>
      <c r="S53" s="290" t="s">
        <v>389</v>
      </c>
      <c r="T53" s="59" t="str">
        <f t="shared" si="2"/>
        <v>REFILL NEW ISOTANK :SJIU2322038</v>
      </c>
    </row>
    <row r="54" spans="1:20" ht="21" outlineLevel="2" x14ac:dyDescent="0.5">
      <c r="A54" s="59" t="str">
        <f t="shared" si="4"/>
        <v>97838</v>
      </c>
      <c r="B54" s="59" t="str">
        <f t="shared" si="3"/>
        <v>SJIU2322022</v>
      </c>
      <c r="C54" s="294" t="s">
        <v>306</v>
      </c>
      <c r="D54" s="16" t="s">
        <v>232</v>
      </c>
      <c r="E54" s="16">
        <v>20810</v>
      </c>
      <c r="F54" s="129" t="s">
        <v>11</v>
      </c>
      <c r="G54" s="22" t="s">
        <v>12</v>
      </c>
      <c r="H54" s="19" t="s">
        <v>34</v>
      </c>
      <c r="I54" s="22">
        <f t="shared" si="6"/>
        <v>20810</v>
      </c>
      <c r="J54" s="130">
        <v>46112</v>
      </c>
      <c r="K54" s="128">
        <v>217354</v>
      </c>
      <c r="L54" s="129" t="s">
        <v>413</v>
      </c>
      <c r="M54" s="151">
        <v>46070</v>
      </c>
      <c r="N54" s="16">
        <v>97838</v>
      </c>
      <c r="O54" s="300">
        <v>99396</v>
      </c>
      <c r="P54" s="131">
        <v>23000</v>
      </c>
      <c r="Q54" s="297" t="s">
        <v>443</v>
      </c>
      <c r="R54" s="341">
        <v>46115</v>
      </c>
      <c r="S54" s="290" t="s">
        <v>389</v>
      </c>
      <c r="T54" s="59" t="str">
        <f t="shared" si="2"/>
        <v>REFILL NEW ISOTANK :SJIU2322022</v>
      </c>
    </row>
    <row r="55" spans="1:20" ht="21" outlineLevel="2" x14ac:dyDescent="0.5">
      <c r="A55" s="59" t="str">
        <f t="shared" si="4"/>
        <v>97793</v>
      </c>
      <c r="B55" s="59" t="str">
        <f t="shared" si="3"/>
        <v>DJEU0303868</v>
      </c>
      <c r="C55" s="294" t="s">
        <v>302</v>
      </c>
      <c r="D55" s="198" t="s">
        <v>174</v>
      </c>
      <c r="E55" s="16">
        <v>21330</v>
      </c>
      <c r="F55" s="129" t="s">
        <v>11</v>
      </c>
      <c r="G55" s="22" t="s">
        <v>12</v>
      </c>
      <c r="H55" s="19" t="s">
        <v>34</v>
      </c>
      <c r="I55" s="22">
        <f t="shared" si="6"/>
        <v>21330</v>
      </c>
      <c r="J55" s="130">
        <v>46099</v>
      </c>
      <c r="K55" s="128">
        <v>216934</v>
      </c>
      <c r="L55" s="129" t="s">
        <v>409</v>
      </c>
      <c r="M55" s="151">
        <v>46052</v>
      </c>
      <c r="N55" s="16">
        <v>97793</v>
      </c>
      <c r="O55" s="85">
        <v>99615</v>
      </c>
      <c r="P55" s="131">
        <v>23000</v>
      </c>
      <c r="Q55" s="182" t="s">
        <v>444</v>
      </c>
      <c r="R55" s="341">
        <v>46127</v>
      </c>
      <c r="S55" s="290" t="s">
        <v>389</v>
      </c>
      <c r="T55" s="59" t="str">
        <f t="shared" si="2"/>
        <v>REFILL NEW ISOTANK :DJEU0303868</v>
      </c>
    </row>
    <row r="56" spans="1:20" ht="21" outlineLevel="2" x14ac:dyDescent="0.5">
      <c r="A56" s="59" t="str">
        <f t="shared" si="4"/>
        <v>97840</v>
      </c>
      <c r="B56" s="59" t="str">
        <f t="shared" si="3"/>
        <v>SJIU2322090</v>
      </c>
      <c r="C56" s="294" t="s">
        <v>306</v>
      </c>
      <c r="D56" s="17" t="s">
        <v>335</v>
      </c>
      <c r="E56" s="16">
        <v>20690</v>
      </c>
      <c r="F56" s="129" t="s">
        <v>11</v>
      </c>
      <c r="G56" s="22" t="s">
        <v>12</v>
      </c>
      <c r="H56" s="19" t="s">
        <v>34</v>
      </c>
      <c r="I56" s="22">
        <f t="shared" si="6"/>
        <v>20690</v>
      </c>
      <c r="J56" s="130">
        <v>46112</v>
      </c>
      <c r="K56" s="128">
        <v>217354</v>
      </c>
      <c r="L56" s="129" t="s">
        <v>413</v>
      </c>
      <c r="M56" s="151">
        <v>46070</v>
      </c>
      <c r="N56" s="22">
        <v>97840</v>
      </c>
      <c r="O56" s="85">
        <v>99616</v>
      </c>
      <c r="P56" s="131">
        <v>23000</v>
      </c>
      <c r="Q56" s="182" t="s">
        <v>444</v>
      </c>
      <c r="R56" s="341">
        <v>46127</v>
      </c>
      <c r="S56" s="290" t="s">
        <v>389</v>
      </c>
      <c r="T56" s="59" t="str">
        <f t="shared" si="2"/>
        <v>REFILL NEW ISOTANK :SJIU2322090</v>
      </c>
    </row>
    <row r="57" spans="1:20" ht="21" outlineLevel="2" x14ac:dyDescent="0.5">
      <c r="A57" s="59" t="str">
        <f t="shared" si="4"/>
        <v>97791</v>
      </c>
      <c r="B57" s="59" t="str">
        <f t="shared" ref="B57:B91" si="7">D57</f>
        <v>DJEU0303805</v>
      </c>
      <c r="C57" s="294" t="s">
        <v>302</v>
      </c>
      <c r="D57" s="198" t="s">
        <v>162</v>
      </c>
      <c r="E57" s="16">
        <v>21480</v>
      </c>
      <c r="F57" s="129" t="s">
        <v>11</v>
      </c>
      <c r="G57" s="22" t="s">
        <v>431</v>
      </c>
      <c r="H57" s="19" t="s">
        <v>34</v>
      </c>
      <c r="I57" s="22">
        <f t="shared" si="6"/>
        <v>21480</v>
      </c>
      <c r="J57" s="130">
        <v>46110</v>
      </c>
      <c r="K57" s="128">
        <v>217109</v>
      </c>
      <c r="L57" s="129" t="s">
        <v>409</v>
      </c>
      <c r="M57" s="151">
        <v>46052</v>
      </c>
      <c r="N57" s="16">
        <v>97791</v>
      </c>
      <c r="O57" s="85">
        <v>99623</v>
      </c>
      <c r="P57" s="131">
        <v>23000</v>
      </c>
      <c r="Q57" s="149" t="s">
        <v>444</v>
      </c>
      <c r="R57" s="341">
        <v>46127</v>
      </c>
      <c r="S57" s="290" t="s">
        <v>389</v>
      </c>
      <c r="T57" s="59" t="str">
        <f t="shared" si="2"/>
        <v>REFILL NEW ISOTANK :DJEU0303805</v>
      </c>
    </row>
    <row r="58" spans="1:20" ht="21" outlineLevel="2" x14ac:dyDescent="0.5">
      <c r="A58" s="59" t="str">
        <f t="shared" si="4"/>
        <v>98321</v>
      </c>
      <c r="B58" s="59" t="str">
        <f t="shared" si="7"/>
        <v>DJEU0303908</v>
      </c>
      <c r="C58" s="294" t="s">
        <v>302</v>
      </c>
      <c r="D58" s="198" t="s">
        <v>227</v>
      </c>
      <c r="E58" s="16">
        <v>21310</v>
      </c>
      <c r="F58" s="129" t="s">
        <v>11</v>
      </c>
      <c r="G58" s="22" t="s">
        <v>12</v>
      </c>
      <c r="H58" s="19" t="s">
        <v>34</v>
      </c>
      <c r="I58" s="22">
        <f t="shared" si="6"/>
        <v>21310</v>
      </c>
      <c r="J58" s="130">
        <v>46110</v>
      </c>
      <c r="K58" s="128">
        <v>217109</v>
      </c>
      <c r="L58" s="129" t="s">
        <v>429</v>
      </c>
      <c r="M58" s="151">
        <v>46084</v>
      </c>
      <c r="N58" s="22">
        <v>98321</v>
      </c>
      <c r="O58" s="85">
        <v>99624</v>
      </c>
      <c r="P58" s="131">
        <v>23000</v>
      </c>
      <c r="Q58" s="182" t="s">
        <v>444</v>
      </c>
      <c r="R58" s="341">
        <v>46127</v>
      </c>
      <c r="S58" s="290" t="s">
        <v>389</v>
      </c>
      <c r="T58" s="59" t="str">
        <f t="shared" si="2"/>
        <v>REFILL NEW ISOTANK :DJEU0303908</v>
      </c>
    </row>
    <row r="59" spans="1:20" ht="21" outlineLevel="2" x14ac:dyDescent="0.5">
      <c r="A59" s="59" t="str">
        <f t="shared" ref="A59:A90" si="8">TRIM(N59)</f>
        <v>97794</v>
      </c>
      <c r="B59" s="59" t="str">
        <f t="shared" si="7"/>
        <v>DJEU0303852</v>
      </c>
      <c r="C59" s="294" t="s">
        <v>302</v>
      </c>
      <c r="D59" s="198" t="s">
        <v>175</v>
      </c>
      <c r="E59" s="16">
        <v>21390</v>
      </c>
      <c r="F59" s="129" t="s">
        <v>11</v>
      </c>
      <c r="G59" s="22" t="s">
        <v>506</v>
      </c>
      <c r="H59" s="19" t="s">
        <v>502</v>
      </c>
      <c r="I59" s="22">
        <f t="shared" si="6"/>
        <v>21390</v>
      </c>
      <c r="J59" s="130">
        <v>46106</v>
      </c>
      <c r="K59" s="128">
        <v>217183</v>
      </c>
      <c r="L59" s="129" t="s">
        <v>409</v>
      </c>
      <c r="M59" s="151">
        <v>46052</v>
      </c>
      <c r="N59" s="16">
        <v>97794</v>
      </c>
      <c r="O59" s="85"/>
      <c r="P59" s="131">
        <v>23000</v>
      </c>
      <c r="Q59" s="149" t="s">
        <v>444</v>
      </c>
      <c r="R59" s="341">
        <v>46127</v>
      </c>
      <c r="S59" s="290" t="s">
        <v>389</v>
      </c>
      <c r="T59" s="59" t="str">
        <f t="shared" si="2"/>
        <v>REFILL NEW ISOTANK :DJEU0303852</v>
      </c>
    </row>
    <row r="60" spans="1:20" ht="21" outlineLevel="2" x14ac:dyDescent="0.5">
      <c r="A60" s="59" t="str">
        <f t="shared" si="8"/>
        <v>97841</v>
      </c>
      <c r="B60" s="59" t="str">
        <f t="shared" si="7"/>
        <v>NTTU1753699</v>
      </c>
      <c r="C60" s="188" t="s">
        <v>306</v>
      </c>
      <c r="D60" s="16" t="s">
        <v>362</v>
      </c>
      <c r="E60" s="16">
        <v>20720</v>
      </c>
      <c r="F60" s="129" t="s">
        <v>11</v>
      </c>
      <c r="G60" s="22" t="s">
        <v>12</v>
      </c>
      <c r="H60" s="19" t="s">
        <v>34</v>
      </c>
      <c r="I60" s="22">
        <f t="shared" si="6"/>
        <v>20720</v>
      </c>
      <c r="J60" s="130">
        <v>46119</v>
      </c>
      <c r="K60" s="128">
        <v>217389</v>
      </c>
      <c r="L60" s="129" t="s">
        <v>413</v>
      </c>
      <c r="M60" s="151">
        <v>46070</v>
      </c>
      <c r="N60" s="22">
        <v>97841</v>
      </c>
      <c r="O60" s="85">
        <v>99617</v>
      </c>
      <c r="P60" s="131">
        <v>23000</v>
      </c>
      <c r="Q60" s="182" t="s">
        <v>444</v>
      </c>
      <c r="R60" s="341">
        <v>46127</v>
      </c>
      <c r="S60" s="290" t="s">
        <v>389</v>
      </c>
      <c r="T60" s="59" t="str">
        <f t="shared" si="2"/>
        <v>REFILL NEW ISOTANK :NTTU1753699</v>
      </c>
    </row>
    <row r="61" spans="1:20" ht="21" outlineLevel="2" x14ac:dyDescent="0.5">
      <c r="A61" s="59" t="str">
        <f t="shared" si="8"/>
        <v>97121</v>
      </c>
      <c r="B61" s="59" t="str">
        <f t="shared" si="7"/>
        <v>SJIU2322001</v>
      </c>
      <c r="C61" s="188" t="s">
        <v>306</v>
      </c>
      <c r="D61" s="16" t="s">
        <v>263</v>
      </c>
      <c r="E61" s="16">
        <v>19610</v>
      </c>
      <c r="F61" s="129" t="s">
        <v>11</v>
      </c>
      <c r="G61" s="22" t="s">
        <v>506</v>
      </c>
      <c r="H61" s="19" t="s">
        <v>502</v>
      </c>
      <c r="I61" s="22">
        <f t="shared" si="6"/>
        <v>19610</v>
      </c>
      <c r="J61" s="130">
        <v>46119</v>
      </c>
      <c r="K61" s="128">
        <v>217515</v>
      </c>
      <c r="L61" s="129" t="s">
        <v>413</v>
      </c>
      <c r="M61" s="151">
        <v>46070</v>
      </c>
      <c r="N61" s="185">
        <v>97121</v>
      </c>
      <c r="O61" s="85"/>
      <c r="P61" s="131">
        <v>23000</v>
      </c>
      <c r="Q61" s="304" t="s">
        <v>444</v>
      </c>
      <c r="R61" s="341">
        <v>46127</v>
      </c>
      <c r="S61" s="290" t="s">
        <v>389</v>
      </c>
      <c r="T61" s="59" t="str">
        <f t="shared" si="2"/>
        <v>REFILL NEW ISOTANK :SJIU2322001</v>
      </c>
    </row>
    <row r="62" spans="1:20" ht="21" outlineLevel="2" x14ac:dyDescent="0.5">
      <c r="A62" s="59" t="str">
        <f t="shared" si="8"/>
        <v>97112</v>
      </c>
      <c r="B62" s="59" t="str">
        <f t="shared" si="7"/>
        <v>SJIU2221541</v>
      </c>
      <c r="C62" s="188" t="s">
        <v>306</v>
      </c>
      <c r="D62" s="16" t="s">
        <v>160</v>
      </c>
      <c r="E62" s="16">
        <v>19360</v>
      </c>
      <c r="F62" s="129" t="s">
        <v>11</v>
      </c>
      <c r="G62" s="22" t="s">
        <v>12</v>
      </c>
      <c r="H62" s="19" t="s">
        <v>34</v>
      </c>
      <c r="I62" s="22">
        <f t="shared" si="6"/>
        <v>19360</v>
      </c>
      <c r="J62" s="130">
        <v>46124</v>
      </c>
      <c r="K62" s="128">
        <v>217592</v>
      </c>
      <c r="L62" s="129" t="s">
        <v>413</v>
      </c>
      <c r="M62" s="151">
        <v>46070</v>
      </c>
      <c r="N62" s="185">
        <v>97112</v>
      </c>
      <c r="O62" s="85">
        <v>99619</v>
      </c>
      <c r="P62" s="131">
        <v>23000</v>
      </c>
      <c r="Q62" s="304" t="s">
        <v>444</v>
      </c>
      <c r="R62" s="341">
        <v>46127</v>
      </c>
      <c r="S62" s="290" t="s">
        <v>389</v>
      </c>
      <c r="T62" s="59" t="str">
        <f t="shared" si="2"/>
        <v>REFILL NEW ISOTANK :SJIU2221541</v>
      </c>
    </row>
    <row r="63" spans="1:20" ht="21" outlineLevel="2" x14ac:dyDescent="0.5">
      <c r="A63" s="59" t="str">
        <f t="shared" si="8"/>
        <v>96522</v>
      </c>
      <c r="B63" s="59" t="str">
        <f t="shared" si="7"/>
        <v>SJIU2221710</v>
      </c>
      <c r="C63" s="188" t="s">
        <v>306</v>
      </c>
      <c r="D63" s="16" t="s">
        <v>194</v>
      </c>
      <c r="E63" s="16">
        <v>19460</v>
      </c>
      <c r="F63" s="129" t="s">
        <v>11</v>
      </c>
      <c r="G63" s="22" t="s">
        <v>12</v>
      </c>
      <c r="H63" s="19" t="s">
        <v>34</v>
      </c>
      <c r="I63" s="22">
        <f t="shared" si="6"/>
        <v>19460</v>
      </c>
      <c r="J63" s="130">
        <v>46124</v>
      </c>
      <c r="K63" s="128">
        <v>217592</v>
      </c>
      <c r="L63" s="129" t="s">
        <v>413</v>
      </c>
      <c r="M63" s="151">
        <v>46070</v>
      </c>
      <c r="N63" s="185">
        <v>96522</v>
      </c>
      <c r="O63" s="85">
        <v>99620</v>
      </c>
      <c r="P63" s="131">
        <v>23000</v>
      </c>
      <c r="Q63" s="304" t="s">
        <v>444</v>
      </c>
      <c r="R63" s="341">
        <v>46127</v>
      </c>
      <c r="S63" s="290" t="s">
        <v>389</v>
      </c>
      <c r="T63" s="59" t="str">
        <f t="shared" si="2"/>
        <v>REFILL NEW ISOTANK :SJIU2221710</v>
      </c>
    </row>
    <row r="64" spans="1:20" ht="21" outlineLevel="2" x14ac:dyDescent="0.5">
      <c r="A64" s="59" t="str">
        <f t="shared" si="8"/>
        <v>97117</v>
      </c>
      <c r="B64" s="59" t="str">
        <f t="shared" si="7"/>
        <v>SJIU2221536</v>
      </c>
      <c r="C64" s="188" t="s">
        <v>306</v>
      </c>
      <c r="D64" s="16" t="s">
        <v>161</v>
      </c>
      <c r="E64" s="16">
        <v>20070</v>
      </c>
      <c r="F64" s="129" t="s">
        <v>11</v>
      </c>
      <c r="G64" s="22" t="s">
        <v>12</v>
      </c>
      <c r="H64" s="19" t="s">
        <v>34</v>
      </c>
      <c r="I64" s="22">
        <f t="shared" si="6"/>
        <v>20070</v>
      </c>
      <c r="J64" s="130">
        <v>46128</v>
      </c>
      <c r="K64" s="128">
        <v>217710</v>
      </c>
      <c r="L64" s="129" t="s">
        <v>413</v>
      </c>
      <c r="M64" s="151">
        <v>46070</v>
      </c>
      <c r="N64" s="185">
        <v>97117</v>
      </c>
      <c r="O64" s="85">
        <v>99622</v>
      </c>
      <c r="P64" s="131">
        <v>23000</v>
      </c>
      <c r="Q64" s="304" t="s">
        <v>444</v>
      </c>
      <c r="R64" s="341">
        <v>46127</v>
      </c>
      <c r="S64" s="290" t="s">
        <v>389</v>
      </c>
      <c r="T64" s="59" t="str">
        <f t="shared" si="2"/>
        <v>REFILL NEW ISOTANK :SJIU2221536</v>
      </c>
    </row>
    <row r="65" spans="1:20" outlineLevel="2" x14ac:dyDescent="0.45">
      <c r="A65" s="59" t="str">
        <f t="shared" si="8"/>
        <v>97842</v>
      </c>
      <c r="B65" s="59" t="str">
        <f t="shared" si="7"/>
        <v>SJIU2221691</v>
      </c>
      <c r="C65" s="188" t="s">
        <v>306</v>
      </c>
      <c r="D65" s="16" t="s">
        <v>192</v>
      </c>
      <c r="E65" s="16">
        <v>20740</v>
      </c>
      <c r="F65" s="129" t="s">
        <v>11</v>
      </c>
      <c r="G65" s="22" t="s">
        <v>12</v>
      </c>
      <c r="H65" s="19" t="s">
        <v>34</v>
      </c>
      <c r="I65" s="22">
        <f t="shared" si="6"/>
        <v>20740</v>
      </c>
      <c r="J65" s="130">
        <v>46128</v>
      </c>
      <c r="K65" s="128">
        <v>217710</v>
      </c>
      <c r="L65" s="129" t="s">
        <v>413</v>
      </c>
      <c r="M65" s="151">
        <v>46070</v>
      </c>
      <c r="N65" s="22">
        <v>97842</v>
      </c>
      <c r="O65" s="131">
        <v>99614</v>
      </c>
      <c r="P65" s="131">
        <v>23000</v>
      </c>
      <c r="Q65" s="304" t="s">
        <v>444</v>
      </c>
      <c r="R65" s="341">
        <v>46127</v>
      </c>
      <c r="S65" s="290" t="s">
        <v>389</v>
      </c>
      <c r="T65" s="59" t="str">
        <f t="shared" si="2"/>
        <v>REFILL NEW ISOTANK :SJIU2221691</v>
      </c>
    </row>
    <row r="66" spans="1:20" outlineLevel="2" x14ac:dyDescent="0.45">
      <c r="A66" s="59" t="str">
        <f t="shared" si="8"/>
        <v>98326</v>
      </c>
      <c r="B66" s="59" t="str">
        <f t="shared" si="7"/>
        <v>DJEU0303699</v>
      </c>
      <c r="C66" s="188" t="s">
        <v>302</v>
      </c>
      <c r="D66" s="198" t="s">
        <v>54</v>
      </c>
      <c r="E66" s="22">
        <v>21350</v>
      </c>
      <c r="F66" s="129" t="s">
        <v>11</v>
      </c>
      <c r="G66" s="22" t="s">
        <v>12</v>
      </c>
      <c r="H66" s="19" t="s">
        <v>34</v>
      </c>
      <c r="I66" s="22">
        <f t="shared" si="6"/>
        <v>21350</v>
      </c>
      <c r="J66" s="130">
        <v>46111</v>
      </c>
      <c r="K66" s="9">
        <v>217183</v>
      </c>
      <c r="L66" s="129" t="s">
        <v>429</v>
      </c>
      <c r="M66" s="305">
        <v>46084</v>
      </c>
      <c r="N66" s="22">
        <v>98326</v>
      </c>
      <c r="O66" s="131">
        <v>100382</v>
      </c>
      <c r="P66" s="131">
        <v>23000</v>
      </c>
      <c r="Q66" s="304" t="str">
        <f>VLOOKUP(B66,'REKAP ACID TO PR'!A:G,7,FALSE)</f>
        <v>LCT PERMATA 17  VOY 1223 ETD 09052026</v>
      </c>
      <c r="R66" s="305">
        <v>46151</v>
      </c>
      <c r="S66" s="290" t="s">
        <v>389</v>
      </c>
      <c r="T66" s="59" t="str">
        <f t="shared" si="2"/>
        <v>REFILL NEW ISOTANK :DJEU0303699</v>
      </c>
    </row>
    <row r="67" spans="1:20" outlineLevel="2" x14ac:dyDescent="0.45">
      <c r="A67" s="59" t="str">
        <f t="shared" si="8"/>
        <v>97119</v>
      </c>
      <c r="B67" s="59" t="str">
        <f t="shared" si="7"/>
        <v>SJIU2221705</v>
      </c>
      <c r="C67" s="188" t="s">
        <v>306</v>
      </c>
      <c r="D67" s="16" t="s">
        <v>193</v>
      </c>
      <c r="E67" s="16">
        <v>20120</v>
      </c>
      <c r="F67" s="129" t="s">
        <v>11</v>
      </c>
      <c r="G67" s="22" t="s">
        <v>12</v>
      </c>
      <c r="H67" s="19" t="s">
        <v>34</v>
      </c>
      <c r="I67" s="22">
        <f t="shared" si="6"/>
        <v>20120</v>
      </c>
      <c r="J67" s="130">
        <v>46128</v>
      </c>
      <c r="K67" s="128">
        <v>217710</v>
      </c>
      <c r="L67" s="129" t="s">
        <v>413</v>
      </c>
      <c r="M67" s="151">
        <v>46070</v>
      </c>
      <c r="N67" s="185">
        <v>97119</v>
      </c>
      <c r="O67" s="131">
        <f>VLOOKUP(B67,'REKAP ACID TO PR'!A:D,4,FALSE)</f>
        <v>99998</v>
      </c>
      <c r="P67" s="131">
        <v>23000</v>
      </c>
      <c r="Q67" s="304" t="str">
        <f>VLOOKUP(B67,'REKAP ACID TO PR'!A:G,7,FALSE)</f>
        <v>LCT PERMATA 17  VOY 1223 ETD 09052026</v>
      </c>
      <c r="R67" s="305">
        <v>46151</v>
      </c>
      <c r="S67" s="290" t="s">
        <v>389</v>
      </c>
      <c r="T67" s="59" t="str">
        <f t="shared" si="2"/>
        <v>REFILL NEW ISOTANK :SJIU2221705</v>
      </c>
    </row>
    <row r="68" spans="1:20" ht="21" x14ac:dyDescent="0.5">
      <c r="A68" s="59" t="str">
        <f t="shared" si="8"/>
        <v>98455</v>
      </c>
      <c r="B68" s="59" t="str">
        <f t="shared" si="7"/>
        <v>DJEU0303765</v>
      </c>
      <c r="C68" s="188" t="s">
        <v>302</v>
      </c>
      <c r="D68" s="16" t="s">
        <v>144</v>
      </c>
      <c r="E68" s="16">
        <v>21500</v>
      </c>
      <c r="F68" s="129" t="s">
        <v>11</v>
      </c>
      <c r="G68" s="22" t="s">
        <v>12</v>
      </c>
      <c r="H68" s="19" t="s">
        <v>34</v>
      </c>
      <c r="I68" s="22">
        <f t="shared" si="6"/>
        <v>21500</v>
      </c>
      <c r="J68" s="130">
        <v>46119</v>
      </c>
      <c r="K68" s="128">
        <v>217515</v>
      </c>
      <c r="L68" s="129" t="s">
        <v>430</v>
      </c>
      <c r="M68" s="151">
        <v>45734</v>
      </c>
      <c r="N68" s="22">
        <v>98455</v>
      </c>
      <c r="O68" s="85">
        <v>100011</v>
      </c>
      <c r="P68" s="131">
        <v>23000</v>
      </c>
      <c r="Q68" s="304" t="str">
        <f>VLOOKUP(B68,'REKAP ACID TO PR'!A:G,7,FALSE)</f>
        <v>LCT PERMATA 17  VOY 1223 ETD 09052026</v>
      </c>
      <c r="R68" s="305">
        <v>46151</v>
      </c>
      <c r="S68" s="290" t="s">
        <v>389</v>
      </c>
      <c r="T68" s="59" t="str">
        <f t="shared" si="2"/>
        <v>REFILL NEW ISOTANK :DJEU0303765</v>
      </c>
    </row>
    <row r="69" spans="1:20" outlineLevel="2" x14ac:dyDescent="0.45">
      <c r="A69" s="59" t="str">
        <f t="shared" si="8"/>
        <v>98324</v>
      </c>
      <c r="B69" s="59" t="str">
        <f t="shared" si="7"/>
        <v>NTTU1752748</v>
      </c>
      <c r="C69" s="294" t="s">
        <v>302</v>
      </c>
      <c r="D69" s="22" t="s">
        <v>300</v>
      </c>
      <c r="E69" s="22">
        <v>21360</v>
      </c>
      <c r="F69" s="129" t="s">
        <v>11</v>
      </c>
      <c r="G69" s="22" t="s">
        <v>12</v>
      </c>
      <c r="H69" s="19" t="s">
        <v>34</v>
      </c>
      <c r="I69" s="22">
        <f t="shared" si="6"/>
        <v>21360</v>
      </c>
      <c r="J69" s="130">
        <v>46112</v>
      </c>
      <c r="K69" s="66">
        <v>217183</v>
      </c>
      <c r="L69" s="66" t="s">
        <v>429</v>
      </c>
      <c r="M69" s="306">
        <v>46084</v>
      </c>
      <c r="N69" s="66">
        <v>98324</v>
      </c>
      <c r="O69" s="66">
        <v>100008</v>
      </c>
      <c r="P69" s="131">
        <v>23000</v>
      </c>
      <c r="Q69" s="304" t="str">
        <f>VLOOKUP(B69,'REKAP ACID TO PR'!A:G,7,FALSE)</f>
        <v>LCT PERMATA 17  VOY 1223 ETD 09052026</v>
      </c>
      <c r="R69" s="305">
        <v>46151</v>
      </c>
      <c r="S69" s="290" t="s">
        <v>389</v>
      </c>
      <c r="T69" s="59" t="str">
        <f t="shared" si="2"/>
        <v>REFILL NEW ISOTANK :NTTU1752748</v>
      </c>
    </row>
    <row r="70" spans="1:20" x14ac:dyDescent="0.45">
      <c r="A70" s="59" t="str">
        <f t="shared" si="8"/>
        <v>98131</v>
      </c>
      <c r="B70" s="59" t="str">
        <f t="shared" si="7"/>
        <v>NTTU1753765</v>
      </c>
      <c r="C70" s="188" t="s">
        <v>306</v>
      </c>
      <c r="D70" s="16" t="s">
        <v>367</v>
      </c>
      <c r="E70" s="16">
        <v>20410</v>
      </c>
      <c r="F70" s="129" t="s">
        <v>11</v>
      </c>
      <c r="G70" s="22" t="s">
        <v>12</v>
      </c>
      <c r="H70" s="19" t="s">
        <v>34</v>
      </c>
      <c r="I70" s="22">
        <f t="shared" si="6"/>
        <v>20410</v>
      </c>
      <c r="J70" s="130">
        <v>46131</v>
      </c>
      <c r="K70" s="128">
        <v>217822</v>
      </c>
      <c r="L70" s="129" t="s">
        <v>429</v>
      </c>
      <c r="M70" s="151">
        <v>46084</v>
      </c>
      <c r="N70" s="22">
        <v>98131</v>
      </c>
      <c r="O70" s="131">
        <f>VLOOKUP(B70,'REKAP ACID TO PR'!A:D,4,FALSE)</f>
        <v>100001</v>
      </c>
      <c r="P70" s="131">
        <v>23000</v>
      </c>
      <c r="Q70" s="304" t="str">
        <f>VLOOKUP(B70,'REKAP ACID TO PR'!A:G,7,FALSE)</f>
        <v>LCT PERMATA 17  VOY 1223 ETD 09052026</v>
      </c>
      <c r="R70" s="305">
        <v>46151</v>
      </c>
      <c r="S70" s="290" t="s">
        <v>389</v>
      </c>
      <c r="T70" s="59" t="str">
        <f t="shared" si="2"/>
        <v>REFILL NEW ISOTANK :NTTU1753765</v>
      </c>
    </row>
    <row r="71" spans="1:20" outlineLevel="2" x14ac:dyDescent="0.45">
      <c r="A71" s="59" t="str">
        <f t="shared" si="8"/>
        <v>98129</v>
      </c>
      <c r="B71" s="59" t="str">
        <f t="shared" si="7"/>
        <v>SJIU2322064</v>
      </c>
      <c r="C71" s="188" t="s">
        <v>306</v>
      </c>
      <c r="D71" s="16" t="s">
        <v>262</v>
      </c>
      <c r="E71" s="16">
        <v>20470</v>
      </c>
      <c r="F71" s="129" t="s">
        <v>11</v>
      </c>
      <c r="G71" s="22" t="s">
        <v>12</v>
      </c>
      <c r="H71" s="19" t="s">
        <v>34</v>
      </c>
      <c r="I71" s="22">
        <f t="shared" si="6"/>
        <v>20470</v>
      </c>
      <c r="J71" s="130">
        <v>46130</v>
      </c>
      <c r="K71" s="128">
        <v>217822</v>
      </c>
      <c r="L71" s="129" t="s">
        <v>429</v>
      </c>
      <c r="M71" s="151">
        <v>46084</v>
      </c>
      <c r="N71" s="22">
        <v>98129</v>
      </c>
      <c r="O71" s="131">
        <f>VLOOKUP(B71,'REKAP ACID TO PR'!A:D,4,FALSE)</f>
        <v>100003</v>
      </c>
      <c r="P71" s="131">
        <v>23000</v>
      </c>
      <c r="Q71" s="304" t="str">
        <f>VLOOKUP(B71,'REKAP ACID TO PR'!A:G,7,FALSE)</f>
        <v>LCT PERMATA 17  VOY 1223 ETD 09052026</v>
      </c>
      <c r="R71" s="305">
        <v>46151</v>
      </c>
      <c r="S71" s="290" t="s">
        <v>389</v>
      </c>
      <c r="T71" s="59" t="str">
        <f t="shared" ref="T71:T135" si="9">+S71&amp;D71</f>
        <v>REFILL NEW ISOTANK :SJIU2322064</v>
      </c>
    </row>
    <row r="72" spans="1:20" outlineLevel="2" x14ac:dyDescent="0.45">
      <c r="A72" s="59" t="str">
        <f t="shared" si="8"/>
        <v>96523</v>
      </c>
      <c r="B72" s="59" t="str">
        <f t="shared" si="7"/>
        <v>SJIU2221578</v>
      </c>
      <c r="C72" s="188" t="s">
        <v>306</v>
      </c>
      <c r="D72" s="198" t="s">
        <v>163</v>
      </c>
      <c r="E72" s="16">
        <v>19410</v>
      </c>
      <c r="F72" s="129" t="s">
        <v>11</v>
      </c>
      <c r="G72" s="22" t="s">
        <v>12</v>
      </c>
      <c r="H72" s="19" t="s">
        <v>34</v>
      </c>
      <c r="I72" s="22">
        <f t="shared" si="6"/>
        <v>19410</v>
      </c>
      <c r="J72" s="130">
        <v>46128</v>
      </c>
      <c r="K72" s="128">
        <v>217822</v>
      </c>
      <c r="L72" s="129" t="s">
        <v>413</v>
      </c>
      <c r="M72" s="151">
        <v>46070</v>
      </c>
      <c r="N72" s="185">
        <v>96523</v>
      </c>
      <c r="O72" s="131">
        <f>VLOOKUP(B72,'REKAP ACID TO PR'!A:D,4,FALSE)</f>
        <v>99997</v>
      </c>
      <c r="P72" s="131">
        <v>23000</v>
      </c>
      <c r="Q72" s="304" t="str">
        <f>VLOOKUP(B72,'REKAP ACID TO PR'!A:G,7,FALSE)</f>
        <v>LCT PERMATA 17  VOY 1223 ETD 09052026</v>
      </c>
      <c r="R72" s="305">
        <v>46151</v>
      </c>
      <c r="S72" s="290" t="s">
        <v>389</v>
      </c>
      <c r="T72" s="59" t="str">
        <f t="shared" si="9"/>
        <v>REFILL NEW ISOTANK :SJIU2221578</v>
      </c>
    </row>
    <row r="73" spans="1:20" outlineLevel="2" x14ac:dyDescent="0.45">
      <c r="A73" s="59" t="str">
        <f t="shared" si="8"/>
        <v>98130</v>
      </c>
      <c r="B73" s="59" t="str">
        <f t="shared" si="7"/>
        <v>SJIU2322059</v>
      </c>
      <c r="C73" s="188" t="s">
        <v>306</v>
      </c>
      <c r="D73" s="16" t="s">
        <v>256</v>
      </c>
      <c r="E73" s="16">
        <v>20470</v>
      </c>
      <c r="F73" s="129" t="s">
        <v>11</v>
      </c>
      <c r="G73" s="22" t="s">
        <v>12</v>
      </c>
      <c r="H73" s="19" t="s">
        <v>34</v>
      </c>
      <c r="I73" s="22">
        <f t="shared" si="6"/>
        <v>20470</v>
      </c>
      <c r="J73" s="130">
        <v>46132</v>
      </c>
      <c r="K73" s="128">
        <v>217941</v>
      </c>
      <c r="L73" s="129" t="s">
        <v>429</v>
      </c>
      <c r="M73" s="151">
        <v>46084</v>
      </c>
      <c r="N73" s="22">
        <v>98130</v>
      </c>
      <c r="O73" s="131">
        <f>VLOOKUP(B73,'REKAP ACID TO PR'!A:D,4,FALSE)</f>
        <v>100002</v>
      </c>
      <c r="P73" s="131">
        <v>23000</v>
      </c>
      <c r="Q73" s="304" t="str">
        <f>VLOOKUP(B73,'REKAP ACID TO PR'!A:G,7,FALSE)</f>
        <v>LCT PERMATA 17  VOY 1223 ETD 09052026</v>
      </c>
      <c r="R73" s="305">
        <v>46151</v>
      </c>
      <c r="S73" s="290" t="s">
        <v>389</v>
      </c>
      <c r="T73" s="59" t="str">
        <f t="shared" si="9"/>
        <v>REFILL NEW ISOTANK :SJIU2322059</v>
      </c>
    </row>
    <row r="74" spans="1:20" outlineLevel="2" x14ac:dyDescent="0.45">
      <c r="A74" s="59" t="str">
        <f t="shared" si="8"/>
        <v>98456</v>
      </c>
      <c r="B74" s="59" t="str">
        <f t="shared" si="7"/>
        <v>NTTU1752795</v>
      </c>
      <c r="C74" s="188" t="s">
        <v>302</v>
      </c>
      <c r="D74" s="22" t="s">
        <v>290</v>
      </c>
      <c r="E74" s="22">
        <v>21070</v>
      </c>
      <c r="F74" s="129" t="s">
        <v>11</v>
      </c>
      <c r="G74" s="22" t="s">
        <v>12</v>
      </c>
      <c r="H74" s="19" t="s">
        <v>34</v>
      </c>
      <c r="I74" s="22">
        <f t="shared" si="6"/>
        <v>21070</v>
      </c>
      <c r="J74" s="130">
        <v>46134</v>
      </c>
      <c r="K74" s="128">
        <v>217941</v>
      </c>
      <c r="L74" s="129" t="s">
        <v>430</v>
      </c>
      <c r="M74" s="305">
        <v>45734</v>
      </c>
      <c r="N74" s="22">
        <v>98456</v>
      </c>
      <c r="O74" s="131">
        <v>100382</v>
      </c>
      <c r="P74" s="131">
        <v>23000</v>
      </c>
      <c r="Q74" s="304" t="str">
        <f>VLOOKUP(B74,'REKAP ACID TO PR'!A:G,7,FALSE)</f>
        <v>LCT PERMATA 17  VOY 1223 ETD 09052026</v>
      </c>
      <c r="R74" s="305">
        <v>46151</v>
      </c>
      <c r="S74" s="290" t="s">
        <v>389</v>
      </c>
      <c r="T74" s="59" t="str">
        <f t="shared" si="9"/>
        <v>REFILL NEW ISOTANK :NTTU1752795</v>
      </c>
    </row>
    <row r="75" spans="1:20" outlineLevel="2" x14ac:dyDescent="0.45">
      <c r="A75" s="59" t="str">
        <f t="shared" si="8"/>
        <v>98322</v>
      </c>
      <c r="B75" s="59" t="str">
        <f t="shared" si="7"/>
        <v>SJIU2001275</v>
      </c>
      <c r="C75" s="188" t="s">
        <v>306</v>
      </c>
      <c r="D75" s="16" t="s">
        <v>31</v>
      </c>
      <c r="E75" s="16">
        <v>20850</v>
      </c>
      <c r="F75" s="129" t="s">
        <v>11</v>
      </c>
      <c r="G75" s="22" t="s">
        <v>12</v>
      </c>
      <c r="H75" s="19" t="s">
        <v>34</v>
      </c>
      <c r="I75" s="22">
        <f t="shared" si="6"/>
        <v>20850</v>
      </c>
      <c r="J75" s="130">
        <v>46135</v>
      </c>
      <c r="K75" s="128">
        <v>218436</v>
      </c>
      <c r="L75" s="129" t="s">
        <v>429</v>
      </c>
      <c r="M75" s="151">
        <v>46084</v>
      </c>
      <c r="N75" s="22">
        <v>98322</v>
      </c>
      <c r="O75" s="131">
        <f>VLOOKUP(B75,'REKAP ACID TO PR'!A:D,4,FALSE)</f>
        <v>100004</v>
      </c>
      <c r="P75" s="131">
        <v>23000</v>
      </c>
      <c r="Q75" s="304" t="str">
        <f>VLOOKUP(B75,'REKAP ACID TO PR'!A:G,7,FALSE)</f>
        <v>LCT PERMATA 17  VOY 1223 ETD 09052026</v>
      </c>
      <c r="R75" s="305">
        <v>46151</v>
      </c>
      <c r="S75" s="290" t="s">
        <v>389</v>
      </c>
      <c r="T75" s="59" t="str">
        <f t="shared" si="9"/>
        <v>REFILL NEW ISOTANK :SJIU2001275</v>
      </c>
    </row>
    <row r="76" spans="1:20" outlineLevel="2" x14ac:dyDescent="0.45">
      <c r="A76" s="59" t="str">
        <f t="shared" si="8"/>
        <v>98128</v>
      </c>
      <c r="B76" s="59" t="str">
        <f t="shared" si="7"/>
        <v>DJEU0303913</v>
      </c>
      <c r="C76" s="188" t="s">
        <v>302</v>
      </c>
      <c r="D76" s="198" t="s">
        <v>242</v>
      </c>
      <c r="E76" s="198">
        <v>21220</v>
      </c>
      <c r="F76" s="198" t="s">
        <v>11</v>
      </c>
      <c r="G76" s="198" t="s">
        <v>12</v>
      </c>
      <c r="H76" s="19" t="s">
        <v>34</v>
      </c>
      <c r="I76" s="22">
        <f t="shared" si="6"/>
        <v>21220</v>
      </c>
      <c r="J76" s="307">
        <v>46138</v>
      </c>
      <c r="K76" s="128">
        <v>218037</v>
      </c>
      <c r="L76" s="129" t="s">
        <v>429</v>
      </c>
      <c r="M76" s="151">
        <v>46084</v>
      </c>
      <c r="N76" s="22">
        <v>98128</v>
      </c>
      <c r="O76" s="131">
        <f>VLOOKUP(B76,'REKAP ACID TO PR'!A:D,4,FALSE)</f>
        <v>100007</v>
      </c>
      <c r="P76" s="131">
        <v>23000</v>
      </c>
      <c r="Q76" s="304" t="str">
        <f>VLOOKUP(B76,'REKAP ACID TO PR'!A:G,7,FALSE)</f>
        <v>LCT PERMATA 17  VOY 1223 ETD 09052026</v>
      </c>
      <c r="R76" s="305">
        <v>46151</v>
      </c>
      <c r="S76" s="290" t="s">
        <v>389</v>
      </c>
      <c r="T76" s="59" t="str">
        <f t="shared" si="9"/>
        <v>REFILL NEW ISOTANK :DJEU0303913</v>
      </c>
    </row>
    <row r="77" spans="1:20" outlineLevel="2" x14ac:dyDescent="0.45">
      <c r="A77" s="59" t="str">
        <f t="shared" si="8"/>
        <v>97844</v>
      </c>
      <c r="B77" s="59" t="str">
        <f t="shared" si="7"/>
        <v>NTTU1753750</v>
      </c>
      <c r="C77" s="188" t="s">
        <v>306</v>
      </c>
      <c r="D77" s="16" t="s">
        <v>368</v>
      </c>
      <c r="E77" s="16">
        <v>20600</v>
      </c>
      <c r="F77" s="129" t="s">
        <v>11</v>
      </c>
      <c r="G77" s="22" t="s">
        <v>12</v>
      </c>
      <c r="H77" s="19" t="s">
        <v>34</v>
      </c>
      <c r="I77" s="22">
        <f t="shared" si="6"/>
        <v>20600</v>
      </c>
      <c r="J77" s="16"/>
      <c r="K77" s="128">
        <v>218599</v>
      </c>
      <c r="L77" s="129" t="s">
        <v>429</v>
      </c>
      <c r="M77" s="151">
        <v>46084</v>
      </c>
      <c r="N77" s="22">
        <v>97844</v>
      </c>
      <c r="O77" s="131">
        <f>VLOOKUP(B77,'REKAP ACID TO PR'!A:D,4,FALSE)</f>
        <v>99999</v>
      </c>
      <c r="P77" s="131">
        <v>23000</v>
      </c>
      <c r="Q77" s="304" t="str">
        <f>VLOOKUP(B77,'REKAP ACID TO PR'!A:G,7,FALSE)</f>
        <v>LCT PERMATA 17  VOY 1223 ETD 09052026</v>
      </c>
      <c r="R77" s="305">
        <v>46151</v>
      </c>
      <c r="S77" s="290" t="s">
        <v>389</v>
      </c>
      <c r="T77" s="59" t="str">
        <f t="shared" si="9"/>
        <v>REFILL NEW ISOTANK :NTTU1753750</v>
      </c>
    </row>
    <row r="78" spans="1:20" outlineLevel="2" x14ac:dyDescent="0.45">
      <c r="A78" s="59" t="str">
        <f t="shared" si="8"/>
        <v>97845</v>
      </c>
      <c r="B78" s="59" t="str">
        <f t="shared" si="7"/>
        <v>SJIU2322043</v>
      </c>
      <c r="C78" s="188" t="s">
        <v>306</v>
      </c>
      <c r="D78" s="16" t="s">
        <v>341</v>
      </c>
      <c r="E78" s="16">
        <v>20670</v>
      </c>
      <c r="F78" s="129" t="s">
        <v>11</v>
      </c>
      <c r="G78" s="22" t="s">
        <v>12</v>
      </c>
      <c r="H78" s="19" t="s">
        <v>34</v>
      </c>
      <c r="I78" s="22">
        <f t="shared" si="6"/>
        <v>20670</v>
      </c>
      <c r="J78" s="16"/>
      <c r="K78" s="128">
        <v>218599</v>
      </c>
      <c r="L78" s="129" t="s">
        <v>429</v>
      </c>
      <c r="M78" s="151">
        <v>46084</v>
      </c>
      <c r="N78" s="22">
        <v>97845</v>
      </c>
      <c r="O78" s="131">
        <f>VLOOKUP(B78,'REKAP ACID TO PR'!A:D,4,FALSE)</f>
        <v>100000</v>
      </c>
      <c r="P78" s="131">
        <v>23000</v>
      </c>
      <c r="Q78" s="304" t="str">
        <f>VLOOKUP(B78,'REKAP ACID TO PR'!A:G,7,FALSE)</f>
        <v>LCT PERMATA 17  VOY 1223 ETD 09052026</v>
      </c>
      <c r="R78" s="305">
        <v>46151</v>
      </c>
      <c r="S78" s="290" t="s">
        <v>389</v>
      </c>
      <c r="T78" s="59" t="str">
        <f t="shared" si="9"/>
        <v>REFILL NEW ISOTANK :SJIU2322043</v>
      </c>
    </row>
    <row r="79" spans="1:20" outlineLevel="2" x14ac:dyDescent="0.45">
      <c r="A79" s="59" t="str">
        <f t="shared" si="8"/>
        <v>98127</v>
      </c>
      <c r="B79" s="59" t="str">
        <f t="shared" si="7"/>
        <v>DJEU0303929</v>
      </c>
      <c r="C79" s="188" t="s">
        <v>302</v>
      </c>
      <c r="D79" s="22" t="s">
        <v>253</v>
      </c>
      <c r="E79" s="198">
        <v>21310</v>
      </c>
      <c r="F79" s="198" t="s">
        <v>11</v>
      </c>
      <c r="G79" s="22" t="s">
        <v>12</v>
      </c>
      <c r="H79" s="19" t="s">
        <v>34</v>
      </c>
      <c r="I79" s="22">
        <f t="shared" si="6"/>
        <v>21310</v>
      </c>
      <c r="J79" s="16"/>
      <c r="K79" s="128">
        <v>218436</v>
      </c>
      <c r="L79" s="129" t="s">
        <v>429</v>
      </c>
      <c r="M79" s="151">
        <v>46084</v>
      </c>
      <c r="N79" s="22">
        <v>98127</v>
      </c>
      <c r="O79" s="131">
        <f>VLOOKUP(B79,'REKAP ACID TO PR'!A:D,4,FALSE)</f>
        <v>100006</v>
      </c>
      <c r="P79" s="131">
        <v>23000</v>
      </c>
      <c r="Q79" s="304" t="str">
        <f>VLOOKUP(B79,'REKAP ACID TO PR'!A:G,7,FALSE)</f>
        <v>LCT PERMATA 17  VOY 1223 ETD 09052026</v>
      </c>
      <c r="R79" s="305">
        <v>46151</v>
      </c>
      <c r="S79" s="290" t="s">
        <v>389</v>
      </c>
      <c r="T79" s="59" t="str">
        <f t="shared" si="9"/>
        <v>REFILL NEW ISOTANK :DJEU0303929</v>
      </c>
    </row>
    <row r="80" spans="1:20" outlineLevel="2" x14ac:dyDescent="0.45">
      <c r="A80" s="59" t="str">
        <f t="shared" si="8"/>
        <v>98323</v>
      </c>
      <c r="B80" s="59" t="str">
        <f t="shared" si="7"/>
        <v>SJIU2322085</v>
      </c>
      <c r="C80" s="188" t="s">
        <v>306</v>
      </c>
      <c r="D80" s="22" t="s">
        <v>342</v>
      </c>
      <c r="E80" s="16">
        <v>20720</v>
      </c>
      <c r="F80" s="129" t="s">
        <v>11</v>
      </c>
      <c r="G80" s="22" t="s">
        <v>12</v>
      </c>
      <c r="H80" s="19" t="s">
        <v>34</v>
      </c>
      <c r="I80" s="22">
        <f t="shared" si="6"/>
        <v>20720</v>
      </c>
      <c r="J80" s="130"/>
      <c r="K80" s="128">
        <v>218436</v>
      </c>
      <c r="L80" s="129" t="s">
        <v>429</v>
      </c>
      <c r="M80" s="151">
        <v>46084</v>
      </c>
      <c r="N80" s="22">
        <v>98323</v>
      </c>
      <c r="O80" s="131">
        <f>VLOOKUP(B80,'REKAP ACID TO PR'!A:D,4,FALSE)</f>
        <v>100005</v>
      </c>
      <c r="P80" s="131">
        <v>23000</v>
      </c>
      <c r="Q80" s="304" t="str">
        <f>VLOOKUP(B80,'REKAP ACID TO PR'!A:G,7,FALSE)</f>
        <v>LCT PERMATA 17  VOY 1223 ETD 09052026</v>
      </c>
      <c r="R80" s="305">
        <v>46151</v>
      </c>
      <c r="S80" s="290" t="s">
        <v>389</v>
      </c>
      <c r="T80" s="59" t="str">
        <f t="shared" si="9"/>
        <v>REFILL NEW ISOTANK :SJIU2322085</v>
      </c>
    </row>
    <row r="81" spans="1:20" outlineLevel="2" x14ac:dyDescent="0.45">
      <c r="A81" s="59" t="str">
        <f t="shared" si="8"/>
        <v>98328</v>
      </c>
      <c r="B81" s="59" t="str">
        <f t="shared" si="7"/>
        <v>DJEU0303791</v>
      </c>
      <c r="C81" s="188" t="s">
        <v>302</v>
      </c>
      <c r="D81" s="22" t="s">
        <v>151</v>
      </c>
      <c r="E81" s="16">
        <v>22040</v>
      </c>
      <c r="F81" s="129" t="s">
        <v>11</v>
      </c>
      <c r="G81" s="22" t="s">
        <v>12</v>
      </c>
      <c r="H81" s="19" t="s">
        <v>34</v>
      </c>
      <c r="I81" s="22">
        <f t="shared" si="6"/>
        <v>22040</v>
      </c>
      <c r="J81" s="130"/>
      <c r="K81" s="128" t="s">
        <v>496</v>
      </c>
      <c r="L81" s="129" t="s">
        <v>429</v>
      </c>
      <c r="M81" s="151">
        <v>46084</v>
      </c>
      <c r="N81" s="22">
        <v>98328</v>
      </c>
      <c r="O81" s="131">
        <f>VLOOKUP(B81,'REKAP ACID TO PR'!A:D,4,FALSE)</f>
        <v>100010</v>
      </c>
      <c r="P81" s="131">
        <v>23000</v>
      </c>
      <c r="Q81" s="304" t="str">
        <f>VLOOKUP(B81,'REKAP ACID TO PR'!A:G,7,FALSE)</f>
        <v>LCT PERMATA 17  VOY 1223 ETD 09052026</v>
      </c>
      <c r="R81" s="305">
        <v>46151</v>
      </c>
      <c r="S81" s="290" t="s">
        <v>389</v>
      </c>
      <c r="T81" s="59" t="str">
        <f t="shared" si="9"/>
        <v>REFILL NEW ISOTANK :DJEU0303791</v>
      </c>
    </row>
    <row r="82" spans="1:20" outlineLevel="2" x14ac:dyDescent="0.45">
      <c r="A82" s="59" t="str">
        <f t="shared" si="8"/>
        <v>98986</v>
      </c>
      <c r="B82" s="59" t="str">
        <f t="shared" si="7"/>
        <v>DJEU0303826</v>
      </c>
      <c r="C82" s="188" t="s">
        <v>302</v>
      </c>
      <c r="D82" s="22" t="s">
        <v>158</v>
      </c>
      <c r="E82" s="16">
        <v>21360</v>
      </c>
      <c r="F82" s="129" t="s">
        <v>11</v>
      </c>
      <c r="G82" s="22" t="s">
        <v>12</v>
      </c>
      <c r="H82" s="19" t="s">
        <v>34</v>
      </c>
      <c r="I82" s="22">
        <f t="shared" si="6"/>
        <v>21360</v>
      </c>
      <c r="J82" s="130"/>
      <c r="K82" s="128">
        <v>218599</v>
      </c>
      <c r="L82" s="129" t="s">
        <v>432</v>
      </c>
      <c r="M82" s="151">
        <v>46114</v>
      </c>
      <c r="N82" s="22">
        <v>98986</v>
      </c>
      <c r="O82" s="131">
        <f>VLOOKUP(B82,'REKAP ACID TO PR'!A:D,4,FALSE)</f>
        <v>100385</v>
      </c>
      <c r="P82" s="131">
        <v>23000</v>
      </c>
      <c r="Q82" s="304" t="str">
        <f>VLOOKUP(B82,'REKAP ACID TO PR'!A:G,7,FALSE)</f>
        <v>LCT PERMATA 17  VOY 1224 ETD 21052026</v>
      </c>
      <c r="R82" s="151">
        <v>46163</v>
      </c>
      <c r="S82" s="290" t="s">
        <v>389</v>
      </c>
      <c r="T82" s="59" t="str">
        <f t="shared" si="9"/>
        <v>REFILL NEW ISOTANK :DJEU0303826</v>
      </c>
    </row>
    <row r="83" spans="1:20" outlineLevel="2" x14ac:dyDescent="0.45">
      <c r="A83" s="59" t="str">
        <f t="shared" si="8"/>
        <v>98457</v>
      </c>
      <c r="B83" s="59" t="str">
        <f t="shared" si="7"/>
        <v>DJEU0303810</v>
      </c>
      <c r="C83" s="188" t="s">
        <v>302</v>
      </c>
      <c r="D83" s="22" t="s">
        <v>159</v>
      </c>
      <c r="E83" s="16">
        <v>21330</v>
      </c>
      <c r="F83" s="129" t="s">
        <v>11</v>
      </c>
      <c r="G83" s="22" t="s">
        <v>12</v>
      </c>
      <c r="H83" s="19" t="s">
        <v>34</v>
      </c>
      <c r="I83" s="22">
        <f t="shared" si="6"/>
        <v>21330</v>
      </c>
      <c r="J83" s="130">
        <v>46119</v>
      </c>
      <c r="K83" s="128">
        <v>217389</v>
      </c>
      <c r="L83" s="129" t="s">
        <v>430</v>
      </c>
      <c r="M83" s="151">
        <v>45734</v>
      </c>
      <c r="N83" s="22">
        <v>98457</v>
      </c>
      <c r="O83" s="131">
        <f>VLOOKUP(B83,'REKAP ACID TO PR'!A:D,4,FALSE)</f>
        <v>100383</v>
      </c>
      <c r="P83" s="131">
        <v>23000</v>
      </c>
      <c r="Q83" s="304" t="str">
        <f>VLOOKUP(B83,'REKAP ACID TO PR'!A:G,7,FALSE)</f>
        <v>LCT PERMATA 17  VOY 1224 ETD 21052026</v>
      </c>
      <c r="R83" s="151">
        <v>46163</v>
      </c>
      <c r="S83" s="290" t="s">
        <v>389</v>
      </c>
      <c r="T83" s="59" t="str">
        <f t="shared" si="9"/>
        <v>REFILL NEW ISOTANK :DJEU0303810</v>
      </c>
    </row>
    <row r="84" spans="1:20" outlineLevel="2" x14ac:dyDescent="0.45">
      <c r="A84" s="59" t="str">
        <f t="shared" si="8"/>
        <v>98987</v>
      </c>
      <c r="B84" s="59" t="str">
        <f t="shared" si="7"/>
        <v>NTTU1752671</v>
      </c>
      <c r="C84" s="188" t="s">
        <v>302</v>
      </c>
      <c r="D84" s="22" t="s">
        <v>388</v>
      </c>
      <c r="E84" s="16">
        <v>21040</v>
      </c>
      <c r="F84" s="129" t="s">
        <v>11</v>
      </c>
      <c r="G84" s="22" t="s">
        <v>12</v>
      </c>
      <c r="H84" s="19" t="s">
        <v>34</v>
      </c>
      <c r="I84" s="22">
        <f t="shared" si="6"/>
        <v>21040</v>
      </c>
      <c r="J84" s="130"/>
      <c r="K84" s="128">
        <v>218599</v>
      </c>
      <c r="L84" s="129" t="s">
        <v>432</v>
      </c>
      <c r="M84" s="151">
        <v>46114</v>
      </c>
      <c r="N84" s="22">
        <v>98987</v>
      </c>
      <c r="O84" s="131">
        <f>VLOOKUP(B84,'REKAP ACID TO PR'!A:D,4,FALSE)</f>
        <v>100386</v>
      </c>
      <c r="P84" s="131">
        <v>23000</v>
      </c>
      <c r="Q84" s="304" t="str">
        <f>VLOOKUP(B84,'REKAP ACID TO PR'!A:G,7,FALSE)</f>
        <v>LCT PERMATA 17  VOY 1224 ETD 21052026</v>
      </c>
      <c r="R84" s="151">
        <v>46163</v>
      </c>
      <c r="S84" s="290" t="s">
        <v>389</v>
      </c>
      <c r="T84" s="59" t="str">
        <f t="shared" si="9"/>
        <v>REFILL NEW ISOTANK :NTTU1752671</v>
      </c>
    </row>
    <row r="85" spans="1:20" outlineLevel="2" x14ac:dyDescent="0.45">
      <c r="A85" s="59" t="str">
        <f t="shared" si="8"/>
        <v>98988</v>
      </c>
      <c r="B85" s="59" t="str">
        <f t="shared" si="7"/>
        <v>NTTU1752692</v>
      </c>
      <c r="C85" s="188" t="s">
        <v>302</v>
      </c>
      <c r="D85" s="22" t="s">
        <v>292</v>
      </c>
      <c r="E85" s="16">
        <v>21390</v>
      </c>
      <c r="F85" s="129" t="s">
        <v>11</v>
      </c>
      <c r="G85" s="22" t="s">
        <v>12</v>
      </c>
      <c r="H85" s="19" t="s">
        <v>34</v>
      </c>
      <c r="I85" s="22">
        <f t="shared" si="6"/>
        <v>21390</v>
      </c>
      <c r="J85" s="130"/>
      <c r="K85" s="128">
        <v>218599</v>
      </c>
      <c r="L85" s="129" t="s">
        <v>432</v>
      </c>
      <c r="M85" s="151">
        <v>46114</v>
      </c>
      <c r="N85" s="22">
        <v>98988</v>
      </c>
      <c r="O85" s="131">
        <f>VLOOKUP(B85,'REKAP ACID TO PR'!A:D,4,FALSE)</f>
        <v>100387</v>
      </c>
      <c r="P85" s="131">
        <v>23000</v>
      </c>
      <c r="Q85" s="304" t="str">
        <f>VLOOKUP(B85,'REKAP ACID TO PR'!A:G,7,FALSE)</f>
        <v>LCT PERMATA 17  VOY 1224 ETD 21052026</v>
      </c>
      <c r="R85" s="151">
        <v>46163</v>
      </c>
      <c r="S85" s="290" t="s">
        <v>389</v>
      </c>
      <c r="T85" s="59" t="str">
        <f t="shared" si="9"/>
        <v>REFILL NEW ISOTANK :NTTU1752692</v>
      </c>
    </row>
    <row r="86" spans="1:20" outlineLevel="2" x14ac:dyDescent="0.45">
      <c r="A86" s="59" t="str">
        <f t="shared" si="8"/>
        <v>99674</v>
      </c>
      <c r="B86" s="59" t="str">
        <f t="shared" si="7"/>
        <v>DJEU0303636</v>
      </c>
      <c r="C86" s="188" t="s">
        <v>302</v>
      </c>
      <c r="D86" s="22" t="s">
        <v>13</v>
      </c>
      <c r="E86" s="16">
        <v>22010</v>
      </c>
      <c r="F86" s="129" t="s">
        <v>11</v>
      </c>
      <c r="G86" s="22" t="s">
        <v>12</v>
      </c>
      <c r="H86" s="19" t="s">
        <v>34</v>
      </c>
      <c r="I86" s="22">
        <f t="shared" si="6"/>
        <v>22010</v>
      </c>
      <c r="J86" s="130"/>
      <c r="K86" s="128">
        <v>218599</v>
      </c>
      <c r="L86" s="129" t="s">
        <v>432</v>
      </c>
      <c r="M86" s="151">
        <v>46114</v>
      </c>
      <c r="N86" s="22">
        <v>99674</v>
      </c>
      <c r="O86" s="131">
        <f>VLOOKUP(B86,'REKAP ACID TO PR'!A:D,4,FALSE)</f>
        <v>100388</v>
      </c>
      <c r="P86" s="131">
        <v>23000</v>
      </c>
      <c r="Q86" s="304" t="str">
        <f>VLOOKUP(B86,'REKAP ACID TO PR'!A:G,7,FALSE)</f>
        <v>LCT PERMATA 17  VOY 1224 ETD 21052026</v>
      </c>
      <c r="R86" s="151">
        <v>46163</v>
      </c>
      <c r="S86" s="290" t="s">
        <v>389</v>
      </c>
      <c r="T86" s="59" t="str">
        <f t="shared" si="9"/>
        <v>REFILL NEW ISOTANK :DJEU0303636</v>
      </c>
    </row>
    <row r="87" spans="1:20" outlineLevel="2" x14ac:dyDescent="0.45">
      <c r="A87" s="59" t="str">
        <f t="shared" si="8"/>
        <v>98985</v>
      </c>
      <c r="B87" s="59" t="str">
        <f t="shared" si="7"/>
        <v>DJEU0303718</v>
      </c>
      <c r="C87" s="188" t="s">
        <v>302</v>
      </c>
      <c r="D87" s="22" t="s">
        <v>53</v>
      </c>
      <c r="E87" s="16">
        <v>21400</v>
      </c>
      <c r="F87" s="129" t="s">
        <v>11</v>
      </c>
      <c r="G87" s="22" t="s">
        <v>12</v>
      </c>
      <c r="H87" s="19" t="s">
        <v>34</v>
      </c>
      <c r="I87" s="22">
        <f t="shared" si="6"/>
        <v>21400</v>
      </c>
      <c r="J87" s="130"/>
      <c r="K87" s="128">
        <v>218599</v>
      </c>
      <c r="L87" s="129" t="s">
        <v>432</v>
      </c>
      <c r="M87" s="151">
        <v>46114</v>
      </c>
      <c r="N87" s="22">
        <v>98985</v>
      </c>
      <c r="O87" s="131">
        <f>VLOOKUP(B87,'REKAP ACID TO PR'!A:D,4,FALSE)</f>
        <v>100389</v>
      </c>
      <c r="P87" s="131">
        <v>23000</v>
      </c>
      <c r="Q87" s="304" t="str">
        <f>VLOOKUP(B87,'REKAP ACID TO PR'!A:G,7,FALSE)</f>
        <v>LCT PERMATA 17  VOY 1224 ETD 21052026</v>
      </c>
      <c r="R87" s="151">
        <v>46163</v>
      </c>
      <c r="S87" s="290" t="s">
        <v>389</v>
      </c>
      <c r="T87" s="59" t="str">
        <f t="shared" si="9"/>
        <v>REFILL NEW ISOTANK :DJEU0303718</v>
      </c>
    </row>
    <row r="88" spans="1:20" outlineLevel="2" x14ac:dyDescent="0.45">
      <c r="A88" s="59" t="str">
        <f t="shared" si="8"/>
        <v>99442</v>
      </c>
      <c r="B88" s="59" t="str">
        <f t="shared" si="7"/>
        <v>DJEU0303770</v>
      </c>
      <c r="C88" s="188" t="str">
        <f>VLOOKUP(B88,[1]Sheet1!$A:$G,7,)</f>
        <v>DWI101IDR</v>
      </c>
      <c r="D88" s="22" t="s">
        <v>157</v>
      </c>
      <c r="E88" s="16">
        <v>21580</v>
      </c>
      <c r="F88" s="129" t="s">
        <v>11</v>
      </c>
      <c r="G88" s="22" t="s">
        <v>12</v>
      </c>
      <c r="H88" s="19" t="s">
        <v>34</v>
      </c>
      <c r="I88" s="22">
        <f t="shared" si="6"/>
        <v>21580</v>
      </c>
      <c r="J88" s="130">
        <v>46160</v>
      </c>
      <c r="K88" s="128">
        <v>218799</v>
      </c>
      <c r="L88" s="129" t="s">
        <v>447</v>
      </c>
      <c r="M88" s="151">
        <v>46149</v>
      </c>
      <c r="N88" s="22">
        <v>99442</v>
      </c>
      <c r="O88" s="131">
        <f>VLOOKUP(B88,'REKAP ACID TO PR'!A:D,4,FALSE)</f>
        <v>100390</v>
      </c>
      <c r="P88" s="131">
        <v>23000</v>
      </c>
      <c r="Q88" s="304" t="str">
        <f>VLOOKUP(B88,'REKAP ACID TO PR'!A:G,7,FALSE)</f>
        <v>LCT PERMATA 17  VOY 1224 ETD 21052026</v>
      </c>
      <c r="R88" s="151">
        <v>46163</v>
      </c>
      <c r="S88" s="290" t="s">
        <v>389</v>
      </c>
      <c r="T88" s="59" t="str">
        <f t="shared" si="9"/>
        <v>REFILL NEW ISOTANK :DJEU0303770</v>
      </c>
    </row>
    <row r="89" spans="1:20" outlineLevel="2" x14ac:dyDescent="0.45">
      <c r="A89" s="59" t="str">
        <f t="shared" si="8"/>
        <v>99398</v>
      </c>
      <c r="B89" s="59" t="str">
        <f t="shared" si="7"/>
        <v>DJEU0303641</v>
      </c>
      <c r="C89" s="188" t="str">
        <f>VLOOKUP(B89,[1]Sheet1!$A:$G,7,)</f>
        <v>DWI101IDR</v>
      </c>
      <c r="D89" s="22" t="s">
        <v>10</v>
      </c>
      <c r="E89" s="16">
        <v>21290</v>
      </c>
      <c r="F89" s="129" t="s">
        <v>11</v>
      </c>
      <c r="G89" s="22" t="s">
        <v>12</v>
      </c>
      <c r="H89" s="19" t="s">
        <v>34</v>
      </c>
      <c r="I89" s="22">
        <f t="shared" si="6"/>
        <v>21290</v>
      </c>
      <c r="J89" s="130"/>
      <c r="K89" s="128">
        <v>218599</v>
      </c>
      <c r="L89" s="129" t="s">
        <v>447</v>
      </c>
      <c r="M89" s="151">
        <v>46149</v>
      </c>
      <c r="N89" s="22">
        <v>99398</v>
      </c>
      <c r="O89" s="131">
        <f>VLOOKUP(B89,'REKAP ACID TO PR'!A:D,4,FALSE)</f>
        <v>100391</v>
      </c>
      <c r="P89" s="131">
        <v>23000</v>
      </c>
      <c r="Q89" s="304" t="str">
        <f>VLOOKUP(B89,'REKAP ACID TO PR'!A:G,7,FALSE)</f>
        <v>LCT PERMATA 17  VOY 1224 ETD 21052026</v>
      </c>
      <c r="R89" s="151">
        <v>46163</v>
      </c>
      <c r="S89" s="290" t="s">
        <v>389</v>
      </c>
      <c r="T89" s="59" t="str">
        <f t="shared" si="9"/>
        <v>REFILL NEW ISOTANK :DJEU0303641</v>
      </c>
    </row>
    <row r="90" spans="1:20" outlineLevel="2" x14ac:dyDescent="0.45">
      <c r="A90" s="59" t="str">
        <f t="shared" si="8"/>
        <v>99402</v>
      </c>
      <c r="B90" s="59" t="str">
        <f t="shared" si="7"/>
        <v>NTTU1753702</v>
      </c>
      <c r="C90" s="188" t="str">
        <f>VLOOKUP(B90,[1]Sheet1!$A:$G,7,)</f>
        <v>ROL100IDR</v>
      </c>
      <c r="D90" s="22" t="s">
        <v>363</v>
      </c>
      <c r="E90" s="16">
        <v>20260</v>
      </c>
      <c r="F90" s="129" t="s">
        <v>11</v>
      </c>
      <c r="G90" s="22" t="s">
        <v>12</v>
      </c>
      <c r="H90" s="19" t="s">
        <v>34</v>
      </c>
      <c r="I90" s="22">
        <f t="shared" si="6"/>
        <v>20260</v>
      </c>
      <c r="J90" s="130"/>
      <c r="K90" s="128">
        <v>218599</v>
      </c>
      <c r="L90" s="129" t="s">
        <v>447</v>
      </c>
      <c r="M90" s="151">
        <v>46149</v>
      </c>
      <c r="N90" s="22">
        <v>99402</v>
      </c>
      <c r="O90" s="131">
        <f>VLOOKUP(B90,'REKAP ACID TO PR'!A:D,4,FALSE)</f>
        <v>100288</v>
      </c>
      <c r="P90" s="131">
        <v>23000</v>
      </c>
      <c r="Q90" s="304" t="str">
        <f>VLOOKUP(B90,'REKAP ACID TO PR'!A:G,7,FALSE)</f>
        <v>LCT PERMATA 17  VOY 1224 ETD 21052026</v>
      </c>
      <c r="R90" s="151">
        <v>46163</v>
      </c>
      <c r="S90" s="290" t="s">
        <v>389</v>
      </c>
      <c r="T90" s="59" t="str">
        <f t="shared" si="9"/>
        <v>REFILL NEW ISOTANK :NTTU1753702</v>
      </c>
    </row>
    <row r="91" spans="1:20" outlineLevel="1" x14ac:dyDescent="0.45">
      <c r="A91" s="59" t="str">
        <f t="shared" ref="A91:A122" si="10">TRIM(N91)</f>
        <v>98458</v>
      </c>
      <c r="B91" s="59" t="str">
        <f t="shared" si="7"/>
        <v>NTTU1752711</v>
      </c>
      <c r="C91" s="294" t="s">
        <v>302</v>
      </c>
      <c r="D91" s="16" t="s">
        <v>312</v>
      </c>
      <c r="E91" s="16">
        <v>21220</v>
      </c>
      <c r="F91" s="129" t="s">
        <v>11</v>
      </c>
      <c r="G91" s="22" t="s">
        <v>12</v>
      </c>
      <c r="H91" s="19" t="s">
        <v>34</v>
      </c>
      <c r="I91" s="22">
        <f t="shared" si="6"/>
        <v>21220</v>
      </c>
      <c r="J91" s="130">
        <v>46112</v>
      </c>
      <c r="K91" s="128">
        <v>217354</v>
      </c>
      <c r="L91" s="129" t="s">
        <v>430</v>
      </c>
      <c r="M91" s="151">
        <v>45734</v>
      </c>
      <c r="N91" s="22">
        <v>98458</v>
      </c>
      <c r="O91" s="131">
        <f>VLOOKUP(B91,'REKAP ACID TO PR'!A:D,4,FALSE)</f>
        <v>100384</v>
      </c>
      <c r="P91" s="131">
        <v>23000</v>
      </c>
      <c r="Q91" s="304" t="str">
        <f>VLOOKUP(B91,'REKAP ACID TO PR'!A:G,7,FALSE)</f>
        <v>LCT PERMATA 17  VOY 1224 ETD 21052026</v>
      </c>
      <c r="R91" s="151">
        <v>46163</v>
      </c>
      <c r="S91" s="290" t="s">
        <v>389</v>
      </c>
      <c r="T91" s="59" t="str">
        <f t="shared" si="9"/>
        <v>REFILL NEW ISOTANK :NTTU1752711</v>
      </c>
    </row>
    <row r="92" spans="1:20" outlineLevel="2" x14ac:dyDescent="0.45">
      <c r="A92" s="59" t="str">
        <f t="shared" si="10"/>
        <v>99443</v>
      </c>
      <c r="B92" s="5" t="str">
        <f>TRIM(D92)</f>
        <v>SJIU2322038</v>
      </c>
      <c r="C92" s="188" t="str">
        <f>VLOOKUP(B92,[1]Sheet1!$A:$G,7,)</f>
        <v>ROL100IDR</v>
      </c>
      <c r="D92" s="22" t="s">
        <v>233</v>
      </c>
      <c r="E92" s="16">
        <v>20240</v>
      </c>
      <c r="F92" s="129" t="s">
        <v>11</v>
      </c>
      <c r="G92" s="22" t="s">
        <v>12</v>
      </c>
      <c r="H92" s="19" t="s">
        <v>34</v>
      </c>
      <c r="I92" s="22">
        <f t="shared" si="6"/>
        <v>20240</v>
      </c>
      <c r="J92" s="130"/>
      <c r="K92" s="128">
        <v>218599</v>
      </c>
      <c r="L92" s="129" t="s">
        <v>447</v>
      </c>
      <c r="M92" s="151">
        <v>46149</v>
      </c>
      <c r="N92" s="22">
        <v>99443</v>
      </c>
      <c r="O92" s="131">
        <f>VLOOKUP(B92,'REKAP ACID TO PR'!A:D,4,FALSE)</f>
        <v>100289</v>
      </c>
      <c r="P92" s="131">
        <v>23000</v>
      </c>
      <c r="Q92" s="304" t="str">
        <f>VLOOKUP(B92,'REKAP ACID TO PR'!A:G,7,FALSE)</f>
        <v>LCT PERMATA 17  VOY 1224 ETD 21052026</v>
      </c>
      <c r="R92" s="151">
        <v>46163</v>
      </c>
      <c r="S92" s="290" t="s">
        <v>389</v>
      </c>
      <c r="T92" s="59" t="str">
        <f t="shared" si="9"/>
        <v>REFILL NEW ISOTANK :SJIU2322038</v>
      </c>
    </row>
    <row r="93" spans="1:20" outlineLevel="2" x14ac:dyDescent="0.45">
      <c r="A93" s="59" t="str">
        <f t="shared" si="10"/>
        <v>99396</v>
      </c>
      <c r="B93" s="5" t="str">
        <f>TRIM(D93)</f>
        <v>SJIU2322022</v>
      </c>
      <c r="C93" s="188" t="str">
        <f>VLOOKUP(B93,[1]Sheet1!$A:$G,7,)</f>
        <v>ROL100IDR</v>
      </c>
      <c r="D93" s="22" t="s">
        <v>232</v>
      </c>
      <c r="E93" s="16">
        <v>20300</v>
      </c>
      <c r="F93" s="129" t="s">
        <v>11</v>
      </c>
      <c r="G93" s="22" t="s">
        <v>12</v>
      </c>
      <c r="H93" s="19" t="s">
        <v>34</v>
      </c>
      <c r="I93" s="22">
        <f t="shared" si="6"/>
        <v>20300</v>
      </c>
      <c r="J93" s="130"/>
      <c r="K93" s="128">
        <v>218599</v>
      </c>
      <c r="L93" s="129" t="s">
        <v>447</v>
      </c>
      <c r="M93" s="151">
        <v>46149</v>
      </c>
      <c r="N93" s="22">
        <v>99396</v>
      </c>
      <c r="O93" s="131">
        <v>100291</v>
      </c>
      <c r="P93" s="131">
        <v>23000</v>
      </c>
      <c r="Q93" s="304" t="s">
        <v>451</v>
      </c>
      <c r="R93" s="151">
        <v>46163</v>
      </c>
      <c r="S93" s="290" t="s">
        <v>389</v>
      </c>
      <c r="T93" s="59" t="str">
        <f t="shared" si="9"/>
        <v>REFILL NEW ISOTANK :SJIU2322022</v>
      </c>
    </row>
    <row r="94" spans="1:20" outlineLevel="1" x14ac:dyDescent="0.45">
      <c r="A94" s="59" t="str">
        <f t="shared" si="10"/>
        <v>99397</v>
      </c>
      <c r="B94" s="5" t="str">
        <f>TRIM(D94)</f>
        <v>NTTU1753723</v>
      </c>
      <c r="C94" s="188" t="str">
        <f>VLOOKUP(B94,[1]Sheet1!$A:$G,7,)</f>
        <v>ROL100IDR</v>
      </c>
      <c r="D94" s="22" t="s">
        <v>366</v>
      </c>
      <c r="E94" s="16">
        <v>20290</v>
      </c>
      <c r="F94" s="129" t="s">
        <v>11</v>
      </c>
      <c r="G94" s="22" t="s">
        <v>12</v>
      </c>
      <c r="H94" s="19" t="s">
        <v>34</v>
      </c>
      <c r="I94" s="22">
        <f t="shared" si="6"/>
        <v>20290</v>
      </c>
      <c r="J94" s="130">
        <v>46158</v>
      </c>
      <c r="K94" s="128">
        <v>218799</v>
      </c>
      <c r="L94" s="129" t="s">
        <v>447</v>
      </c>
      <c r="M94" s="151">
        <v>46149</v>
      </c>
      <c r="N94" s="22">
        <v>99397</v>
      </c>
      <c r="O94" s="16">
        <v>100292</v>
      </c>
      <c r="P94" s="131">
        <v>23000</v>
      </c>
      <c r="Q94" s="304" t="s">
        <v>451</v>
      </c>
      <c r="R94" s="151">
        <v>46163</v>
      </c>
      <c r="S94" s="290" t="s">
        <v>389</v>
      </c>
      <c r="T94" s="59" t="str">
        <f t="shared" si="9"/>
        <v>REFILL NEW ISOTANK :NTTU1753723</v>
      </c>
    </row>
    <row r="95" spans="1:20" outlineLevel="2" x14ac:dyDescent="0.45">
      <c r="A95" s="59" t="str">
        <f t="shared" si="10"/>
        <v>99479</v>
      </c>
      <c r="B95" s="59" t="str">
        <f t="shared" ref="B95:B100" si="11">D95</f>
        <v>NTTU1752732</v>
      </c>
      <c r="C95" s="188" t="str">
        <f>VLOOKUP(B95,[1]Sheet1!$A:$G,7,)</f>
        <v>DWI101IDR</v>
      </c>
      <c r="D95" s="22" t="s">
        <v>313</v>
      </c>
      <c r="E95" s="16">
        <v>21440</v>
      </c>
      <c r="F95" s="129" t="s">
        <v>11</v>
      </c>
      <c r="G95" s="22" t="s">
        <v>12</v>
      </c>
      <c r="H95" s="19" t="s">
        <v>34</v>
      </c>
      <c r="I95" s="22">
        <f t="shared" si="6"/>
        <v>21440</v>
      </c>
      <c r="J95" s="130">
        <v>46166</v>
      </c>
      <c r="K95" s="128">
        <v>219037</v>
      </c>
      <c r="L95" s="129" t="s">
        <v>447</v>
      </c>
      <c r="M95" s="151">
        <v>46149</v>
      </c>
      <c r="N95" s="22">
        <v>99479</v>
      </c>
      <c r="O95" s="131">
        <v>100576</v>
      </c>
      <c r="P95" s="131">
        <v>23000</v>
      </c>
      <c r="Q95" s="304" t="s">
        <v>519</v>
      </c>
      <c r="R95" s="151">
        <v>46182</v>
      </c>
      <c r="S95" s="290" t="s">
        <v>389</v>
      </c>
      <c r="T95" s="59" t="str">
        <f t="shared" si="9"/>
        <v>REFILL NEW ISOTANK :NTTU1752732</v>
      </c>
    </row>
    <row r="96" spans="1:20" outlineLevel="1" x14ac:dyDescent="0.45">
      <c r="A96" s="59" t="str">
        <f t="shared" si="10"/>
        <v>99440</v>
      </c>
      <c r="B96" s="59" t="str">
        <f t="shared" si="11"/>
        <v>NTTU1752753</v>
      </c>
      <c r="C96" s="188" t="str">
        <f>VLOOKUP(B96,[1]Sheet1!$A:$G,7,)</f>
        <v>DWI101IDR</v>
      </c>
      <c r="D96" s="22" t="s">
        <v>286</v>
      </c>
      <c r="E96" s="16">
        <v>21200</v>
      </c>
      <c r="F96" s="129" t="s">
        <v>11</v>
      </c>
      <c r="G96" s="22" t="s">
        <v>12</v>
      </c>
      <c r="H96" s="19" t="s">
        <v>34</v>
      </c>
      <c r="I96" s="22">
        <f t="shared" si="6"/>
        <v>21200</v>
      </c>
      <c r="J96" s="130">
        <v>46163</v>
      </c>
      <c r="K96" s="128">
        <v>218799</v>
      </c>
      <c r="L96" s="129" t="s">
        <v>447</v>
      </c>
      <c r="M96" s="151">
        <v>46149</v>
      </c>
      <c r="N96" s="22">
        <v>99440</v>
      </c>
      <c r="O96" s="16">
        <v>100574</v>
      </c>
      <c r="P96" s="131">
        <v>23000</v>
      </c>
      <c r="Q96" s="304" t="s">
        <v>519</v>
      </c>
      <c r="R96" s="151">
        <v>46182</v>
      </c>
      <c r="S96" s="290" t="s">
        <v>389</v>
      </c>
      <c r="T96" s="59" t="str">
        <f t="shared" si="9"/>
        <v>REFILL NEW ISOTANK :NTTU1752753</v>
      </c>
    </row>
    <row r="97" spans="1:27" outlineLevel="1" x14ac:dyDescent="0.45">
      <c r="A97" s="59" t="str">
        <f t="shared" si="10"/>
        <v>99441</v>
      </c>
      <c r="B97" s="59" t="str">
        <f t="shared" si="11"/>
        <v>DJEU0303786</v>
      </c>
      <c r="C97" s="188" t="str">
        <f>VLOOKUP(B97,[1]Sheet1!$A:$G,7,)</f>
        <v>DWI101IDR</v>
      </c>
      <c r="D97" s="22" t="s">
        <v>141</v>
      </c>
      <c r="E97" s="16">
        <v>21450</v>
      </c>
      <c r="F97" s="129" t="s">
        <v>11</v>
      </c>
      <c r="G97" s="22" t="s">
        <v>12</v>
      </c>
      <c r="H97" s="19" t="s">
        <v>34</v>
      </c>
      <c r="I97" s="22">
        <f t="shared" si="6"/>
        <v>21450</v>
      </c>
      <c r="J97" s="130">
        <v>46165</v>
      </c>
      <c r="K97" s="128">
        <v>219037</v>
      </c>
      <c r="L97" s="129" t="s">
        <v>447</v>
      </c>
      <c r="M97" s="151">
        <v>46149</v>
      </c>
      <c r="N97" s="22">
        <v>99441</v>
      </c>
      <c r="O97" s="16">
        <v>100575</v>
      </c>
      <c r="P97" s="131">
        <v>23000</v>
      </c>
      <c r="Q97" s="304" t="s">
        <v>519</v>
      </c>
      <c r="R97" s="151">
        <v>46182</v>
      </c>
      <c r="S97" s="290" t="s">
        <v>389</v>
      </c>
      <c r="T97" s="59" t="str">
        <f t="shared" si="9"/>
        <v>REFILL NEW ISOTANK :DJEU0303786</v>
      </c>
    </row>
    <row r="98" spans="1:27" outlineLevel="1" x14ac:dyDescent="0.45">
      <c r="A98" s="59" t="str">
        <f t="shared" si="10"/>
        <v>99400</v>
      </c>
      <c r="B98" s="59" t="str">
        <f t="shared" si="11"/>
        <v>DJEU0303662</v>
      </c>
      <c r="C98" s="188" t="str">
        <f>VLOOKUP(B98,[1]Sheet1!$A:$G,7,)</f>
        <v>DWI101IDR</v>
      </c>
      <c r="D98" s="22" t="s">
        <v>18</v>
      </c>
      <c r="E98" s="16">
        <v>21350</v>
      </c>
      <c r="F98" s="129" t="s">
        <v>11</v>
      </c>
      <c r="G98" s="22" t="s">
        <v>12</v>
      </c>
      <c r="H98" s="19" t="s">
        <v>34</v>
      </c>
      <c r="I98" s="22">
        <f t="shared" si="6"/>
        <v>21350</v>
      </c>
      <c r="J98" s="130">
        <v>46167</v>
      </c>
      <c r="K98" s="128">
        <v>219037</v>
      </c>
      <c r="L98" s="129" t="s">
        <v>447</v>
      </c>
      <c r="M98" s="151">
        <v>46149</v>
      </c>
      <c r="N98" s="22">
        <v>99400</v>
      </c>
      <c r="O98" s="16">
        <v>100577</v>
      </c>
      <c r="P98" s="131">
        <v>23000</v>
      </c>
      <c r="Q98" s="304" t="s">
        <v>519</v>
      </c>
      <c r="R98" s="151">
        <v>46182</v>
      </c>
      <c r="S98" s="290" t="s">
        <v>389</v>
      </c>
      <c r="T98" s="59" t="str">
        <f t="shared" si="9"/>
        <v>REFILL NEW ISOTANK :DJEU0303662</v>
      </c>
    </row>
    <row r="99" spans="1:27" outlineLevel="1" x14ac:dyDescent="0.45">
      <c r="A99" s="59" t="str">
        <f t="shared" si="10"/>
        <v>99439</v>
      </c>
      <c r="B99" s="59" t="str">
        <f t="shared" si="11"/>
        <v>DJEU0303750</v>
      </c>
      <c r="C99" s="188" t="str">
        <f>VLOOKUP(B99,[1]Sheet1!$A:$G,7,)</f>
        <v>DWI101IDR</v>
      </c>
      <c r="D99" s="22" t="s">
        <v>124</v>
      </c>
      <c r="E99" s="16">
        <v>21110</v>
      </c>
      <c r="F99" s="129" t="s">
        <v>11</v>
      </c>
      <c r="G99" s="22" t="s">
        <v>12</v>
      </c>
      <c r="H99" s="19" t="s">
        <v>34</v>
      </c>
      <c r="I99" s="22">
        <f t="shared" si="6"/>
        <v>21110</v>
      </c>
      <c r="J99" s="130">
        <v>46168</v>
      </c>
      <c r="K99" s="128">
        <v>219037</v>
      </c>
      <c r="L99" s="129" t="s">
        <v>447</v>
      </c>
      <c r="M99" s="151">
        <v>46149</v>
      </c>
      <c r="N99" s="22">
        <v>99439</v>
      </c>
      <c r="O99" s="16">
        <v>100573</v>
      </c>
      <c r="P99" s="131">
        <v>23000</v>
      </c>
      <c r="Q99" s="304" t="s">
        <v>519</v>
      </c>
      <c r="R99" s="151">
        <v>46182</v>
      </c>
      <c r="S99" s="290" t="s">
        <v>389</v>
      </c>
      <c r="T99" s="59" t="str">
        <f t="shared" si="9"/>
        <v>REFILL NEW ISOTANK :DJEU0303750</v>
      </c>
    </row>
    <row r="100" spans="1:27" outlineLevel="1" x14ac:dyDescent="0.45">
      <c r="A100" s="59" t="str">
        <f t="shared" si="10"/>
        <v>99435</v>
      </c>
      <c r="B100" s="59" t="str">
        <f t="shared" si="11"/>
        <v>DJEU0303873</v>
      </c>
      <c r="C100" s="188" t="str">
        <f>VLOOKUP(B100,[1]Sheet1!$A:$G,7,)</f>
        <v>DWI101IDR</v>
      </c>
      <c r="D100" s="22" t="s">
        <v>184</v>
      </c>
      <c r="E100" s="16">
        <v>21190</v>
      </c>
      <c r="F100" s="129" t="s">
        <v>11</v>
      </c>
      <c r="G100" s="22" t="s">
        <v>12</v>
      </c>
      <c r="H100" s="19" t="s">
        <v>34</v>
      </c>
      <c r="I100" s="22">
        <f t="shared" si="6"/>
        <v>21190</v>
      </c>
      <c r="J100" s="130">
        <v>46169</v>
      </c>
      <c r="K100" s="128">
        <v>219037</v>
      </c>
      <c r="L100" s="129" t="s">
        <v>447</v>
      </c>
      <c r="M100" s="151">
        <v>46149</v>
      </c>
      <c r="N100" s="22">
        <v>99435</v>
      </c>
      <c r="O100" s="16">
        <v>100569</v>
      </c>
      <c r="P100" s="131">
        <v>23000</v>
      </c>
      <c r="Q100" s="304" t="s">
        <v>519</v>
      </c>
      <c r="R100" s="151">
        <v>46182</v>
      </c>
      <c r="S100" s="290" t="s">
        <v>389</v>
      </c>
      <c r="T100" s="59" t="str">
        <f t="shared" si="9"/>
        <v>REFILL NEW ISOTANK :DJEU0303873</v>
      </c>
    </row>
    <row r="101" spans="1:27" outlineLevel="1" x14ac:dyDescent="0.45">
      <c r="A101" s="59" t="str">
        <f t="shared" si="10"/>
        <v>99401</v>
      </c>
      <c r="B101" s="5" t="str">
        <f t="shared" ref="B101:B113" si="12">TRIM(D101)</f>
        <v>SJIU2322017</v>
      </c>
      <c r="C101" s="188" t="s">
        <v>306</v>
      </c>
      <c r="D101" s="198" t="s">
        <v>327</v>
      </c>
      <c r="E101" s="16">
        <v>20090</v>
      </c>
      <c r="F101" s="129" t="s">
        <v>11</v>
      </c>
      <c r="G101" s="22" t="s">
        <v>12</v>
      </c>
      <c r="H101" s="19" t="s">
        <v>34</v>
      </c>
      <c r="I101" s="22"/>
      <c r="J101" s="130">
        <v>46171</v>
      </c>
      <c r="K101" s="128">
        <v>219205</v>
      </c>
      <c r="L101" s="129" t="s">
        <v>449</v>
      </c>
      <c r="M101" s="151">
        <v>46155</v>
      </c>
      <c r="N101" s="22">
        <v>99401</v>
      </c>
      <c r="O101" s="16">
        <v>100578</v>
      </c>
      <c r="P101" s="131">
        <v>23000</v>
      </c>
      <c r="Q101" s="304" t="s">
        <v>519</v>
      </c>
      <c r="R101" s="151">
        <v>46182</v>
      </c>
      <c r="S101" s="290" t="s">
        <v>389</v>
      </c>
      <c r="T101" s="59" t="str">
        <f t="shared" si="9"/>
        <v>REFILL NEW ISOTANK :SJIU2322017</v>
      </c>
    </row>
    <row r="102" spans="1:27" outlineLevel="1" x14ac:dyDescent="0.45">
      <c r="A102" s="59" t="str">
        <f>TRIM(N102)</f>
        <v>99617</v>
      </c>
      <c r="B102" s="5" t="str">
        <f t="shared" si="12"/>
        <v>NTTU1753699</v>
      </c>
      <c r="C102" s="188" t="s">
        <v>306</v>
      </c>
      <c r="D102" s="198" t="s">
        <v>362</v>
      </c>
      <c r="E102" s="16">
        <v>20790</v>
      </c>
      <c r="F102" s="129" t="s">
        <v>11</v>
      </c>
      <c r="G102" s="22" t="s">
        <v>12</v>
      </c>
      <c r="H102" s="19" t="s">
        <v>34</v>
      </c>
      <c r="I102" s="22"/>
      <c r="J102" s="130">
        <v>46173</v>
      </c>
      <c r="K102" s="128">
        <v>219206</v>
      </c>
      <c r="L102" s="129" t="s">
        <v>449</v>
      </c>
      <c r="M102" s="151">
        <v>46155</v>
      </c>
      <c r="N102" s="22">
        <v>99617</v>
      </c>
      <c r="O102" s="131">
        <v>100581</v>
      </c>
      <c r="P102" s="131">
        <v>23000</v>
      </c>
      <c r="Q102" s="304" t="s">
        <v>519</v>
      </c>
      <c r="R102" s="151">
        <v>46182</v>
      </c>
      <c r="S102" s="290" t="s">
        <v>389</v>
      </c>
      <c r="T102" s="59" t="str">
        <f t="shared" si="9"/>
        <v>REFILL NEW ISOTANK :NTTU1753699</v>
      </c>
    </row>
    <row r="103" spans="1:27" outlineLevel="1" x14ac:dyDescent="0.45">
      <c r="A103" s="5" t="str">
        <f t="shared" si="10"/>
        <v>99620</v>
      </c>
      <c r="B103" s="5" t="str">
        <f t="shared" si="12"/>
        <v>SJIU2221710</v>
      </c>
      <c r="C103" s="188" t="s">
        <v>306</v>
      </c>
      <c r="D103" s="198" t="s">
        <v>194</v>
      </c>
      <c r="E103" s="16">
        <v>20850</v>
      </c>
      <c r="F103" s="129" t="s">
        <v>11</v>
      </c>
      <c r="G103" s="22" t="s">
        <v>12</v>
      </c>
      <c r="H103" s="19" t="s">
        <v>34</v>
      </c>
      <c r="I103" s="22"/>
      <c r="J103" s="130">
        <v>46170</v>
      </c>
      <c r="K103" s="128">
        <v>219205</v>
      </c>
      <c r="L103" s="129" t="s">
        <v>449</v>
      </c>
      <c r="M103" s="151">
        <v>46155</v>
      </c>
      <c r="N103" s="22">
        <v>99620</v>
      </c>
      <c r="O103" s="131">
        <v>100582</v>
      </c>
      <c r="P103" s="131">
        <v>23000</v>
      </c>
      <c r="Q103" s="304" t="s">
        <v>519</v>
      </c>
      <c r="R103" s="151">
        <v>46182</v>
      </c>
      <c r="S103" s="290" t="s">
        <v>389</v>
      </c>
      <c r="T103" s="59" t="str">
        <f t="shared" si="9"/>
        <v>REFILL NEW ISOTANK :SJIU2221710</v>
      </c>
    </row>
    <row r="104" spans="1:27" outlineLevel="1" x14ac:dyDescent="0.45">
      <c r="A104" s="5" t="str">
        <f t="shared" si="10"/>
        <v>99999</v>
      </c>
      <c r="B104" s="5" t="str">
        <f t="shared" si="12"/>
        <v>NTTU1753750</v>
      </c>
      <c r="C104" s="188" t="s">
        <v>306</v>
      </c>
      <c r="D104" s="16" t="s">
        <v>368</v>
      </c>
      <c r="E104" s="16">
        <v>20690</v>
      </c>
      <c r="F104" s="129" t="s">
        <v>11</v>
      </c>
      <c r="G104" s="22" t="s">
        <v>12</v>
      </c>
      <c r="H104" s="19" t="s">
        <v>34</v>
      </c>
      <c r="I104" s="22"/>
      <c r="J104" s="130">
        <v>46180</v>
      </c>
      <c r="K104" s="128">
        <v>219269</v>
      </c>
      <c r="L104" s="129" t="s">
        <v>450</v>
      </c>
      <c r="M104" s="151">
        <v>46175</v>
      </c>
      <c r="N104" s="22">
        <v>99999</v>
      </c>
      <c r="O104" s="131">
        <v>100585</v>
      </c>
      <c r="P104" s="131">
        <v>23000</v>
      </c>
      <c r="Q104" s="304" t="s">
        <v>519</v>
      </c>
      <c r="R104" s="151">
        <v>46182</v>
      </c>
      <c r="S104" s="290" t="s">
        <v>389</v>
      </c>
      <c r="T104" s="59" t="str">
        <f t="shared" si="9"/>
        <v>REFILL NEW ISOTANK :NTTU1753750</v>
      </c>
    </row>
    <row r="105" spans="1:27" s="265" customFormat="1" outlineLevel="1" x14ac:dyDescent="0.45">
      <c r="A105" s="59" t="str">
        <f t="shared" si="10"/>
        <v>99395</v>
      </c>
      <c r="B105" s="265" t="str">
        <f t="shared" si="12"/>
        <v>SJIU2001260</v>
      </c>
      <c r="C105" s="308" t="s">
        <v>306</v>
      </c>
      <c r="D105" s="198" t="s">
        <v>30</v>
      </c>
      <c r="E105" s="198">
        <v>20050</v>
      </c>
      <c r="F105" s="309" t="s">
        <v>11</v>
      </c>
      <c r="G105" s="198" t="s">
        <v>12</v>
      </c>
      <c r="H105" s="19" t="s">
        <v>34</v>
      </c>
      <c r="I105" s="198"/>
      <c r="J105" s="130">
        <v>46180</v>
      </c>
      <c r="K105" s="310">
        <v>219482</v>
      </c>
      <c r="L105" s="309" t="s">
        <v>449</v>
      </c>
      <c r="M105" s="311">
        <v>46155</v>
      </c>
      <c r="N105" s="198">
        <v>99395</v>
      </c>
      <c r="O105" s="198">
        <v>100579</v>
      </c>
      <c r="P105" s="131">
        <v>23000</v>
      </c>
      <c r="Q105" s="304" t="s">
        <v>519</v>
      </c>
      <c r="R105" s="151">
        <v>46182</v>
      </c>
      <c r="S105" s="290" t="s">
        <v>389</v>
      </c>
      <c r="T105" s="59" t="str">
        <f t="shared" si="9"/>
        <v>REFILL NEW ISOTANK :SJIU2001260</v>
      </c>
      <c r="Z105" s="59"/>
      <c r="AA105" s="59"/>
    </row>
    <row r="106" spans="1:27" s="265" customFormat="1" outlineLevel="1" x14ac:dyDescent="0.45">
      <c r="A106" s="5" t="str">
        <f t="shared" si="10"/>
        <v>99403</v>
      </c>
      <c r="B106" s="265" t="str">
        <f t="shared" si="12"/>
        <v>SJIU2221726</v>
      </c>
      <c r="C106" s="308" t="s">
        <v>306</v>
      </c>
      <c r="D106" s="198" t="s">
        <v>195</v>
      </c>
      <c r="E106" s="198">
        <v>20590</v>
      </c>
      <c r="F106" s="309" t="s">
        <v>11</v>
      </c>
      <c r="G106" s="198" t="s">
        <v>12</v>
      </c>
      <c r="H106" s="19" t="s">
        <v>34</v>
      </c>
      <c r="I106" s="198"/>
      <c r="J106" s="312">
        <v>46174</v>
      </c>
      <c r="K106" s="128">
        <v>219206</v>
      </c>
      <c r="L106" s="309" t="s">
        <v>449</v>
      </c>
      <c r="M106" s="311">
        <v>46155</v>
      </c>
      <c r="N106" s="198">
        <v>99403</v>
      </c>
      <c r="O106" s="198">
        <v>100580</v>
      </c>
      <c r="P106" s="131">
        <v>23000</v>
      </c>
      <c r="Q106" s="304" t="s">
        <v>519</v>
      </c>
      <c r="R106" s="151">
        <v>46182</v>
      </c>
      <c r="S106" s="290" t="s">
        <v>389</v>
      </c>
      <c r="T106" s="59" t="str">
        <f t="shared" si="9"/>
        <v>REFILL NEW ISOTANK :SJIU2221726</v>
      </c>
      <c r="Z106" s="59"/>
      <c r="AA106" s="59"/>
    </row>
    <row r="107" spans="1:27" outlineLevel="1" x14ac:dyDescent="0.45">
      <c r="A107" s="5" t="str">
        <f t="shared" si="10"/>
        <v>99619</v>
      </c>
      <c r="B107" s="5" t="str">
        <f t="shared" si="12"/>
        <v>SJIU2221541</v>
      </c>
      <c r="C107" s="188" t="s">
        <v>306</v>
      </c>
      <c r="D107" s="16" t="s">
        <v>160</v>
      </c>
      <c r="E107" s="16">
        <v>20870</v>
      </c>
      <c r="F107" s="129" t="s">
        <v>11</v>
      </c>
      <c r="G107" s="22" t="s">
        <v>12</v>
      </c>
      <c r="H107" s="19" t="s">
        <v>34</v>
      </c>
      <c r="I107" s="22"/>
      <c r="J107" s="130">
        <v>46182</v>
      </c>
      <c r="K107" s="310">
        <v>219482</v>
      </c>
      <c r="L107" s="129" t="s">
        <v>450</v>
      </c>
      <c r="M107" s="151">
        <v>46175</v>
      </c>
      <c r="N107" s="22">
        <v>99619</v>
      </c>
      <c r="O107" s="131">
        <v>100584</v>
      </c>
      <c r="P107" s="131">
        <v>23000</v>
      </c>
      <c r="Q107" s="304" t="s">
        <v>519</v>
      </c>
      <c r="R107" s="151">
        <v>46182</v>
      </c>
      <c r="S107" s="290" t="s">
        <v>389</v>
      </c>
      <c r="T107" s="59" t="str">
        <f t="shared" si="9"/>
        <v>REFILL NEW ISOTANK :SJIU2221541</v>
      </c>
    </row>
    <row r="108" spans="1:27" outlineLevel="1" x14ac:dyDescent="0.45">
      <c r="A108" s="5" t="str">
        <f t="shared" si="10"/>
        <v>99618</v>
      </c>
      <c r="B108" s="5" t="str">
        <f t="shared" si="12"/>
        <v>NTTU1753739</v>
      </c>
      <c r="C108" s="188" t="s">
        <v>306</v>
      </c>
      <c r="D108" s="16" t="s">
        <v>383</v>
      </c>
      <c r="E108" s="16">
        <v>20500</v>
      </c>
      <c r="F108" s="129" t="s">
        <v>11</v>
      </c>
      <c r="G108" s="22" t="s">
        <v>12</v>
      </c>
      <c r="H108" s="19" t="s">
        <v>34</v>
      </c>
      <c r="I108" s="22"/>
      <c r="J108" s="130">
        <v>46181</v>
      </c>
      <c r="K108" s="310">
        <v>219482</v>
      </c>
      <c r="L108" s="129" t="s">
        <v>450</v>
      </c>
      <c r="M108" s="151">
        <v>46175</v>
      </c>
      <c r="N108" s="22">
        <v>99618</v>
      </c>
      <c r="O108" s="131">
        <v>100583</v>
      </c>
      <c r="P108" s="131">
        <v>23000</v>
      </c>
      <c r="Q108" s="304" t="s">
        <v>519</v>
      </c>
      <c r="R108" s="151">
        <v>46182</v>
      </c>
      <c r="S108" s="290" t="s">
        <v>389</v>
      </c>
      <c r="T108" s="59" t="str">
        <f t="shared" si="9"/>
        <v>REFILL NEW ISOTANK :NTTU1753739</v>
      </c>
    </row>
    <row r="109" spans="1:27" s="288" customFormat="1" outlineLevel="2" x14ac:dyDescent="0.45">
      <c r="A109" s="288" t="str">
        <f t="shared" si="10"/>
        <v>99616</v>
      </c>
      <c r="B109" s="288" t="str">
        <f t="shared" si="12"/>
        <v>SJIU2322090</v>
      </c>
      <c r="C109" s="188" t="s">
        <v>306</v>
      </c>
      <c r="D109" s="198" t="s">
        <v>335</v>
      </c>
      <c r="E109" s="198">
        <v>20940</v>
      </c>
      <c r="F109" s="309" t="s">
        <v>11</v>
      </c>
      <c r="G109" s="198" t="s">
        <v>12</v>
      </c>
      <c r="H109" s="19" t="s">
        <v>34</v>
      </c>
      <c r="I109" s="22"/>
      <c r="J109" s="130">
        <v>46183</v>
      </c>
      <c r="K109" s="310">
        <v>219482</v>
      </c>
      <c r="L109" s="129" t="s">
        <v>450</v>
      </c>
      <c r="M109" s="151">
        <v>46175</v>
      </c>
      <c r="N109" s="22">
        <v>99616</v>
      </c>
      <c r="O109" s="131">
        <v>100761</v>
      </c>
      <c r="P109" s="131">
        <v>23000</v>
      </c>
      <c r="Q109" s="304" t="s">
        <v>520</v>
      </c>
      <c r="R109" s="151">
        <v>46194</v>
      </c>
      <c r="S109" s="290" t="s">
        <v>389</v>
      </c>
      <c r="T109" s="59" t="str">
        <f t="shared" si="9"/>
        <v>REFILL NEW ISOTANK :SJIU2322090</v>
      </c>
      <c r="Z109" s="59"/>
      <c r="AA109" s="59"/>
    </row>
    <row r="110" spans="1:27" s="288" customFormat="1" outlineLevel="1" x14ac:dyDescent="0.45">
      <c r="A110" s="288" t="str">
        <f t="shared" si="10"/>
        <v>99622</v>
      </c>
      <c r="B110" s="288" t="str">
        <f t="shared" si="12"/>
        <v>SJIU2221536</v>
      </c>
      <c r="C110" s="188" t="s">
        <v>306</v>
      </c>
      <c r="D110" s="16" t="s">
        <v>161</v>
      </c>
      <c r="E110" s="16">
        <v>20260</v>
      </c>
      <c r="F110" s="17" t="s">
        <v>11</v>
      </c>
      <c r="G110" s="16" t="s">
        <v>12</v>
      </c>
      <c r="H110" s="19" t="s">
        <v>34</v>
      </c>
      <c r="I110" s="16"/>
      <c r="J110" s="313">
        <v>46186</v>
      </c>
      <c r="K110" s="18">
        <v>219482</v>
      </c>
      <c r="L110" s="17" t="s">
        <v>450</v>
      </c>
      <c r="M110" s="151">
        <v>46175</v>
      </c>
      <c r="N110" s="16">
        <v>99622</v>
      </c>
      <c r="O110" s="97">
        <v>100762</v>
      </c>
      <c r="P110" s="131">
        <v>23000</v>
      </c>
      <c r="Q110" s="304" t="s">
        <v>520</v>
      </c>
      <c r="R110" s="151">
        <v>46194</v>
      </c>
      <c r="S110" s="290" t="s">
        <v>389</v>
      </c>
      <c r="T110" s="59" t="str">
        <f t="shared" si="9"/>
        <v>REFILL NEW ISOTANK :SJIU2221536</v>
      </c>
      <c r="Z110" s="59"/>
      <c r="AA110" s="59"/>
    </row>
    <row r="111" spans="1:27" s="288" customFormat="1" outlineLevel="1" x14ac:dyDescent="0.45">
      <c r="A111" s="288" t="str">
        <f t="shared" si="10"/>
        <v>100001</v>
      </c>
      <c r="B111" s="288" t="str">
        <f t="shared" si="12"/>
        <v>NTTU1753765</v>
      </c>
      <c r="C111" s="188" t="s">
        <v>306</v>
      </c>
      <c r="D111" s="22" t="s">
        <v>367</v>
      </c>
      <c r="E111" s="16">
        <v>20390</v>
      </c>
      <c r="F111" s="129" t="s">
        <v>11</v>
      </c>
      <c r="G111" s="22" t="s">
        <v>12</v>
      </c>
      <c r="H111" s="19" t="s">
        <v>34</v>
      </c>
      <c r="I111" s="22"/>
      <c r="J111" s="130">
        <v>46185</v>
      </c>
      <c r="K111" s="310">
        <v>219482</v>
      </c>
      <c r="L111" s="129" t="s">
        <v>450</v>
      </c>
      <c r="M111" s="151">
        <v>46175</v>
      </c>
      <c r="N111" s="22">
        <v>100001</v>
      </c>
      <c r="O111" s="131">
        <v>100763</v>
      </c>
      <c r="P111" s="131">
        <v>23000</v>
      </c>
      <c r="Q111" s="304" t="s">
        <v>520</v>
      </c>
      <c r="R111" s="151">
        <v>46194</v>
      </c>
      <c r="S111" s="290" t="s">
        <v>389</v>
      </c>
      <c r="T111" s="59" t="str">
        <f t="shared" si="9"/>
        <v>REFILL NEW ISOTANK :NTTU1753765</v>
      </c>
      <c r="Z111" s="59"/>
      <c r="AA111" s="59"/>
    </row>
    <row r="112" spans="1:27" s="288" customFormat="1" outlineLevel="1" x14ac:dyDescent="0.45">
      <c r="A112" s="288" t="str">
        <f t="shared" si="10"/>
        <v>99998</v>
      </c>
      <c r="B112" s="288" t="str">
        <f t="shared" si="12"/>
        <v>SJIU2221705</v>
      </c>
      <c r="C112" s="188" t="s">
        <v>306</v>
      </c>
      <c r="D112" s="16" t="s">
        <v>193</v>
      </c>
      <c r="E112" s="16">
        <v>20720</v>
      </c>
      <c r="F112" s="129" t="s">
        <v>11</v>
      </c>
      <c r="G112" s="22" t="s">
        <v>12</v>
      </c>
      <c r="H112" s="19" t="s">
        <v>34</v>
      </c>
      <c r="I112" s="22"/>
      <c r="J112" s="130">
        <v>46184</v>
      </c>
      <c r="K112" s="128">
        <v>219482</v>
      </c>
      <c r="L112" s="129" t="s">
        <v>450</v>
      </c>
      <c r="M112" s="151">
        <v>46175</v>
      </c>
      <c r="N112" s="22">
        <v>99998</v>
      </c>
      <c r="O112" s="131">
        <v>100764</v>
      </c>
      <c r="P112" s="131">
        <v>23000</v>
      </c>
      <c r="Q112" s="304" t="s">
        <v>520</v>
      </c>
      <c r="R112" s="151">
        <v>46194</v>
      </c>
      <c r="S112" s="290" t="s">
        <v>389</v>
      </c>
      <c r="T112" s="59" t="str">
        <f t="shared" si="9"/>
        <v>REFILL NEW ISOTANK :SJIU2221705</v>
      </c>
      <c r="Z112" s="59"/>
      <c r="AA112" s="59"/>
    </row>
    <row r="113" spans="1:27" s="288" customFormat="1" outlineLevel="1" x14ac:dyDescent="0.45">
      <c r="A113" s="288" t="str">
        <f t="shared" si="10"/>
        <v>99614</v>
      </c>
      <c r="B113" s="288" t="str">
        <f t="shared" si="12"/>
        <v>SJIU2221691</v>
      </c>
      <c r="C113" s="188" t="s">
        <v>306</v>
      </c>
      <c r="D113" s="16" t="s">
        <v>192</v>
      </c>
      <c r="E113" s="16">
        <v>20220</v>
      </c>
      <c r="F113" s="129" t="s">
        <v>11</v>
      </c>
      <c r="G113" s="22" t="s">
        <v>12</v>
      </c>
      <c r="H113" s="19" t="s">
        <v>34</v>
      </c>
      <c r="I113" s="16"/>
      <c r="J113" s="313">
        <v>46187</v>
      </c>
      <c r="K113" s="18">
        <v>219663</v>
      </c>
      <c r="L113" s="129" t="s">
        <v>450</v>
      </c>
      <c r="M113" s="151">
        <v>46175</v>
      </c>
      <c r="N113" s="22">
        <v>99614</v>
      </c>
      <c r="O113" s="131">
        <v>100765</v>
      </c>
      <c r="P113" s="131">
        <v>23000</v>
      </c>
      <c r="Q113" s="304" t="s">
        <v>520</v>
      </c>
      <c r="R113" s="151">
        <v>46194</v>
      </c>
      <c r="S113" s="290" t="s">
        <v>389</v>
      </c>
      <c r="T113" s="59" t="str">
        <f t="shared" si="9"/>
        <v>REFILL NEW ISOTANK :SJIU2221691</v>
      </c>
      <c r="Z113" s="59"/>
      <c r="AA113" s="59"/>
    </row>
    <row r="114" spans="1:27" s="287" customFormat="1" outlineLevel="1" x14ac:dyDescent="0.45">
      <c r="A114" s="286" t="str">
        <f t="shared" si="10"/>
        <v>99438</v>
      </c>
      <c r="B114" s="287" t="str">
        <f>D114</f>
        <v>NTTU1752687</v>
      </c>
      <c r="C114" s="308" t="str">
        <f>VLOOKUP(B114,[1]Sheet1!$A:$G,7,)</f>
        <v>DWI101IDR</v>
      </c>
      <c r="D114" s="198" t="s">
        <v>336</v>
      </c>
      <c r="E114" s="198">
        <v>21540</v>
      </c>
      <c r="F114" s="309" t="s">
        <v>11</v>
      </c>
      <c r="G114" s="198" t="s">
        <v>12</v>
      </c>
      <c r="H114" s="19" t="s">
        <v>34</v>
      </c>
      <c r="I114" s="198"/>
      <c r="J114" s="312">
        <v>46188</v>
      </c>
      <c r="K114" s="18">
        <v>219663</v>
      </c>
      <c r="L114" s="309" t="s">
        <v>447</v>
      </c>
      <c r="M114" s="311">
        <v>46149</v>
      </c>
      <c r="N114" s="198">
        <v>99438</v>
      </c>
      <c r="O114" s="198">
        <v>100766</v>
      </c>
      <c r="P114" s="131">
        <v>23000</v>
      </c>
      <c r="Q114" s="304" t="s">
        <v>520</v>
      </c>
      <c r="R114" s="151">
        <v>46194</v>
      </c>
      <c r="S114" s="290" t="s">
        <v>389</v>
      </c>
      <c r="T114" s="59" t="str">
        <f t="shared" si="9"/>
        <v>REFILL NEW ISOTANK :NTTU1752687</v>
      </c>
      <c r="Z114" s="59"/>
      <c r="AA114" s="59"/>
    </row>
    <row r="115" spans="1:27" s="287" customFormat="1" outlineLevel="1" x14ac:dyDescent="0.45">
      <c r="A115" s="286" t="str">
        <f t="shared" si="10"/>
        <v>99437</v>
      </c>
      <c r="B115" s="287" t="str">
        <f>D115</f>
        <v>DJEU0303894</v>
      </c>
      <c r="C115" s="308" t="str">
        <f>VLOOKUP(B115,[1]Sheet1!$A:$G,7,)</f>
        <v>DWI101IDR</v>
      </c>
      <c r="D115" s="198" t="s">
        <v>217</v>
      </c>
      <c r="E115" s="198">
        <v>21280</v>
      </c>
      <c r="F115" s="309" t="s">
        <v>11</v>
      </c>
      <c r="G115" s="198" t="s">
        <v>12</v>
      </c>
      <c r="H115" s="19" t="s">
        <v>34</v>
      </c>
      <c r="I115" s="198"/>
      <c r="J115" s="312">
        <v>46189</v>
      </c>
      <c r="K115" s="18">
        <v>219663</v>
      </c>
      <c r="L115" s="309" t="s">
        <v>447</v>
      </c>
      <c r="M115" s="311">
        <v>46149</v>
      </c>
      <c r="N115" s="198">
        <v>99437</v>
      </c>
      <c r="O115" s="198">
        <v>100767</v>
      </c>
      <c r="P115" s="131">
        <v>23000</v>
      </c>
      <c r="Q115" s="304" t="s">
        <v>520</v>
      </c>
      <c r="R115" s="151">
        <v>46194</v>
      </c>
      <c r="S115" s="290" t="s">
        <v>389</v>
      </c>
      <c r="T115" s="59" t="str">
        <f t="shared" si="9"/>
        <v>REFILL NEW ISOTANK :DJEU0303894</v>
      </c>
      <c r="Z115" s="59"/>
      <c r="AA115" s="59"/>
    </row>
    <row r="116" spans="1:27" s="287" customFormat="1" outlineLevel="1" x14ac:dyDescent="0.45">
      <c r="A116" s="286" t="str">
        <f t="shared" si="10"/>
        <v>99399</v>
      </c>
      <c r="B116" s="287" t="str">
        <f>D116</f>
        <v>NTTU1752780</v>
      </c>
      <c r="C116" s="308" t="str">
        <f>VLOOKUP(B116,[1]Sheet1!$A:$G,7,)</f>
        <v>DWI101IDR</v>
      </c>
      <c r="D116" s="198" t="s">
        <v>287</v>
      </c>
      <c r="E116" s="198">
        <v>21270</v>
      </c>
      <c r="F116" s="309" t="s">
        <v>11</v>
      </c>
      <c r="G116" s="198" t="s">
        <v>12</v>
      </c>
      <c r="H116" s="19" t="s">
        <v>34</v>
      </c>
      <c r="I116" s="314"/>
      <c r="J116" s="315">
        <v>46190</v>
      </c>
      <c r="K116" s="18">
        <v>219663</v>
      </c>
      <c r="L116" s="309" t="s">
        <v>447</v>
      </c>
      <c r="M116" s="311">
        <v>46149</v>
      </c>
      <c r="N116" s="198">
        <v>99399</v>
      </c>
      <c r="O116" s="198">
        <v>100768</v>
      </c>
      <c r="P116" s="131">
        <v>23000</v>
      </c>
      <c r="Q116" s="304" t="s">
        <v>520</v>
      </c>
      <c r="R116" s="151">
        <v>46194</v>
      </c>
      <c r="S116" s="290" t="s">
        <v>389</v>
      </c>
      <c r="T116" s="59" t="str">
        <f t="shared" si="9"/>
        <v>REFILL NEW ISOTANK :NTTU1752780</v>
      </c>
      <c r="Z116" s="59"/>
      <c r="AA116" s="59"/>
    </row>
    <row r="117" spans="1:27" s="287" customFormat="1" outlineLevel="1" x14ac:dyDescent="0.45">
      <c r="A117" s="286" t="str">
        <f t="shared" si="10"/>
        <v>99436</v>
      </c>
      <c r="B117" s="287" t="str">
        <f>D117</f>
        <v>NTTU1752727</v>
      </c>
      <c r="C117" s="308" t="str">
        <f>VLOOKUP(B117,[1]Sheet1!$A:$G,7,)</f>
        <v>DWI101IDR</v>
      </c>
      <c r="D117" s="198" t="s">
        <v>361</v>
      </c>
      <c r="E117" s="198">
        <v>21280</v>
      </c>
      <c r="F117" s="309" t="s">
        <v>11</v>
      </c>
      <c r="G117" s="198" t="s">
        <v>12</v>
      </c>
      <c r="H117" s="19" t="s">
        <v>34</v>
      </c>
      <c r="I117" s="198"/>
      <c r="J117" s="312">
        <v>46191</v>
      </c>
      <c r="K117" s="310">
        <v>219709</v>
      </c>
      <c r="L117" s="309" t="s">
        <v>447</v>
      </c>
      <c r="M117" s="311">
        <v>46149</v>
      </c>
      <c r="N117" s="198">
        <v>99436</v>
      </c>
      <c r="O117" s="198">
        <v>100769</v>
      </c>
      <c r="P117" s="131">
        <v>23000</v>
      </c>
      <c r="Q117" s="304" t="s">
        <v>520</v>
      </c>
      <c r="R117" s="151">
        <v>46194</v>
      </c>
      <c r="S117" s="290" t="s">
        <v>389</v>
      </c>
      <c r="T117" s="59" t="str">
        <f t="shared" si="9"/>
        <v>REFILL NEW ISOTANK :NTTU1752727</v>
      </c>
      <c r="Z117" s="59"/>
      <c r="AA117" s="59"/>
    </row>
    <row r="118" spans="1:27" s="287" customFormat="1" outlineLevel="1" x14ac:dyDescent="0.45">
      <c r="A118" s="286" t="str">
        <f t="shared" si="10"/>
        <v>99404</v>
      </c>
      <c r="B118" s="287" t="str">
        <f>D118</f>
        <v>DJEU0303702</v>
      </c>
      <c r="C118" s="308" t="str">
        <f>VLOOKUP(B118,[1]Sheet1!$A:$G,7,)</f>
        <v>DWI101IDR</v>
      </c>
      <c r="D118" s="198" t="s">
        <v>52</v>
      </c>
      <c r="E118" s="198">
        <v>20590</v>
      </c>
      <c r="F118" s="309" t="s">
        <v>11</v>
      </c>
      <c r="G118" s="198" t="s">
        <v>12</v>
      </c>
      <c r="H118" s="19" t="s">
        <v>34</v>
      </c>
      <c r="I118" s="314"/>
      <c r="J118" s="312">
        <v>46192</v>
      </c>
      <c r="K118" s="198">
        <v>219709</v>
      </c>
      <c r="L118" s="309" t="s">
        <v>447</v>
      </c>
      <c r="M118" s="311">
        <v>46149</v>
      </c>
      <c r="N118" s="198">
        <v>99404</v>
      </c>
      <c r="O118" s="198">
        <v>100770</v>
      </c>
      <c r="P118" s="131">
        <v>23000</v>
      </c>
      <c r="Q118" s="304" t="s">
        <v>520</v>
      </c>
      <c r="R118" s="151">
        <v>46194</v>
      </c>
      <c r="S118" s="290" t="s">
        <v>389</v>
      </c>
      <c r="T118" s="59" t="str">
        <f t="shared" si="9"/>
        <v>REFILL NEW ISOTANK :DJEU0303702</v>
      </c>
      <c r="Z118" s="59"/>
      <c r="AA118" s="59"/>
    </row>
    <row r="119" spans="1:27" s="286" customFormat="1" outlineLevel="1" x14ac:dyDescent="0.45">
      <c r="A119" s="286" t="str">
        <f t="shared" si="10"/>
        <v>99624</v>
      </c>
      <c r="B119" s="286" t="str">
        <f t="shared" ref="B119:B150" si="13">TRIM(D119)</f>
        <v>DJEU0303908</v>
      </c>
      <c r="C119" s="188" t="s">
        <v>302</v>
      </c>
      <c r="D119" s="16" t="s">
        <v>227</v>
      </c>
      <c r="E119" s="16">
        <v>21560</v>
      </c>
      <c r="F119" s="129" t="s">
        <v>11</v>
      </c>
      <c r="G119" s="22" t="s">
        <v>12</v>
      </c>
      <c r="H119" s="19" t="s">
        <v>34</v>
      </c>
      <c r="I119" s="16"/>
      <c r="J119" s="313">
        <v>46193</v>
      </c>
      <c r="K119" s="18">
        <v>219709</v>
      </c>
      <c r="L119" s="129" t="s">
        <v>450</v>
      </c>
      <c r="M119" s="151">
        <v>46175</v>
      </c>
      <c r="N119" s="22">
        <v>99624</v>
      </c>
      <c r="O119" s="131">
        <v>100952</v>
      </c>
      <c r="P119" s="131">
        <v>23000</v>
      </c>
      <c r="Q119" s="182" t="s">
        <v>557</v>
      </c>
      <c r="R119" s="151">
        <v>46206</v>
      </c>
      <c r="S119" s="290" t="s">
        <v>389</v>
      </c>
      <c r="T119" s="59" t="str">
        <f t="shared" si="9"/>
        <v>REFILL NEW ISOTANK :DJEU0303908</v>
      </c>
      <c r="Z119" s="59"/>
      <c r="AA119" s="59"/>
    </row>
    <row r="120" spans="1:27" x14ac:dyDescent="0.45">
      <c r="A120" s="5" t="str">
        <f t="shared" si="10"/>
        <v>99615</v>
      </c>
      <c r="B120" s="5" t="str">
        <f t="shared" si="13"/>
        <v>DJEU0303868</v>
      </c>
      <c r="C120" s="188" t="s">
        <v>302</v>
      </c>
      <c r="D120" s="16" t="s">
        <v>174</v>
      </c>
      <c r="E120" s="16">
        <v>20860</v>
      </c>
      <c r="F120" s="129" t="s">
        <v>11</v>
      </c>
      <c r="G120" s="22" t="s">
        <v>12</v>
      </c>
      <c r="H120" s="19" t="s">
        <v>34</v>
      </c>
      <c r="I120" s="16"/>
      <c r="J120" s="18"/>
      <c r="K120" s="18">
        <v>219855</v>
      </c>
      <c r="L120" s="129" t="s">
        <v>450</v>
      </c>
      <c r="M120" s="151">
        <v>46175</v>
      </c>
      <c r="N120" s="22">
        <v>99615</v>
      </c>
      <c r="O120" s="131">
        <v>100953</v>
      </c>
      <c r="P120" s="131">
        <v>23000</v>
      </c>
      <c r="Q120" s="182" t="s">
        <v>557</v>
      </c>
      <c r="R120" s="151">
        <v>46206</v>
      </c>
      <c r="S120" s="290" t="s">
        <v>389</v>
      </c>
      <c r="T120" s="59" t="str">
        <f t="shared" si="9"/>
        <v>REFILL NEW ISOTANK :DJEU0303868</v>
      </c>
    </row>
    <row r="121" spans="1:27" x14ac:dyDescent="0.45">
      <c r="A121" s="5" t="str">
        <f t="shared" si="10"/>
        <v>99623</v>
      </c>
      <c r="B121" s="5" t="str">
        <f t="shared" si="13"/>
        <v>DJEU0303805</v>
      </c>
      <c r="C121" s="188" t="s">
        <v>302</v>
      </c>
      <c r="D121" s="16" t="s">
        <v>162</v>
      </c>
      <c r="E121" s="16">
        <v>20810</v>
      </c>
      <c r="F121" s="129" t="s">
        <v>11</v>
      </c>
      <c r="G121" s="22" t="s">
        <v>12</v>
      </c>
      <c r="H121" s="19" t="s">
        <v>34</v>
      </c>
      <c r="I121" s="16"/>
      <c r="J121" s="18"/>
      <c r="K121" s="18">
        <v>219855</v>
      </c>
      <c r="L121" s="129" t="s">
        <v>450</v>
      </c>
      <c r="M121" s="151">
        <v>46175</v>
      </c>
      <c r="N121" s="22">
        <v>99623</v>
      </c>
      <c r="O121" s="131">
        <v>100954</v>
      </c>
      <c r="P121" s="131">
        <v>23000</v>
      </c>
      <c r="Q121" s="182" t="s">
        <v>557</v>
      </c>
      <c r="R121" s="151">
        <v>46206</v>
      </c>
      <c r="S121" s="290" t="s">
        <v>389</v>
      </c>
      <c r="T121" s="59" t="str">
        <f t="shared" si="9"/>
        <v>REFILL NEW ISOTANK :DJEU0303805</v>
      </c>
    </row>
    <row r="122" spans="1:27" x14ac:dyDescent="0.45">
      <c r="A122" s="5" t="str">
        <f t="shared" si="10"/>
        <v>99625</v>
      </c>
      <c r="B122" s="5" t="str">
        <f t="shared" si="13"/>
        <v>DJEU0303739</v>
      </c>
      <c r="C122" s="188" t="s">
        <v>302</v>
      </c>
      <c r="D122" s="16" t="s">
        <v>99</v>
      </c>
      <c r="E122" s="16">
        <v>22700</v>
      </c>
      <c r="F122" s="129" t="s">
        <v>11</v>
      </c>
      <c r="G122" s="22" t="s">
        <v>12</v>
      </c>
      <c r="H122" s="19" t="s">
        <v>34</v>
      </c>
      <c r="I122" s="22"/>
      <c r="J122" s="130">
        <v>46196</v>
      </c>
      <c r="K122" s="128">
        <v>219855</v>
      </c>
      <c r="L122" s="129" t="s">
        <v>450</v>
      </c>
      <c r="M122" s="151">
        <v>46175</v>
      </c>
      <c r="N122" s="22">
        <v>99625</v>
      </c>
      <c r="O122" s="131">
        <v>100955</v>
      </c>
      <c r="P122" s="131">
        <v>23000</v>
      </c>
      <c r="Q122" s="182" t="s">
        <v>557</v>
      </c>
      <c r="R122" s="151">
        <v>46206</v>
      </c>
      <c r="S122" s="290" t="s">
        <v>389</v>
      </c>
      <c r="T122" s="59" t="str">
        <f t="shared" si="9"/>
        <v>REFILL NEW ISOTANK :DJEU0303739</v>
      </c>
    </row>
    <row r="123" spans="1:27" x14ac:dyDescent="0.45">
      <c r="A123" s="5" t="str">
        <f t="shared" ref="A123:A165" si="14">TRIM(N123)</f>
        <v>100000</v>
      </c>
      <c r="B123" s="5" t="str">
        <f t="shared" si="13"/>
        <v>SJIU2322043</v>
      </c>
      <c r="C123" s="188" t="s">
        <v>306</v>
      </c>
      <c r="D123" s="309" t="s">
        <v>341</v>
      </c>
      <c r="E123" s="16">
        <v>20340</v>
      </c>
      <c r="F123" s="129" t="s">
        <v>11</v>
      </c>
      <c r="G123" s="22" t="s">
        <v>12</v>
      </c>
      <c r="H123" s="19" t="s">
        <v>34</v>
      </c>
      <c r="I123" s="22"/>
      <c r="J123" s="316">
        <v>46197</v>
      </c>
      <c r="K123" s="129">
        <v>219855</v>
      </c>
      <c r="L123" s="129" t="s">
        <v>511</v>
      </c>
      <c r="M123" s="151">
        <v>46175</v>
      </c>
      <c r="N123" s="22">
        <v>100000</v>
      </c>
      <c r="O123" s="22">
        <v>100958</v>
      </c>
      <c r="P123" s="131">
        <v>23000</v>
      </c>
      <c r="Q123" s="182" t="s">
        <v>557</v>
      </c>
      <c r="R123" s="151">
        <v>46206</v>
      </c>
      <c r="S123" s="290" t="s">
        <v>389</v>
      </c>
      <c r="T123" s="59" t="str">
        <f t="shared" si="9"/>
        <v>REFILL NEW ISOTANK :SJIU2322043</v>
      </c>
    </row>
    <row r="124" spans="1:27" x14ac:dyDescent="0.45">
      <c r="A124" s="5" t="str">
        <f t="shared" si="14"/>
        <v>100004</v>
      </c>
      <c r="B124" s="5" t="str">
        <f t="shared" si="13"/>
        <v>SJIU2001275</v>
      </c>
      <c r="C124" s="188" t="s">
        <v>306</v>
      </c>
      <c r="D124" s="309" t="s">
        <v>31</v>
      </c>
      <c r="E124" s="16">
        <v>20230</v>
      </c>
      <c r="F124" s="129" t="s">
        <v>11</v>
      </c>
      <c r="G124" s="22" t="s">
        <v>12</v>
      </c>
      <c r="H124" s="19" t="s">
        <v>34</v>
      </c>
      <c r="I124" s="22"/>
      <c r="J124" s="316">
        <v>46198</v>
      </c>
      <c r="K124" s="129">
        <v>219855</v>
      </c>
      <c r="L124" s="129" t="s">
        <v>511</v>
      </c>
      <c r="M124" s="151">
        <v>46175</v>
      </c>
      <c r="N124" s="22">
        <v>100004</v>
      </c>
      <c r="O124" s="22">
        <v>100959</v>
      </c>
      <c r="P124" s="131">
        <v>23000</v>
      </c>
      <c r="Q124" s="182" t="s">
        <v>557</v>
      </c>
      <c r="R124" s="151">
        <v>46206</v>
      </c>
      <c r="S124" s="290" t="s">
        <v>389</v>
      </c>
      <c r="T124" s="59" t="str">
        <f t="shared" si="9"/>
        <v>REFILL NEW ISOTANK :SJIU2001275</v>
      </c>
    </row>
    <row r="125" spans="1:27" x14ac:dyDescent="0.45">
      <c r="A125" s="5" t="str">
        <f t="shared" si="14"/>
        <v>100005</v>
      </c>
      <c r="B125" s="5" t="str">
        <f t="shared" si="13"/>
        <v>SJIU2322085</v>
      </c>
      <c r="C125" s="188" t="s">
        <v>306</v>
      </c>
      <c r="D125" s="309" t="s">
        <v>342</v>
      </c>
      <c r="E125" s="16">
        <v>20220</v>
      </c>
      <c r="F125" s="129" t="s">
        <v>11</v>
      </c>
      <c r="G125" s="22" t="s">
        <v>12</v>
      </c>
      <c r="H125" s="19" t="s">
        <v>34</v>
      </c>
      <c r="I125" s="22"/>
      <c r="J125" s="316">
        <v>46199</v>
      </c>
      <c r="K125" s="129">
        <v>219970</v>
      </c>
      <c r="L125" s="129" t="s">
        <v>511</v>
      </c>
      <c r="M125" s="151">
        <v>46175</v>
      </c>
      <c r="N125" s="22">
        <v>100005</v>
      </c>
      <c r="O125" s="22">
        <v>100960</v>
      </c>
      <c r="P125" s="131">
        <v>23000</v>
      </c>
      <c r="Q125" s="182" t="s">
        <v>557</v>
      </c>
      <c r="R125" s="151">
        <v>46206</v>
      </c>
      <c r="S125" s="290" t="s">
        <v>389</v>
      </c>
      <c r="T125" s="59" t="str">
        <f t="shared" si="9"/>
        <v>REFILL NEW ISOTANK :SJIU2322085</v>
      </c>
    </row>
    <row r="126" spans="1:27" x14ac:dyDescent="0.45">
      <c r="A126" s="5" t="str">
        <f t="shared" si="14"/>
        <v>100003</v>
      </c>
      <c r="B126" s="5" t="str">
        <f t="shared" si="13"/>
        <v>SJIU2322064</v>
      </c>
      <c r="C126" s="188" t="s">
        <v>306</v>
      </c>
      <c r="D126" s="17" t="s">
        <v>262</v>
      </c>
      <c r="E126" s="16">
        <v>18990</v>
      </c>
      <c r="F126" s="129" t="s">
        <v>11</v>
      </c>
      <c r="G126" s="22" t="s">
        <v>12</v>
      </c>
      <c r="H126" s="19" t="s">
        <v>34</v>
      </c>
      <c r="I126" s="22"/>
      <c r="J126" s="316">
        <v>46201</v>
      </c>
      <c r="K126" s="129">
        <v>219970</v>
      </c>
      <c r="L126" s="129" t="s">
        <v>511</v>
      </c>
      <c r="M126" s="151">
        <v>46175</v>
      </c>
      <c r="N126" s="22">
        <v>100003</v>
      </c>
      <c r="O126" s="22">
        <v>100961</v>
      </c>
      <c r="P126" s="131">
        <v>23000</v>
      </c>
      <c r="Q126" s="182" t="s">
        <v>557</v>
      </c>
      <c r="R126" s="151">
        <v>46206</v>
      </c>
      <c r="S126" s="290" t="s">
        <v>389</v>
      </c>
      <c r="T126" s="59" t="str">
        <f t="shared" si="9"/>
        <v>REFILL NEW ISOTANK :SJIU2322064</v>
      </c>
    </row>
    <row r="127" spans="1:27" x14ac:dyDescent="0.45">
      <c r="A127" s="5" t="str">
        <f t="shared" si="14"/>
        <v>100008</v>
      </c>
      <c r="B127" s="5" t="str">
        <f t="shared" si="13"/>
        <v>NTTU1752748</v>
      </c>
      <c r="C127" s="188" t="s">
        <v>302</v>
      </c>
      <c r="D127" s="309" t="s">
        <v>300</v>
      </c>
      <c r="E127" s="16">
        <v>21370</v>
      </c>
      <c r="F127" s="129" t="s">
        <v>11</v>
      </c>
      <c r="G127" s="22" t="s">
        <v>12</v>
      </c>
      <c r="H127" s="19" t="s">
        <v>34</v>
      </c>
      <c r="I127" s="22"/>
      <c r="J127" s="316">
        <v>46202</v>
      </c>
      <c r="K127" s="129">
        <v>219970</v>
      </c>
      <c r="L127" s="129" t="s">
        <v>511</v>
      </c>
      <c r="M127" s="151">
        <v>46175</v>
      </c>
      <c r="N127" s="22">
        <v>100008</v>
      </c>
      <c r="O127" s="131">
        <v>100956</v>
      </c>
      <c r="P127" s="131">
        <v>23000</v>
      </c>
      <c r="Q127" s="182" t="s">
        <v>557</v>
      </c>
      <c r="R127" s="151">
        <v>46206</v>
      </c>
      <c r="S127" s="290" t="s">
        <v>389</v>
      </c>
      <c r="T127" s="59" t="str">
        <f t="shared" si="9"/>
        <v>REFILL NEW ISOTANK :NTTU1752748</v>
      </c>
    </row>
    <row r="128" spans="1:27" x14ac:dyDescent="0.45">
      <c r="A128" s="5" t="str">
        <f t="shared" si="14"/>
        <v>100381</v>
      </c>
      <c r="B128" s="5" t="str">
        <f t="shared" si="13"/>
        <v>DJEU0303699</v>
      </c>
      <c r="C128" s="188" t="s">
        <v>302</v>
      </c>
      <c r="D128" s="16" t="s">
        <v>54</v>
      </c>
      <c r="E128" s="16">
        <v>21250</v>
      </c>
      <c r="F128" s="129" t="s">
        <v>11</v>
      </c>
      <c r="G128" s="22" t="s">
        <v>12</v>
      </c>
      <c r="H128" s="19" t="s">
        <v>2</v>
      </c>
      <c r="I128" s="22"/>
      <c r="J128" s="130"/>
      <c r="K128" s="128">
        <v>220143</v>
      </c>
      <c r="L128" s="129" t="s">
        <v>511</v>
      </c>
      <c r="M128" s="151"/>
      <c r="N128" s="22">
        <v>100381</v>
      </c>
      <c r="O128" s="131"/>
      <c r="P128" s="131">
        <v>23000</v>
      </c>
      <c r="Q128" s="182"/>
      <c r="R128" s="151">
        <v>46153</v>
      </c>
      <c r="S128" s="290" t="s">
        <v>389</v>
      </c>
      <c r="T128" s="59" t="str">
        <f t="shared" si="9"/>
        <v>REFILL NEW ISOTANK :DJEU0303699</v>
      </c>
    </row>
    <row r="129" spans="1:20" x14ac:dyDescent="0.45">
      <c r="A129" s="5" t="str">
        <f t="shared" si="14"/>
        <v>100382</v>
      </c>
      <c r="B129" s="5" t="str">
        <f t="shared" si="13"/>
        <v>NTTU1752795</v>
      </c>
      <c r="C129" s="188" t="s">
        <v>302</v>
      </c>
      <c r="D129" s="16" t="s">
        <v>290</v>
      </c>
      <c r="E129" s="16">
        <v>20640</v>
      </c>
      <c r="F129" s="129" t="s">
        <v>11</v>
      </c>
      <c r="G129" s="22" t="s">
        <v>12</v>
      </c>
      <c r="H129" s="19" t="s">
        <v>2</v>
      </c>
      <c r="I129" s="22"/>
      <c r="J129" s="130"/>
      <c r="K129" s="128">
        <v>220143</v>
      </c>
      <c r="L129" s="129" t="s">
        <v>511</v>
      </c>
      <c r="M129" s="151"/>
      <c r="N129" s="22">
        <v>100382</v>
      </c>
      <c r="O129" s="131"/>
      <c r="P129" s="131">
        <v>23000</v>
      </c>
      <c r="Q129" s="182"/>
      <c r="R129" s="151">
        <v>46175</v>
      </c>
      <c r="S129" s="290" t="s">
        <v>389</v>
      </c>
      <c r="T129" s="59" t="str">
        <f t="shared" si="9"/>
        <v>REFILL NEW ISOTANK :NTTU1752795</v>
      </c>
    </row>
    <row r="130" spans="1:20" x14ac:dyDescent="0.45">
      <c r="A130" s="5" t="str">
        <f>TRIM(N130)</f>
        <v>99997</v>
      </c>
      <c r="B130" s="5" t="str">
        <f>TRIM(D130)</f>
        <v>SJIU2221578</v>
      </c>
      <c r="C130" s="188" t="s">
        <v>306</v>
      </c>
      <c r="D130" s="17" t="s">
        <v>163</v>
      </c>
      <c r="E130" s="16">
        <v>20870</v>
      </c>
      <c r="F130" s="129" t="s">
        <v>11</v>
      </c>
      <c r="G130" s="22" t="s">
        <v>12</v>
      </c>
      <c r="H130" s="19" t="s">
        <v>2</v>
      </c>
      <c r="I130" s="22"/>
      <c r="J130" s="130">
        <v>46208</v>
      </c>
      <c r="K130" s="129">
        <v>220198</v>
      </c>
      <c r="L130" s="129" t="s">
        <v>511</v>
      </c>
      <c r="M130" s="151"/>
      <c r="N130" s="22">
        <v>99997</v>
      </c>
      <c r="O130" s="22"/>
      <c r="P130" s="131">
        <v>23000</v>
      </c>
      <c r="Q130" s="182"/>
      <c r="R130" s="151">
        <v>46153</v>
      </c>
      <c r="S130" s="290" t="s">
        <v>389</v>
      </c>
      <c r="T130" s="59" t="str">
        <f>+S130&amp;D130</f>
        <v>REFILL NEW ISOTANK :SJIU2221578</v>
      </c>
    </row>
    <row r="131" spans="1:20" x14ac:dyDescent="0.45">
      <c r="A131" s="5" t="str">
        <f t="shared" ref="A131:A132" si="15">TRIM(N131)</f>
        <v>100002</v>
      </c>
      <c r="B131" s="5" t="str">
        <f t="shared" ref="B131:B132" si="16">TRIM(D131)</f>
        <v>SJIU2322059</v>
      </c>
      <c r="C131" s="188" t="s">
        <v>306</v>
      </c>
      <c r="D131" s="309" t="s">
        <v>256</v>
      </c>
      <c r="E131" s="16">
        <v>20940</v>
      </c>
      <c r="F131" s="129" t="s">
        <v>11</v>
      </c>
      <c r="G131" s="22" t="s">
        <v>12</v>
      </c>
      <c r="H131" s="19" t="s">
        <v>2</v>
      </c>
      <c r="I131" s="22"/>
      <c r="J131" s="316">
        <v>46209</v>
      </c>
      <c r="K131" s="129">
        <v>220379</v>
      </c>
      <c r="L131" s="129" t="s">
        <v>511</v>
      </c>
      <c r="M131" s="151"/>
      <c r="N131" s="22">
        <v>100002</v>
      </c>
      <c r="O131" s="22"/>
      <c r="P131" s="131">
        <v>23000</v>
      </c>
      <c r="Q131" s="182"/>
      <c r="R131" s="151">
        <v>46153</v>
      </c>
      <c r="S131" s="290" t="s">
        <v>389</v>
      </c>
      <c r="T131" s="59" t="str">
        <f t="shared" ref="T131:T132" si="17">+S131&amp;D131</f>
        <v>REFILL NEW ISOTANK :SJIU2322059</v>
      </c>
    </row>
    <row r="132" spans="1:20" x14ac:dyDescent="0.45">
      <c r="A132" s="5" t="str">
        <f t="shared" si="15"/>
        <v>100011</v>
      </c>
      <c r="B132" s="5" t="str">
        <f t="shared" si="16"/>
        <v>DJEU0303765</v>
      </c>
      <c r="C132" s="188" t="s">
        <v>302</v>
      </c>
      <c r="D132" s="16" t="s">
        <v>144</v>
      </c>
      <c r="E132" s="16">
        <v>20960</v>
      </c>
      <c r="F132" s="129" t="s">
        <v>11</v>
      </c>
      <c r="G132" s="22" t="s">
        <v>12</v>
      </c>
      <c r="H132" s="19" t="s">
        <v>2</v>
      </c>
      <c r="I132" s="22"/>
      <c r="J132" s="130">
        <v>46208</v>
      </c>
      <c r="K132" s="129">
        <v>220379</v>
      </c>
      <c r="L132" s="129" t="s">
        <v>511</v>
      </c>
      <c r="M132" s="151"/>
      <c r="N132" s="22">
        <v>100011</v>
      </c>
      <c r="O132" s="131"/>
      <c r="P132" s="131">
        <v>23000</v>
      </c>
      <c r="Q132" s="182"/>
      <c r="R132" s="151">
        <v>46153</v>
      </c>
      <c r="S132" s="290" t="s">
        <v>389</v>
      </c>
      <c r="T132" s="59" t="str">
        <f t="shared" si="17"/>
        <v>REFILL NEW ISOTANK :DJEU0303765</v>
      </c>
    </row>
    <row r="133" spans="1:20" x14ac:dyDescent="0.45">
      <c r="A133" s="5" t="str">
        <f t="shared" si="14"/>
        <v>100006</v>
      </c>
      <c r="B133" s="5" t="str">
        <f t="shared" si="13"/>
        <v>DJEU0303929</v>
      </c>
      <c r="C133" s="188" t="s">
        <v>302</v>
      </c>
      <c r="D133" s="17" t="s">
        <v>253</v>
      </c>
      <c r="E133" s="16">
        <v>19890</v>
      </c>
      <c r="F133" s="129" t="s">
        <v>11</v>
      </c>
      <c r="G133" s="22" t="s">
        <v>29</v>
      </c>
      <c r="H133" s="19" t="s">
        <v>16</v>
      </c>
      <c r="I133" s="22"/>
      <c r="J133" s="316"/>
      <c r="K133" s="129"/>
      <c r="L133" s="129" t="s">
        <v>511</v>
      </c>
      <c r="M133" s="151"/>
      <c r="N133" s="22">
        <v>100006</v>
      </c>
      <c r="O133" s="22"/>
      <c r="P133" s="131">
        <v>23000</v>
      </c>
      <c r="Q133" s="182"/>
      <c r="R133" s="151">
        <v>46153</v>
      </c>
      <c r="S133" s="290" t="s">
        <v>389</v>
      </c>
      <c r="T133" s="59" t="str">
        <f t="shared" si="9"/>
        <v>REFILL NEW ISOTANK :DJEU0303929</v>
      </c>
    </row>
    <row r="134" spans="1:20" x14ac:dyDescent="0.45">
      <c r="A134" s="5" t="str">
        <f t="shared" si="14"/>
        <v>100007</v>
      </c>
      <c r="B134" s="5" t="str">
        <f t="shared" si="13"/>
        <v>DJEU0303913</v>
      </c>
      <c r="C134" s="188" t="s">
        <v>302</v>
      </c>
      <c r="D134" s="17" t="s">
        <v>242</v>
      </c>
      <c r="E134" s="16">
        <v>20080</v>
      </c>
      <c r="F134" s="129" t="s">
        <v>11</v>
      </c>
      <c r="G134" s="22" t="s">
        <v>12</v>
      </c>
      <c r="H134" s="19" t="s">
        <v>16</v>
      </c>
      <c r="I134" s="22"/>
      <c r="J134" s="307">
        <v>46215</v>
      </c>
      <c r="K134" s="129">
        <v>220487</v>
      </c>
      <c r="L134" s="129" t="s">
        <v>511</v>
      </c>
      <c r="M134" s="151"/>
      <c r="N134" s="22">
        <v>100007</v>
      </c>
      <c r="O134" s="22"/>
      <c r="P134" s="131">
        <v>23000</v>
      </c>
      <c r="Q134" s="182"/>
      <c r="R134" s="151">
        <v>46153</v>
      </c>
      <c r="S134" s="290" t="s">
        <v>389</v>
      </c>
      <c r="T134" s="59" t="str">
        <f t="shared" si="9"/>
        <v>REFILL NEW ISOTANK :DJEU0303913</v>
      </c>
    </row>
    <row r="135" spans="1:20" x14ac:dyDescent="0.45">
      <c r="A135" s="5" t="str">
        <f t="shared" si="14"/>
        <v>100010</v>
      </c>
      <c r="B135" s="5" t="str">
        <f t="shared" si="13"/>
        <v>DJEU0303791</v>
      </c>
      <c r="C135" s="188" t="s">
        <v>302</v>
      </c>
      <c r="D135" s="309" t="s">
        <v>151</v>
      </c>
      <c r="E135" s="16">
        <v>21320</v>
      </c>
      <c r="F135" s="129" t="s">
        <v>11</v>
      </c>
      <c r="G135" s="22" t="s">
        <v>12</v>
      </c>
      <c r="H135" s="19" t="s">
        <v>2</v>
      </c>
      <c r="I135" s="22"/>
      <c r="J135" s="316">
        <v>46210</v>
      </c>
      <c r="K135" s="129">
        <v>220379</v>
      </c>
      <c r="L135" s="129" t="s">
        <v>511</v>
      </c>
      <c r="M135" s="151"/>
      <c r="N135" s="22">
        <v>100010</v>
      </c>
      <c r="O135" s="22"/>
      <c r="P135" s="131">
        <v>23000</v>
      </c>
      <c r="Q135" s="182"/>
      <c r="R135" s="151">
        <v>46153</v>
      </c>
      <c r="S135" s="290" t="s">
        <v>389</v>
      </c>
      <c r="T135" s="59" t="str">
        <f t="shared" si="9"/>
        <v>REFILL NEW ISOTANK :DJEU0303791</v>
      </c>
    </row>
    <row r="136" spans="1:20" x14ac:dyDescent="0.45">
      <c r="A136" s="5" t="str">
        <f t="shared" si="14"/>
        <v>100337</v>
      </c>
      <c r="B136" s="5" t="str">
        <f t="shared" si="13"/>
        <v>NTTU1754550</v>
      </c>
      <c r="C136" s="188" t="s">
        <v>433</v>
      </c>
      <c r="D136" s="16" t="s">
        <v>512</v>
      </c>
      <c r="E136" s="16">
        <v>25000</v>
      </c>
      <c r="F136" s="129" t="s">
        <v>11</v>
      </c>
      <c r="G136" s="22" t="s">
        <v>29</v>
      </c>
      <c r="H136" s="19" t="s">
        <v>2</v>
      </c>
      <c r="I136" s="22"/>
      <c r="J136" s="130"/>
      <c r="K136" s="128"/>
      <c r="L136" s="129" t="s">
        <v>556</v>
      </c>
      <c r="M136" s="151"/>
      <c r="N136" s="22">
        <v>100337</v>
      </c>
      <c r="O136" s="131"/>
      <c r="P136" s="375">
        <v>25000</v>
      </c>
      <c r="Q136" s="182"/>
      <c r="R136" s="151">
        <v>46170</v>
      </c>
      <c r="S136" s="290" t="s">
        <v>389</v>
      </c>
      <c r="T136" s="59" t="str">
        <f t="shared" ref="T136:T185" si="18">+S136&amp;D136</f>
        <v>REFILL NEW ISOTANK :NTTU1754550</v>
      </c>
    </row>
    <row r="137" spans="1:20" outlineLevel="1" x14ac:dyDescent="0.45">
      <c r="A137" s="5" t="str">
        <f t="shared" si="14"/>
        <v>100386</v>
      </c>
      <c r="B137" s="5" t="str">
        <f t="shared" si="13"/>
        <v>DJEU0303852</v>
      </c>
      <c r="C137" s="294" t="s">
        <v>302</v>
      </c>
      <c r="D137" s="16" t="s">
        <v>175</v>
      </c>
      <c r="E137" s="16">
        <v>21250</v>
      </c>
      <c r="F137" s="129" t="s">
        <v>11</v>
      </c>
      <c r="G137" s="22" t="s">
        <v>29</v>
      </c>
      <c r="H137" s="19" t="s">
        <v>2</v>
      </c>
      <c r="I137" s="66"/>
      <c r="J137" s="130"/>
      <c r="K137" s="128"/>
      <c r="L137" s="129" t="s">
        <v>556</v>
      </c>
      <c r="M137" s="151"/>
      <c r="N137" s="22">
        <v>100386</v>
      </c>
      <c r="O137" s="131"/>
      <c r="P137" s="131">
        <v>23000</v>
      </c>
      <c r="Q137" s="182"/>
      <c r="R137" s="151">
        <v>46175</v>
      </c>
      <c r="S137" s="290" t="s">
        <v>389</v>
      </c>
      <c r="T137" s="59" t="str">
        <f t="shared" si="18"/>
        <v>REFILL NEW ISOTANK :DJEU0303852</v>
      </c>
    </row>
    <row r="138" spans="1:20" outlineLevel="1" x14ac:dyDescent="0.45">
      <c r="A138" s="5" t="str">
        <f t="shared" si="14"/>
        <v>100391</v>
      </c>
      <c r="B138" s="5" t="str">
        <f t="shared" si="13"/>
        <v>DJEU0303641</v>
      </c>
      <c r="C138" s="294" t="s">
        <v>302</v>
      </c>
      <c r="D138" s="16" t="s">
        <v>10</v>
      </c>
      <c r="E138" s="16">
        <v>21370</v>
      </c>
      <c r="F138" s="129" t="s">
        <v>11</v>
      </c>
      <c r="G138" s="22" t="s">
        <v>29</v>
      </c>
      <c r="H138" s="19" t="s">
        <v>2</v>
      </c>
      <c r="I138" s="66"/>
      <c r="J138" s="130"/>
      <c r="K138" s="128"/>
      <c r="L138" s="129" t="s">
        <v>556</v>
      </c>
      <c r="M138" s="151"/>
      <c r="N138" s="22">
        <v>100391</v>
      </c>
      <c r="O138" s="131"/>
      <c r="P138" s="131">
        <v>23000</v>
      </c>
      <c r="Q138" s="182"/>
      <c r="R138" s="376">
        <v>46175</v>
      </c>
      <c r="S138" s="290" t="s">
        <v>389</v>
      </c>
      <c r="T138" s="59" t="str">
        <f t="shared" si="18"/>
        <v>REFILL NEW ISOTANK :DJEU0303641</v>
      </c>
    </row>
    <row r="139" spans="1:20" outlineLevel="1" x14ac:dyDescent="0.45">
      <c r="A139" s="5" t="str">
        <f t="shared" si="14"/>
        <v>100390</v>
      </c>
      <c r="B139" s="5" t="str">
        <f t="shared" si="13"/>
        <v>DJEU0303770</v>
      </c>
      <c r="C139" s="294" t="s">
        <v>302</v>
      </c>
      <c r="D139" s="16" t="s">
        <v>157</v>
      </c>
      <c r="E139" s="16">
        <v>21240</v>
      </c>
      <c r="F139" s="129" t="s">
        <v>11</v>
      </c>
      <c r="G139" s="22" t="s">
        <v>12</v>
      </c>
      <c r="H139" s="19" t="s">
        <v>2</v>
      </c>
      <c r="I139" s="66"/>
      <c r="J139" s="130">
        <v>46211</v>
      </c>
      <c r="K139" s="129">
        <v>220379</v>
      </c>
      <c r="L139" s="129" t="s">
        <v>556</v>
      </c>
      <c r="M139" s="151"/>
      <c r="N139" s="22">
        <v>100390</v>
      </c>
      <c r="O139" s="131"/>
      <c r="P139" s="131">
        <v>23000</v>
      </c>
      <c r="Q139" s="182"/>
      <c r="R139" s="376">
        <v>46175</v>
      </c>
      <c r="S139" s="290" t="s">
        <v>389</v>
      </c>
      <c r="T139" s="59" t="str">
        <f t="shared" si="18"/>
        <v>REFILL NEW ISOTANK :DJEU0303770</v>
      </c>
    </row>
    <row r="140" spans="1:20" outlineLevel="1" x14ac:dyDescent="0.45">
      <c r="A140" s="5" t="str">
        <f t="shared" si="14"/>
        <v>100388</v>
      </c>
      <c r="B140" s="5" t="str">
        <f t="shared" si="13"/>
        <v>DJEU0303636</v>
      </c>
      <c r="C140" s="294" t="s">
        <v>302</v>
      </c>
      <c r="D140" s="16" t="s">
        <v>13</v>
      </c>
      <c r="E140" s="16">
        <v>20030</v>
      </c>
      <c r="F140" s="129" t="s">
        <v>11</v>
      </c>
      <c r="G140" s="22" t="s">
        <v>29</v>
      </c>
      <c r="H140" s="19" t="s">
        <v>2</v>
      </c>
      <c r="I140" s="66"/>
      <c r="J140" s="130"/>
      <c r="K140" s="128"/>
      <c r="L140" s="129" t="s">
        <v>556</v>
      </c>
      <c r="M140" s="151"/>
      <c r="N140" s="22">
        <v>100388</v>
      </c>
      <c r="O140" s="131"/>
      <c r="P140" s="131">
        <v>23000</v>
      </c>
      <c r="Q140" s="182"/>
      <c r="R140" s="376">
        <v>46175</v>
      </c>
      <c r="S140" s="290" t="s">
        <v>389</v>
      </c>
      <c r="T140" s="59" t="str">
        <f t="shared" si="18"/>
        <v>REFILL NEW ISOTANK :DJEU0303636</v>
      </c>
    </row>
    <row r="141" spans="1:20" outlineLevel="1" x14ac:dyDescent="0.45">
      <c r="A141" s="5" t="str">
        <f t="shared" si="14"/>
        <v>100389</v>
      </c>
      <c r="B141" s="5" t="str">
        <f t="shared" si="13"/>
        <v>DJEU0303718</v>
      </c>
      <c r="C141" s="294" t="s">
        <v>302</v>
      </c>
      <c r="D141" s="16" t="s">
        <v>53</v>
      </c>
      <c r="E141" s="16">
        <v>21530</v>
      </c>
      <c r="F141" s="129" t="s">
        <v>11</v>
      </c>
      <c r="G141" s="22" t="s">
        <v>29</v>
      </c>
      <c r="H141" s="19" t="s">
        <v>16</v>
      </c>
      <c r="I141" s="66"/>
      <c r="J141" s="130"/>
      <c r="K141" s="128"/>
      <c r="L141" s="129" t="s">
        <v>556</v>
      </c>
      <c r="M141" s="151"/>
      <c r="N141" s="22">
        <v>100389</v>
      </c>
      <c r="O141" s="131"/>
      <c r="P141" s="131">
        <v>23000</v>
      </c>
      <c r="Q141" s="182"/>
      <c r="R141" s="376">
        <v>46175</v>
      </c>
      <c r="S141" s="290" t="s">
        <v>389</v>
      </c>
      <c r="T141" s="59" t="str">
        <f t="shared" si="18"/>
        <v>REFILL NEW ISOTANK :DJEU0303718</v>
      </c>
    </row>
    <row r="142" spans="1:20" outlineLevel="1" x14ac:dyDescent="0.45">
      <c r="A142" s="5" t="str">
        <f t="shared" si="14"/>
        <v>100288</v>
      </c>
      <c r="B142" s="5" t="str">
        <f t="shared" si="13"/>
        <v>NTTU1753702</v>
      </c>
      <c r="C142" s="188" t="s">
        <v>433</v>
      </c>
      <c r="D142" s="97" t="s">
        <v>363</v>
      </c>
      <c r="E142" s="16">
        <v>20640</v>
      </c>
      <c r="F142" s="129" t="s">
        <v>11</v>
      </c>
      <c r="G142" s="22" t="s">
        <v>12</v>
      </c>
      <c r="H142" s="19" t="s">
        <v>2</v>
      </c>
      <c r="I142" s="66"/>
      <c r="J142" s="130" t="s">
        <v>579</v>
      </c>
      <c r="K142" s="128">
        <v>220487</v>
      </c>
      <c r="L142" s="129" t="s">
        <v>556</v>
      </c>
      <c r="M142" s="151"/>
      <c r="N142" s="22">
        <v>100288</v>
      </c>
      <c r="O142" s="131"/>
      <c r="P142" s="131"/>
      <c r="Q142" s="182"/>
      <c r="R142" s="376">
        <v>46168</v>
      </c>
      <c r="S142" s="290" t="s">
        <v>389</v>
      </c>
      <c r="T142" s="59" t="str">
        <f t="shared" si="18"/>
        <v>REFILL NEW ISOTANK :NTTU1753702</v>
      </c>
    </row>
    <row r="143" spans="1:20" outlineLevel="1" x14ac:dyDescent="0.45">
      <c r="A143" s="5" t="str">
        <f t="shared" si="14"/>
        <v>100292</v>
      </c>
      <c r="B143" s="5" t="str">
        <f t="shared" si="13"/>
        <v>NTTU1753723</v>
      </c>
      <c r="C143" s="188" t="s">
        <v>433</v>
      </c>
      <c r="D143" s="16" t="s">
        <v>366</v>
      </c>
      <c r="E143" s="16">
        <v>20250</v>
      </c>
      <c r="F143" s="129" t="s">
        <v>11</v>
      </c>
      <c r="G143" s="22" t="s">
        <v>12</v>
      </c>
      <c r="H143" s="19" t="s">
        <v>2</v>
      </c>
      <c r="I143" s="66"/>
      <c r="J143" s="130" t="s">
        <v>579</v>
      </c>
      <c r="K143" s="128">
        <v>220487</v>
      </c>
      <c r="L143" s="129" t="s">
        <v>556</v>
      </c>
      <c r="M143" s="151"/>
      <c r="N143" s="22">
        <v>100292</v>
      </c>
      <c r="O143" s="131"/>
      <c r="P143" s="131"/>
      <c r="Q143" s="182"/>
      <c r="R143" s="376">
        <v>46168</v>
      </c>
      <c r="S143" s="290" t="s">
        <v>389</v>
      </c>
      <c r="T143" s="59" t="str">
        <f t="shared" si="18"/>
        <v>REFILL NEW ISOTANK :NTTU1753723</v>
      </c>
    </row>
    <row r="144" spans="1:20" outlineLevel="1" x14ac:dyDescent="0.45">
      <c r="A144" s="5" t="str">
        <f t="shared" si="14"/>
        <v>100291</v>
      </c>
      <c r="B144" s="5" t="str">
        <f t="shared" si="13"/>
        <v>SJIU2322022</v>
      </c>
      <c r="C144" s="188" t="s">
        <v>433</v>
      </c>
      <c r="D144" s="16" t="s">
        <v>232</v>
      </c>
      <c r="E144" s="16">
        <v>21070</v>
      </c>
      <c r="F144" s="129" t="s">
        <v>11</v>
      </c>
      <c r="G144" s="22" t="s">
        <v>503</v>
      </c>
      <c r="H144" s="19" t="s">
        <v>2</v>
      </c>
      <c r="I144" s="66"/>
      <c r="J144" s="130"/>
      <c r="K144" s="128"/>
      <c r="L144" s="129" t="s">
        <v>556</v>
      </c>
      <c r="M144" s="151"/>
      <c r="N144" s="22">
        <v>100291</v>
      </c>
      <c r="O144" s="131"/>
      <c r="P144" s="131"/>
      <c r="Q144" s="182"/>
      <c r="R144" s="376">
        <v>46168</v>
      </c>
      <c r="S144" s="290" t="s">
        <v>389</v>
      </c>
      <c r="T144" s="59" t="str">
        <f t="shared" si="18"/>
        <v>REFILL NEW ISOTANK :SJIU2322022</v>
      </c>
    </row>
    <row r="145" spans="1:20" outlineLevel="1" x14ac:dyDescent="0.45">
      <c r="A145" s="5" t="str">
        <f t="shared" si="14"/>
        <v>100289</v>
      </c>
      <c r="B145" s="5" t="str">
        <f t="shared" si="13"/>
        <v>SJIU2322038</v>
      </c>
      <c r="C145" s="188" t="s">
        <v>433</v>
      </c>
      <c r="D145" s="16" t="s">
        <v>233</v>
      </c>
      <c r="E145" s="16">
        <v>20130</v>
      </c>
      <c r="F145" s="129" t="s">
        <v>11</v>
      </c>
      <c r="G145" s="22" t="s">
        <v>29</v>
      </c>
      <c r="H145" s="19" t="s">
        <v>16</v>
      </c>
      <c r="I145" s="66"/>
      <c r="J145" s="130"/>
      <c r="K145" s="128"/>
      <c r="L145" s="129" t="s">
        <v>556</v>
      </c>
      <c r="M145" s="151"/>
      <c r="N145" s="22">
        <v>100289</v>
      </c>
      <c r="O145" s="131"/>
      <c r="P145" s="131"/>
      <c r="Q145" s="182"/>
      <c r="R145" s="376">
        <v>46168</v>
      </c>
      <c r="S145" s="290" t="s">
        <v>389</v>
      </c>
      <c r="T145" s="59" t="str">
        <f t="shared" si="18"/>
        <v>REFILL NEW ISOTANK :SJIU2322038</v>
      </c>
    </row>
    <row r="146" spans="1:20" outlineLevel="2" x14ac:dyDescent="0.45">
      <c r="A146" s="5" t="str">
        <f t="shared" si="14"/>
        <v>100383</v>
      </c>
      <c r="B146" s="5" t="str">
        <f t="shared" si="13"/>
        <v>DJEU0303810</v>
      </c>
      <c r="C146" s="294" t="s">
        <v>302</v>
      </c>
      <c r="D146" s="16" t="s">
        <v>159</v>
      </c>
      <c r="E146" s="16">
        <v>21300</v>
      </c>
      <c r="F146" s="129" t="s">
        <v>11</v>
      </c>
      <c r="G146" s="22" t="s">
        <v>29</v>
      </c>
      <c r="H146" s="19" t="s">
        <v>2</v>
      </c>
      <c r="I146" s="66"/>
      <c r="J146" s="130"/>
      <c r="K146" s="128"/>
      <c r="L146" s="129" t="s">
        <v>556</v>
      </c>
      <c r="M146" s="151"/>
      <c r="N146" s="22">
        <v>100383</v>
      </c>
      <c r="O146" s="131"/>
      <c r="P146" s="131">
        <v>23000</v>
      </c>
      <c r="Q146" s="182"/>
      <c r="R146" s="376">
        <v>46175</v>
      </c>
      <c r="S146" s="290" t="s">
        <v>389</v>
      </c>
      <c r="T146" s="59" t="str">
        <f t="shared" si="18"/>
        <v>REFILL NEW ISOTANK :DJEU0303810</v>
      </c>
    </row>
    <row r="147" spans="1:20" outlineLevel="1" x14ac:dyDescent="0.45">
      <c r="A147" s="5" t="str">
        <f t="shared" si="14"/>
        <v>100385</v>
      </c>
      <c r="B147" s="5" t="str">
        <f t="shared" si="13"/>
        <v>DJEU0303826</v>
      </c>
      <c r="C147" s="294" t="s">
        <v>302</v>
      </c>
      <c r="D147" s="16" t="s">
        <v>158</v>
      </c>
      <c r="E147" s="16">
        <v>20250</v>
      </c>
      <c r="F147" s="129" t="s">
        <v>11</v>
      </c>
      <c r="G147" s="22" t="s">
        <v>503</v>
      </c>
      <c r="H147" s="19" t="s">
        <v>2</v>
      </c>
      <c r="I147" s="66"/>
      <c r="J147" s="130"/>
      <c r="K147" s="128"/>
      <c r="L147" s="129" t="s">
        <v>556</v>
      </c>
      <c r="M147" s="151"/>
      <c r="N147" s="22">
        <v>100385</v>
      </c>
      <c r="O147" s="131"/>
      <c r="P147" s="131">
        <v>23000</v>
      </c>
      <c r="Q147" s="182"/>
      <c r="R147" s="376"/>
      <c r="S147" s="290" t="s">
        <v>389</v>
      </c>
      <c r="T147" s="59" t="str">
        <f t="shared" si="18"/>
        <v>REFILL NEW ISOTANK :DJEU0303826</v>
      </c>
    </row>
    <row r="148" spans="1:20" outlineLevel="1" x14ac:dyDescent="0.45">
      <c r="A148" s="5" t="str">
        <f t="shared" si="14"/>
        <v>100384</v>
      </c>
      <c r="B148" s="5" t="str">
        <f t="shared" si="13"/>
        <v>NTTU1752711</v>
      </c>
      <c r="C148" s="188" t="s">
        <v>433</v>
      </c>
      <c r="D148" s="16" t="s">
        <v>312</v>
      </c>
      <c r="E148" s="16">
        <v>20350</v>
      </c>
      <c r="F148" s="129" t="s">
        <v>11</v>
      </c>
      <c r="G148" s="22" t="s">
        <v>29</v>
      </c>
      <c r="H148" s="19" t="s">
        <v>2</v>
      </c>
      <c r="I148" s="66"/>
      <c r="J148" s="130"/>
      <c r="K148" s="128"/>
      <c r="L148" s="129" t="s">
        <v>556</v>
      </c>
      <c r="M148" s="151"/>
      <c r="N148" s="22">
        <v>100384</v>
      </c>
      <c r="O148" s="131"/>
      <c r="P148" s="131"/>
      <c r="Q148" s="182"/>
      <c r="R148" s="376"/>
      <c r="S148" s="290" t="s">
        <v>389</v>
      </c>
      <c r="T148" s="59" t="str">
        <f t="shared" si="18"/>
        <v>REFILL NEW ISOTANK :NTTU1752711</v>
      </c>
    </row>
    <row r="149" spans="1:20" outlineLevel="1" x14ac:dyDescent="0.45">
      <c r="A149" s="5" t="str">
        <f t="shared" si="14"/>
        <v>100387</v>
      </c>
      <c r="B149" s="5" t="str">
        <f t="shared" si="13"/>
        <v>NTTU1752692</v>
      </c>
      <c r="C149" s="188" t="s">
        <v>433</v>
      </c>
      <c r="D149" s="16" t="s">
        <v>292</v>
      </c>
      <c r="E149" s="16">
        <v>20660</v>
      </c>
      <c r="F149" s="129" t="s">
        <v>11</v>
      </c>
      <c r="G149" s="22" t="s">
        <v>29</v>
      </c>
      <c r="H149" s="19" t="s">
        <v>2</v>
      </c>
      <c r="I149" s="66"/>
      <c r="J149" s="130"/>
      <c r="K149" s="128"/>
      <c r="L149" s="129" t="s">
        <v>556</v>
      </c>
      <c r="M149" s="151"/>
      <c r="N149" s="22">
        <v>100387</v>
      </c>
      <c r="O149" s="131"/>
      <c r="P149" s="131"/>
      <c r="Q149" s="182"/>
      <c r="R149" s="376"/>
      <c r="S149" s="290" t="s">
        <v>389</v>
      </c>
      <c r="T149" s="59" t="str">
        <f t="shared" si="18"/>
        <v>REFILL NEW ISOTANK :NTTU1752692</v>
      </c>
    </row>
    <row r="150" spans="1:20" x14ac:dyDescent="0.45">
      <c r="A150" s="5" t="str">
        <f t="shared" si="14"/>
        <v>100106</v>
      </c>
      <c r="B150" s="5" t="str">
        <f t="shared" si="13"/>
        <v>NTTU1754566</v>
      </c>
      <c r="C150" s="188" t="s">
        <v>525</v>
      </c>
      <c r="D150" s="16" t="s">
        <v>521</v>
      </c>
      <c r="E150" s="16">
        <v>25000</v>
      </c>
      <c r="F150" s="129" t="s">
        <v>11</v>
      </c>
      <c r="G150" s="22" t="s">
        <v>29</v>
      </c>
      <c r="H150" s="19" t="s">
        <v>2</v>
      </c>
      <c r="I150" s="66"/>
      <c r="J150" s="130"/>
      <c r="K150" s="128"/>
      <c r="L150" s="129" t="s">
        <v>556</v>
      </c>
      <c r="M150" s="151"/>
      <c r="N150" s="22">
        <v>100106</v>
      </c>
      <c r="O150" s="131"/>
      <c r="P150" s="131">
        <v>25000</v>
      </c>
      <c r="Q150" s="182"/>
      <c r="R150" s="376">
        <v>46159</v>
      </c>
      <c r="S150" s="290" t="s">
        <v>389</v>
      </c>
      <c r="T150" s="59" t="str">
        <f t="shared" si="18"/>
        <v>REFILL NEW ISOTANK :NTTU1754566</v>
      </c>
    </row>
    <row r="151" spans="1:20" x14ac:dyDescent="0.45">
      <c r="A151" s="5" t="str">
        <f t="shared" si="14"/>
        <v>100107</v>
      </c>
      <c r="B151" s="5" t="str">
        <f t="shared" ref="B151:B221" si="19">TRIM(D151)</f>
        <v>NTTU1754490</v>
      </c>
      <c r="C151" s="188" t="s">
        <v>525</v>
      </c>
      <c r="D151" s="16" t="s">
        <v>522</v>
      </c>
      <c r="E151" s="16">
        <v>25000</v>
      </c>
      <c r="F151" s="129" t="s">
        <v>11</v>
      </c>
      <c r="G151" s="22" t="s">
        <v>29</v>
      </c>
      <c r="H151" s="19" t="s">
        <v>2</v>
      </c>
      <c r="I151" s="66"/>
      <c r="J151" s="130"/>
      <c r="K151" s="128"/>
      <c r="L151" s="129" t="s">
        <v>556</v>
      </c>
      <c r="M151" s="151"/>
      <c r="N151" s="22">
        <v>100107</v>
      </c>
      <c r="O151" s="131"/>
      <c r="P151" s="131">
        <v>25000</v>
      </c>
      <c r="Q151" s="182"/>
      <c r="R151" s="376">
        <v>46159</v>
      </c>
      <c r="S151" s="290" t="s">
        <v>389</v>
      </c>
      <c r="T151" s="59" t="str">
        <f t="shared" si="18"/>
        <v>REFILL NEW ISOTANK :NTTU1754490</v>
      </c>
    </row>
    <row r="152" spans="1:20" x14ac:dyDescent="0.45">
      <c r="A152" s="5" t="str">
        <f t="shared" si="14"/>
        <v>100281</v>
      </c>
      <c r="B152" s="5" t="str">
        <f t="shared" si="19"/>
        <v>NTTU1754503</v>
      </c>
      <c r="C152" s="188" t="s">
        <v>525</v>
      </c>
      <c r="D152" s="16" t="s">
        <v>523</v>
      </c>
      <c r="E152" s="16">
        <v>25000</v>
      </c>
      <c r="F152" s="129" t="s">
        <v>11</v>
      </c>
      <c r="G152" s="22" t="s">
        <v>29</v>
      </c>
      <c r="H152" s="19" t="s">
        <v>2</v>
      </c>
      <c r="I152" s="66"/>
      <c r="J152" s="130"/>
      <c r="K152" s="128"/>
      <c r="L152" s="129" t="s">
        <v>556</v>
      </c>
      <c r="M152" s="151"/>
      <c r="N152" s="22">
        <v>100281</v>
      </c>
      <c r="O152" s="131"/>
      <c r="P152" s="131">
        <v>25000</v>
      </c>
      <c r="Q152" s="182"/>
      <c r="R152" s="376">
        <v>46167</v>
      </c>
      <c r="S152" s="290" t="s">
        <v>389</v>
      </c>
      <c r="T152" s="59" t="str">
        <f t="shared" si="18"/>
        <v>REFILL NEW ISOTANK :NTTU1754503</v>
      </c>
    </row>
    <row r="153" spans="1:20" x14ac:dyDescent="0.45">
      <c r="A153" s="5" t="str">
        <f t="shared" si="14"/>
        <v>100281</v>
      </c>
      <c r="B153" s="5" t="str">
        <f t="shared" si="19"/>
        <v>NTTU1754458</v>
      </c>
      <c r="C153" s="188" t="s">
        <v>525</v>
      </c>
      <c r="D153" s="16" t="s">
        <v>524</v>
      </c>
      <c r="E153" s="16">
        <v>25000</v>
      </c>
      <c r="F153" s="129" t="s">
        <v>11</v>
      </c>
      <c r="G153" s="22" t="s">
        <v>29</v>
      </c>
      <c r="H153" s="19" t="s">
        <v>2</v>
      </c>
      <c r="I153" s="66"/>
      <c r="J153" s="130"/>
      <c r="K153" s="128"/>
      <c r="L153" s="129" t="s">
        <v>556</v>
      </c>
      <c r="M153" s="151"/>
      <c r="N153" s="22">
        <v>100281</v>
      </c>
      <c r="O153" s="131"/>
      <c r="P153" s="131">
        <v>25000</v>
      </c>
      <c r="Q153" s="182"/>
      <c r="R153" s="376">
        <v>46167</v>
      </c>
      <c r="S153" s="290" t="s">
        <v>389</v>
      </c>
      <c r="T153" s="59" t="str">
        <f t="shared" si="18"/>
        <v>REFILL NEW ISOTANK :NTTU1754458</v>
      </c>
    </row>
    <row r="154" spans="1:20" x14ac:dyDescent="0.45">
      <c r="A154" s="5" t="str">
        <f t="shared" si="14"/>
        <v>100281</v>
      </c>
      <c r="B154" s="5" t="str">
        <f t="shared" si="19"/>
        <v>SJIU2422633</v>
      </c>
      <c r="C154" s="188" t="s">
        <v>525</v>
      </c>
      <c r="D154" s="16" t="s">
        <v>399</v>
      </c>
      <c r="E154" s="16">
        <v>20150</v>
      </c>
      <c r="F154" s="129" t="s">
        <v>11</v>
      </c>
      <c r="G154" s="22" t="s">
        <v>29</v>
      </c>
      <c r="H154" s="19" t="s">
        <v>535</v>
      </c>
      <c r="I154" s="66"/>
      <c r="J154" s="130"/>
      <c r="K154" s="128"/>
      <c r="L154" s="129" t="s">
        <v>566</v>
      </c>
      <c r="M154" s="151"/>
      <c r="N154" s="22">
        <v>100281</v>
      </c>
      <c r="O154" s="131"/>
      <c r="P154" s="131">
        <v>25000</v>
      </c>
      <c r="Q154" s="182"/>
      <c r="R154" s="376">
        <v>46167</v>
      </c>
      <c r="S154" s="290" t="s">
        <v>389</v>
      </c>
      <c r="T154" s="59" t="str">
        <f t="shared" si="18"/>
        <v>REFILL NEW ISOTANK :SJIU2422633</v>
      </c>
    </row>
    <row r="155" spans="1:20" x14ac:dyDescent="0.45">
      <c r="A155" s="5" t="str">
        <f t="shared" si="14"/>
        <v>100281</v>
      </c>
      <c r="B155" s="5" t="str">
        <f t="shared" si="19"/>
        <v>SJIU2422628</v>
      </c>
      <c r="C155" s="188" t="s">
        <v>525</v>
      </c>
      <c r="D155" s="16" t="s">
        <v>392</v>
      </c>
      <c r="E155" s="16">
        <v>20090</v>
      </c>
      <c r="F155" s="129" t="s">
        <v>11</v>
      </c>
      <c r="G155" s="22" t="s">
        <v>29</v>
      </c>
      <c r="H155" s="19" t="s">
        <v>535</v>
      </c>
      <c r="I155" s="66"/>
      <c r="J155" s="130"/>
      <c r="K155" s="128"/>
      <c r="L155" s="129" t="s">
        <v>566</v>
      </c>
      <c r="M155" s="151"/>
      <c r="N155" s="22">
        <v>100281</v>
      </c>
      <c r="O155" s="131"/>
      <c r="P155" s="131">
        <v>25000</v>
      </c>
      <c r="Q155" s="182"/>
      <c r="R155" s="376">
        <v>46167</v>
      </c>
      <c r="S155" s="290" t="s">
        <v>389</v>
      </c>
      <c r="T155" s="59" t="str">
        <f t="shared" si="18"/>
        <v>REFILL NEW ISOTANK :SJIU2422628</v>
      </c>
    </row>
    <row r="156" spans="1:20" x14ac:dyDescent="0.45">
      <c r="A156" s="5" t="str">
        <f t="shared" si="14"/>
        <v>100572</v>
      </c>
      <c r="B156" s="5" t="str">
        <f t="shared" si="19"/>
        <v>DJEU0303873</v>
      </c>
      <c r="C156" s="188" t="str">
        <f>VLOOKUP(B156,[1]Sheet1!$A:$G,7,)</f>
        <v>DWI101IDR</v>
      </c>
      <c r="D156" s="16" t="s">
        <v>184</v>
      </c>
      <c r="E156" s="16">
        <v>21390</v>
      </c>
      <c r="F156" s="129" t="s">
        <v>11</v>
      </c>
      <c r="G156" s="22" t="s">
        <v>29</v>
      </c>
      <c r="H156" s="19" t="s">
        <v>535</v>
      </c>
      <c r="I156" s="66"/>
      <c r="J156" s="130"/>
      <c r="K156" s="128"/>
      <c r="L156" s="129" t="s">
        <v>566</v>
      </c>
      <c r="M156" s="151"/>
      <c r="N156" s="22">
        <v>100572</v>
      </c>
      <c r="O156" s="131"/>
      <c r="P156" s="131">
        <v>23000</v>
      </c>
      <c r="Q156" s="182"/>
      <c r="R156" s="376"/>
      <c r="S156" s="290" t="s">
        <v>389</v>
      </c>
      <c r="T156" s="59" t="str">
        <f t="shared" si="18"/>
        <v>REFILL NEW ISOTANK :DJEU0303873</v>
      </c>
    </row>
    <row r="157" spans="1:20" x14ac:dyDescent="0.45">
      <c r="A157" s="5" t="str">
        <f t="shared" si="14"/>
        <v>100573</v>
      </c>
      <c r="B157" s="5" t="str">
        <f t="shared" si="19"/>
        <v>DJEU0303750</v>
      </c>
      <c r="C157" s="188" t="str">
        <f>VLOOKUP(B157,[1]Sheet1!$A:$G,7,)</f>
        <v>DWI101IDR</v>
      </c>
      <c r="D157" s="16" t="s">
        <v>124</v>
      </c>
      <c r="E157" s="16">
        <v>21480</v>
      </c>
      <c r="F157" s="129" t="s">
        <v>11</v>
      </c>
      <c r="G157" s="22" t="s">
        <v>29</v>
      </c>
      <c r="H157" s="19" t="s">
        <v>535</v>
      </c>
      <c r="I157" s="66"/>
      <c r="J157" s="130"/>
      <c r="K157" s="128"/>
      <c r="L157" s="129" t="s">
        <v>566</v>
      </c>
      <c r="M157" s="151"/>
      <c r="N157" s="22">
        <v>100573</v>
      </c>
      <c r="O157" s="131"/>
      <c r="P157" s="131">
        <v>23000</v>
      </c>
      <c r="Q157" s="182"/>
      <c r="R157" s="376"/>
      <c r="S157" s="290" t="s">
        <v>389</v>
      </c>
      <c r="T157" s="59" t="str">
        <f t="shared" si="18"/>
        <v>REFILL NEW ISOTANK :DJEU0303750</v>
      </c>
    </row>
    <row r="158" spans="1:20" x14ac:dyDescent="0.45">
      <c r="A158" s="5" t="str">
        <f t="shared" si="14"/>
        <v>100574</v>
      </c>
      <c r="B158" s="5" t="str">
        <f t="shared" si="19"/>
        <v>NTTU1752753</v>
      </c>
      <c r="C158" s="188" t="str">
        <f>VLOOKUP(B158,[1]Sheet1!$A:$G,7,)</f>
        <v>DWI101IDR</v>
      </c>
      <c r="D158" s="16" t="s">
        <v>286</v>
      </c>
      <c r="E158" s="16">
        <v>20560</v>
      </c>
      <c r="F158" s="129" t="s">
        <v>11</v>
      </c>
      <c r="G158" s="22" t="s">
        <v>29</v>
      </c>
      <c r="H158" s="19" t="s">
        <v>535</v>
      </c>
      <c r="I158" s="66"/>
      <c r="J158" s="130"/>
      <c r="K158" s="128"/>
      <c r="L158" s="129" t="s">
        <v>566</v>
      </c>
      <c r="M158" s="151"/>
      <c r="N158" s="22">
        <v>100574</v>
      </c>
      <c r="O158" s="131"/>
      <c r="P158" s="131">
        <v>23000</v>
      </c>
      <c r="Q158" s="182"/>
      <c r="R158" s="376"/>
      <c r="S158" s="290" t="s">
        <v>389</v>
      </c>
      <c r="T158" s="59" t="str">
        <f t="shared" si="18"/>
        <v>REFILL NEW ISOTANK :NTTU1752753</v>
      </c>
    </row>
    <row r="159" spans="1:20" x14ac:dyDescent="0.45">
      <c r="A159" s="5" t="str">
        <f t="shared" si="14"/>
        <v>100577</v>
      </c>
      <c r="B159" s="5" t="str">
        <f t="shared" si="19"/>
        <v>DJEU0303662</v>
      </c>
      <c r="C159" s="188" t="str">
        <f>VLOOKUP(B159,[1]Sheet1!$A:$G,7,)</f>
        <v>DWI101IDR</v>
      </c>
      <c r="D159" s="16" t="s">
        <v>18</v>
      </c>
      <c r="E159" s="16">
        <v>21180</v>
      </c>
      <c r="F159" s="129" t="s">
        <v>11</v>
      </c>
      <c r="G159" s="22" t="s">
        <v>29</v>
      </c>
      <c r="H159" s="19" t="s">
        <v>535</v>
      </c>
      <c r="I159" s="66"/>
      <c r="J159" s="130"/>
      <c r="K159" s="128"/>
      <c r="L159" s="129" t="s">
        <v>566</v>
      </c>
      <c r="M159" s="151"/>
      <c r="N159" s="22">
        <v>100577</v>
      </c>
      <c r="O159" s="131"/>
      <c r="P159" s="131">
        <v>23000</v>
      </c>
      <c r="Q159" s="182"/>
      <c r="R159" s="376"/>
      <c r="S159" s="290" t="s">
        <v>389</v>
      </c>
      <c r="T159" s="59" t="str">
        <f t="shared" si="18"/>
        <v>REFILL NEW ISOTANK :DJEU0303662</v>
      </c>
    </row>
    <row r="160" spans="1:20" x14ac:dyDescent="0.45">
      <c r="A160" s="5" t="str">
        <f t="shared" si="14"/>
        <v>100584</v>
      </c>
      <c r="B160" s="5" t="str">
        <f t="shared" si="19"/>
        <v>SJIU2221541</v>
      </c>
      <c r="C160" s="188" t="s">
        <v>306</v>
      </c>
      <c r="D160" s="16" t="s">
        <v>160</v>
      </c>
      <c r="E160" s="16">
        <v>20030</v>
      </c>
      <c r="F160" s="129" t="s">
        <v>11</v>
      </c>
      <c r="G160" s="22" t="s">
        <v>29</v>
      </c>
      <c r="H160" s="19" t="s">
        <v>535</v>
      </c>
      <c r="I160" s="66"/>
      <c r="J160" s="130"/>
      <c r="K160" s="128"/>
      <c r="L160" s="129" t="s">
        <v>566</v>
      </c>
      <c r="M160" s="151"/>
      <c r="N160" s="22">
        <v>100584</v>
      </c>
      <c r="O160" s="131"/>
      <c r="P160" s="131">
        <v>23000</v>
      </c>
      <c r="Q160" s="182"/>
      <c r="R160" s="376"/>
      <c r="S160" s="290" t="s">
        <v>389</v>
      </c>
      <c r="T160" s="59" t="str">
        <f t="shared" si="18"/>
        <v>REFILL NEW ISOTANK :SJIU2221541</v>
      </c>
    </row>
    <row r="161" spans="1:20" x14ac:dyDescent="0.45">
      <c r="A161" s="5" t="str">
        <f t="shared" si="14"/>
        <v>100578</v>
      </c>
      <c r="B161" s="5" t="str">
        <f t="shared" si="19"/>
        <v>SJIU2221557</v>
      </c>
      <c r="C161" s="188" t="s">
        <v>306</v>
      </c>
      <c r="D161" s="16" t="s">
        <v>164</v>
      </c>
      <c r="E161" s="16">
        <v>20020</v>
      </c>
      <c r="F161" s="129" t="s">
        <v>11</v>
      </c>
      <c r="G161" s="22" t="s">
        <v>29</v>
      </c>
      <c r="H161" s="19" t="s">
        <v>535</v>
      </c>
      <c r="I161" s="66"/>
      <c r="J161" s="130"/>
      <c r="K161" s="128"/>
      <c r="L161" s="129" t="s">
        <v>566</v>
      </c>
      <c r="M161" s="151"/>
      <c r="N161" s="22">
        <v>100578</v>
      </c>
      <c r="O161" s="131"/>
      <c r="P161" s="131">
        <v>23000</v>
      </c>
      <c r="Q161" s="182"/>
      <c r="R161" s="376"/>
      <c r="S161" s="290" t="s">
        <v>389</v>
      </c>
      <c r="T161" s="59" t="str">
        <f t="shared" si="18"/>
        <v>REFILL NEW ISOTANK :SJIU2221557</v>
      </c>
    </row>
    <row r="162" spans="1:20" x14ac:dyDescent="0.45">
      <c r="A162" s="5" t="str">
        <f t="shared" si="14"/>
        <v>100582</v>
      </c>
      <c r="B162" s="5" t="str">
        <f t="shared" si="19"/>
        <v>SJIU2322001</v>
      </c>
      <c r="C162" s="188" t="s">
        <v>306</v>
      </c>
      <c r="D162" s="16" t="s">
        <v>263</v>
      </c>
      <c r="E162" s="16">
        <v>20050</v>
      </c>
      <c r="F162" s="129" t="s">
        <v>11</v>
      </c>
      <c r="G162" s="22" t="s">
        <v>29</v>
      </c>
      <c r="H162" s="19" t="s">
        <v>535</v>
      </c>
      <c r="I162" s="66"/>
      <c r="J162" s="130"/>
      <c r="K162" s="128"/>
      <c r="L162" s="129" t="s">
        <v>566</v>
      </c>
      <c r="M162" s="151"/>
      <c r="N162" s="22">
        <v>100582</v>
      </c>
      <c r="O162" s="131"/>
      <c r="P162" s="131">
        <v>23000</v>
      </c>
      <c r="Q162" s="182"/>
      <c r="R162" s="376"/>
      <c r="S162" s="290" t="s">
        <v>389</v>
      </c>
      <c r="T162" s="59" t="str">
        <f t="shared" si="18"/>
        <v>REFILL NEW ISOTANK :SJIU2322001</v>
      </c>
    </row>
    <row r="163" spans="1:20" x14ac:dyDescent="0.45">
      <c r="A163" s="5" t="str">
        <f t="shared" si="14"/>
        <v>100426</v>
      </c>
      <c r="B163" s="5" t="str">
        <f t="shared" si="19"/>
        <v>NTTU1754587</v>
      </c>
      <c r="C163" s="188" t="s">
        <v>433</v>
      </c>
      <c r="D163" s="16" t="s">
        <v>513</v>
      </c>
      <c r="E163" s="16">
        <v>25000</v>
      </c>
      <c r="F163" s="129" t="s">
        <v>11</v>
      </c>
      <c r="G163" s="22" t="s">
        <v>29</v>
      </c>
      <c r="H163" s="19" t="s">
        <v>535</v>
      </c>
      <c r="I163" s="66"/>
      <c r="J163" s="130"/>
      <c r="K163" s="128"/>
      <c r="L163" s="129" t="s">
        <v>566</v>
      </c>
      <c r="M163" s="151"/>
      <c r="N163" s="22">
        <v>100426</v>
      </c>
      <c r="O163" s="131"/>
      <c r="P163" s="131">
        <v>23000</v>
      </c>
      <c r="Q163" s="182"/>
      <c r="R163" s="376">
        <v>46176</v>
      </c>
      <c r="S163" s="290" t="s">
        <v>389</v>
      </c>
      <c r="T163" s="59" t="str">
        <f t="shared" si="18"/>
        <v>REFILL NEW ISOTANK :NTTU1754587</v>
      </c>
    </row>
    <row r="164" spans="1:20" x14ac:dyDescent="0.45">
      <c r="A164" s="5" t="str">
        <f t="shared" si="14"/>
        <v>100337</v>
      </c>
      <c r="B164" s="5" t="str">
        <f t="shared" si="19"/>
        <v>NTTU1754437</v>
      </c>
      <c r="C164" s="188" t="s">
        <v>433</v>
      </c>
      <c r="D164" s="16" t="s">
        <v>514</v>
      </c>
      <c r="E164" s="16">
        <v>25000</v>
      </c>
      <c r="F164" s="129" t="s">
        <v>11</v>
      </c>
      <c r="G164" s="22" t="s">
        <v>29</v>
      </c>
      <c r="H164" s="19" t="s">
        <v>535</v>
      </c>
      <c r="I164" s="66"/>
      <c r="J164" s="130"/>
      <c r="K164" s="128"/>
      <c r="L164" s="129" t="s">
        <v>566</v>
      </c>
      <c r="M164" s="151"/>
      <c r="N164" s="22">
        <v>100337</v>
      </c>
      <c r="O164" s="131"/>
      <c r="P164" s="375">
        <v>25000</v>
      </c>
      <c r="Q164" s="182"/>
      <c r="R164" s="151">
        <v>46170</v>
      </c>
      <c r="S164" s="290" t="s">
        <v>389</v>
      </c>
      <c r="T164" s="59" t="str">
        <f t="shared" si="18"/>
        <v>REFILL NEW ISOTANK :NTTU1754437</v>
      </c>
    </row>
    <row r="165" spans="1:20" x14ac:dyDescent="0.45">
      <c r="A165" s="5" t="str">
        <f t="shared" si="14"/>
        <v>100337</v>
      </c>
      <c r="B165" s="5" t="str">
        <f t="shared" si="19"/>
        <v>NTTU1754524</v>
      </c>
      <c r="C165" s="188" t="s">
        <v>433</v>
      </c>
      <c r="D165" s="16" t="s">
        <v>515</v>
      </c>
      <c r="E165" s="16">
        <v>25000</v>
      </c>
      <c r="F165" s="129" t="s">
        <v>11</v>
      </c>
      <c r="G165" s="22" t="s">
        <v>29</v>
      </c>
      <c r="H165" s="19" t="s">
        <v>535</v>
      </c>
      <c r="I165" s="66"/>
      <c r="J165" s="130"/>
      <c r="K165" s="128"/>
      <c r="L165" s="129" t="s">
        <v>566</v>
      </c>
      <c r="M165" s="151"/>
      <c r="N165" s="22">
        <v>100337</v>
      </c>
      <c r="O165" s="131"/>
      <c r="P165" s="375">
        <v>25000</v>
      </c>
      <c r="Q165" s="182"/>
      <c r="R165" s="151">
        <v>46170</v>
      </c>
      <c r="S165" s="290" t="s">
        <v>389</v>
      </c>
      <c r="T165" s="59" t="str">
        <f t="shared" si="18"/>
        <v>REFILL NEW ISOTANK :NTTU1754524</v>
      </c>
    </row>
    <row r="166" spans="1:20" x14ac:dyDescent="0.45">
      <c r="A166" s="5" t="str">
        <f>TRIM(N166)</f>
        <v>100337</v>
      </c>
      <c r="B166" s="5" t="str">
        <f t="shared" si="19"/>
        <v>NTTU1754421</v>
      </c>
      <c r="C166" s="188" t="s">
        <v>433</v>
      </c>
      <c r="D166" s="16" t="s">
        <v>516</v>
      </c>
      <c r="E166" s="16">
        <v>25000</v>
      </c>
      <c r="F166" s="129" t="s">
        <v>11</v>
      </c>
      <c r="G166" s="22" t="s">
        <v>29</v>
      </c>
      <c r="H166" s="19" t="s">
        <v>535</v>
      </c>
      <c r="I166" s="66"/>
      <c r="J166" s="130"/>
      <c r="K166" s="128"/>
      <c r="L166" s="129" t="s">
        <v>566</v>
      </c>
      <c r="M166" s="151"/>
      <c r="N166" s="22">
        <v>100337</v>
      </c>
      <c r="O166" s="131"/>
      <c r="P166" s="375">
        <v>25000</v>
      </c>
      <c r="Q166" s="182"/>
      <c r="R166" s="151">
        <v>46170</v>
      </c>
      <c r="S166" s="290" t="s">
        <v>389</v>
      </c>
      <c r="T166" s="59" t="str">
        <f t="shared" si="18"/>
        <v>REFILL NEW ISOTANK :NTTU1754421</v>
      </c>
    </row>
    <row r="167" spans="1:20" x14ac:dyDescent="0.45">
      <c r="A167" s="5" t="str">
        <f>TRIM(N167)</f>
        <v>100337</v>
      </c>
      <c r="B167" s="5" t="str">
        <f t="shared" si="19"/>
        <v>NTTU1754484</v>
      </c>
      <c r="C167" s="188" t="s">
        <v>433</v>
      </c>
      <c r="D167" s="16" t="s">
        <v>517</v>
      </c>
      <c r="E167" s="16">
        <v>25000</v>
      </c>
      <c r="F167" s="129" t="s">
        <v>11</v>
      </c>
      <c r="G167" s="22" t="s">
        <v>29</v>
      </c>
      <c r="H167" s="19" t="s">
        <v>535</v>
      </c>
      <c r="I167" s="66"/>
      <c r="J167" s="130"/>
      <c r="K167" s="128"/>
      <c r="L167" s="129" t="s">
        <v>566</v>
      </c>
      <c r="M167" s="151"/>
      <c r="N167" s="22">
        <v>100337</v>
      </c>
      <c r="O167" s="131"/>
      <c r="P167" s="375">
        <v>25000</v>
      </c>
      <c r="Q167" s="182"/>
      <c r="R167" s="151">
        <v>46170</v>
      </c>
      <c r="S167" s="290" t="s">
        <v>389</v>
      </c>
      <c r="T167" s="59" t="str">
        <f t="shared" si="18"/>
        <v>REFILL NEW ISOTANK :NTTU1754484</v>
      </c>
    </row>
    <row r="168" spans="1:20" x14ac:dyDescent="0.45">
      <c r="B168" s="5" t="str">
        <f t="shared" si="19"/>
        <v>NTTU1752732</v>
      </c>
      <c r="C168" s="188" t="str">
        <f>VLOOKUP(B157,[1]Sheet1!$A:$G,7,)</f>
        <v>DWI101IDR</v>
      </c>
      <c r="D168" s="16" t="s">
        <v>313</v>
      </c>
      <c r="E168" s="16">
        <v>20720</v>
      </c>
      <c r="F168" s="129" t="s">
        <v>11</v>
      </c>
      <c r="G168" s="22" t="s">
        <v>29</v>
      </c>
      <c r="H168" s="19" t="s">
        <v>535</v>
      </c>
      <c r="I168" s="66"/>
      <c r="J168" s="130"/>
      <c r="K168" s="128"/>
      <c r="L168" s="129" t="s">
        <v>566</v>
      </c>
      <c r="M168" s="151"/>
      <c r="N168" s="22">
        <v>100576</v>
      </c>
      <c r="O168" s="131"/>
      <c r="P168" s="131">
        <v>23000</v>
      </c>
      <c r="Q168" s="182"/>
      <c r="R168" s="376"/>
      <c r="S168" s="290" t="s">
        <v>389</v>
      </c>
      <c r="T168" s="59" t="str">
        <f t="shared" si="18"/>
        <v>REFILL NEW ISOTANK :NTTU1752732</v>
      </c>
    </row>
    <row r="169" spans="1:20" x14ac:dyDescent="0.45">
      <c r="B169" s="5" t="str">
        <f t="shared" si="19"/>
        <v>DJEU0303615</v>
      </c>
      <c r="C169" s="188" t="str">
        <f>VLOOKUP(B158,[1]Sheet1!$A:$G,7,)</f>
        <v>DWI101IDR</v>
      </c>
      <c r="D169" s="16" t="s">
        <v>146</v>
      </c>
      <c r="E169" s="16">
        <v>21430</v>
      </c>
      <c r="F169" s="129" t="s">
        <v>11</v>
      </c>
      <c r="G169" s="22" t="s">
        <v>29</v>
      </c>
      <c r="H169" s="19" t="s">
        <v>535</v>
      </c>
      <c r="I169" s="66"/>
      <c r="J169" s="130"/>
      <c r="K169" s="128"/>
      <c r="L169" s="129" t="s">
        <v>566</v>
      </c>
      <c r="M169" s="151"/>
      <c r="N169" s="22">
        <v>100575</v>
      </c>
      <c r="O169" s="131"/>
      <c r="P169" s="131">
        <v>23000</v>
      </c>
      <c r="Q169" s="182"/>
      <c r="R169" s="376"/>
      <c r="S169" s="290" t="s">
        <v>389</v>
      </c>
      <c r="T169" s="59" t="str">
        <f t="shared" si="18"/>
        <v>REFILL NEW ISOTANK :DJEU0303615</v>
      </c>
    </row>
    <row r="170" spans="1:20" x14ac:dyDescent="0.45">
      <c r="B170" s="5" t="str">
        <f t="shared" si="19"/>
        <v>NTTU1754416</v>
      </c>
      <c r="C170" s="188" t="s">
        <v>433</v>
      </c>
      <c r="D170" s="16" t="s">
        <v>526</v>
      </c>
      <c r="E170" s="16">
        <v>22000</v>
      </c>
      <c r="F170" s="129" t="s">
        <v>11</v>
      </c>
      <c r="G170" s="22" t="s">
        <v>29</v>
      </c>
      <c r="H170" s="19" t="s">
        <v>535</v>
      </c>
      <c r="I170" s="66"/>
      <c r="J170" s="130"/>
      <c r="K170" s="128"/>
      <c r="L170" s="129" t="s">
        <v>566</v>
      </c>
      <c r="M170" s="151"/>
      <c r="N170" s="22">
        <v>100426</v>
      </c>
      <c r="O170" s="131"/>
      <c r="P170" s="131">
        <v>23000</v>
      </c>
      <c r="Q170" s="182"/>
      <c r="R170" s="376">
        <v>46176</v>
      </c>
      <c r="S170" s="290" t="s">
        <v>389</v>
      </c>
      <c r="T170" s="59" t="str">
        <f t="shared" si="18"/>
        <v>REFILL NEW ISOTANK :NTTU1754416</v>
      </c>
    </row>
    <row r="171" spans="1:20" x14ac:dyDescent="0.45">
      <c r="B171" s="5" t="str">
        <f t="shared" si="19"/>
        <v>NTTU1754519</v>
      </c>
      <c r="C171" s="188" t="s">
        <v>433</v>
      </c>
      <c r="D171" s="16" t="s">
        <v>527</v>
      </c>
      <c r="E171" s="16">
        <v>22000</v>
      </c>
      <c r="F171" s="129" t="s">
        <v>11</v>
      </c>
      <c r="G171" s="22" t="s">
        <v>29</v>
      </c>
      <c r="H171" s="19" t="s">
        <v>535</v>
      </c>
      <c r="I171" s="66"/>
      <c r="J171" s="130"/>
      <c r="K171" s="128"/>
      <c r="L171" s="129" t="s">
        <v>566</v>
      </c>
      <c r="M171" s="151"/>
      <c r="N171" s="22">
        <v>100426</v>
      </c>
      <c r="O171" s="131"/>
      <c r="P171" s="131">
        <v>23000</v>
      </c>
      <c r="Q171" s="182"/>
      <c r="R171" s="376">
        <v>46176</v>
      </c>
      <c r="S171" s="290" t="s">
        <v>389</v>
      </c>
      <c r="T171" s="59" t="str">
        <f t="shared" si="18"/>
        <v>REFILL NEW ISOTANK :NTTU1754519</v>
      </c>
    </row>
    <row r="172" spans="1:20" x14ac:dyDescent="0.45">
      <c r="B172" s="5" t="str">
        <f t="shared" si="19"/>
        <v>SJIU2522988</v>
      </c>
      <c r="C172" s="188" t="s">
        <v>433</v>
      </c>
      <c r="D172" s="16" t="s">
        <v>377</v>
      </c>
      <c r="E172" s="16">
        <v>22000</v>
      </c>
      <c r="F172" s="129" t="s">
        <v>11</v>
      </c>
      <c r="G172" s="22" t="s">
        <v>29</v>
      </c>
      <c r="H172" s="19" t="s">
        <v>535</v>
      </c>
      <c r="I172" s="66"/>
      <c r="J172" s="130"/>
      <c r="K172" s="128"/>
      <c r="L172" s="129" t="s">
        <v>566</v>
      </c>
      <c r="M172" s="151"/>
      <c r="N172" s="22">
        <v>100426</v>
      </c>
      <c r="O172" s="131"/>
      <c r="P172" s="131">
        <v>23000</v>
      </c>
      <c r="Q172" s="182"/>
      <c r="R172" s="376">
        <v>46176</v>
      </c>
      <c r="S172" s="290" t="s">
        <v>389</v>
      </c>
      <c r="T172" s="59" t="str">
        <f t="shared" si="18"/>
        <v>REFILL NEW ISOTANK :SJIU2522988</v>
      </c>
    </row>
    <row r="173" spans="1:20" x14ac:dyDescent="0.45">
      <c r="B173" s="5" t="str">
        <f t="shared" si="19"/>
        <v>SJIU2422675</v>
      </c>
      <c r="C173" s="188" t="s">
        <v>433</v>
      </c>
      <c r="D173" s="16" t="s">
        <v>402</v>
      </c>
      <c r="E173" s="16">
        <v>22000</v>
      </c>
      <c r="F173" s="129" t="s">
        <v>11</v>
      </c>
      <c r="G173" s="22" t="s">
        <v>29</v>
      </c>
      <c r="H173" s="19" t="s">
        <v>535</v>
      </c>
      <c r="I173" s="66"/>
      <c r="J173" s="130"/>
      <c r="K173" s="128"/>
      <c r="L173" s="129" t="s">
        <v>566</v>
      </c>
      <c r="M173" s="151"/>
      <c r="N173" s="22">
        <v>100426</v>
      </c>
      <c r="O173" s="131"/>
      <c r="P173" s="131">
        <v>23000</v>
      </c>
      <c r="Q173" s="182"/>
      <c r="R173" s="376">
        <v>46176</v>
      </c>
      <c r="S173" s="290" t="s">
        <v>389</v>
      </c>
      <c r="T173" s="59" t="str">
        <f t="shared" si="18"/>
        <v>REFILL NEW ISOTANK :SJIU2422675</v>
      </c>
    </row>
    <row r="174" spans="1:20" x14ac:dyDescent="0.45">
      <c r="B174" s="5" t="str">
        <f t="shared" si="19"/>
        <v>NTTU1753750</v>
      </c>
      <c r="C174" s="188" t="s">
        <v>306</v>
      </c>
      <c r="D174" s="16" t="s">
        <v>368</v>
      </c>
      <c r="E174" s="16">
        <v>20010</v>
      </c>
      <c r="F174" s="129" t="s">
        <v>11</v>
      </c>
      <c r="G174" s="22" t="s">
        <v>29</v>
      </c>
      <c r="H174" s="19" t="s">
        <v>535</v>
      </c>
      <c r="I174" s="66"/>
      <c r="J174" s="130"/>
      <c r="K174" s="128"/>
      <c r="L174" s="129" t="s">
        <v>566</v>
      </c>
      <c r="M174" s="151"/>
      <c r="N174" s="22">
        <v>100585</v>
      </c>
      <c r="O174" s="131"/>
      <c r="P174" s="131">
        <v>23000</v>
      </c>
      <c r="Q174" s="182"/>
      <c r="R174" s="376"/>
      <c r="S174" s="290" t="s">
        <v>389</v>
      </c>
      <c r="T174" s="59" t="str">
        <f t="shared" si="18"/>
        <v>REFILL NEW ISOTANK :NTTU1753750</v>
      </c>
    </row>
    <row r="175" spans="1:20" x14ac:dyDescent="0.45">
      <c r="B175" s="5" t="str">
        <f t="shared" si="19"/>
        <v>NTTU1753699</v>
      </c>
      <c r="C175" s="188" t="s">
        <v>306</v>
      </c>
      <c r="D175" s="16" t="s">
        <v>362</v>
      </c>
      <c r="E175" s="16">
        <v>20130</v>
      </c>
      <c r="F175" s="129" t="s">
        <v>11</v>
      </c>
      <c r="G175" s="22" t="s">
        <v>29</v>
      </c>
      <c r="H175" s="19" t="s">
        <v>535</v>
      </c>
      <c r="I175" s="66"/>
      <c r="J175" s="130"/>
      <c r="K175" s="128"/>
      <c r="L175" s="129" t="s">
        <v>566</v>
      </c>
      <c r="M175" s="151"/>
      <c r="N175" s="22">
        <v>100581</v>
      </c>
      <c r="O175" s="131"/>
      <c r="P175" s="131">
        <v>23000</v>
      </c>
      <c r="Q175" s="182"/>
      <c r="R175" s="376"/>
      <c r="S175" s="290" t="s">
        <v>389</v>
      </c>
      <c r="T175" s="59" t="str">
        <f t="shared" si="18"/>
        <v>REFILL NEW ISOTANK :NTTU1753699</v>
      </c>
    </row>
    <row r="176" spans="1:20" x14ac:dyDescent="0.45">
      <c r="B176" s="5" t="str">
        <f t="shared" si="19"/>
        <v>NTTU1753739</v>
      </c>
      <c r="C176" s="188" t="s">
        <v>306</v>
      </c>
      <c r="D176" s="16" t="s">
        <v>383</v>
      </c>
      <c r="E176" s="16">
        <v>20030</v>
      </c>
      <c r="F176" s="129" t="s">
        <v>11</v>
      </c>
      <c r="G176" s="22" t="s">
        <v>29</v>
      </c>
      <c r="H176" s="19" t="s">
        <v>535</v>
      </c>
      <c r="I176" s="66"/>
      <c r="J176" s="130"/>
      <c r="K176" s="128"/>
      <c r="L176" s="129" t="s">
        <v>566</v>
      </c>
      <c r="M176" s="151"/>
      <c r="N176" s="22">
        <v>100583</v>
      </c>
      <c r="O176" s="131"/>
      <c r="P176" s="131">
        <v>23000</v>
      </c>
      <c r="Q176" s="182"/>
      <c r="R176" s="376"/>
      <c r="S176" s="290" t="s">
        <v>389</v>
      </c>
      <c r="T176" s="59" t="str">
        <f t="shared" si="18"/>
        <v>REFILL NEW ISOTANK :NTTU1753739</v>
      </c>
    </row>
    <row r="177" spans="1:20" x14ac:dyDescent="0.45">
      <c r="B177" s="5" t="str">
        <f t="shared" si="19"/>
        <v>SJIU2221726</v>
      </c>
      <c r="C177" s="188" t="s">
        <v>306</v>
      </c>
      <c r="D177" s="16" t="s">
        <v>195</v>
      </c>
      <c r="E177" s="16">
        <v>20070</v>
      </c>
      <c r="F177" s="129" t="s">
        <v>11</v>
      </c>
      <c r="G177" s="22" t="s">
        <v>29</v>
      </c>
      <c r="H177" s="19" t="s">
        <v>535</v>
      </c>
      <c r="I177" s="66"/>
      <c r="J177" s="130"/>
      <c r="K177" s="128"/>
      <c r="L177" s="129" t="s">
        <v>566</v>
      </c>
      <c r="M177" s="151"/>
      <c r="N177" s="22">
        <v>100580</v>
      </c>
      <c r="O177" s="131"/>
      <c r="P177" s="131">
        <v>23000</v>
      </c>
      <c r="Q177" s="182"/>
      <c r="R177" s="376"/>
      <c r="S177" s="290" t="s">
        <v>389</v>
      </c>
      <c r="T177" s="59" t="str">
        <f t="shared" si="18"/>
        <v>REFILL NEW ISOTANK :SJIU2221726</v>
      </c>
    </row>
    <row r="178" spans="1:20" x14ac:dyDescent="0.45">
      <c r="B178" s="5" t="str">
        <f t="shared" si="19"/>
        <v>SJIU2001260</v>
      </c>
      <c r="C178" s="188" t="s">
        <v>306</v>
      </c>
      <c r="D178" s="16" t="s">
        <v>30</v>
      </c>
      <c r="E178" s="16">
        <v>20270</v>
      </c>
      <c r="F178" s="129" t="s">
        <v>11</v>
      </c>
      <c r="G178" s="22" t="s">
        <v>29</v>
      </c>
      <c r="H178" s="19" t="s">
        <v>535</v>
      </c>
      <c r="I178" s="66"/>
      <c r="J178" s="130"/>
      <c r="K178" s="128"/>
      <c r="L178" s="129" t="s">
        <v>566</v>
      </c>
      <c r="M178" s="151"/>
      <c r="N178" s="22">
        <v>100579</v>
      </c>
      <c r="O178" s="131"/>
      <c r="P178" s="131">
        <v>23000</v>
      </c>
      <c r="Q178" s="182"/>
      <c r="R178" s="376"/>
      <c r="S178" s="290" t="s">
        <v>389</v>
      </c>
      <c r="T178" s="59" t="str">
        <f t="shared" si="18"/>
        <v>REFILL NEW ISOTANK :SJIU2001260</v>
      </c>
    </row>
    <row r="179" spans="1:20" x14ac:dyDescent="0.45">
      <c r="B179" s="5" t="str">
        <f t="shared" si="19"/>
        <v>SJIU2422612</v>
      </c>
      <c r="C179" s="188" t="s">
        <v>433</v>
      </c>
      <c r="D179" s="193" t="s">
        <v>391</v>
      </c>
      <c r="E179" s="16">
        <v>22000</v>
      </c>
      <c r="F179" s="129" t="s">
        <v>11</v>
      </c>
      <c r="G179" s="22" t="s">
        <v>29</v>
      </c>
      <c r="H179" s="19" t="s">
        <v>535</v>
      </c>
      <c r="I179" s="66"/>
      <c r="J179" s="130"/>
      <c r="K179" s="128"/>
      <c r="L179" s="129" t="s">
        <v>566</v>
      </c>
      <c r="M179" s="151"/>
      <c r="N179" s="22">
        <v>100840</v>
      </c>
      <c r="O179" s="131"/>
      <c r="P179" s="131">
        <v>23000</v>
      </c>
      <c r="Q179" s="182"/>
      <c r="R179" s="376">
        <v>46198</v>
      </c>
    </row>
    <row r="180" spans="1:20" x14ac:dyDescent="0.45">
      <c r="B180" s="5" t="str">
        <f t="shared" si="19"/>
        <v>SJIU2422680</v>
      </c>
      <c r="C180" s="188" t="s">
        <v>433</v>
      </c>
      <c r="D180" s="193" t="s">
        <v>403</v>
      </c>
      <c r="E180" s="16">
        <v>22000</v>
      </c>
      <c r="F180" s="129" t="s">
        <v>11</v>
      </c>
      <c r="G180" s="22" t="s">
        <v>29</v>
      </c>
      <c r="H180" s="19" t="s">
        <v>535</v>
      </c>
      <c r="I180" s="66"/>
      <c r="J180" s="130"/>
      <c r="K180" s="128"/>
      <c r="L180" s="129" t="s">
        <v>566</v>
      </c>
      <c r="M180" s="151"/>
      <c r="N180" s="22">
        <v>100840</v>
      </c>
      <c r="O180" s="131"/>
      <c r="P180" s="131">
        <v>23000</v>
      </c>
      <c r="Q180" s="182"/>
      <c r="R180" s="376">
        <v>46198</v>
      </c>
    </row>
    <row r="181" spans="1:20" x14ac:dyDescent="0.45">
      <c r="B181" s="5" t="str">
        <f t="shared" si="19"/>
        <v>SJIU2422660</v>
      </c>
      <c r="C181" s="188" t="s">
        <v>433</v>
      </c>
      <c r="D181" s="193" t="s">
        <v>401</v>
      </c>
      <c r="E181" s="16">
        <v>22000</v>
      </c>
      <c r="F181" s="129" t="s">
        <v>11</v>
      </c>
      <c r="G181" s="22" t="s">
        <v>29</v>
      </c>
      <c r="H181" s="19" t="s">
        <v>535</v>
      </c>
      <c r="I181" s="66"/>
      <c r="J181" s="130"/>
      <c r="K181" s="128"/>
      <c r="L181" s="129" t="s">
        <v>566</v>
      </c>
      <c r="M181" s="151"/>
      <c r="N181" s="22">
        <v>100840</v>
      </c>
      <c r="O181" s="131"/>
      <c r="P181" s="131">
        <v>23000</v>
      </c>
      <c r="Q181" s="182"/>
      <c r="R181" s="376">
        <v>46198</v>
      </c>
    </row>
    <row r="182" spans="1:20" x14ac:dyDescent="0.45">
      <c r="B182" s="5" t="str">
        <f t="shared" si="19"/>
        <v>SJIU2522972</v>
      </c>
      <c r="C182" s="188" t="s">
        <v>433</v>
      </c>
      <c r="D182" s="193" t="s">
        <v>376</v>
      </c>
      <c r="E182" s="16">
        <v>22000</v>
      </c>
      <c r="F182" s="129" t="s">
        <v>11</v>
      </c>
      <c r="G182" s="22" t="s">
        <v>29</v>
      </c>
      <c r="H182" s="19" t="s">
        <v>535</v>
      </c>
      <c r="I182" s="66"/>
      <c r="J182" s="130"/>
      <c r="K182" s="128"/>
      <c r="L182" s="129" t="s">
        <v>566</v>
      </c>
      <c r="M182" s="151"/>
      <c r="N182" s="22">
        <v>100426</v>
      </c>
      <c r="O182" s="131"/>
      <c r="P182" s="131">
        <v>23000</v>
      </c>
      <c r="Q182" s="182"/>
      <c r="R182" s="376">
        <v>46176</v>
      </c>
      <c r="S182" s="290" t="s">
        <v>389</v>
      </c>
      <c r="T182" s="59" t="str">
        <f t="shared" si="18"/>
        <v>REFILL NEW ISOTANK :SJIU2522972</v>
      </c>
    </row>
    <row r="183" spans="1:20" x14ac:dyDescent="0.45">
      <c r="B183" s="5" t="str">
        <f t="shared" si="19"/>
        <v>SJIU2422649</v>
      </c>
      <c r="C183" s="188" t="s">
        <v>433</v>
      </c>
      <c r="D183" s="193" t="s">
        <v>400</v>
      </c>
      <c r="E183" s="16">
        <v>22000</v>
      </c>
      <c r="F183" s="129" t="s">
        <v>11</v>
      </c>
      <c r="G183" s="22" t="s">
        <v>29</v>
      </c>
      <c r="H183" s="19" t="s">
        <v>535</v>
      </c>
      <c r="I183" s="66"/>
      <c r="J183" s="130"/>
      <c r="K183" s="128"/>
      <c r="L183" s="129" t="s">
        <v>566</v>
      </c>
      <c r="M183" s="151"/>
      <c r="N183" s="22">
        <v>100840</v>
      </c>
      <c r="O183" s="131"/>
      <c r="P183" s="131">
        <v>23000</v>
      </c>
      <c r="Q183" s="182"/>
      <c r="R183" s="376">
        <v>46198</v>
      </c>
      <c r="S183" s="290" t="s">
        <v>389</v>
      </c>
      <c r="T183" s="59" t="str">
        <f t="shared" si="18"/>
        <v>REFILL NEW ISOTANK :SJIU2422649</v>
      </c>
    </row>
    <row r="184" spans="1:20" x14ac:dyDescent="0.45">
      <c r="B184" s="5" t="str">
        <f t="shared" si="19"/>
        <v>NTTU1754479</v>
      </c>
      <c r="C184" s="188" t="s">
        <v>433</v>
      </c>
      <c r="D184" s="193" t="s">
        <v>551</v>
      </c>
      <c r="E184" s="16">
        <v>22000</v>
      </c>
      <c r="F184" s="129" t="s">
        <v>11</v>
      </c>
      <c r="G184" s="22" t="s">
        <v>29</v>
      </c>
      <c r="H184" s="19" t="s">
        <v>535</v>
      </c>
      <c r="I184" s="66"/>
      <c r="J184" s="130"/>
      <c r="K184" s="128"/>
      <c r="L184" s="129" t="s">
        <v>566</v>
      </c>
      <c r="M184" s="151"/>
      <c r="N184" s="22">
        <v>100840</v>
      </c>
      <c r="O184" s="131"/>
      <c r="P184" s="131">
        <v>23000</v>
      </c>
      <c r="Q184" s="182"/>
      <c r="R184" s="376">
        <v>46198</v>
      </c>
      <c r="S184" s="290" t="s">
        <v>389</v>
      </c>
      <c r="T184" s="59" t="str">
        <f t="shared" si="18"/>
        <v>REFILL NEW ISOTANK :NTTU1754479</v>
      </c>
    </row>
    <row r="185" spans="1:20" x14ac:dyDescent="0.45">
      <c r="B185" s="5" t="str">
        <f t="shared" si="19"/>
        <v>NTTU1754530</v>
      </c>
      <c r="C185" s="188" t="s">
        <v>433</v>
      </c>
      <c r="D185" s="193" t="s">
        <v>552</v>
      </c>
      <c r="E185" s="16">
        <v>22000</v>
      </c>
      <c r="F185" s="129" t="s">
        <v>11</v>
      </c>
      <c r="G185" s="22" t="s">
        <v>29</v>
      </c>
      <c r="H185" s="19" t="s">
        <v>535</v>
      </c>
      <c r="I185" s="66"/>
      <c r="J185" s="130"/>
      <c r="K185" s="128"/>
      <c r="L185" s="129" t="s">
        <v>566</v>
      </c>
      <c r="M185" s="151"/>
      <c r="N185" s="22">
        <v>100840</v>
      </c>
      <c r="O185" s="131"/>
      <c r="P185" s="131">
        <v>23000</v>
      </c>
      <c r="Q185" s="182"/>
      <c r="R185" s="376">
        <v>46198</v>
      </c>
      <c r="S185" s="290" t="s">
        <v>389</v>
      </c>
      <c r="T185" s="59" t="str">
        <f t="shared" si="18"/>
        <v>REFILL NEW ISOTANK :NTTU1754530</v>
      </c>
    </row>
    <row r="186" spans="1:20" x14ac:dyDescent="0.45">
      <c r="B186" s="5" t="str">
        <f t="shared" si="19"/>
        <v>SJIU2522967</v>
      </c>
      <c r="C186" s="188" t="s">
        <v>525</v>
      </c>
      <c r="D186" s="193" t="s">
        <v>375</v>
      </c>
      <c r="E186" s="16">
        <v>20000</v>
      </c>
      <c r="F186" s="129" t="s">
        <v>11</v>
      </c>
      <c r="G186" s="22" t="s">
        <v>29</v>
      </c>
      <c r="H186" s="19" t="s">
        <v>535</v>
      </c>
      <c r="I186" s="66"/>
      <c r="J186" s="130"/>
      <c r="K186" s="128"/>
      <c r="L186" s="129" t="s">
        <v>566</v>
      </c>
      <c r="M186" s="151"/>
      <c r="N186" s="22">
        <v>100281</v>
      </c>
      <c r="O186" s="131"/>
      <c r="P186" s="131">
        <v>25000</v>
      </c>
      <c r="Q186" s="182"/>
      <c r="R186" s="376">
        <v>46167</v>
      </c>
    </row>
    <row r="187" spans="1:20" x14ac:dyDescent="0.45">
      <c r="B187" s="5" t="str">
        <f t="shared" si="19"/>
        <v>SJIU2522993</v>
      </c>
      <c r="C187" s="188" t="s">
        <v>525</v>
      </c>
      <c r="D187" s="193" t="s">
        <v>378</v>
      </c>
      <c r="E187" s="16">
        <v>20000</v>
      </c>
      <c r="F187" s="129" t="s">
        <v>11</v>
      </c>
      <c r="G187" s="22" t="s">
        <v>29</v>
      </c>
      <c r="H187" s="19" t="s">
        <v>535</v>
      </c>
      <c r="I187" s="66"/>
      <c r="J187" s="130"/>
      <c r="K187" s="128"/>
      <c r="L187" s="129" t="s">
        <v>566</v>
      </c>
      <c r="M187" s="151"/>
      <c r="N187" s="22">
        <v>100281</v>
      </c>
      <c r="O187" s="131"/>
      <c r="P187" s="131">
        <v>25000</v>
      </c>
      <c r="Q187" s="182"/>
      <c r="R187" s="376">
        <v>46167</v>
      </c>
    </row>
    <row r="188" spans="1:20" x14ac:dyDescent="0.45">
      <c r="B188" s="5" t="str">
        <f t="shared" si="19"/>
        <v>SJIU2221705</v>
      </c>
      <c r="C188" s="188" t="s">
        <v>306</v>
      </c>
      <c r="D188" s="193" t="s">
        <v>193</v>
      </c>
      <c r="E188" s="16">
        <v>20040</v>
      </c>
      <c r="F188" s="129" t="s">
        <v>11</v>
      </c>
      <c r="G188" s="22" t="s">
        <v>29</v>
      </c>
      <c r="H188" s="19" t="s">
        <v>535</v>
      </c>
      <c r="I188" s="66"/>
      <c r="J188" s="130"/>
      <c r="K188" s="128"/>
      <c r="L188" s="129" t="s">
        <v>566</v>
      </c>
      <c r="M188" s="151"/>
      <c r="N188" s="22">
        <v>100764</v>
      </c>
      <c r="O188" s="131"/>
      <c r="P188" s="131">
        <v>23000</v>
      </c>
      <c r="Q188" s="182"/>
      <c r="R188" s="376"/>
    </row>
    <row r="189" spans="1:20" x14ac:dyDescent="0.45">
      <c r="B189" s="5" t="str">
        <f t="shared" si="19"/>
        <v>SJIU2221536</v>
      </c>
      <c r="C189" s="188" t="s">
        <v>306</v>
      </c>
      <c r="D189" s="193" t="s">
        <v>161</v>
      </c>
      <c r="E189" s="16">
        <v>20320</v>
      </c>
      <c r="F189" s="129" t="s">
        <v>11</v>
      </c>
      <c r="G189" s="22" t="s">
        <v>29</v>
      </c>
      <c r="H189" s="19" t="s">
        <v>535</v>
      </c>
      <c r="I189" s="66"/>
      <c r="J189" s="130"/>
      <c r="K189" s="128"/>
      <c r="L189" s="129" t="s">
        <v>566</v>
      </c>
      <c r="M189" s="151"/>
      <c r="N189" s="22">
        <v>100762</v>
      </c>
      <c r="O189" s="131"/>
      <c r="P189" s="131">
        <v>23000</v>
      </c>
      <c r="Q189" s="182"/>
      <c r="R189" s="376"/>
    </row>
    <row r="190" spans="1:20" x14ac:dyDescent="0.45">
      <c r="B190" s="5" t="str">
        <f t="shared" si="19"/>
        <v>NTTU1753765</v>
      </c>
      <c r="C190" s="188" t="s">
        <v>306</v>
      </c>
      <c r="D190" s="193" t="s">
        <v>367</v>
      </c>
      <c r="E190" s="16">
        <v>20010</v>
      </c>
      <c r="F190" s="129" t="s">
        <v>11</v>
      </c>
      <c r="G190" s="22" t="s">
        <v>29</v>
      </c>
      <c r="H190" s="19" t="s">
        <v>535</v>
      </c>
      <c r="I190" s="66"/>
      <c r="J190" s="130"/>
      <c r="K190" s="128"/>
      <c r="L190" s="129" t="s">
        <v>566</v>
      </c>
      <c r="M190" s="151"/>
      <c r="N190" s="22">
        <v>100763</v>
      </c>
      <c r="O190" s="131"/>
      <c r="P190" s="131">
        <v>23000</v>
      </c>
      <c r="Q190" s="182"/>
      <c r="R190" s="376"/>
    </row>
    <row r="191" spans="1:20" x14ac:dyDescent="0.45">
      <c r="A191" s="5" t="str">
        <f>TRIM(N191)</f>
        <v>100769</v>
      </c>
      <c r="B191" s="5" t="str">
        <f t="shared" si="19"/>
        <v>NTTU1752727</v>
      </c>
      <c r="C191" s="188" t="s">
        <v>302</v>
      </c>
      <c r="D191" s="193" t="s">
        <v>361</v>
      </c>
      <c r="E191" s="16">
        <v>20830</v>
      </c>
      <c r="F191" s="129" t="s">
        <v>11</v>
      </c>
      <c r="G191" s="22" t="s">
        <v>29</v>
      </c>
      <c r="H191" s="19" t="s">
        <v>535</v>
      </c>
      <c r="I191" s="66"/>
      <c r="J191" s="130"/>
      <c r="K191" s="128"/>
      <c r="L191" s="129" t="s">
        <v>566</v>
      </c>
      <c r="M191" s="151"/>
      <c r="N191" s="22">
        <v>100769</v>
      </c>
      <c r="O191" s="131"/>
      <c r="P191" s="131">
        <v>23000</v>
      </c>
      <c r="Q191" s="182"/>
      <c r="R191" s="376"/>
    </row>
    <row r="192" spans="1:20" x14ac:dyDescent="0.45">
      <c r="B192" s="5" t="str">
        <f t="shared" si="19"/>
        <v>NTTU1752687</v>
      </c>
      <c r="C192" s="188" t="s">
        <v>302</v>
      </c>
      <c r="D192" s="16" t="s">
        <v>336</v>
      </c>
      <c r="E192" s="16">
        <v>20850</v>
      </c>
      <c r="F192" s="129" t="s">
        <v>11</v>
      </c>
      <c r="G192" s="22" t="s">
        <v>29</v>
      </c>
      <c r="H192" s="19" t="s">
        <v>535</v>
      </c>
      <c r="I192" s="22"/>
      <c r="J192" s="130"/>
      <c r="K192" s="128"/>
      <c r="L192" s="129" t="s">
        <v>566</v>
      </c>
      <c r="M192" s="151"/>
      <c r="N192" s="22">
        <v>100766</v>
      </c>
      <c r="O192" s="131"/>
      <c r="P192" s="131">
        <v>23000</v>
      </c>
      <c r="Q192" s="182"/>
      <c r="R192" s="376"/>
    </row>
    <row r="193" spans="2:18" x14ac:dyDescent="0.45">
      <c r="B193" s="5" t="str">
        <f t="shared" si="19"/>
        <v>NTTU1754592</v>
      </c>
      <c r="C193" s="188" t="s">
        <v>433</v>
      </c>
      <c r="D193" s="16" t="s">
        <v>569</v>
      </c>
      <c r="E193" s="16">
        <v>22000</v>
      </c>
      <c r="F193" s="129" t="s">
        <v>11</v>
      </c>
      <c r="G193" s="22" t="s">
        <v>29</v>
      </c>
      <c r="H193" s="19" t="s">
        <v>536</v>
      </c>
      <c r="I193" s="22"/>
      <c r="J193" s="130"/>
      <c r="K193" s="128"/>
      <c r="L193" s="129"/>
      <c r="M193" s="151"/>
      <c r="N193" s="22">
        <v>100426</v>
      </c>
      <c r="O193" s="131"/>
      <c r="P193" s="131">
        <v>23000</v>
      </c>
      <c r="Q193" s="182"/>
      <c r="R193" s="376">
        <v>46176</v>
      </c>
    </row>
    <row r="194" spans="2:18" x14ac:dyDescent="0.45">
      <c r="B194" s="5" t="str">
        <f t="shared" si="19"/>
        <v>NTTU1754463</v>
      </c>
      <c r="C194" s="188" t="s">
        <v>433</v>
      </c>
      <c r="D194" s="16" t="s">
        <v>570</v>
      </c>
      <c r="E194" s="16">
        <v>22000</v>
      </c>
      <c r="F194" s="129" t="s">
        <v>11</v>
      </c>
      <c r="G194" s="22" t="s">
        <v>29</v>
      </c>
      <c r="H194" s="19" t="s">
        <v>536</v>
      </c>
      <c r="I194" s="22"/>
      <c r="J194" s="130"/>
      <c r="K194" s="128"/>
      <c r="L194" s="129"/>
      <c r="M194" s="151"/>
      <c r="N194" s="22">
        <v>100426</v>
      </c>
      <c r="O194" s="131"/>
      <c r="P194" s="131">
        <v>23000</v>
      </c>
      <c r="Q194" s="182"/>
      <c r="R194" s="376">
        <v>46176</v>
      </c>
    </row>
    <row r="195" spans="2:18" x14ac:dyDescent="0.45">
      <c r="B195" s="5" t="str">
        <f t="shared" si="19"/>
        <v>NTTU1752780</v>
      </c>
      <c r="C195" s="188" t="s">
        <v>302</v>
      </c>
      <c r="D195" s="16" t="s">
        <v>287</v>
      </c>
      <c r="E195" s="16">
        <v>20760</v>
      </c>
      <c r="F195" s="129" t="s">
        <v>11</v>
      </c>
      <c r="G195" s="22" t="s">
        <v>29</v>
      </c>
      <c r="H195" s="19" t="s">
        <v>536</v>
      </c>
      <c r="I195" s="22"/>
      <c r="J195" s="130"/>
      <c r="K195" s="128"/>
      <c r="L195" s="129"/>
      <c r="M195" s="151"/>
      <c r="N195" s="22">
        <v>100768</v>
      </c>
      <c r="O195" s="131"/>
      <c r="P195" s="131">
        <v>23000</v>
      </c>
      <c r="Q195" s="182"/>
      <c r="R195" s="376"/>
    </row>
    <row r="196" spans="2:18" x14ac:dyDescent="0.45">
      <c r="B196" s="5" t="str">
        <f t="shared" si="19"/>
        <v>DJEU0303702</v>
      </c>
      <c r="C196" s="188" t="s">
        <v>302</v>
      </c>
      <c r="D196" s="16" t="s">
        <v>52</v>
      </c>
      <c r="E196" s="16">
        <v>21170</v>
      </c>
      <c r="F196" s="129" t="s">
        <v>11</v>
      </c>
      <c r="G196" s="22" t="s">
        <v>29</v>
      </c>
      <c r="H196" s="19" t="s">
        <v>536</v>
      </c>
      <c r="I196" s="22"/>
      <c r="J196" s="130"/>
      <c r="K196" s="128"/>
      <c r="L196" s="129"/>
      <c r="M196" s="151"/>
      <c r="N196" s="22">
        <v>100770</v>
      </c>
      <c r="O196" s="131"/>
      <c r="P196" s="131">
        <v>23000</v>
      </c>
      <c r="Q196" s="182"/>
      <c r="R196" s="376"/>
    </row>
    <row r="197" spans="2:18" x14ac:dyDescent="0.45">
      <c r="B197" s="5" t="str">
        <f t="shared" si="19"/>
        <v>SJIU2322017</v>
      </c>
      <c r="C197" s="188" t="s">
        <v>306</v>
      </c>
      <c r="D197" s="16" t="s">
        <v>327</v>
      </c>
      <c r="E197" s="16">
        <v>20240</v>
      </c>
      <c r="F197" s="129" t="s">
        <v>11</v>
      </c>
      <c r="G197" s="22" t="s">
        <v>29</v>
      </c>
      <c r="H197" s="19" t="s">
        <v>536</v>
      </c>
      <c r="I197" s="22"/>
      <c r="J197" s="130"/>
      <c r="K197" s="128"/>
      <c r="L197" s="129"/>
      <c r="M197" s="151"/>
      <c r="N197" s="22">
        <v>100765</v>
      </c>
      <c r="O197" s="131"/>
      <c r="P197" s="131">
        <v>23000</v>
      </c>
      <c r="Q197" s="182"/>
      <c r="R197" s="376"/>
    </row>
    <row r="198" spans="2:18" x14ac:dyDescent="0.45">
      <c r="B198" s="5" t="str">
        <f t="shared" si="19"/>
        <v>SJIU2221710</v>
      </c>
      <c r="C198" s="188" t="s">
        <v>306</v>
      </c>
      <c r="D198" s="16" t="s">
        <v>194</v>
      </c>
      <c r="E198" s="16">
        <v>20270</v>
      </c>
      <c r="F198" s="129" t="s">
        <v>11</v>
      </c>
      <c r="G198" s="22" t="s">
        <v>29</v>
      </c>
      <c r="H198" s="19" t="s">
        <v>536</v>
      </c>
      <c r="I198" s="22"/>
      <c r="J198" s="130"/>
      <c r="K198" s="128"/>
      <c r="L198" s="129"/>
      <c r="M198" s="151"/>
      <c r="N198" s="22">
        <v>100761</v>
      </c>
      <c r="O198" s="131"/>
      <c r="P198" s="131">
        <v>23000</v>
      </c>
      <c r="Q198" s="182"/>
      <c r="R198" s="376"/>
    </row>
    <row r="199" spans="2:18" x14ac:dyDescent="0.45">
      <c r="B199" s="5" t="str">
        <f t="shared" si="19"/>
        <v>SJIU2623350</v>
      </c>
      <c r="C199" s="188" t="s">
        <v>525</v>
      </c>
      <c r="D199" s="16" t="s">
        <v>572</v>
      </c>
      <c r="E199" s="16">
        <v>22000</v>
      </c>
      <c r="F199" s="129" t="s">
        <v>11</v>
      </c>
      <c r="G199" s="22" t="s">
        <v>29</v>
      </c>
      <c r="H199" s="19" t="s">
        <v>536</v>
      </c>
      <c r="I199" s="22"/>
      <c r="J199" s="130"/>
      <c r="K199" s="128"/>
      <c r="L199" s="129"/>
      <c r="M199" s="151"/>
      <c r="N199" s="22">
        <v>100566</v>
      </c>
      <c r="O199" s="131"/>
      <c r="P199" s="131">
        <v>23000</v>
      </c>
      <c r="Q199" s="182"/>
      <c r="R199" s="376">
        <v>46182</v>
      </c>
    </row>
    <row r="200" spans="2:18" x14ac:dyDescent="0.45">
      <c r="B200" s="5" t="str">
        <f t="shared" si="19"/>
        <v>NTTU1754542</v>
      </c>
      <c r="C200" s="188" t="s">
        <v>433</v>
      </c>
      <c r="D200" s="16" t="s">
        <v>575</v>
      </c>
      <c r="E200" s="16"/>
      <c r="F200" s="129"/>
      <c r="G200" s="22"/>
      <c r="H200" s="19" t="s">
        <v>502</v>
      </c>
      <c r="I200" s="22"/>
      <c r="J200" s="130"/>
      <c r="K200" s="128"/>
      <c r="L200" s="129"/>
      <c r="M200" s="151"/>
      <c r="N200" s="22"/>
      <c r="O200" s="131">
        <v>101097</v>
      </c>
      <c r="P200" s="131">
        <v>23000</v>
      </c>
      <c r="Q200" s="182"/>
      <c r="R200" s="376">
        <v>46212</v>
      </c>
    </row>
    <row r="201" spans="2:18" x14ac:dyDescent="0.45">
      <c r="B201" s="5" t="str">
        <f t="shared" si="19"/>
        <v>NTTU1754563</v>
      </c>
      <c r="C201" s="188" t="s">
        <v>433</v>
      </c>
      <c r="D201" s="16" t="s">
        <v>576</v>
      </c>
      <c r="E201" s="16"/>
      <c r="F201" s="129"/>
      <c r="G201" s="22"/>
      <c r="H201" s="19" t="s">
        <v>502</v>
      </c>
      <c r="I201" s="22"/>
      <c r="J201" s="130"/>
      <c r="K201" s="128"/>
      <c r="L201" s="129"/>
      <c r="M201" s="151"/>
      <c r="N201" s="22"/>
      <c r="O201" s="131">
        <v>101098</v>
      </c>
      <c r="P201" s="131">
        <v>23000</v>
      </c>
      <c r="Q201" s="182"/>
      <c r="R201" s="376">
        <v>46212</v>
      </c>
    </row>
    <row r="202" spans="2:18" x14ac:dyDescent="0.45">
      <c r="B202" s="5" t="str">
        <f t="shared" si="19"/>
        <v>NTTU1754606</v>
      </c>
      <c r="C202" s="188" t="s">
        <v>433</v>
      </c>
      <c r="D202" s="16" t="s">
        <v>577</v>
      </c>
      <c r="E202" s="16"/>
      <c r="F202" s="129"/>
      <c r="G202" s="22"/>
      <c r="H202" s="19" t="s">
        <v>502</v>
      </c>
      <c r="I202" s="22"/>
      <c r="J202" s="130"/>
      <c r="K202" s="128"/>
      <c r="L202" s="129"/>
      <c r="M202" s="151"/>
      <c r="N202" s="22"/>
      <c r="O202" s="131">
        <v>101099</v>
      </c>
      <c r="P202" s="131">
        <v>23000</v>
      </c>
      <c r="Q202" s="182"/>
      <c r="R202" s="376">
        <v>46212</v>
      </c>
    </row>
    <row r="203" spans="2:18" x14ac:dyDescent="0.45">
      <c r="B203" s="5" t="str">
        <f t="shared" si="19"/>
        <v>NTTU1754442</v>
      </c>
      <c r="C203" s="188" t="s">
        <v>433</v>
      </c>
      <c r="D203" s="16" t="s">
        <v>578</v>
      </c>
      <c r="E203" s="16"/>
      <c r="F203" s="129"/>
      <c r="G203" s="22"/>
      <c r="H203" s="19" t="s">
        <v>502</v>
      </c>
      <c r="I203" s="22"/>
      <c r="J203" s="130"/>
      <c r="K203" s="128"/>
      <c r="L203" s="129"/>
      <c r="M203" s="151"/>
      <c r="N203" s="22"/>
      <c r="O203" s="131">
        <v>101100</v>
      </c>
      <c r="P203" s="131">
        <v>23000</v>
      </c>
      <c r="Q203" s="182"/>
      <c r="R203" s="376">
        <v>46212</v>
      </c>
    </row>
    <row r="204" spans="2:18" x14ac:dyDescent="0.45">
      <c r="B204" s="5" t="str">
        <f t="shared" si="19"/>
        <v/>
      </c>
      <c r="C204" s="188"/>
      <c r="D204" s="16"/>
      <c r="E204" s="16"/>
      <c r="F204" s="129"/>
      <c r="G204" s="22"/>
      <c r="H204" s="19"/>
      <c r="I204" s="22"/>
      <c r="J204" s="130"/>
      <c r="K204" s="128"/>
      <c r="L204" s="129"/>
      <c r="M204" s="151"/>
      <c r="N204" s="22"/>
      <c r="O204" s="131"/>
      <c r="P204" s="131"/>
      <c r="Q204" s="182"/>
      <c r="R204" s="376"/>
    </row>
    <row r="205" spans="2:18" x14ac:dyDescent="0.45">
      <c r="B205" s="5" t="str">
        <f t="shared" si="19"/>
        <v/>
      </c>
      <c r="C205" s="188"/>
      <c r="D205" s="16"/>
      <c r="E205" s="16"/>
      <c r="F205" s="129"/>
      <c r="G205" s="22"/>
      <c r="H205" s="19"/>
      <c r="I205" s="22"/>
      <c r="J205" s="130"/>
      <c r="K205" s="128"/>
      <c r="L205" s="129"/>
      <c r="M205" s="151"/>
      <c r="N205" s="22"/>
      <c r="O205" s="131"/>
      <c r="P205" s="131"/>
      <c r="Q205" s="182"/>
      <c r="R205" s="376"/>
    </row>
    <row r="206" spans="2:18" x14ac:dyDescent="0.45">
      <c r="B206" s="5" t="str">
        <f t="shared" si="19"/>
        <v/>
      </c>
      <c r="C206" s="188"/>
      <c r="D206" s="16"/>
      <c r="E206" s="16"/>
      <c r="F206" s="129"/>
      <c r="G206" s="22"/>
      <c r="H206" s="19"/>
      <c r="I206" s="22"/>
      <c r="J206" s="130"/>
      <c r="K206" s="128"/>
      <c r="L206" s="129"/>
      <c r="M206" s="151"/>
      <c r="N206" s="22"/>
      <c r="O206" s="131"/>
      <c r="P206" s="131"/>
      <c r="Q206" s="182"/>
      <c r="R206" s="376"/>
    </row>
    <row r="207" spans="2:18" x14ac:dyDescent="0.45">
      <c r="B207" s="5" t="str">
        <f t="shared" si="19"/>
        <v/>
      </c>
      <c r="C207" s="188"/>
      <c r="D207" s="16"/>
      <c r="E207" s="16"/>
      <c r="F207" s="129"/>
      <c r="G207" s="22"/>
      <c r="H207" s="19"/>
      <c r="I207" s="22"/>
      <c r="J207" s="130"/>
      <c r="K207" s="128"/>
      <c r="L207" s="129"/>
      <c r="M207" s="151"/>
      <c r="N207" s="22"/>
      <c r="O207" s="131"/>
      <c r="P207" s="131"/>
      <c r="Q207" s="182"/>
      <c r="R207" s="376"/>
    </row>
    <row r="208" spans="2:18" x14ac:dyDescent="0.45">
      <c r="B208" s="5" t="str">
        <f t="shared" si="19"/>
        <v/>
      </c>
      <c r="C208" s="188"/>
      <c r="D208" s="16"/>
      <c r="E208" s="16"/>
      <c r="F208" s="129"/>
      <c r="G208" s="22"/>
      <c r="H208" s="19"/>
      <c r="I208" s="22"/>
      <c r="J208" s="130"/>
      <c r="K208" s="128"/>
      <c r="L208" s="129"/>
      <c r="M208" s="151"/>
      <c r="N208" s="22"/>
      <c r="O208" s="131"/>
      <c r="P208" s="131"/>
      <c r="Q208" s="182"/>
      <c r="R208" s="376"/>
    </row>
    <row r="209" spans="1:19" x14ac:dyDescent="0.45">
      <c r="B209" s="5" t="str">
        <f t="shared" si="19"/>
        <v/>
      </c>
      <c r="C209" s="188"/>
      <c r="D209" s="16"/>
      <c r="E209" s="16"/>
      <c r="F209" s="129"/>
      <c r="G209" s="22"/>
      <c r="H209" s="19"/>
      <c r="I209" s="22"/>
      <c r="J209" s="130"/>
      <c r="K209" s="128"/>
      <c r="L209" s="129"/>
      <c r="M209" s="151"/>
      <c r="N209" s="22"/>
      <c r="O209" s="131"/>
      <c r="P209" s="131"/>
      <c r="Q209" s="182"/>
      <c r="R209" s="376"/>
    </row>
    <row r="210" spans="1:19" x14ac:dyDescent="0.45">
      <c r="B210" s="5" t="str">
        <f t="shared" si="19"/>
        <v/>
      </c>
      <c r="C210" s="188"/>
      <c r="D210" s="16"/>
      <c r="E210" s="16"/>
      <c r="F210" s="129"/>
      <c r="G210" s="22"/>
      <c r="H210" s="19"/>
      <c r="I210" s="22"/>
      <c r="J210" s="130"/>
      <c r="K210" s="128"/>
      <c r="L210" s="129"/>
      <c r="M210" s="151"/>
      <c r="N210" s="22"/>
      <c r="O210" s="131"/>
      <c r="P210" s="131"/>
      <c r="Q210" s="182"/>
      <c r="R210" s="376"/>
    </row>
    <row r="211" spans="1:19" x14ac:dyDescent="0.45">
      <c r="B211" s="5" t="str">
        <f t="shared" si="19"/>
        <v/>
      </c>
      <c r="C211" s="188"/>
      <c r="D211" s="16"/>
      <c r="E211" s="16"/>
      <c r="F211" s="129"/>
      <c r="G211" s="22"/>
      <c r="H211" s="19"/>
      <c r="I211" s="22"/>
      <c r="J211" s="130"/>
      <c r="K211" s="128"/>
      <c r="L211" s="129"/>
      <c r="M211" s="151"/>
      <c r="N211" s="22"/>
      <c r="O211" s="131"/>
      <c r="P211" s="131"/>
      <c r="Q211" s="182"/>
      <c r="R211" s="376"/>
    </row>
    <row r="212" spans="1:19" x14ac:dyDescent="0.45">
      <c r="B212" s="5" t="str">
        <f t="shared" si="19"/>
        <v/>
      </c>
      <c r="C212" s="188"/>
      <c r="D212" s="16"/>
      <c r="E212" s="16"/>
      <c r="F212" s="129"/>
      <c r="G212" s="22"/>
      <c r="H212" s="19"/>
      <c r="I212" s="22"/>
      <c r="J212" s="130"/>
      <c r="K212" s="128"/>
      <c r="L212" s="129"/>
      <c r="M212" s="151"/>
      <c r="N212" s="22"/>
      <c r="O212" s="131"/>
      <c r="P212" s="131"/>
      <c r="Q212" s="182"/>
      <c r="R212" s="376"/>
    </row>
    <row r="213" spans="1:19" x14ac:dyDescent="0.45">
      <c r="B213" s="5" t="str">
        <f t="shared" si="19"/>
        <v/>
      </c>
      <c r="C213" s="188"/>
      <c r="D213" s="16"/>
      <c r="E213" s="16"/>
      <c r="F213" s="129"/>
      <c r="G213" s="22"/>
      <c r="H213" s="19"/>
      <c r="I213" s="22"/>
      <c r="J213" s="130"/>
      <c r="K213" s="128"/>
      <c r="L213" s="129"/>
      <c r="M213" s="151"/>
      <c r="N213" s="22"/>
      <c r="O213" s="131"/>
      <c r="P213" s="131"/>
      <c r="Q213" s="182"/>
      <c r="R213" s="376"/>
    </row>
    <row r="214" spans="1:19" x14ac:dyDescent="0.45">
      <c r="B214" s="5" t="str">
        <f t="shared" si="19"/>
        <v/>
      </c>
      <c r="C214" s="188"/>
      <c r="D214" s="16"/>
      <c r="E214" s="16"/>
      <c r="F214" s="129"/>
      <c r="G214" s="22"/>
      <c r="H214" s="19"/>
      <c r="I214" s="22"/>
      <c r="J214" s="130"/>
      <c r="K214" s="128"/>
      <c r="L214" s="129"/>
      <c r="M214" s="151"/>
      <c r="N214" s="22"/>
      <c r="O214" s="131"/>
      <c r="P214" s="131"/>
      <c r="Q214" s="182"/>
      <c r="R214" s="376"/>
    </row>
    <row r="215" spans="1:19" x14ac:dyDescent="0.45">
      <c r="B215" s="5" t="str">
        <f t="shared" si="19"/>
        <v/>
      </c>
      <c r="C215" s="188"/>
      <c r="D215" s="16"/>
      <c r="E215" s="16"/>
      <c r="F215" s="129"/>
      <c r="G215" s="22"/>
      <c r="H215" s="19"/>
      <c r="I215" s="22"/>
      <c r="J215" s="130"/>
      <c r="K215" s="128"/>
      <c r="L215" s="129"/>
      <c r="M215" s="151"/>
      <c r="N215" s="22"/>
      <c r="O215" s="131"/>
      <c r="P215" s="131"/>
      <c r="Q215" s="182"/>
      <c r="R215" s="376"/>
    </row>
    <row r="216" spans="1:19" x14ac:dyDescent="0.45">
      <c r="B216" s="5" t="str">
        <f t="shared" si="19"/>
        <v/>
      </c>
      <c r="C216" s="188"/>
      <c r="D216" s="16"/>
      <c r="E216" s="16"/>
      <c r="F216" s="129"/>
      <c r="G216" s="22"/>
      <c r="H216" s="19"/>
      <c r="I216" s="22"/>
      <c r="J216" s="130"/>
      <c r="K216" s="128"/>
      <c r="L216" s="129"/>
      <c r="M216" s="151"/>
      <c r="N216" s="22"/>
      <c r="O216" s="131"/>
      <c r="P216" s="131"/>
      <c r="Q216" s="182"/>
      <c r="R216" s="376"/>
    </row>
    <row r="217" spans="1:19" x14ac:dyDescent="0.45">
      <c r="B217" s="5" t="str">
        <f t="shared" si="19"/>
        <v/>
      </c>
      <c r="C217" s="188"/>
      <c r="D217" s="16"/>
      <c r="E217" s="16"/>
      <c r="F217" s="129"/>
      <c r="G217" s="22"/>
      <c r="H217" s="19"/>
      <c r="I217" s="22"/>
      <c r="J217" s="130"/>
      <c r="K217" s="128"/>
      <c r="L217" s="129"/>
      <c r="M217" s="151"/>
      <c r="N217" s="22"/>
      <c r="O217" s="131"/>
      <c r="P217" s="131"/>
      <c r="Q217" s="182"/>
      <c r="R217" s="376"/>
    </row>
    <row r="218" spans="1:19" x14ac:dyDescent="0.45">
      <c r="B218" s="5" t="str">
        <f t="shared" si="19"/>
        <v/>
      </c>
      <c r="C218" s="188"/>
      <c r="D218" s="16"/>
      <c r="E218" s="16"/>
      <c r="F218" s="129"/>
      <c r="G218" s="22"/>
      <c r="H218" s="19"/>
      <c r="I218" s="22"/>
      <c r="J218" s="130"/>
      <c r="K218" s="128"/>
      <c r="L218" s="129"/>
      <c r="M218" s="151"/>
      <c r="N218" s="22"/>
      <c r="O218" s="131"/>
      <c r="P218" s="131"/>
      <c r="Q218" s="182"/>
      <c r="R218" s="376"/>
    </row>
    <row r="219" spans="1:19" x14ac:dyDescent="0.45">
      <c r="B219" s="5" t="str">
        <f t="shared" si="19"/>
        <v/>
      </c>
      <c r="C219" s="188"/>
      <c r="D219" s="16"/>
      <c r="E219" s="16"/>
      <c r="F219" s="129"/>
      <c r="G219" s="22"/>
      <c r="H219" s="19"/>
      <c r="I219" s="22"/>
      <c r="J219" s="130"/>
      <c r="K219" s="128"/>
      <c r="L219" s="129"/>
      <c r="M219" s="151"/>
      <c r="N219" s="22"/>
      <c r="O219" s="131"/>
      <c r="P219" s="131"/>
      <c r="Q219" s="182"/>
      <c r="R219" s="376"/>
    </row>
    <row r="220" spans="1:19" x14ac:dyDescent="0.45">
      <c r="B220" s="5" t="str">
        <f t="shared" si="19"/>
        <v/>
      </c>
      <c r="C220" s="188"/>
      <c r="D220" s="193"/>
      <c r="E220" s="16"/>
      <c r="F220" s="129"/>
      <c r="G220" s="22"/>
      <c r="H220" s="66"/>
      <c r="I220" s="66"/>
      <c r="J220" s="130"/>
      <c r="K220" s="128"/>
      <c r="L220" s="129"/>
      <c r="M220" s="151"/>
      <c r="N220" s="22"/>
      <c r="O220" s="131"/>
      <c r="P220" s="131"/>
      <c r="Q220" s="182"/>
      <c r="R220" s="376"/>
    </row>
    <row r="221" spans="1:19" x14ac:dyDescent="0.45">
      <c r="A221" s="5" t="str">
        <f>TRIM(N221)</f>
        <v/>
      </c>
      <c r="B221" s="5" t="str">
        <f t="shared" si="19"/>
        <v/>
      </c>
      <c r="C221" s="188"/>
      <c r="D221" s="193"/>
      <c r="E221" s="16"/>
      <c r="F221" s="129"/>
      <c r="G221" s="22"/>
      <c r="H221" s="66"/>
      <c r="I221" s="66"/>
      <c r="J221" s="130"/>
      <c r="K221" s="128"/>
      <c r="L221" s="129"/>
      <c r="M221" s="151"/>
      <c r="N221" s="22"/>
      <c r="O221" s="131"/>
      <c r="P221" s="131"/>
      <c r="Q221" s="182"/>
      <c r="R221" s="376"/>
    </row>
    <row r="222" spans="1:19" x14ac:dyDescent="0.45">
      <c r="C222" s="188"/>
      <c r="D222" s="16"/>
      <c r="E222" s="16"/>
      <c r="F222" s="129"/>
      <c r="G222" s="22"/>
      <c r="H222" s="66"/>
      <c r="I222" s="22"/>
      <c r="J222" s="130"/>
      <c r="K222" s="128"/>
      <c r="L222" s="129"/>
      <c r="M222" s="151"/>
      <c r="N222" s="22"/>
      <c r="O222" s="131"/>
      <c r="P222" s="131"/>
      <c r="Q222" s="182"/>
      <c r="R222" s="376"/>
    </row>
    <row r="223" spans="1:19" s="43" customFormat="1" ht="40" x14ac:dyDescent="0.45">
      <c r="C223" s="116"/>
      <c r="D223" s="98" t="s">
        <v>230</v>
      </c>
      <c r="E223" s="141" t="s">
        <v>4</v>
      </c>
      <c r="F223" s="200" t="s">
        <v>14</v>
      </c>
      <c r="G223" s="140"/>
      <c r="H223" s="209"/>
      <c r="I223" s="210"/>
      <c r="J223" s="189" t="s">
        <v>420</v>
      </c>
      <c r="K223" s="190" t="s">
        <v>416</v>
      </c>
      <c r="L223" s="189" t="s">
        <v>417</v>
      </c>
      <c r="M223" s="189" t="s">
        <v>418</v>
      </c>
      <c r="N223" s="189" t="s">
        <v>454</v>
      </c>
      <c r="O223" s="189" t="s">
        <v>453</v>
      </c>
      <c r="P223" s="189"/>
      <c r="Q223" s="189" t="s">
        <v>455</v>
      </c>
      <c r="R223" s="342"/>
      <c r="S223" s="158"/>
    </row>
    <row r="224" spans="1:19" s="13" customFormat="1" x14ac:dyDescent="0.45">
      <c r="C224" s="116"/>
      <c r="D224" s="139" t="s">
        <v>244</v>
      </c>
      <c r="E224" s="267">
        <f>SUM(E128:E135)</f>
        <v>165950</v>
      </c>
      <c r="F224" s="199"/>
      <c r="G224" s="207"/>
      <c r="H224" s="155"/>
      <c r="I224" s="154" t="s">
        <v>452</v>
      </c>
      <c r="J224" s="18">
        <v>4</v>
      </c>
      <c r="K224" s="128">
        <v>0</v>
      </c>
      <c r="L224" s="128">
        <v>0</v>
      </c>
      <c r="M224" s="128">
        <v>0</v>
      </c>
      <c r="N224" s="128">
        <v>2</v>
      </c>
      <c r="O224" s="160">
        <f>SUM(J224:N224)</f>
        <v>6</v>
      </c>
      <c r="P224" s="160"/>
      <c r="Q224" s="160">
        <f>SUM(K224:O224)</f>
        <v>8</v>
      </c>
      <c r="R224" s="342"/>
      <c r="S224" s="22"/>
    </row>
    <row r="225" spans="3:19" x14ac:dyDescent="0.45">
      <c r="D225" s="45" t="s">
        <v>245</v>
      </c>
      <c r="E225" s="268">
        <f>E224/21000</f>
        <v>7.9023809523809527</v>
      </c>
      <c r="F225" s="153">
        <v>3</v>
      </c>
      <c r="G225" s="285"/>
      <c r="H225" s="155"/>
      <c r="I225" s="156" t="s">
        <v>212</v>
      </c>
      <c r="J225" s="18">
        <v>4</v>
      </c>
      <c r="K225" s="128">
        <v>4</v>
      </c>
      <c r="L225" s="128">
        <v>9</v>
      </c>
      <c r="M225" s="128">
        <v>4</v>
      </c>
      <c r="N225" s="128">
        <v>9</v>
      </c>
      <c r="O225" s="160">
        <f t="shared" ref="O225:O226" si="20">SUM(J225:N225)</f>
        <v>30</v>
      </c>
      <c r="P225" s="160"/>
      <c r="Q225" s="160">
        <f>SUM(K225:O225)</f>
        <v>56</v>
      </c>
      <c r="R225" s="343" t="s">
        <v>424</v>
      </c>
      <c r="S225" s="160"/>
    </row>
    <row r="226" spans="3:19" x14ac:dyDescent="0.45">
      <c r="D226" s="75" t="s">
        <v>246</v>
      </c>
      <c r="E226" s="269">
        <v>120230</v>
      </c>
      <c r="F226" s="284">
        <f>E226-84160</f>
        <v>36070</v>
      </c>
      <c r="G226" s="206"/>
      <c r="H226" s="157"/>
      <c r="I226" s="156" t="s">
        <v>236</v>
      </c>
      <c r="J226" s="18">
        <v>1</v>
      </c>
      <c r="K226" s="128">
        <v>0</v>
      </c>
      <c r="L226" s="128">
        <v>4</v>
      </c>
      <c r="M226" s="128">
        <v>8</v>
      </c>
      <c r="N226" s="128">
        <v>9</v>
      </c>
      <c r="O226" s="160">
        <f t="shared" si="20"/>
        <v>22</v>
      </c>
      <c r="P226" s="160"/>
      <c r="Q226" s="160">
        <f>SUM(K226:O226)</f>
        <v>43</v>
      </c>
      <c r="R226" s="343" t="s">
        <v>424</v>
      </c>
      <c r="S226" s="160"/>
    </row>
    <row r="227" spans="3:19" x14ac:dyDescent="0.45">
      <c r="D227" s="19" t="s">
        <v>0</v>
      </c>
      <c r="E227" s="270">
        <f>E224-E226</f>
        <v>45720</v>
      </c>
      <c r="F227" s="153"/>
      <c r="G227" s="208"/>
      <c r="H227" s="157"/>
      <c r="I227" s="159" t="s">
        <v>414</v>
      </c>
      <c r="J227" s="75">
        <f>J226+J225</f>
        <v>5</v>
      </c>
      <c r="K227" s="75">
        <f>SUM(K224:K226)</f>
        <v>4</v>
      </c>
      <c r="L227" s="75">
        <f>SUM(L224:L226)</f>
        <v>13</v>
      </c>
      <c r="M227" s="75">
        <f>SUM(M224:M226)</f>
        <v>12</v>
      </c>
      <c r="N227" s="75">
        <f>SUM(N224:N226)</f>
        <v>20</v>
      </c>
      <c r="O227" s="160">
        <f>SUM(J227:N227)</f>
        <v>54</v>
      </c>
      <c r="P227" s="160"/>
      <c r="Q227" s="160">
        <f>SUM(K227:O227)</f>
        <v>103</v>
      </c>
      <c r="R227" s="343" t="s">
        <v>424</v>
      </c>
      <c r="S227" s="160"/>
    </row>
    <row r="228" spans="3:19" x14ac:dyDescent="0.45">
      <c r="D228" s="17"/>
      <c r="E228" s="271">
        <f>+E227/20000</f>
        <v>2.286</v>
      </c>
      <c r="F228" s="153"/>
      <c r="G228" s="44"/>
      <c r="H228" s="157"/>
      <c r="I228" s="161" t="s">
        <v>422</v>
      </c>
      <c r="J228" s="162">
        <v>16</v>
      </c>
      <c r="K228" s="194"/>
      <c r="L228" s="163"/>
      <c r="M228" s="164"/>
      <c r="N228" s="165"/>
      <c r="O228" s="166"/>
      <c r="P228" s="166"/>
      <c r="Q228" s="9"/>
      <c r="S228" s="166"/>
    </row>
    <row r="229" spans="3:19" ht="41" x14ac:dyDescent="0.45">
      <c r="D229" s="18" t="s">
        <v>498</v>
      </c>
      <c r="E229" s="276"/>
      <c r="F229" s="153"/>
      <c r="G229" s="44"/>
      <c r="H229" s="157"/>
      <c r="I229" s="161" t="s">
        <v>423</v>
      </c>
      <c r="J229" s="162">
        <v>23</v>
      </c>
      <c r="K229" s="194"/>
      <c r="L229" s="163"/>
      <c r="M229" s="171">
        <f>ROUNDUP($J$229/2,0)</f>
        <v>12</v>
      </c>
      <c r="N229" s="171">
        <f>ROUNDUP($J$229/2,0)</f>
        <v>12</v>
      </c>
      <c r="O229" s="162">
        <f>ROUNDUP($J$228*$Q$229,0)</f>
        <v>55</v>
      </c>
      <c r="P229" s="162"/>
      <c r="Q229" s="171">
        <f>Q227/30</f>
        <v>3.4333333333333331</v>
      </c>
      <c r="R229" s="344" t="s">
        <v>425</v>
      </c>
    </row>
    <row r="230" spans="3:19" x14ac:dyDescent="0.45">
      <c r="D230" s="278" t="s">
        <v>499</v>
      </c>
      <c r="E230" s="277">
        <f>E227-E229</f>
        <v>45720</v>
      </c>
      <c r="F230" s="153"/>
      <c r="G230" s="44"/>
      <c r="H230" s="272"/>
      <c r="I230" s="273"/>
      <c r="J230" s="274"/>
      <c r="K230" s="194"/>
      <c r="L230" s="163"/>
      <c r="M230" s="275"/>
      <c r="N230" s="275"/>
      <c r="O230" s="274"/>
      <c r="P230" s="274"/>
      <c r="Q230" s="275"/>
      <c r="R230" s="345"/>
    </row>
    <row r="231" spans="3:19" s="127" customFormat="1" ht="48" customHeight="1" x14ac:dyDescent="0.5">
      <c r="C231" s="125"/>
      <c r="D231" s="123" t="s">
        <v>154</v>
      </c>
      <c r="E231" s="124" t="s">
        <v>240</v>
      </c>
      <c r="F231" s="126" t="s">
        <v>304</v>
      </c>
      <c r="G231" s="44"/>
      <c r="H231" s="21"/>
      <c r="I231" s="21" t="s">
        <v>180</v>
      </c>
      <c r="J231" s="21"/>
      <c r="K231" s="21"/>
      <c r="L231" s="21"/>
      <c r="M231" s="7"/>
      <c r="N231" s="21"/>
      <c r="O231" s="21"/>
      <c r="P231" s="21"/>
      <c r="Q231" s="144" t="s">
        <v>444</v>
      </c>
      <c r="R231" s="346"/>
    </row>
    <row r="232" spans="3:19" ht="28.5" customHeight="1" x14ac:dyDescent="0.45">
      <c r="C232" s="113" t="s">
        <v>211</v>
      </c>
      <c r="D232" s="11" t="s">
        <v>3</v>
      </c>
      <c r="E232" s="11" t="s">
        <v>4</v>
      </c>
      <c r="F232" s="11" t="s">
        <v>5</v>
      </c>
      <c r="G232" s="11" t="s">
        <v>6</v>
      </c>
      <c r="H232" s="11" t="s">
        <v>57</v>
      </c>
      <c r="I232" s="27" t="s">
        <v>7</v>
      </c>
      <c r="J232" s="12" t="s">
        <v>307</v>
      </c>
      <c r="K232" s="12" t="s">
        <v>260</v>
      </c>
      <c r="L232" s="27" t="s">
        <v>8</v>
      </c>
      <c r="M232" s="12" t="s">
        <v>398</v>
      </c>
      <c r="N232" s="11" t="s">
        <v>213</v>
      </c>
      <c r="O232" s="12" t="s">
        <v>214</v>
      </c>
      <c r="P232" s="12"/>
      <c r="Q232" s="11" t="s">
        <v>9</v>
      </c>
      <c r="R232" s="347"/>
    </row>
    <row r="233" spans="3:19" s="37" customFormat="1" ht="20.25" hidden="1" customHeight="1" outlineLevel="1" x14ac:dyDescent="0.45">
      <c r="C233" s="115" t="s">
        <v>229</v>
      </c>
      <c r="D233" s="23" t="s">
        <v>58</v>
      </c>
      <c r="E233" s="14">
        <v>15970</v>
      </c>
      <c r="F233" s="14" t="s">
        <v>11</v>
      </c>
      <c r="G233" s="14" t="s">
        <v>14</v>
      </c>
      <c r="H233" s="14" t="s">
        <v>59</v>
      </c>
      <c r="I233" s="14">
        <v>15970</v>
      </c>
      <c r="J233" s="24" t="s">
        <v>15</v>
      </c>
      <c r="K233" s="24"/>
      <c r="L233" s="39"/>
      <c r="M233" s="23"/>
      <c r="N233" s="14"/>
      <c r="O233" s="14"/>
      <c r="P233" s="14"/>
      <c r="Q233" s="168"/>
      <c r="R233" s="348"/>
    </row>
    <row r="234" spans="3:19" s="37" customFormat="1" ht="20.25" hidden="1" customHeight="1" outlineLevel="1" x14ac:dyDescent="0.45">
      <c r="C234" s="115" t="s">
        <v>229</v>
      </c>
      <c r="D234" s="23" t="s">
        <v>60</v>
      </c>
      <c r="E234" s="14">
        <v>15960</v>
      </c>
      <c r="F234" s="14" t="s">
        <v>11</v>
      </c>
      <c r="G234" s="14" t="s">
        <v>12</v>
      </c>
      <c r="H234" s="14" t="s">
        <v>16</v>
      </c>
      <c r="I234" s="14">
        <f>SUM(E234:E235)</f>
        <v>32280</v>
      </c>
      <c r="J234" s="24" t="s">
        <v>19</v>
      </c>
      <c r="K234" s="24"/>
      <c r="L234" s="39"/>
      <c r="M234" s="23"/>
      <c r="N234" s="14"/>
      <c r="O234" s="14"/>
      <c r="P234" s="14"/>
      <c r="Q234" s="168"/>
      <c r="R234" s="348"/>
    </row>
    <row r="235" spans="3:19" s="37" customFormat="1" ht="20.25" hidden="1" customHeight="1" outlineLevel="1" x14ac:dyDescent="0.45">
      <c r="C235" s="115" t="s">
        <v>229</v>
      </c>
      <c r="D235" s="23" t="s">
        <v>61</v>
      </c>
      <c r="E235" s="14">
        <v>16320</v>
      </c>
      <c r="F235" s="14" t="s">
        <v>11</v>
      </c>
      <c r="G235" s="14" t="s">
        <v>12</v>
      </c>
      <c r="H235" s="14" t="s">
        <v>16</v>
      </c>
      <c r="I235" s="14"/>
      <c r="J235" s="24"/>
      <c r="K235" s="24"/>
      <c r="L235" s="39"/>
      <c r="M235" s="23"/>
      <c r="N235" s="14"/>
      <c r="O235" s="14"/>
      <c r="P235" s="14"/>
      <c r="Q235" s="168"/>
      <c r="R235" s="348"/>
    </row>
    <row r="236" spans="3:19" s="37" customFormat="1" ht="20.25" hidden="1" customHeight="1" outlineLevel="1" x14ac:dyDescent="0.45">
      <c r="C236" s="115" t="s">
        <v>229</v>
      </c>
      <c r="D236" s="23" t="s">
        <v>62</v>
      </c>
      <c r="E236" s="14">
        <v>16120</v>
      </c>
      <c r="F236" s="14" t="s">
        <v>11</v>
      </c>
      <c r="G236" s="14" t="s">
        <v>12</v>
      </c>
      <c r="H236" s="14" t="s">
        <v>20</v>
      </c>
      <c r="I236" s="14">
        <v>16120</v>
      </c>
      <c r="J236" s="23" t="s">
        <v>63</v>
      </c>
      <c r="K236" s="23"/>
      <c r="L236" s="39"/>
      <c r="M236" s="23"/>
      <c r="N236" s="14"/>
      <c r="O236" s="14"/>
      <c r="P236" s="14"/>
      <c r="Q236" s="168" t="s">
        <v>23</v>
      </c>
      <c r="R236" s="348"/>
    </row>
    <row r="237" spans="3:19" s="37" customFormat="1" ht="20.9" hidden="1" customHeight="1" outlineLevel="1" x14ac:dyDescent="0.45">
      <c r="C237" s="115" t="s">
        <v>229</v>
      </c>
      <c r="D237" s="24" t="s">
        <v>64</v>
      </c>
      <c r="E237" s="24">
        <v>15890</v>
      </c>
      <c r="F237" s="14" t="s">
        <v>11</v>
      </c>
      <c r="G237" s="14" t="s">
        <v>12</v>
      </c>
      <c r="H237" s="14" t="s">
        <v>2</v>
      </c>
      <c r="I237" s="14">
        <f>+E237</f>
        <v>15890</v>
      </c>
      <c r="J237" s="24" t="s">
        <v>25</v>
      </c>
      <c r="K237" s="24"/>
      <c r="L237" s="39" t="s">
        <v>21</v>
      </c>
      <c r="M237" s="23"/>
      <c r="N237" s="14"/>
      <c r="O237" s="14"/>
      <c r="P237" s="14"/>
      <c r="Q237" s="168" t="s">
        <v>24</v>
      </c>
      <c r="R237" s="348"/>
    </row>
    <row r="238" spans="3:19" s="37" customFormat="1" ht="41.15" hidden="1" customHeight="1" outlineLevel="1" x14ac:dyDescent="0.45">
      <c r="C238" s="115" t="s">
        <v>229</v>
      </c>
      <c r="D238" s="24" t="s">
        <v>65</v>
      </c>
      <c r="E238" s="24">
        <v>16150</v>
      </c>
      <c r="F238" s="14" t="s">
        <v>11</v>
      </c>
      <c r="G238" s="14" t="s">
        <v>12</v>
      </c>
      <c r="H238" s="14" t="s">
        <v>2</v>
      </c>
      <c r="I238" s="14">
        <f>+E238</f>
        <v>16150</v>
      </c>
      <c r="J238" s="24" t="s">
        <v>19</v>
      </c>
      <c r="K238" s="24"/>
      <c r="L238" s="39" t="s">
        <v>21</v>
      </c>
      <c r="M238" s="23"/>
      <c r="N238" s="14"/>
      <c r="O238" s="14"/>
      <c r="P238" s="14"/>
      <c r="Q238" s="168" t="s">
        <v>24</v>
      </c>
      <c r="R238" s="348"/>
    </row>
    <row r="239" spans="3:19" s="37" customFormat="1" ht="20.9" hidden="1" customHeight="1" outlineLevel="1" x14ac:dyDescent="0.45">
      <c r="C239" s="115" t="s">
        <v>229</v>
      </c>
      <c r="D239" s="23" t="s">
        <v>58</v>
      </c>
      <c r="E239" s="14">
        <v>16070</v>
      </c>
      <c r="F239" s="14" t="s">
        <v>11</v>
      </c>
      <c r="G239" s="14" t="s">
        <v>12</v>
      </c>
      <c r="H239" s="14" t="s">
        <v>16</v>
      </c>
      <c r="I239" s="14">
        <f>+E239+E240</f>
        <v>32400</v>
      </c>
      <c r="J239" s="24" t="s">
        <v>19</v>
      </c>
      <c r="K239" s="24"/>
      <c r="L239" s="39"/>
      <c r="M239" s="23"/>
      <c r="N239" s="14"/>
      <c r="O239" s="14"/>
      <c r="P239" s="14"/>
      <c r="Q239" s="168" t="s">
        <v>26</v>
      </c>
      <c r="R239" s="348"/>
    </row>
    <row r="240" spans="3:19" s="37" customFormat="1" ht="41.15" hidden="1" customHeight="1" outlineLevel="1" x14ac:dyDescent="0.45">
      <c r="C240" s="115" t="s">
        <v>229</v>
      </c>
      <c r="D240" s="23" t="s">
        <v>60</v>
      </c>
      <c r="E240" s="14">
        <v>16330</v>
      </c>
      <c r="F240" s="14" t="s">
        <v>11</v>
      </c>
      <c r="G240" s="14" t="s">
        <v>12</v>
      </c>
      <c r="H240" s="14" t="s">
        <v>16</v>
      </c>
      <c r="I240" s="14"/>
      <c r="J240" s="24"/>
      <c r="K240" s="24"/>
      <c r="L240" s="39" t="s">
        <v>187</v>
      </c>
      <c r="M240" s="23"/>
      <c r="N240" s="14"/>
      <c r="O240" s="14"/>
      <c r="P240" s="14"/>
      <c r="Q240" s="168" t="s">
        <v>26</v>
      </c>
      <c r="R240" s="348"/>
    </row>
    <row r="241" spans="3:18" s="37" customFormat="1" ht="20.9" hidden="1" customHeight="1" outlineLevel="1" x14ac:dyDescent="0.45">
      <c r="C241" s="115" t="s">
        <v>229</v>
      </c>
      <c r="D241" s="23" t="s">
        <v>66</v>
      </c>
      <c r="E241" s="14">
        <v>16000</v>
      </c>
      <c r="F241" s="14" t="s">
        <v>11</v>
      </c>
      <c r="G241" s="14" t="s">
        <v>12</v>
      </c>
      <c r="H241" s="14" t="s">
        <v>16</v>
      </c>
      <c r="I241" s="14">
        <v>16000</v>
      </c>
      <c r="J241" s="24" t="s">
        <v>27</v>
      </c>
      <c r="K241" s="24"/>
      <c r="L241" s="39"/>
      <c r="M241" s="23"/>
      <c r="N241" s="14"/>
      <c r="O241" s="14"/>
      <c r="P241" s="14"/>
      <c r="Q241" s="168"/>
      <c r="R241" s="348"/>
    </row>
    <row r="242" spans="3:18" s="37" customFormat="1" ht="20.9" hidden="1" customHeight="1" outlineLevel="1" x14ac:dyDescent="0.45">
      <c r="C242" s="115" t="s">
        <v>229</v>
      </c>
      <c r="D242" s="23" t="s">
        <v>67</v>
      </c>
      <c r="E242" s="14">
        <v>15930</v>
      </c>
      <c r="F242" s="14" t="s">
        <v>11</v>
      </c>
      <c r="G242" s="14" t="s">
        <v>12</v>
      </c>
      <c r="H242" s="14" t="s">
        <v>2</v>
      </c>
      <c r="I242" s="14">
        <f>E242</f>
        <v>15930</v>
      </c>
      <c r="J242" s="24" t="s">
        <v>68</v>
      </c>
      <c r="K242" s="24"/>
      <c r="L242" s="39"/>
      <c r="M242" s="23"/>
      <c r="N242" s="14"/>
      <c r="O242" s="14"/>
      <c r="P242" s="14"/>
      <c r="Q242" s="168" t="s">
        <v>28</v>
      </c>
      <c r="R242" s="348"/>
    </row>
    <row r="243" spans="3:18" s="37" customFormat="1" ht="41.15" hidden="1" customHeight="1" outlineLevel="1" x14ac:dyDescent="0.45">
      <c r="C243" s="115" t="s">
        <v>229</v>
      </c>
      <c r="D243" s="23" t="s">
        <v>69</v>
      </c>
      <c r="E243" s="14">
        <v>16430</v>
      </c>
      <c r="F243" s="14" t="s">
        <v>11</v>
      </c>
      <c r="G243" s="14" t="s">
        <v>12</v>
      </c>
      <c r="H243" s="14" t="s">
        <v>2</v>
      </c>
      <c r="I243" s="14">
        <f>E243</f>
        <v>16430</v>
      </c>
      <c r="J243" s="24" t="s">
        <v>19</v>
      </c>
      <c r="K243" s="24"/>
      <c r="L243" s="39" t="s">
        <v>17</v>
      </c>
      <c r="M243" s="23"/>
      <c r="N243" s="14"/>
      <c r="O243" s="14"/>
      <c r="P243" s="14"/>
      <c r="Q243" s="168" t="s">
        <v>28</v>
      </c>
      <c r="R243" s="348"/>
    </row>
    <row r="244" spans="3:18" s="37" customFormat="1" ht="20.9" hidden="1" customHeight="1" outlineLevel="1" x14ac:dyDescent="0.45">
      <c r="C244" s="115" t="s">
        <v>229</v>
      </c>
      <c r="D244" s="23" t="s">
        <v>70</v>
      </c>
      <c r="E244" s="14">
        <v>16150</v>
      </c>
      <c r="F244" s="14" t="s">
        <v>11</v>
      </c>
      <c r="G244" s="14" t="s">
        <v>12</v>
      </c>
      <c r="H244" s="14" t="s">
        <v>71</v>
      </c>
      <c r="I244" s="14">
        <f>E244</f>
        <v>16150</v>
      </c>
      <c r="J244" s="24" t="s">
        <v>72</v>
      </c>
      <c r="K244" s="24"/>
      <c r="L244" s="39"/>
      <c r="M244" s="23"/>
      <c r="N244" s="14"/>
      <c r="O244" s="14"/>
      <c r="P244" s="14"/>
      <c r="Q244" s="168"/>
      <c r="R244" s="348"/>
    </row>
    <row r="245" spans="3:18" s="37" customFormat="1" ht="20.9" hidden="1" customHeight="1" outlineLevel="1" x14ac:dyDescent="0.45">
      <c r="C245" s="115" t="s">
        <v>229</v>
      </c>
      <c r="D245" s="23" t="s">
        <v>62</v>
      </c>
      <c r="E245" s="14">
        <f>16470</f>
        <v>16470</v>
      </c>
      <c r="F245" s="14" t="s">
        <v>11</v>
      </c>
      <c r="G245" s="14" t="s">
        <v>12</v>
      </c>
      <c r="H245" s="14" t="s">
        <v>16</v>
      </c>
      <c r="I245" s="14">
        <f>E245</f>
        <v>16470</v>
      </c>
      <c r="J245" s="23" t="s">
        <v>19</v>
      </c>
      <c r="K245" s="23"/>
      <c r="L245" s="39"/>
      <c r="M245" s="23"/>
      <c r="N245" s="14"/>
      <c r="O245" s="14"/>
      <c r="P245" s="14"/>
      <c r="Q245" s="168"/>
      <c r="R245" s="348"/>
    </row>
    <row r="246" spans="3:18" s="37" customFormat="1" ht="20.9" hidden="1" customHeight="1" outlineLevel="1" x14ac:dyDescent="0.45">
      <c r="C246" s="115" t="s">
        <v>229</v>
      </c>
      <c r="D246" s="23" t="s">
        <v>61</v>
      </c>
      <c r="E246" s="14">
        <v>16410</v>
      </c>
      <c r="F246" s="14" t="s">
        <v>11</v>
      </c>
      <c r="G246" s="14" t="s">
        <v>29</v>
      </c>
      <c r="H246" s="14" t="s">
        <v>16</v>
      </c>
      <c r="I246" s="14">
        <v>16410</v>
      </c>
      <c r="J246" s="24"/>
      <c r="K246" s="24"/>
      <c r="L246" s="39"/>
      <c r="M246" s="23"/>
      <c r="N246" s="14"/>
      <c r="O246" s="14"/>
      <c r="P246" s="14"/>
      <c r="Q246" s="176"/>
      <c r="R246" s="138"/>
    </row>
    <row r="247" spans="3:18" s="37" customFormat="1" ht="20.9" hidden="1" customHeight="1" outlineLevel="1" x14ac:dyDescent="0.45">
      <c r="C247" s="115" t="s">
        <v>229</v>
      </c>
      <c r="D247" s="23" t="s">
        <v>65</v>
      </c>
      <c r="E247" s="14">
        <f>16450</f>
        <v>16450</v>
      </c>
      <c r="F247" s="14" t="s">
        <v>11</v>
      </c>
      <c r="G247" s="14" t="s">
        <v>29</v>
      </c>
      <c r="H247" s="14" t="s">
        <v>16</v>
      </c>
      <c r="I247" s="14"/>
      <c r="J247" s="24"/>
      <c r="K247" s="24"/>
      <c r="L247" s="39"/>
      <c r="M247" s="23"/>
      <c r="N247" s="14"/>
      <c r="O247" s="14"/>
      <c r="P247" s="14"/>
      <c r="Q247" s="168"/>
      <c r="R247" s="348"/>
    </row>
    <row r="248" spans="3:18" s="37" customFormat="1" ht="20.9" hidden="1" customHeight="1" outlineLevel="1" x14ac:dyDescent="0.45">
      <c r="C248" s="115" t="s">
        <v>229</v>
      </c>
      <c r="D248" s="23" t="s">
        <v>60</v>
      </c>
      <c r="E248" s="14">
        <v>16330</v>
      </c>
      <c r="F248" s="14" t="s">
        <v>11</v>
      </c>
      <c r="G248" s="14" t="s">
        <v>29</v>
      </c>
      <c r="H248" s="14" t="s">
        <v>2</v>
      </c>
      <c r="I248" s="14"/>
      <c r="J248" s="24"/>
      <c r="K248" s="24"/>
      <c r="L248" s="39"/>
      <c r="M248" s="23"/>
      <c r="N248" s="14"/>
      <c r="O248" s="14"/>
      <c r="P248" s="14"/>
      <c r="Q248" s="168"/>
      <c r="R248" s="348"/>
    </row>
    <row r="249" spans="3:18" s="37" customFormat="1" ht="20.9" hidden="1" customHeight="1" outlineLevel="1" x14ac:dyDescent="0.45">
      <c r="C249" s="115" t="s">
        <v>229</v>
      </c>
      <c r="D249" s="23" t="s">
        <v>58</v>
      </c>
      <c r="E249" s="14">
        <v>16220</v>
      </c>
      <c r="F249" s="14" t="s">
        <v>11</v>
      </c>
      <c r="G249" s="14" t="s">
        <v>12</v>
      </c>
      <c r="H249" s="14" t="s">
        <v>2</v>
      </c>
      <c r="I249" s="14">
        <f>SUM(E249:E251)</f>
        <v>48780</v>
      </c>
      <c r="J249" s="24" t="s">
        <v>73</v>
      </c>
      <c r="K249" s="24"/>
      <c r="L249" s="39"/>
      <c r="M249" s="23"/>
      <c r="N249" s="14"/>
      <c r="O249" s="14"/>
      <c r="P249" s="14"/>
      <c r="Q249" s="168"/>
      <c r="R249" s="348"/>
    </row>
    <row r="250" spans="3:18" s="37" customFormat="1" ht="20.9" hidden="1" customHeight="1" outlineLevel="1" x14ac:dyDescent="0.45">
      <c r="C250" s="115" t="s">
        <v>229</v>
      </c>
      <c r="D250" s="23" t="s">
        <v>61</v>
      </c>
      <c r="E250" s="14">
        <v>16410</v>
      </c>
      <c r="F250" s="14" t="s">
        <v>11</v>
      </c>
      <c r="G250" s="14" t="s">
        <v>12</v>
      </c>
      <c r="H250" s="14" t="s">
        <v>2</v>
      </c>
      <c r="I250" s="14"/>
      <c r="J250" s="24"/>
      <c r="K250" s="24"/>
      <c r="L250" s="39"/>
      <c r="M250" s="23"/>
      <c r="N250" s="14"/>
      <c r="O250" s="14"/>
      <c r="P250" s="14"/>
      <c r="Q250" s="168"/>
      <c r="R250" s="348"/>
    </row>
    <row r="251" spans="3:18" s="37" customFormat="1" ht="20.9" hidden="1" customHeight="1" outlineLevel="1" x14ac:dyDescent="0.45">
      <c r="C251" s="115" t="s">
        <v>229</v>
      </c>
      <c r="D251" s="23" t="s">
        <v>67</v>
      </c>
      <c r="E251" s="14">
        <v>16150</v>
      </c>
      <c r="F251" s="14" t="s">
        <v>11</v>
      </c>
      <c r="G251" s="14" t="s">
        <v>12</v>
      </c>
      <c r="H251" s="14" t="s">
        <v>2</v>
      </c>
      <c r="I251" s="14"/>
      <c r="J251" s="24"/>
      <c r="K251" s="24"/>
      <c r="L251" s="39"/>
      <c r="M251" s="23"/>
      <c r="N251" s="14"/>
      <c r="O251" s="14"/>
      <c r="P251" s="14"/>
      <c r="Q251" s="168"/>
      <c r="R251" s="348"/>
    </row>
    <row r="252" spans="3:18" s="37" customFormat="1" ht="20.9" hidden="1" customHeight="1" outlineLevel="1" x14ac:dyDescent="0.45">
      <c r="C252" s="115" t="s">
        <v>229</v>
      </c>
      <c r="D252" s="23" t="s">
        <v>64</v>
      </c>
      <c r="E252" s="14">
        <v>16470</v>
      </c>
      <c r="F252" s="14" t="s">
        <v>11</v>
      </c>
      <c r="G252" s="14" t="s">
        <v>12</v>
      </c>
      <c r="H252" s="14" t="s">
        <v>16</v>
      </c>
      <c r="I252" s="14">
        <f>E252</f>
        <v>16470</v>
      </c>
      <c r="J252" s="24" t="s">
        <v>33</v>
      </c>
      <c r="K252" s="24"/>
      <c r="L252" s="39"/>
      <c r="M252" s="23"/>
      <c r="N252" s="14"/>
      <c r="O252" s="14"/>
      <c r="P252" s="14"/>
      <c r="Q252" s="168" t="s">
        <v>32</v>
      </c>
      <c r="R252" s="348"/>
    </row>
    <row r="253" spans="3:18" s="37" customFormat="1" ht="20.9" hidden="1" customHeight="1" outlineLevel="1" x14ac:dyDescent="0.45">
      <c r="C253" s="115" t="s">
        <v>229</v>
      </c>
      <c r="D253" s="23" t="s">
        <v>69</v>
      </c>
      <c r="E253" s="14">
        <v>16140</v>
      </c>
      <c r="F253" s="14" t="s">
        <v>11</v>
      </c>
      <c r="G253" s="14" t="s">
        <v>12</v>
      </c>
      <c r="H253" s="14" t="s">
        <v>16</v>
      </c>
      <c r="I253" s="79">
        <f>SUM(E253:E254)</f>
        <v>32470</v>
      </c>
      <c r="J253" s="150" t="s">
        <v>33</v>
      </c>
      <c r="K253" s="195"/>
      <c r="L253" s="39"/>
      <c r="M253" s="23"/>
      <c r="N253" s="14"/>
      <c r="O253" s="14"/>
      <c r="P253" s="14"/>
      <c r="Q253" s="168" t="s">
        <v>74</v>
      </c>
      <c r="R253" s="348"/>
    </row>
    <row r="254" spans="3:18" s="37" customFormat="1" ht="20.9" hidden="1" customHeight="1" outlineLevel="1" x14ac:dyDescent="0.45">
      <c r="C254" s="115" t="s">
        <v>229</v>
      </c>
      <c r="D254" s="23" t="s">
        <v>60</v>
      </c>
      <c r="E254" s="14">
        <v>16330</v>
      </c>
      <c r="F254" s="14" t="s">
        <v>11</v>
      </c>
      <c r="G254" s="14" t="s">
        <v>12</v>
      </c>
      <c r="H254" s="14" t="s">
        <v>16</v>
      </c>
      <c r="I254" s="79"/>
      <c r="J254" s="150"/>
      <c r="K254" s="195"/>
      <c r="L254" s="39"/>
      <c r="M254" s="23"/>
      <c r="N254" s="14"/>
      <c r="O254" s="14"/>
      <c r="P254" s="14"/>
      <c r="Q254" s="168" t="s">
        <v>32</v>
      </c>
      <c r="R254" s="348"/>
    </row>
    <row r="255" spans="3:18" s="37" customFormat="1" ht="41.15" hidden="1" customHeight="1" outlineLevel="1" x14ac:dyDescent="0.45">
      <c r="C255" s="115" t="s">
        <v>229</v>
      </c>
      <c r="D255" s="23" t="s">
        <v>70</v>
      </c>
      <c r="E255" s="14">
        <v>16510</v>
      </c>
      <c r="F255" s="14" t="s">
        <v>11</v>
      </c>
      <c r="G255" s="14" t="s">
        <v>12</v>
      </c>
      <c r="H255" s="14" t="s">
        <v>34</v>
      </c>
      <c r="I255" s="14">
        <f>E255</f>
        <v>16510</v>
      </c>
      <c r="J255" s="24" t="s">
        <v>75</v>
      </c>
      <c r="K255" s="24"/>
      <c r="L255" s="39"/>
      <c r="M255" s="23"/>
      <c r="N255" s="14"/>
      <c r="O255" s="14"/>
      <c r="P255" s="14"/>
      <c r="Q255" s="168" t="s">
        <v>35</v>
      </c>
      <c r="R255" s="348"/>
    </row>
    <row r="256" spans="3:18" s="37" customFormat="1" ht="41.15" hidden="1" customHeight="1" outlineLevel="1" x14ac:dyDescent="0.45">
      <c r="C256" s="115" t="s">
        <v>229</v>
      </c>
      <c r="D256" s="23" t="s">
        <v>66</v>
      </c>
      <c r="E256" s="14">
        <f>16490</f>
        <v>16490</v>
      </c>
      <c r="F256" s="14" t="s">
        <v>11</v>
      </c>
      <c r="G256" s="14" t="s">
        <v>12</v>
      </c>
      <c r="H256" s="14" t="s">
        <v>16</v>
      </c>
      <c r="I256" s="14">
        <f>E256</f>
        <v>16490</v>
      </c>
      <c r="J256" s="24" t="s">
        <v>19</v>
      </c>
      <c r="K256" s="24"/>
      <c r="L256" s="39"/>
      <c r="M256" s="23"/>
      <c r="N256" s="14"/>
      <c r="O256" s="14"/>
      <c r="P256" s="14"/>
      <c r="Q256" s="168"/>
      <c r="R256" s="348"/>
    </row>
    <row r="257" spans="3:18" s="37" customFormat="1" ht="20.9" hidden="1" customHeight="1" outlineLevel="1" x14ac:dyDescent="0.45">
      <c r="C257" s="115" t="s">
        <v>229</v>
      </c>
      <c r="D257" s="23" t="s">
        <v>62</v>
      </c>
      <c r="E257" s="14">
        <v>16380</v>
      </c>
      <c r="F257" s="14" t="s">
        <v>11</v>
      </c>
      <c r="G257" s="14" t="s">
        <v>29</v>
      </c>
      <c r="H257" s="14" t="s">
        <v>16</v>
      </c>
      <c r="I257" s="14">
        <f>E257</f>
        <v>16380</v>
      </c>
      <c r="J257" s="23" t="s">
        <v>36</v>
      </c>
      <c r="K257" s="23"/>
      <c r="L257" s="39"/>
      <c r="M257" s="23"/>
      <c r="N257" s="14"/>
      <c r="O257" s="14"/>
      <c r="P257" s="14"/>
      <c r="Q257" s="168"/>
      <c r="R257" s="348"/>
    </row>
    <row r="258" spans="3:18" s="37" customFormat="1" ht="20.9" hidden="1" customHeight="1" outlineLevel="1" x14ac:dyDescent="0.45">
      <c r="C258" s="115" t="s">
        <v>229</v>
      </c>
      <c r="D258" s="23" t="s">
        <v>67</v>
      </c>
      <c r="E258" s="14">
        <v>16580</v>
      </c>
      <c r="F258" s="14" t="s">
        <v>11</v>
      </c>
      <c r="G258" s="14" t="s">
        <v>12</v>
      </c>
      <c r="H258" s="14" t="s">
        <v>16</v>
      </c>
      <c r="I258" s="14">
        <v>16580</v>
      </c>
      <c r="J258" s="24" t="s">
        <v>37</v>
      </c>
      <c r="K258" s="24"/>
      <c r="L258" s="39"/>
      <c r="M258" s="23"/>
      <c r="N258" s="14"/>
      <c r="O258" s="14"/>
      <c r="P258" s="14"/>
      <c r="Q258" s="168"/>
      <c r="R258" s="348"/>
    </row>
    <row r="259" spans="3:18" s="37" customFormat="1" ht="20.9" hidden="1" customHeight="1" outlineLevel="1" x14ac:dyDescent="0.45">
      <c r="C259" s="115" t="s">
        <v>229</v>
      </c>
      <c r="D259" s="23" t="s">
        <v>65</v>
      </c>
      <c r="E259" s="14">
        <v>16680</v>
      </c>
      <c r="F259" s="14" t="s">
        <v>11</v>
      </c>
      <c r="G259" s="14" t="s">
        <v>29</v>
      </c>
      <c r="H259" s="14" t="s">
        <v>38</v>
      </c>
      <c r="I259" s="14">
        <f>E259</f>
        <v>16680</v>
      </c>
      <c r="J259" s="24" t="s">
        <v>39</v>
      </c>
      <c r="K259" s="24"/>
      <c r="L259" s="39"/>
      <c r="M259" s="23"/>
      <c r="N259" s="50"/>
      <c r="O259" s="50"/>
      <c r="P259" s="50"/>
      <c r="Q259" s="183">
        <v>44282</v>
      </c>
      <c r="R259" s="348"/>
    </row>
    <row r="260" spans="3:18" s="37" customFormat="1" ht="20.9" hidden="1" customHeight="1" outlineLevel="1" x14ac:dyDescent="0.45">
      <c r="C260" s="115" t="s">
        <v>229</v>
      </c>
      <c r="D260" s="23" t="s">
        <v>69</v>
      </c>
      <c r="E260" s="14">
        <v>16390</v>
      </c>
      <c r="F260" s="14" t="s">
        <v>11</v>
      </c>
      <c r="G260" s="14" t="s">
        <v>12</v>
      </c>
      <c r="H260" s="14" t="s">
        <v>16</v>
      </c>
      <c r="I260" s="14">
        <f>E260</f>
        <v>16390</v>
      </c>
      <c r="J260" s="24" t="s">
        <v>76</v>
      </c>
      <c r="K260" s="24"/>
      <c r="L260" s="39">
        <v>82160</v>
      </c>
      <c r="M260" s="23"/>
      <c r="N260" s="14"/>
      <c r="O260" s="14"/>
      <c r="P260" s="14"/>
      <c r="Q260" s="168"/>
      <c r="R260" s="348"/>
    </row>
    <row r="261" spans="3:18" s="37" customFormat="1" ht="20.9" hidden="1" customHeight="1" outlineLevel="1" x14ac:dyDescent="0.45">
      <c r="C261" s="115" t="s">
        <v>229</v>
      </c>
      <c r="D261" s="23" t="s">
        <v>58</v>
      </c>
      <c r="E261" s="14">
        <v>16360</v>
      </c>
      <c r="F261" s="14" t="s">
        <v>11</v>
      </c>
      <c r="G261" s="14" t="s">
        <v>12</v>
      </c>
      <c r="H261" s="14" t="s">
        <v>16</v>
      </c>
      <c r="I261" s="79">
        <f>E261+E262</f>
        <v>32730</v>
      </c>
      <c r="J261" s="24" t="s">
        <v>77</v>
      </c>
      <c r="K261" s="24"/>
      <c r="L261" s="39"/>
      <c r="M261" s="23"/>
      <c r="N261" s="14"/>
      <c r="O261" s="14"/>
      <c r="P261" s="14"/>
      <c r="Q261" s="168"/>
      <c r="R261" s="348"/>
    </row>
    <row r="262" spans="3:18" s="37" customFormat="1" ht="20.9" hidden="1" customHeight="1" outlineLevel="1" x14ac:dyDescent="0.45">
      <c r="C262" s="115" t="s">
        <v>229</v>
      </c>
      <c r="D262" s="23" t="s">
        <v>60</v>
      </c>
      <c r="E262" s="14">
        <v>16370</v>
      </c>
      <c r="F262" s="14" t="s">
        <v>11</v>
      </c>
      <c r="G262" s="14" t="s">
        <v>12</v>
      </c>
      <c r="H262" s="14" t="s">
        <v>2</v>
      </c>
      <c r="I262" s="79"/>
      <c r="J262" s="24"/>
      <c r="K262" s="24"/>
      <c r="L262" s="39"/>
      <c r="M262" s="23"/>
      <c r="N262" s="14"/>
      <c r="O262" s="14"/>
      <c r="P262" s="14"/>
      <c r="Q262" s="168"/>
      <c r="R262" s="348"/>
    </row>
    <row r="263" spans="3:18" s="37" customFormat="1" ht="61.5" hidden="1" customHeight="1" outlineLevel="1" x14ac:dyDescent="0.45">
      <c r="C263" s="115" t="s">
        <v>229</v>
      </c>
      <c r="D263" s="23" t="s">
        <v>64</v>
      </c>
      <c r="E263" s="14">
        <v>16460</v>
      </c>
      <c r="F263" s="14" t="s">
        <v>11</v>
      </c>
      <c r="G263" s="14" t="s">
        <v>12</v>
      </c>
      <c r="H263" s="14" t="s">
        <v>2</v>
      </c>
      <c r="I263" s="79">
        <v>16460</v>
      </c>
      <c r="J263" s="24" t="s">
        <v>78</v>
      </c>
      <c r="K263" s="24"/>
      <c r="L263" s="39"/>
      <c r="M263" s="23"/>
      <c r="N263" s="14"/>
      <c r="O263" s="14"/>
      <c r="P263" s="14"/>
      <c r="Q263" s="168" t="s">
        <v>40</v>
      </c>
      <c r="R263" s="348"/>
    </row>
    <row r="264" spans="3:18" s="37" customFormat="1" ht="41.15" hidden="1" customHeight="1" outlineLevel="1" x14ac:dyDescent="0.45">
      <c r="C264" s="115" t="s">
        <v>229</v>
      </c>
      <c r="D264" s="23" t="s">
        <v>70</v>
      </c>
      <c r="E264" s="51">
        <v>16420</v>
      </c>
      <c r="F264" s="14" t="s">
        <v>11</v>
      </c>
      <c r="G264" s="14" t="s">
        <v>12</v>
      </c>
      <c r="H264" s="14" t="s">
        <v>16</v>
      </c>
      <c r="I264" s="14">
        <f>E264</f>
        <v>16420</v>
      </c>
      <c r="J264" s="24" t="s">
        <v>79</v>
      </c>
      <c r="K264" s="24"/>
      <c r="L264" s="39" t="s">
        <v>41</v>
      </c>
      <c r="M264" s="23"/>
      <c r="N264" s="14"/>
      <c r="O264" s="14"/>
      <c r="P264" s="14"/>
      <c r="Q264" s="168" t="s">
        <v>42</v>
      </c>
      <c r="R264" s="348"/>
    </row>
    <row r="265" spans="3:18" s="37" customFormat="1" ht="20.9" hidden="1" customHeight="1" outlineLevel="1" x14ac:dyDescent="0.45">
      <c r="C265" s="115" t="s">
        <v>229</v>
      </c>
      <c r="D265" s="23" t="s">
        <v>62</v>
      </c>
      <c r="E265" s="14">
        <v>16440</v>
      </c>
      <c r="F265" s="14" t="s">
        <v>11</v>
      </c>
      <c r="G265" s="14" t="s">
        <v>14</v>
      </c>
      <c r="H265" s="14" t="s">
        <v>16</v>
      </c>
      <c r="I265" s="14" t="s">
        <v>56</v>
      </c>
      <c r="J265" s="23" t="s">
        <v>80</v>
      </c>
      <c r="K265" s="23"/>
      <c r="L265" s="39" t="s">
        <v>43</v>
      </c>
      <c r="M265" s="23"/>
      <c r="N265" s="14"/>
      <c r="O265" s="14"/>
      <c r="P265" s="14"/>
      <c r="Q265" s="168" t="s">
        <v>46</v>
      </c>
      <c r="R265" s="348"/>
    </row>
    <row r="266" spans="3:18" s="37" customFormat="1" ht="41.15" hidden="1" customHeight="1" outlineLevel="1" x14ac:dyDescent="0.45">
      <c r="C266" s="115" t="s">
        <v>229</v>
      </c>
      <c r="D266" s="23" t="s">
        <v>70</v>
      </c>
      <c r="E266" s="51">
        <v>16000</v>
      </c>
      <c r="F266" s="14" t="s">
        <v>11</v>
      </c>
      <c r="G266" s="14" t="s">
        <v>12</v>
      </c>
      <c r="H266" s="14" t="s">
        <v>16</v>
      </c>
      <c r="I266" s="80">
        <v>16000</v>
      </c>
      <c r="J266" s="24" t="s">
        <v>247</v>
      </c>
      <c r="K266" s="24"/>
      <c r="L266" s="39"/>
      <c r="M266" s="23"/>
      <c r="N266" s="14"/>
      <c r="O266" s="14"/>
      <c r="P266" s="14"/>
      <c r="Q266" s="168" t="s">
        <v>47</v>
      </c>
      <c r="R266" s="348"/>
    </row>
    <row r="267" spans="3:18" s="37" customFormat="1" ht="41.15" hidden="1" customHeight="1" outlineLevel="1" x14ac:dyDescent="0.45">
      <c r="C267" s="115" t="s">
        <v>229</v>
      </c>
      <c r="D267" s="23" t="s">
        <v>61</v>
      </c>
      <c r="E267" s="51">
        <v>16550</v>
      </c>
      <c r="F267" s="14" t="s">
        <v>11</v>
      </c>
      <c r="G267" s="22" t="s">
        <v>12</v>
      </c>
      <c r="H267" s="14" t="s">
        <v>16</v>
      </c>
      <c r="I267" s="14"/>
      <c r="J267" s="24" t="s">
        <v>81</v>
      </c>
      <c r="K267" s="24"/>
      <c r="L267" s="39" t="s">
        <v>41</v>
      </c>
      <c r="M267" s="23"/>
      <c r="N267" s="14"/>
      <c r="O267" s="14"/>
      <c r="P267" s="14"/>
      <c r="Q267" s="168" t="s">
        <v>82</v>
      </c>
      <c r="R267" s="348"/>
    </row>
    <row r="268" spans="3:18" s="37" customFormat="1" ht="61.5" hidden="1" customHeight="1" outlineLevel="1" x14ac:dyDescent="0.45">
      <c r="C268" s="115" t="s">
        <v>229</v>
      </c>
      <c r="D268" s="23" t="s">
        <v>66</v>
      </c>
      <c r="E268" s="51">
        <v>16470</v>
      </c>
      <c r="F268" s="14" t="s">
        <v>11</v>
      </c>
      <c r="G268" s="14" t="s">
        <v>12</v>
      </c>
      <c r="H268" s="14" t="s">
        <v>2</v>
      </c>
      <c r="I268" s="14"/>
      <c r="J268" s="24" t="s">
        <v>83</v>
      </c>
      <c r="K268" s="24"/>
      <c r="L268" s="39" t="s">
        <v>43</v>
      </c>
      <c r="M268" s="23"/>
      <c r="N268" s="14"/>
      <c r="O268" s="14"/>
      <c r="P268" s="14"/>
      <c r="Q268" s="168" t="s">
        <v>48</v>
      </c>
      <c r="R268" s="348"/>
    </row>
    <row r="269" spans="3:18" s="37" customFormat="1" ht="41.15" hidden="1" customHeight="1" outlineLevel="1" x14ac:dyDescent="0.45">
      <c r="C269" s="115" t="s">
        <v>229</v>
      </c>
      <c r="D269" s="23" t="s">
        <v>69</v>
      </c>
      <c r="E269" s="51">
        <v>16390</v>
      </c>
      <c r="F269" s="14" t="s">
        <v>11</v>
      </c>
      <c r="G269" s="14" t="s">
        <v>12</v>
      </c>
      <c r="H269" s="14" t="s">
        <v>16</v>
      </c>
      <c r="I269" s="80">
        <v>16390</v>
      </c>
      <c r="J269" s="24" t="s">
        <v>84</v>
      </c>
      <c r="K269" s="24"/>
      <c r="L269" s="39" t="s">
        <v>45</v>
      </c>
      <c r="M269" s="23"/>
      <c r="N269" s="14"/>
      <c r="O269" s="14"/>
      <c r="P269" s="14"/>
      <c r="Q269" s="168" t="s">
        <v>48</v>
      </c>
      <c r="R269" s="348"/>
    </row>
    <row r="270" spans="3:18" s="37" customFormat="1" ht="41.15" hidden="1" customHeight="1" outlineLevel="1" x14ac:dyDescent="0.45">
      <c r="C270" s="115" t="s">
        <v>229</v>
      </c>
      <c r="D270" s="23" t="s">
        <v>65</v>
      </c>
      <c r="E270" s="51">
        <v>16520</v>
      </c>
      <c r="F270" s="14" t="s">
        <v>11</v>
      </c>
      <c r="G270" s="14" t="s">
        <v>29</v>
      </c>
      <c r="H270" s="14" t="s">
        <v>2</v>
      </c>
      <c r="I270" s="80">
        <v>16520</v>
      </c>
      <c r="J270" s="24" t="s">
        <v>85</v>
      </c>
      <c r="K270" s="24"/>
      <c r="L270" s="39" t="s">
        <v>44</v>
      </c>
      <c r="M270" s="23"/>
      <c r="N270" s="14"/>
      <c r="O270" s="14"/>
      <c r="P270" s="14"/>
      <c r="Q270" s="168" t="s">
        <v>50</v>
      </c>
      <c r="R270" s="348"/>
    </row>
    <row r="271" spans="3:18" s="37" customFormat="1" ht="20.9" hidden="1" customHeight="1" outlineLevel="1" x14ac:dyDescent="0.45">
      <c r="C271" s="115" t="s">
        <v>229</v>
      </c>
      <c r="D271" s="23" t="s">
        <v>62</v>
      </c>
      <c r="E271" s="14">
        <v>18860</v>
      </c>
      <c r="F271" s="14" t="s">
        <v>11</v>
      </c>
      <c r="G271" s="14" t="s">
        <v>12</v>
      </c>
      <c r="H271" s="14" t="s">
        <v>16</v>
      </c>
      <c r="I271" s="14"/>
      <c r="J271" s="23" t="s">
        <v>86</v>
      </c>
      <c r="K271" s="23"/>
      <c r="L271" s="39" t="s">
        <v>49</v>
      </c>
      <c r="M271" s="23"/>
      <c r="N271" s="14"/>
      <c r="O271" s="14"/>
      <c r="P271" s="14"/>
      <c r="Q271" s="168" t="s">
        <v>87</v>
      </c>
      <c r="R271" s="348"/>
    </row>
    <row r="272" spans="3:18" s="37" customFormat="1" ht="20.9" hidden="1" customHeight="1" outlineLevel="1" x14ac:dyDescent="0.45">
      <c r="C272" s="115" t="s">
        <v>229</v>
      </c>
      <c r="D272" s="23" t="s">
        <v>61</v>
      </c>
      <c r="E272" s="51">
        <v>18850</v>
      </c>
      <c r="F272" s="14" t="s">
        <v>11</v>
      </c>
      <c r="G272" s="14" t="s">
        <v>12</v>
      </c>
      <c r="H272" s="14" t="s">
        <v>34</v>
      </c>
      <c r="I272" s="14"/>
      <c r="J272" s="77" t="s">
        <v>88</v>
      </c>
      <c r="K272" s="77"/>
      <c r="L272" s="39" t="s">
        <v>51</v>
      </c>
      <c r="M272" s="23"/>
      <c r="N272" s="14"/>
      <c r="O272" s="14"/>
      <c r="P272" s="14"/>
      <c r="Q272" s="168" t="s">
        <v>55</v>
      </c>
      <c r="R272" s="348"/>
    </row>
    <row r="273" spans="3:18" s="37" customFormat="1" ht="40.4" hidden="1" customHeight="1" outlineLevel="1" x14ac:dyDescent="0.45">
      <c r="C273" s="115" t="s">
        <v>229</v>
      </c>
      <c r="D273" s="23" t="s">
        <v>58</v>
      </c>
      <c r="E273" s="51">
        <v>16240</v>
      </c>
      <c r="F273" s="14" t="s">
        <v>11</v>
      </c>
      <c r="G273" s="14" t="s">
        <v>12</v>
      </c>
      <c r="H273" s="14" t="s">
        <v>2</v>
      </c>
      <c r="I273" s="14">
        <v>16240</v>
      </c>
      <c r="J273" s="77" t="s">
        <v>89</v>
      </c>
      <c r="K273" s="77"/>
      <c r="L273" s="39" t="s">
        <v>45</v>
      </c>
      <c r="M273" s="23"/>
      <c r="N273" s="14"/>
      <c r="O273" s="14"/>
      <c r="P273" s="14"/>
      <c r="Q273" s="168" t="s">
        <v>95</v>
      </c>
      <c r="R273" s="348"/>
    </row>
    <row r="274" spans="3:18" s="37" customFormat="1" ht="20.9" hidden="1" customHeight="1" outlineLevel="1" x14ac:dyDescent="0.45">
      <c r="C274" s="115" t="s">
        <v>229</v>
      </c>
      <c r="D274" s="23" t="s">
        <v>69</v>
      </c>
      <c r="E274" s="14">
        <v>16310</v>
      </c>
      <c r="F274" s="14" t="s">
        <v>11</v>
      </c>
      <c r="G274" s="14" t="s">
        <v>29</v>
      </c>
      <c r="H274" s="14" t="s">
        <v>16</v>
      </c>
      <c r="I274" s="14"/>
      <c r="J274" s="24" t="s">
        <v>96</v>
      </c>
      <c r="K274" s="24"/>
      <c r="L274" s="39" t="s">
        <v>90</v>
      </c>
      <c r="M274" s="23"/>
      <c r="N274" s="14"/>
      <c r="O274" s="14"/>
      <c r="P274" s="14"/>
      <c r="Q274" s="168"/>
      <c r="R274" s="348"/>
    </row>
    <row r="275" spans="3:18" s="37" customFormat="1" ht="20.9" hidden="1" customHeight="1" outlineLevel="1" x14ac:dyDescent="0.45">
      <c r="C275" s="115" t="s">
        <v>229</v>
      </c>
      <c r="D275" s="23" t="s">
        <v>67</v>
      </c>
      <c r="E275" s="51">
        <v>16490</v>
      </c>
      <c r="F275" s="14" t="s">
        <v>11</v>
      </c>
      <c r="G275" s="14" t="s">
        <v>29</v>
      </c>
      <c r="H275" s="14" t="s">
        <v>16</v>
      </c>
      <c r="I275" s="14"/>
      <c r="J275" s="24"/>
      <c r="K275" s="24"/>
      <c r="L275" s="39" t="s">
        <v>44</v>
      </c>
      <c r="M275" s="23"/>
      <c r="N275" s="14"/>
      <c r="O275" s="14"/>
      <c r="P275" s="14"/>
      <c r="Q275" s="168"/>
      <c r="R275" s="348"/>
    </row>
    <row r="276" spans="3:18" s="37" customFormat="1" ht="41.15" hidden="1" customHeight="1" outlineLevel="1" x14ac:dyDescent="0.45">
      <c r="C276" s="115" t="s">
        <v>229</v>
      </c>
      <c r="D276" s="23" t="s">
        <v>65</v>
      </c>
      <c r="E276" s="51">
        <v>16170</v>
      </c>
      <c r="F276" s="14" t="s">
        <v>11</v>
      </c>
      <c r="G276" s="14" t="s">
        <v>12</v>
      </c>
      <c r="H276" s="14" t="s">
        <v>2</v>
      </c>
      <c r="I276" s="76">
        <f>E276+E277</f>
        <v>32170</v>
      </c>
      <c r="J276" s="77" t="s">
        <v>100</v>
      </c>
      <c r="K276" s="77"/>
      <c r="L276" s="39" t="s">
        <v>91</v>
      </c>
      <c r="M276" s="23"/>
      <c r="N276" s="14"/>
      <c r="O276" s="14"/>
      <c r="P276" s="14"/>
      <c r="Q276" s="168" t="s">
        <v>102</v>
      </c>
      <c r="R276" s="348"/>
    </row>
    <row r="277" spans="3:18" s="37" customFormat="1" ht="41.15" hidden="1" customHeight="1" outlineLevel="1" x14ac:dyDescent="0.45">
      <c r="C277" s="115" t="s">
        <v>229</v>
      </c>
      <c r="D277" s="23" t="s">
        <v>62</v>
      </c>
      <c r="E277" s="14">
        <v>16000</v>
      </c>
      <c r="F277" s="14" t="s">
        <v>11</v>
      </c>
      <c r="G277" s="14" t="s">
        <v>12</v>
      </c>
      <c r="H277" s="14" t="s">
        <v>16</v>
      </c>
      <c r="I277" s="76"/>
      <c r="J277" s="78"/>
      <c r="K277" s="78"/>
      <c r="L277" s="39" t="s">
        <v>94</v>
      </c>
      <c r="M277" s="23"/>
      <c r="N277" s="14"/>
      <c r="O277" s="14"/>
      <c r="P277" s="14"/>
      <c r="Q277" s="168" t="s">
        <v>101</v>
      </c>
      <c r="R277" s="348"/>
    </row>
    <row r="278" spans="3:18" s="37" customFormat="1" ht="41.15" hidden="1" customHeight="1" outlineLevel="1" x14ac:dyDescent="0.45">
      <c r="C278" s="115" t="s">
        <v>229</v>
      </c>
      <c r="D278" s="23" t="s">
        <v>58</v>
      </c>
      <c r="E278" s="14">
        <v>15800</v>
      </c>
      <c r="F278" s="14" t="s">
        <v>11</v>
      </c>
      <c r="G278" s="14" t="s">
        <v>12</v>
      </c>
      <c r="H278" s="14" t="s">
        <v>2</v>
      </c>
      <c r="I278" s="76">
        <f>E278</f>
        <v>15800</v>
      </c>
      <c r="J278" s="77" t="s">
        <v>103</v>
      </c>
      <c r="K278" s="77"/>
      <c r="L278" s="39" t="s">
        <v>98</v>
      </c>
      <c r="M278" s="23"/>
      <c r="N278" s="14"/>
      <c r="O278" s="14"/>
      <c r="P278" s="14"/>
      <c r="Q278" s="168" t="s">
        <v>101</v>
      </c>
      <c r="R278" s="348"/>
    </row>
    <row r="279" spans="3:18" s="37" customFormat="1" ht="60" hidden="1" customHeight="1" outlineLevel="1" x14ac:dyDescent="0.45">
      <c r="C279" s="115" t="s">
        <v>229</v>
      </c>
      <c r="D279" s="23" t="s">
        <v>61</v>
      </c>
      <c r="E279" s="14">
        <v>16500</v>
      </c>
      <c r="F279" s="14" t="s">
        <v>11</v>
      </c>
      <c r="G279" s="14" t="s">
        <v>29</v>
      </c>
      <c r="H279" s="14" t="s">
        <v>34</v>
      </c>
      <c r="I279" s="52">
        <f>E279</f>
        <v>16500</v>
      </c>
      <c r="J279" s="77" t="s">
        <v>104</v>
      </c>
      <c r="K279" s="77"/>
      <c r="L279" s="39" t="s">
        <v>97</v>
      </c>
      <c r="M279" s="23"/>
      <c r="N279" s="14"/>
      <c r="O279" s="14"/>
      <c r="P279" s="14"/>
      <c r="Q279" s="168" t="s">
        <v>105</v>
      </c>
      <c r="R279" s="348"/>
    </row>
    <row r="280" spans="3:18" s="37" customFormat="1" ht="60" hidden="1" customHeight="1" outlineLevel="1" x14ac:dyDescent="0.45">
      <c r="C280" s="115" t="s">
        <v>229</v>
      </c>
      <c r="D280" s="23" t="s">
        <v>60</v>
      </c>
      <c r="E280" s="51">
        <v>16360</v>
      </c>
      <c r="F280" s="14" t="s">
        <v>11</v>
      </c>
      <c r="G280" s="14" t="s">
        <v>12</v>
      </c>
      <c r="H280" s="14" t="s">
        <v>34</v>
      </c>
      <c r="I280" s="80">
        <v>16360</v>
      </c>
      <c r="J280" s="77" t="s">
        <v>108</v>
      </c>
      <c r="K280" s="77"/>
      <c r="L280" s="39" t="s">
        <v>45</v>
      </c>
      <c r="M280" s="23"/>
      <c r="N280" s="14"/>
      <c r="O280" s="14"/>
      <c r="P280" s="14"/>
      <c r="Q280" s="168" t="s">
        <v>107</v>
      </c>
      <c r="R280" s="348"/>
    </row>
    <row r="281" spans="3:18" s="37" customFormat="1" ht="20.9" hidden="1" customHeight="1" outlineLevel="1" x14ac:dyDescent="0.45">
      <c r="C281" s="115" t="s">
        <v>229</v>
      </c>
      <c r="D281" s="46" t="s">
        <v>67</v>
      </c>
      <c r="E281" s="47">
        <v>16150</v>
      </c>
      <c r="F281" s="14" t="s">
        <v>11</v>
      </c>
      <c r="G281" s="14" t="s">
        <v>12</v>
      </c>
      <c r="H281" s="14" t="s">
        <v>16</v>
      </c>
      <c r="I281" s="80">
        <f>SUM(E281:E284)</f>
        <v>67300</v>
      </c>
      <c r="J281" s="24"/>
      <c r="K281" s="24"/>
      <c r="L281" s="39" t="s">
        <v>106</v>
      </c>
      <c r="M281" s="23"/>
      <c r="N281" s="14"/>
      <c r="O281" s="14"/>
      <c r="P281" s="14"/>
      <c r="Q281" s="168"/>
      <c r="R281" s="348"/>
    </row>
    <row r="282" spans="3:18" s="37" customFormat="1" ht="20.9" hidden="1" customHeight="1" outlineLevel="1" x14ac:dyDescent="0.45">
      <c r="C282" s="115" t="s">
        <v>229</v>
      </c>
      <c r="D282" s="23" t="s">
        <v>64</v>
      </c>
      <c r="E282" s="14">
        <v>16370</v>
      </c>
      <c r="F282" s="14" t="s">
        <v>11</v>
      </c>
      <c r="G282" s="14" t="s">
        <v>12</v>
      </c>
      <c r="H282" s="14" t="s">
        <v>34</v>
      </c>
      <c r="I282" s="80"/>
      <c r="J282" s="24"/>
      <c r="K282" s="24"/>
      <c r="L282" s="39" t="s">
        <v>92</v>
      </c>
      <c r="M282" s="23"/>
      <c r="N282" s="14"/>
      <c r="O282" s="14"/>
      <c r="P282" s="14"/>
      <c r="Q282" s="168"/>
      <c r="R282" s="348"/>
    </row>
    <row r="283" spans="3:18" s="37" customFormat="1" ht="20.9" hidden="1" customHeight="1" outlineLevel="1" x14ac:dyDescent="0.45">
      <c r="C283" s="115" t="s">
        <v>229</v>
      </c>
      <c r="D283" s="23" t="s">
        <v>70</v>
      </c>
      <c r="E283" s="14">
        <v>18570</v>
      </c>
      <c r="F283" s="14" t="s">
        <v>11</v>
      </c>
      <c r="G283" s="14" t="s">
        <v>12</v>
      </c>
      <c r="H283" s="14" t="s">
        <v>34</v>
      </c>
      <c r="I283" s="80"/>
      <c r="J283" s="24"/>
      <c r="K283" s="24"/>
      <c r="L283" s="39" t="s">
        <v>93</v>
      </c>
      <c r="M283" s="23"/>
      <c r="N283" s="14"/>
      <c r="O283" s="14"/>
      <c r="P283" s="14"/>
      <c r="Q283" s="168"/>
      <c r="R283" s="348"/>
    </row>
    <row r="284" spans="3:18" s="37" customFormat="1" ht="20.9" hidden="1" customHeight="1" outlineLevel="1" x14ac:dyDescent="0.45">
      <c r="C284" s="115" t="s">
        <v>229</v>
      </c>
      <c r="D284" s="46" t="s">
        <v>69</v>
      </c>
      <c r="E284" s="47">
        <v>16210</v>
      </c>
      <c r="F284" s="14" t="s">
        <v>11</v>
      </c>
      <c r="G284" s="14" t="s">
        <v>12</v>
      </c>
      <c r="H284" s="14" t="s">
        <v>34</v>
      </c>
      <c r="I284" s="80"/>
      <c r="J284" s="24"/>
      <c r="K284" s="24"/>
      <c r="L284" s="39" t="s">
        <v>106</v>
      </c>
      <c r="M284" s="23"/>
      <c r="N284" s="14"/>
      <c r="O284" s="14"/>
      <c r="P284" s="14"/>
      <c r="Q284" s="168"/>
      <c r="R284" s="348"/>
    </row>
    <row r="285" spans="3:18" s="37" customFormat="1" ht="40.4" hidden="1" customHeight="1" outlineLevel="1" x14ac:dyDescent="0.45">
      <c r="C285" s="115" t="s">
        <v>229</v>
      </c>
      <c r="D285" s="23" t="s">
        <v>65</v>
      </c>
      <c r="E285" s="14">
        <v>16120</v>
      </c>
      <c r="F285" s="14" t="s">
        <v>11</v>
      </c>
      <c r="G285" s="14" t="s">
        <v>12</v>
      </c>
      <c r="H285" s="14" t="s">
        <v>16</v>
      </c>
      <c r="I285" s="14">
        <v>16120</v>
      </c>
      <c r="J285" s="77" t="s">
        <v>111</v>
      </c>
      <c r="K285" s="77"/>
      <c r="L285" s="39" t="s">
        <v>109</v>
      </c>
      <c r="M285" s="23"/>
      <c r="N285" s="14"/>
      <c r="O285" s="14"/>
      <c r="P285" s="14"/>
      <c r="Q285" s="168" t="s">
        <v>112</v>
      </c>
      <c r="R285" s="348"/>
    </row>
    <row r="286" spans="3:18" s="37" customFormat="1" ht="20.9" hidden="1" customHeight="1" outlineLevel="1" x14ac:dyDescent="0.45">
      <c r="C286" s="115" t="s">
        <v>229</v>
      </c>
      <c r="D286" s="23" t="s">
        <v>62</v>
      </c>
      <c r="E286" s="23">
        <v>16230</v>
      </c>
      <c r="F286" s="23" t="s">
        <v>11</v>
      </c>
      <c r="G286" s="23" t="s">
        <v>12</v>
      </c>
      <c r="H286" s="23" t="s">
        <v>16</v>
      </c>
      <c r="I286" s="14">
        <f>E286</f>
        <v>16230</v>
      </c>
      <c r="J286" s="23" t="s">
        <v>115</v>
      </c>
      <c r="K286" s="23"/>
      <c r="L286" s="39" t="s">
        <v>110</v>
      </c>
      <c r="M286" s="23"/>
      <c r="N286" s="14"/>
      <c r="O286" s="14"/>
      <c r="P286" s="14"/>
      <c r="Q286" s="168" t="s">
        <v>123</v>
      </c>
      <c r="R286" s="348"/>
    </row>
    <row r="287" spans="3:18" s="37" customFormat="1" ht="41.15" hidden="1" customHeight="1" outlineLevel="1" x14ac:dyDescent="0.45">
      <c r="C287" s="115" t="s">
        <v>229</v>
      </c>
      <c r="D287" s="23" t="s">
        <v>67</v>
      </c>
      <c r="E287" s="23">
        <v>16030</v>
      </c>
      <c r="F287" s="23" t="s">
        <v>11</v>
      </c>
      <c r="G287" s="23" t="s">
        <v>12</v>
      </c>
      <c r="H287" s="23" t="s">
        <v>16</v>
      </c>
      <c r="I287" s="14">
        <f>E287</f>
        <v>16030</v>
      </c>
      <c r="J287" s="24" t="s">
        <v>116</v>
      </c>
      <c r="K287" s="24"/>
      <c r="L287" s="39" t="s">
        <v>114</v>
      </c>
      <c r="M287" s="23"/>
      <c r="N287" s="14"/>
      <c r="O287" s="14"/>
      <c r="P287" s="14"/>
      <c r="Q287" s="168" t="s">
        <v>117</v>
      </c>
      <c r="R287" s="348"/>
    </row>
    <row r="288" spans="3:18" s="37" customFormat="1" ht="41.15" hidden="1" customHeight="1" outlineLevel="1" x14ac:dyDescent="0.45">
      <c r="C288" s="115" t="s">
        <v>229</v>
      </c>
      <c r="D288" s="23" t="s">
        <v>60</v>
      </c>
      <c r="E288" s="23">
        <v>16020</v>
      </c>
      <c r="F288" s="23" t="s">
        <v>11</v>
      </c>
      <c r="G288" s="23" t="s">
        <v>12</v>
      </c>
      <c r="H288" s="23" t="s">
        <v>16</v>
      </c>
      <c r="I288" s="14">
        <f>E288</f>
        <v>16020</v>
      </c>
      <c r="J288" s="24" t="s">
        <v>118</v>
      </c>
      <c r="K288" s="24"/>
      <c r="L288" s="39" t="s">
        <v>113</v>
      </c>
      <c r="M288" s="23"/>
      <c r="N288" s="14"/>
      <c r="O288" s="14"/>
      <c r="P288" s="14"/>
      <c r="Q288" s="168" t="s">
        <v>123</v>
      </c>
      <c r="R288" s="348"/>
    </row>
    <row r="289" spans="3:18" s="37" customFormat="1" ht="61.5" hidden="1" customHeight="1" outlineLevel="1" x14ac:dyDescent="0.45">
      <c r="C289" s="115" t="s">
        <v>229</v>
      </c>
      <c r="D289" s="23" t="s">
        <v>66</v>
      </c>
      <c r="E289" s="51">
        <v>16970</v>
      </c>
      <c r="F289" s="23" t="s">
        <v>11</v>
      </c>
      <c r="G289" s="23" t="s">
        <v>12</v>
      </c>
      <c r="H289" s="23" t="s">
        <v>16</v>
      </c>
      <c r="I289" s="14">
        <v>16970</v>
      </c>
      <c r="J289" s="24" t="s">
        <v>120</v>
      </c>
      <c r="K289" s="24"/>
      <c r="L289" s="39" t="s">
        <v>91</v>
      </c>
      <c r="M289" s="23"/>
      <c r="N289" s="14"/>
      <c r="O289" s="14"/>
      <c r="P289" s="14"/>
      <c r="Q289" s="168" t="s">
        <v>122</v>
      </c>
      <c r="R289" s="348"/>
    </row>
    <row r="290" spans="3:18" s="37" customFormat="1" ht="82.4" hidden="1" customHeight="1" outlineLevel="1" x14ac:dyDescent="0.45">
      <c r="C290" s="115" t="s">
        <v>229</v>
      </c>
      <c r="D290" s="23" t="s">
        <v>61</v>
      </c>
      <c r="E290" s="23">
        <v>16230</v>
      </c>
      <c r="F290" s="23" t="s">
        <v>11</v>
      </c>
      <c r="G290" s="23" t="s">
        <v>12</v>
      </c>
      <c r="H290" s="23" t="s">
        <v>16</v>
      </c>
      <c r="I290" s="14">
        <v>16230</v>
      </c>
      <c r="J290" s="24" t="s">
        <v>121</v>
      </c>
      <c r="K290" s="24"/>
      <c r="L290" s="39" t="s">
        <v>113</v>
      </c>
      <c r="M290" s="23"/>
      <c r="N290" s="23"/>
      <c r="O290" s="23"/>
      <c r="P290" s="23"/>
      <c r="Q290" s="176" t="s">
        <v>127</v>
      </c>
      <c r="R290" s="138"/>
    </row>
    <row r="291" spans="3:18" s="37" customFormat="1" ht="61.5" hidden="1" customHeight="1" outlineLevel="1" x14ac:dyDescent="0.45">
      <c r="C291" s="115" t="s">
        <v>229</v>
      </c>
      <c r="D291" s="23" t="s">
        <v>70</v>
      </c>
      <c r="E291" s="23">
        <v>16100</v>
      </c>
      <c r="F291" s="23" t="s">
        <v>11</v>
      </c>
      <c r="G291" s="23" t="s">
        <v>12</v>
      </c>
      <c r="H291" s="23" t="s">
        <v>34</v>
      </c>
      <c r="I291" s="14"/>
      <c r="J291" s="24" t="s">
        <v>129</v>
      </c>
      <c r="K291" s="24"/>
      <c r="L291" s="39" t="s">
        <v>114</v>
      </c>
      <c r="M291" s="23"/>
      <c r="N291" s="39"/>
      <c r="O291" s="39"/>
      <c r="P291" s="39"/>
      <c r="Q291" s="168" t="s">
        <v>128</v>
      </c>
      <c r="R291" s="348"/>
    </row>
    <row r="292" spans="3:18" s="37" customFormat="1" ht="41.15" hidden="1" customHeight="1" outlineLevel="1" x14ac:dyDescent="0.45">
      <c r="C292" s="115" t="s">
        <v>229</v>
      </c>
      <c r="D292" s="23" t="s">
        <v>69</v>
      </c>
      <c r="E292" s="23">
        <v>16080</v>
      </c>
      <c r="F292" s="23" t="s">
        <v>11</v>
      </c>
      <c r="G292" s="23" t="s">
        <v>12</v>
      </c>
      <c r="H292" s="23" t="s">
        <v>16</v>
      </c>
      <c r="I292" s="14">
        <v>16080</v>
      </c>
      <c r="J292" s="63" t="s">
        <v>131</v>
      </c>
      <c r="K292" s="24"/>
      <c r="L292" s="39" t="s">
        <v>114</v>
      </c>
      <c r="M292" s="23"/>
      <c r="N292" s="14"/>
      <c r="O292" s="14"/>
      <c r="P292" s="14"/>
      <c r="Q292" s="168" t="s">
        <v>130</v>
      </c>
      <c r="R292" s="348"/>
    </row>
    <row r="293" spans="3:18" s="37" customFormat="1" ht="20.9" hidden="1" customHeight="1" outlineLevel="1" x14ac:dyDescent="0.45">
      <c r="C293" s="115" t="s">
        <v>229</v>
      </c>
      <c r="D293" s="23" t="s">
        <v>65</v>
      </c>
      <c r="E293" s="26">
        <v>15960</v>
      </c>
      <c r="F293" s="23" t="s">
        <v>11</v>
      </c>
      <c r="G293" s="23" t="s">
        <v>12</v>
      </c>
      <c r="H293" s="23" t="s">
        <v>16</v>
      </c>
      <c r="I293" s="42">
        <v>15960</v>
      </c>
      <c r="J293" s="24" t="s">
        <v>132</v>
      </c>
      <c r="K293" s="24"/>
      <c r="L293" s="39" t="s">
        <v>119</v>
      </c>
      <c r="M293" s="23"/>
      <c r="N293" s="14"/>
      <c r="O293" s="14"/>
      <c r="P293" s="14"/>
      <c r="Q293" s="168" t="s">
        <v>130</v>
      </c>
      <c r="R293" s="348"/>
    </row>
    <row r="294" spans="3:18" s="37" customFormat="1" ht="20.9" hidden="1" customHeight="1" outlineLevel="1" x14ac:dyDescent="0.45">
      <c r="C294" s="115" t="s">
        <v>229</v>
      </c>
      <c r="D294" s="23" t="s">
        <v>67</v>
      </c>
      <c r="E294" s="14">
        <v>15850</v>
      </c>
      <c r="F294" s="14" t="s">
        <v>11</v>
      </c>
      <c r="G294" s="23" t="s">
        <v>12</v>
      </c>
      <c r="H294" s="14" t="s">
        <v>16</v>
      </c>
      <c r="I294" s="14">
        <v>15850</v>
      </c>
      <c r="J294" s="24"/>
      <c r="K294" s="24"/>
      <c r="L294" s="39" t="s">
        <v>125</v>
      </c>
      <c r="M294" s="23"/>
      <c r="N294" s="14"/>
      <c r="O294" s="14"/>
      <c r="P294" s="14"/>
      <c r="Q294" s="168" t="s">
        <v>130</v>
      </c>
      <c r="R294" s="348"/>
    </row>
    <row r="295" spans="3:18" s="37" customFormat="1" ht="41.15" hidden="1" customHeight="1" outlineLevel="1" x14ac:dyDescent="0.45">
      <c r="C295" s="115" t="s">
        <v>229</v>
      </c>
      <c r="D295" s="23" t="s">
        <v>64</v>
      </c>
      <c r="E295" s="23">
        <v>16040</v>
      </c>
      <c r="F295" s="23" t="s">
        <v>11</v>
      </c>
      <c r="G295" s="23" t="s">
        <v>29</v>
      </c>
      <c r="H295" s="23" t="s">
        <v>16</v>
      </c>
      <c r="I295" s="14"/>
      <c r="J295" s="24" t="s">
        <v>134</v>
      </c>
      <c r="K295" s="24"/>
      <c r="L295" s="39" t="s">
        <v>114</v>
      </c>
      <c r="M295" s="23"/>
      <c r="N295" s="14"/>
      <c r="O295" s="14"/>
      <c r="P295" s="14"/>
      <c r="Q295" s="168" t="s">
        <v>133</v>
      </c>
      <c r="R295" s="348"/>
    </row>
    <row r="296" spans="3:18" s="37" customFormat="1" ht="61.5" hidden="1" customHeight="1" outlineLevel="1" x14ac:dyDescent="0.45">
      <c r="C296" s="115" t="s">
        <v>229</v>
      </c>
      <c r="D296" s="23" t="s">
        <v>60</v>
      </c>
      <c r="E296" s="14">
        <v>16080</v>
      </c>
      <c r="F296" s="14" t="s">
        <v>11</v>
      </c>
      <c r="G296" s="14" t="s">
        <v>29</v>
      </c>
      <c r="H296" s="14" t="s">
        <v>16</v>
      </c>
      <c r="I296" s="14"/>
      <c r="J296" s="24" t="s">
        <v>135</v>
      </c>
      <c r="K296" s="24"/>
      <c r="L296" s="39" t="s">
        <v>126</v>
      </c>
      <c r="M296" s="23"/>
      <c r="N296" s="14"/>
      <c r="O296" s="14"/>
      <c r="P296" s="14"/>
      <c r="Q296" s="168"/>
      <c r="R296" s="348"/>
    </row>
    <row r="297" spans="3:18" s="37" customFormat="1" ht="20.9" hidden="1" customHeight="1" outlineLevel="1" x14ac:dyDescent="0.45">
      <c r="C297" s="115" t="s">
        <v>229</v>
      </c>
      <c r="D297" s="23" t="s">
        <v>62</v>
      </c>
      <c r="E297" s="14">
        <v>16000</v>
      </c>
      <c r="F297" s="14" t="s">
        <v>11</v>
      </c>
      <c r="G297" s="14" t="s">
        <v>12</v>
      </c>
      <c r="H297" s="14" t="s">
        <v>16</v>
      </c>
      <c r="I297" s="14">
        <v>16000</v>
      </c>
      <c r="J297" s="23" t="s">
        <v>140</v>
      </c>
      <c r="K297" s="23"/>
      <c r="L297" s="39" t="s">
        <v>126</v>
      </c>
      <c r="M297" s="23"/>
      <c r="N297" s="14"/>
      <c r="O297" s="14"/>
      <c r="P297" s="14"/>
      <c r="Q297" s="168" t="s">
        <v>139</v>
      </c>
      <c r="R297" s="348"/>
    </row>
    <row r="298" spans="3:18" s="37" customFormat="1" ht="41.15" hidden="1" customHeight="1" outlineLevel="1" x14ac:dyDescent="0.45">
      <c r="C298" s="115" t="s">
        <v>229</v>
      </c>
      <c r="D298" s="23" t="s">
        <v>58</v>
      </c>
      <c r="E298" s="23">
        <f>16380-795</f>
        <v>15585</v>
      </c>
      <c r="F298" s="23" t="s">
        <v>11</v>
      </c>
      <c r="G298" s="23" t="s">
        <v>12</v>
      </c>
      <c r="H298" s="14" t="s">
        <v>34</v>
      </c>
      <c r="I298" s="14">
        <f>16380-795</f>
        <v>15585</v>
      </c>
      <c r="J298" s="24" t="s">
        <v>148</v>
      </c>
      <c r="K298" s="24"/>
      <c r="L298" s="39" t="s">
        <v>138</v>
      </c>
      <c r="M298" s="23"/>
      <c r="N298" s="14"/>
      <c r="O298" s="14"/>
      <c r="P298" s="14"/>
      <c r="Q298" s="168" t="s">
        <v>147</v>
      </c>
      <c r="R298" s="348"/>
    </row>
    <row r="299" spans="3:18" s="37" customFormat="1" ht="20.9" hidden="1" customHeight="1" outlineLevel="1" x14ac:dyDescent="0.45">
      <c r="C299" s="115" t="s">
        <v>229</v>
      </c>
      <c r="D299" s="40" t="s">
        <v>66</v>
      </c>
      <c r="E299" s="35">
        <v>16050</v>
      </c>
      <c r="F299" s="48" t="s">
        <v>11</v>
      </c>
      <c r="G299" s="23" t="s">
        <v>12</v>
      </c>
      <c r="H299" s="14" t="s">
        <v>34</v>
      </c>
      <c r="I299" s="38">
        <v>16050</v>
      </c>
      <c r="J299" s="24" t="s">
        <v>149</v>
      </c>
      <c r="K299" s="24"/>
      <c r="L299" s="39" t="s">
        <v>136</v>
      </c>
      <c r="M299" s="23"/>
      <c r="N299" s="14"/>
      <c r="O299" s="14"/>
      <c r="P299" s="14"/>
      <c r="Q299" s="168" t="s">
        <v>147</v>
      </c>
      <c r="R299" s="348"/>
    </row>
    <row r="300" spans="3:18" s="37" customFormat="1" ht="20.9" hidden="1" customHeight="1" outlineLevel="1" x14ac:dyDescent="0.45">
      <c r="C300" s="115" t="s">
        <v>229</v>
      </c>
      <c r="D300" s="40" t="s">
        <v>64</v>
      </c>
      <c r="E300" s="35">
        <f>16360-795</f>
        <v>15565</v>
      </c>
      <c r="F300" s="48" t="s">
        <v>11</v>
      </c>
      <c r="G300" s="23" t="s">
        <v>12</v>
      </c>
      <c r="H300" s="14" t="s">
        <v>34</v>
      </c>
      <c r="I300" s="38">
        <f>16360-795</f>
        <v>15565</v>
      </c>
      <c r="J300" s="24"/>
      <c r="K300" s="24"/>
      <c r="L300" s="39" t="s">
        <v>143</v>
      </c>
      <c r="M300" s="23"/>
      <c r="N300" s="14"/>
      <c r="O300" s="14"/>
      <c r="P300" s="14"/>
      <c r="Q300" s="168" t="s">
        <v>147</v>
      </c>
      <c r="R300" s="348"/>
    </row>
    <row r="301" spans="3:18" s="37" customFormat="1" ht="41.15" hidden="1" customHeight="1" outlineLevel="1" x14ac:dyDescent="0.45">
      <c r="C301" s="115" t="s">
        <v>229</v>
      </c>
      <c r="D301" s="23" t="s">
        <v>70</v>
      </c>
      <c r="E301" s="53">
        <v>16040</v>
      </c>
      <c r="F301" s="48" t="s">
        <v>11</v>
      </c>
      <c r="G301" s="14" t="s">
        <v>12</v>
      </c>
      <c r="H301" s="14" t="s">
        <v>34</v>
      </c>
      <c r="I301" s="52">
        <f>E301</f>
        <v>16040</v>
      </c>
      <c r="J301" s="24" t="s">
        <v>152</v>
      </c>
      <c r="K301" s="24"/>
      <c r="L301" s="39" t="s">
        <v>137</v>
      </c>
      <c r="M301" s="23"/>
      <c r="N301" s="14"/>
      <c r="O301" s="14"/>
      <c r="P301" s="14"/>
      <c r="Q301" s="168" t="s">
        <v>150</v>
      </c>
      <c r="R301" s="348"/>
    </row>
    <row r="302" spans="3:18" s="37" customFormat="1" ht="20.9" hidden="1" customHeight="1" outlineLevel="1" x14ac:dyDescent="0.45">
      <c r="C302" s="115" t="s">
        <v>229</v>
      </c>
      <c r="D302" s="40" t="s">
        <v>65</v>
      </c>
      <c r="E302" s="35">
        <v>15990</v>
      </c>
      <c r="F302" s="48" t="s">
        <v>11</v>
      </c>
      <c r="G302" s="14" t="s">
        <v>12</v>
      </c>
      <c r="H302" s="14" t="s">
        <v>16</v>
      </c>
      <c r="I302" s="14"/>
      <c r="J302" s="77" t="s">
        <v>155</v>
      </c>
      <c r="K302" s="77"/>
      <c r="L302" s="39" t="s">
        <v>142</v>
      </c>
      <c r="M302" s="23"/>
      <c r="N302" s="14"/>
      <c r="O302" s="14"/>
      <c r="P302" s="14"/>
      <c r="Q302" s="168" t="s">
        <v>153</v>
      </c>
      <c r="R302" s="348"/>
    </row>
    <row r="303" spans="3:18" s="37" customFormat="1" ht="20.9" hidden="1" customHeight="1" outlineLevel="1" x14ac:dyDescent="0.45">
      <c r="C303" s="115" t="s">
        <v>229</v>
      </c>
      <c r="D303" s="40" t="s">
        <v>60</v>
      </c>
      <c r="E303" s="35">
        <v>15940</v>
      </c>
      <c r="F303" s="48" t="s">
        <v>11</v>
      </c>
      <c r="G303" s="14" t="s">
        <v>12</v>
      </c>
      <c r="H303" s="14" t="s">
        <v>16</v>
      </c>
      <c r="I303" s="14"/>
      <c r="J303" s="77"/>
      <c r="K303" s="77"/>
      <c r="L303" s="39" t="s">
        <v>145</v>
      </c>
      <c r="M303" s="23"/>
      <c r="N303" s="14"/>
      <c r="O303" s="14"/>
      <c r="P303" s="14"/>
      <c r="Q303" s="168" t="s">
        <v>153</v>
      </c>
      <c r="R303" s="348"/>
    </row>
    <row r="304" spans="3:18" s="37" customFormat="1" ht="20.9" hidden="1" customHeight="1" outlineLevel="1" x14ac:dyDescent="0.45">
      <c r="C304" s="115" t="s">
        <v>229</v>
      </c>
      <c r="D304" s="40" t="s">
        <v>61</v>
      </c>
      <c r="E304" s="35">
        <v>16180</v>
      </c>
      <c r="F304" s="48" t="s">
        <v>11</v>
      </c>
      <c r="G304" s="14" t="s">
        <v>12</v>
      </c>
      <c r="H304" s="14" t="s">
        <v>2</v>
      </c>
      <c r="I304" s="14"/>
      <c r="J304" s="77"/>
      <c r="K304" s="77"/>
      <c r="L304" s="39" t="s">
        <v>136</v>
      </c>
      <c r="M304" s="23"/>
      <c r="N304" s="14"/>
      <c r="O304" s="14"/>
      <c r="P304" s="14"/>
      <c r="Q304" s="168" t="s">
        <v>153</v>
      </c>
      <c r="R304" s="348"/>
    </row>
    <row r="305" spans="3:18" s="37" customFormat="1" ht="20.9" hidden="1" customHeight="1" outlineLevel="1" x14ac:dyDescent="0.45">
      <c r="C305" s="115" t="s">
        <v>229</v>
      </c>
      <c r="D305" s="40" t="s">
        <v>67</v>
      </c>
      <c r="E305" s="35">
        <v>15840</v>
      </c>
      <c r="F305" s="48" t="s">
        <v>11</v>
      </c>
      <c r="G305" s="14" t="s">
        <v>12</v>
      </c>
      <c r="H305" s="14" t="s">
        <v>2</v>
      </c>
      <c r="I305" s="14"/>
      <c r="J305" s="77"/>
      <c r="K305" s="77"/>
      <c r="L305" s="39" t="s">
        <v>142</v>
      </c>
      <c r="M305" s="23"/>
      <c r="N305" s="14"/>
      <c r="O305" s="14"/>
      <c r="P305" s="14"/>
      <c r="Q305" s="168"/>
      <c r="R305" s="348"/>
    </row>
    <row r="306" spans="3:18" s="37" customFormat="1" ht="20.9" hidden="1" customHeight="1" outlineLevel="1" x14ac:dyDescent="0.45">
      <c r="C306" s="115" t="s">
        <v>229</v>
      </c>
      <c r="D306" s="40" t="s">
        <v>62</v>
      </c>
      <c r="E306" s="35">
        <v>15980</v>
      </c>
      <c r="F306" s="48" t="s">
        <v>11</v>
      </c>
      <c r="G306" s="14" t="s">
        <v>29</v>
      </c>
      <c r="H306" s="14" t="s">
        <v>16</v>
      </c>
      <c r="I306" s="14"/>
      <c r="J306" s="23"/>
      <c r="K306" s="23"/>
      <c r="L306" s="39" t="s">
        <v>145</v>
      </c>
      <c r="M306" s="23"/>
      <c r="N306" s="14"/>
      <c r="O306" s="14">
        <v>56375</v>
      </c>
      <c r="P306" s="14"/>
      <c r="Q306" s="168" t="s">
        <v>219</v>
      </c>
      <c r="R306" s="348"/>
    </row>
    <row r="307" spans="3:18" s="37" customFormat="1" ht="41.15" hidden="1" customHeight="1" outlineLevel="1" x14ac:dyDescent="0.45">
      <c r="C307" s="115" t="s">
        <v>229</v>
      </c>
      <c r="D307" s="40" t="s">
        <v>64</v>
      </c>
      <c r="E307" s="15">
        <v>16060</v>
      </c>
      <c r="F307" s="48" t="s">
        <v>11</v>
      </c>
      <c r="G307" s="14" t="s">
        <v>12</v>
      </c>
      <c r="H307" s="14" t="s">
        <v>34</v>
      </c>
      <c r="I307" s="49">
        <v>16060</v>
      </c>
      <c r="J307" s="24" t="s">
        <v>169</v>
      </c>
      <c r="K307" s="24"/>
      <c r="L307" s="39" t="s">
        <v>156</v>
      </c>
      <c r="M307" s="23"/>
      <c r="N307" s="14"/>
      <c r="O307" s="14"/>
      <c r="P307" s="14"/>
      <c r="Q307" s="168" t="s">
        <v>167</v>
      </c>
      <c r="R307" s="348"/>
    </row>
    <row r="308" spans="3:18" s="37" customFormat="1" ht="41.15" hidden="1" customHeight="1" outlineLevel="1" x14ac:dyDescent="0.45">
      <c r="C308" s="115" t="s">
        <v>229</v>
      </c>
      <c r="D308" s="40" t="s">
        <v>67</v>
      </c>
      <c r="E308" s="15">
        <v>16190</v>
      </c>
      <c r="F308" s="48" t="s">
        <v>11</v>
      </c>
      <c r="G308" s="14" t="s">
        <v>12</v>
      </c>
      <c r="H308" s="14" t="s">
        <v>34</v>
      </c>
      <c r="I308" s="14"/>
      <c r="J308" s="24"/>
      <c r="K308" s="24"/>
      <c r="L308" s="39" t="s">
        <v>165</v>
      </c>
      <c r="M308" s="23"/>
      <c r="N308" s="15"/>
      <c r="O308" s="14"/>
      <c r="P308" s="14"/>
      <c r="Q308" s="175" t="s">
        <v>168</v>
      </c>
      <c r="R308" s="349"/>
    </row>
    <row r="309" spans="3:18" s="37" customFormat="1" ht="82.4" hidden="1" customHeight="1" outlineLevel="1" x14ac:dyDescent="0.45">
      <c r="C309" s="115" t="s">
        <v>229</v>
      </c>
      <c r="D309" s="40" t="s">
        <v>66</v>
      </c>
      <c r="E309" s="15">
        <v>15910</v>
      </c>
      <c r="F309" s="48" t="s">
        <v>11</v>
      </c>
      <c r="G309" s="14" t="s">
        <v>12</v>
      </c>
      <c r="H309" s="14" t="s">
        <v>2</v>
      </c>
      <c r="I309" s="38"/>
      <c r="J309" s="24" t="s">
        <v>170</v>
      </c>
      <c r="K309" s="24"/>
      <c r="L309" s="39" t="s">
        <v>156</v>
      </c>
      <c r="M309" s="23"/>
      <c r="N309" s="14"/>
      <c r="O309" s="14">
        <v>59274</v>
      </c>
      <c r="P309" s="14"/>
      <c r="Q309" s="168" t="s">
        <v>172</v>
      </c>
      <c r="R309" s="348"/>
    </row>
    <row r="310" spans="3:18" s="37" customFormat="1" ht="20.9" hidden="1" customHeight="1" outlineLevel="1" x14ac:dyDescent="0.45">
      <c r="C310" s="115" t="s">
        <v>229</v>
      </c>
      <c r="D310" s="40" t="s">
        <v>58</v>
      </c>
      <c r="E310" s="15">
        <v>15890</v>
      </c>
      <c r="F310" s="48" t="s">
        <v>11</v>
      </c>
      <c r="G310" s="14" t="s">
        <v>29</v>
      </c>
      <c r="H310" s="14" t="s">
        <v>34</v>
      </c>
      <c r="I310" s="38"/>
      <c r="J310" s="77" t="s">
        <v>173</v>
      </c>
      <c r="K310" s="77"/>
      <c r="L310" s="39" t="s">
        <v>156</v>
      </c>
      <c r="M310" s="23"/>
      <c r="N310" s="14"/>
      <c r="O310" s="14">
        <v>59274</v>
      </c>
      <c r="P310" s="14"/>
      <c r="Q310" s="168" t="s">
        <v>172</v>
      </c>
      <c r="R310" s="348"/>
    </row>
    <row r="311" spans="3:18" s="37" customFormat="1" ht="20.9" hidden="1" customHeight="1" outlineLevel="1" x14ac:dyDescent="0.45">
      <c r="C311" s="115" t="s">
        <v>229</v>
      </c>
      <c r="D311" s="40" t="s">
        <v>70</v>
      </c>
      <c r="E311" s="15">
        <v>16120</v>
      </c>
      <c r="F311" s="48" t="s">
        <v>11</v>
      </c>
      <c r="G311" s="14" t="s">
        <v>12</v>
      </c>
      <c r="H311" s="14" t="s">
        <v>16</v>
      </c>
      <c r="I311" s="38"/>
      <c r="J311" s="24" t="s">
        <v>177</v>
      </c>
      <c r="K311" s="24"/>
      <c r="L311" s="39" t="s">
        <v>156</v>
      </c>
      <c r="M311" s="23"/>
      <c r="N311" s="14"/>
      <c r="O311" s="14">
        <v>62006</v>
      </c>
      <c r="P311" s="14"/>
      <c r="Q311" s="168" t="s">
        <v>186</v>
      </c>
      <c r="R311" s="348"/>
    </row>
    <row r="312" spans="3:18" s="37" customFormat="1" ht="20.9" hidden="1" customHeight="1" outlineLevel="1" x14ac:dyDescent="0.45">
      <c r="C312" s="115" t="s">
        <v>229</v>
      </c>
      <c r="D312" s="23" t="s">
        <v>62</v>
      </c>
      <c r="E312" s="14">
        <v>16060</v>
      </c>
      <c r="F312" s="48" t="s">
        <v>11</v>
      </c>
      <c r="G312" s="14" t="s">
        <v>12</v>
      </c>
      <c r="H312" s="14" t="s">
        <v>16</v>
      </c>
      <c r="I312" s="14"/>
      <c r="J312" s="78" t="s">
        <v>179</v>
      </c>
      <c r="K312" s="78"/>
      <c r="L312" s="39" t="s">
        <v>166</v>
      </c>
      <c r="M312" s="23"/>
      <c r="N312" s="14"/>
      <c r="O312" s="14">
        <v>62006</v>
      </c>
      <c r="P312" s="14"/>
      <c r="Q312" s="168" t="s">
        <v>186</v>
      </c>
      <c r="R312" s="348"/>
    </row>
    <row r="313" spans="3:18" s="37" customFormat="1" ht="20.9" hidden="1" customHeight="1" outlineLevel="1" x14ac:dyDescent="0.45">
      <c r="C313" s="115" t="s">
        <v>229</v>
      </c>
      <c r="D313" s="40" t="s">
        <v>65</v>
      </c>
      <c r="E313" s="15">
        <v>16140</v>
      </c>
      <c r="F313" s="48" t="s">
        <v>11</v>
      </c>
      <c r="G313" s="14" t="s">
        <v>12</v>
      </c>
      <c r="H313" s="14" t="s">
        <v>2</v>
      </c>
      <c r="I313" s="14"/>
      <c r="J313" s="77" t="s">
        <v>181</v>
      </c>
      <c r="K313" s="77"/>
      <c r="L313" s="39" t="s">
        <v>165</v>
      </c>
      <c r="M313" s="23"/>
      <c r="N313" s="14"/>
      <c r="O313" s="14">
        <v>62006</v>
      </c>
      <c r="P313" s="14"/>
      <c r="Q313" s="168" t="s">
        <v>186</v>
      </c>
      <c r="R313" s="348"/>
    </row>
    <row r="314" spans="3:18" s="37" customFormat="1" ht="100.4" hidden="1" customHeight="1" outlineLevel="1" x14ac:dyDescent="0.45">
      <c r="C314" s="115" t="s">
        <v>229</v>
      </c>
      <c r="D314" s="54" t="s">
        <v>67</v>
      </c>
      <c r="E314" s="54">
        <v>16140</v>
      </c>
      <c r="F314" s="48" t="s">
        <v>11</v>
      </c>
      <c r="G314" s="14" t="s">
        <v>12</v>
      </c>
      <c r="H314" s="14" t="s">
        <v>16</v>
      </c>
      <c r="I314" s="14"/>
      <c r="J314" s="77" t="s">
        <v>183</v>
      </c>
      <c r="K314" s="77"/>
      <c r="L314" s="39" t="s">
        <v>178</v>
      </c>
      <c r="M314" s="23"/>
      <c r="N314" s="39"/>
      <c r="O314" s="14">
        <v>63783</v>
      </c>
      <c r="P314" s="14"/>
      <c r="Q314" s="168" t="s">
        <v>189</v>
      </c>
      <c r="R314" s="348"/>
    </row>
    <row r="315" spans="3:18" s="37" customFormat="1" ht="100.4" hidden="1" customHeight="1" outlineLevel="1" x14ac:dyDescent="0.45">
      <c r="C315" s="115" t="s">
        <v>229</v>
      </c>
      <c r="D315" s="40" t="s">
        <v>60</v>
      </c>
      <c r="E315" s="15">
        <v>15980</v>
      </c>
      <c r="F315" s="48" t="s">
        <v>11</v>
      </c>
      <c r="G315" s="14" t="s">
        <v>12</v>
      </c>
      <c r="H315" s="14" t="s">
        <v>16</v>
      </c>
      <c r="I315" s="14"/>
      <c r="J315" s="77" t="s">
        <v>185</v>
      </c>
      <c r="K315" s="77"/>
      <c r="L315" s="39" t="s">
        <v>165</v>
      </c>
      <c r="M315" s="23"/>
      <c r="N315" s="39"/>
      <c r="O315" s="14">
        <v>63783</v>
      </c>
      <c r="P315" s="14"/>
      <c r="Q315" s="168" t="s">
        <v>189</v>
      </c>
      <c r="R315" s="348"/>
    </row>
    <row r="316" spans="3:18" s="37" customFormat="1" ht="20.9" hidden="1" customHeight="1" outlineLevel="1" x14ac:dyDescent="0.45">
      <c r="C316" s="115" t="s">
        <v>229</v>
      </c>
      <c r="D316" s="40" t="s">
        <v>61</v>
      </c>
      <c r="E316" s="15">
        <v>16170</v>
      </c>
      <c r="F316" s="48" t="s">
        <v>11</v>
      </c>
      <c r="G316" s="14" t="s">
        <v>12</v>
      </c>
      <c r="H316" s="14" t="s">
        <v>2</v>
      </c>
      <c r="I316" s="14">
        <v>16170</v>
      </c>
      <c r="J316" s="77" t="s">
        <v>188</v>
      </c>
      <c r="K316" s="77"/>
      <c r="L316" s="39" t="s">
        <v>165</v>
      </c>
      <c r="M316" s="23"/>
      <c r="N316" s="39"/>
      <c r="O316" s="14">
        <v>63783</v>
      </c>
      <c r="P316" s="14"/>
      <c r="Q316" s="168" t="s">
        <v>189</v>
      </c>
      <c r="R316" s="348"/>
    </row>
    <row r="317" spans="3:18" s="37" customFormat="1" ht="20.9" hidden="1" customHeight="1" outlineLevel="1" x14ac:dyDescent="0.45">
      <c r="C317" s="115" t="s">
        <v>229</v>
      </c>
      <c r="D317" s="24" t="s">
        <v>66</v>
      </c>
      <c r="E317" s="14">
        <v>16340</v>
      </c>
      <c r="F317" s="48" t="s">
        <v>11</v>
      </c>
      <c r="G317" s="14" t="s">
        <v>12</v>
      </c>
      <c r="H317" s="14" t="s">
        <v>2</v>
      </c>
      <c r="I317" s="14">
        <v>16340</v>
      </c>
      <c r="J317" s="77"/>
      <c r="K317" s="77"/>
      <c r="L317" s="39" t="s">
        <v>182</v>
      </c>
      <c r="M317" s="23"/>
      <c r="N317" s="39"/>
      <c r="O317" s="14">
        <v>63783</v>
      </c>
      <c r="P317" s="14"/>
      <c r="Q317" s="168" t="s">
        <v>189</v>
      </c>
      <c r="R317" s="348"/>
    </row>
    <row r="318" spans="3:18" s="37" customFormat="1" ht="20.9" hidden="1" customHeight="1" outlineLevel="1" x14ac:dyDescent="0.45">
      <c r="C318" s="115" t="s">
        <v>229</v>
      </c>
      <c r="D318" s="24" t="s">
        <v>58</v>
      </c>
      <c r="E318" s="14">
        <v>15950</v>
      </c>
      <c r="F318" s="48" t="s">
        <v>11</v>
      </c>
      <c r="G318" s="14" t="s">
        <v>12</v>
      </c>
      <c r="H318" s="14" t="s">
        <v>2</v>
      </c>
      <c r="I318" s="14">
        <v>15950</v>
      </c>
      <c r="J318" s="77"/>
      <c r="K318" s="77"/>
      <c r="L318" s="39" t="s">
        <v>182</v>
      </c>
      <c r="M318" s="23"/>
      <c r="N318" s="39"/>
      <c r="O318" s="14">
        <v>63783</v>
      </c>
      <c r="P318" s="14"/>
      <c r="Q318" s="168" t="s">
        <v>189</v>
      </c>
      <c r="R318" s="348"/>
    </row>
    <row r="319" spans="3:18" s="37" customFormat="1" ht="41.15" hidden="1" customHeight="1" outlineLevel="1" x14ac:dyDescent="0.45">
      <c r="C319" s="115" t="s">
        <v>229</v>
      </c>
      <c r="D319" s="23" t="s">
        <v>69</v>
      </c>
      <c r="E319" s="14">
        <v>15830</v>
      </c>
      <c r="F319" s="48" t="s">
        <v>11</v>
      </c>
      <c r="G319" s="14" t="s">
        <v>12</v>
      </c>
      <c r="H319" s="14" t="s">
        <v>34</v>
      </c>
      <c r="I319" s="14" t="s">
        <v>196</v>
      </c>
      <c r="J319" s="24" t="s">
        <v>198</v>
      </c>
      <c r="K319" s="24"/>
      <c r="L319" s="39" t="s">
        <v>171</v>
      </c>
      <c r="M319" s="23"/>
      <c r="N319" s="14"/>
      <c r="O319" s="14"/>
      <c r="P319" s="14"/>
      <c r="Q319" s="168"/>
      <c r="R319" s="348"/>
    </row>
    <row r="320" spans="3:18" s="37" customFormat="1" ht="20.9" hidden="1" customHeight="1" outlineLevel="1" x14ac:dyDescent="0.45">
      <c r="C320" s="115" t="s">
        <v>229</v>
      </c>
      <c r="D320" s="23" t="s">
        <v>62</v>
      </c>
      <c r="E320" s="14">
        <v>16180</v>
      </c>
      <c r="F320" s="48" t="s">
        <v>11</v>
      </c>
      <c r="G320" s="14" t="s">
        <v>12</v>
      </c>
      <c r="H320" s="14" t="s">
        <v>2</v>
      </c>
      <c r="I320" s="14"/>
      <c r="J320" s="23" t="s">
        <v>197</v>
      </c>
      <c r="K320" s="23"/>
      <c r="L320" s="39" t="s">
        <v>190</v>
      </c>
      <c r="M320" s="23"/>
      <c r="N320" s="14"/>
      <c r="O320" s="14">
        <v>65922</v>
      </c>
      <c r="P320" s="14"/>
      <c r="Q320" s="168" t="s">
        <v>220</v>
      </c>
      <c r="R320" s="348"/>
    </row>
    <row r="321" spans="3:18" s="37" customFormat="1" ht="102.65" hidden="1" customHeight="1" outlineLevel="1" x14ac:dyDescent="0.45">
      <c r="C321" s="115" t="s">
        <v>229</v>
      </c>
      <c r="D321" s="40" t="s">
        <v>64</v>
      </c>
      <c r="E321" s="14">
        <v>16170</v>
      </c>
      <c r="F321" s="48" t="s">
        <v>11</v>
      </c>
      <c r="G321" s="14" t="s">
        <v>29</v>
      </c>
      <c r="H321" s="14" t="s">
        <v>34</v>
      </c>
      <c r="I321" s="14"/>
      <c r="J321" s="24" t="s">
        <v>201</v>
      </c>
      <c r="K321" s="24"/>
      <c r="L321" s="39" t="s">
        <v>176</v>
      </c>
      <c r="M321" s="23"/>
      <c r="N321" s="14"/>
      <c r="O321" s="14">
        <v>66463</v>
      </c>
      <c r="P321" s="14"/>
      <c r="Q321" s="168" t="s">
        <v>202</v>
      </c>
      <c r="R321" s="348"/>
    </row>
    <row r="322" spans="3:18" s="37" customFormat="1" ht="80.150000000000006" hidden="1" customHeight="1" outlineLevel="1" x14ac:dyDescent="0.45">
      <c r="C322" s="115" t="s">
        <v>229</v>
      </c>
      <c r="D322" s="23" t="s">
        <v>58</v>
      </c>
      <c r="E322" s="14">
        <v>16160</v>
      </c>
      <c r="F322" s="48" t="s">
        <v>11</v>
      </c>
      <c r="G322" s="14" t="s">
        <v>12</v>
      </c>
      <c r="H322" s="14" t="s">
        <v>34</v>
      </c>
      <c r="I322" s="14"/>
      <c r="J322" s="77" t="s">
        <v>206</v>
      </c>
      <c r="K322" s="77"/>
      <c r="L322" s="39" t="s">
        <v>200</v>
      </c>
      <c r="M322" s="23"/>
      <c r="N322" s="14"/>
      <c r="O322" s="14">
        <v>67673</v>
      </c>
      <c r="P322" s="14"/>
      <c r="Q322" s="168" t="s">
        <v>205</v>
      </c>
      <c r="R322" s="348"/>
    </row>
    <row r="323" spans="3:18" s="37" customFormat="1" ht="60" hidden="1" customHeight="1" outlineLevel="1" x14ac:dyDescent="0.45">
      <c r="C323" s="114" t="s">
        <v>229</v>
      </c>
      <c r="D323" s="23" t="s">
        <v>69</v>
      </c>
      <c r="E323" s="14">
        <v>16120</v>
      </c>
      <c r="F323" s="48" t="s">
        <v>11</v>
      </c>
      <c r="G323" s="14" t="s">
        <v>12</v>
      </c>
      <c r="H323" s="14" t="s">
        <v>34</v>
      </c>
      <c r="I323" s="14"/>
      <c r="J323" s="77" t="s">
        <v>208</v>
      </c>
      <c r="K323" s="77"/>
      <c r="L323" s="39" t="s">
        <v>204</v>
      </c>
      <c r="M323" s="23"/>
      <c r="N323" s="24"/>
      <c r="O323" s="14">
        <v>67678</v>
      </c>
      <c r="P323" s="14"/>
      <c r="Q323" s="168" t="s">
        <v>207</v>
      </c>
      <c r="R323" s="348"/>
    </row>
    <row r="324" spans="3:18" s="37" customFormat="1" ht="60" hidden="1" customHeight="1" outlineLevel="1" x14ac:dyDescent="0.45">
      <c r="C324" s="115" t="s">
        <v>229</v>
      </c>
      <c r="D324" s="40" t="s">
        <v>67</v>
      </c>
      <c r="E324" s="24">
        <v>16290</v>
      </c>
      <c r="F324" s="48" t="s">
        <v>11</v>
      </c>
      <c r="G324" s="14" t="s">
        <v>12</v>
      </c>
      <c r="H324" s="14" t="s">
        <v>16</v>
      </c>
      <c r="I324" s="14"/>
      <c r="J324" s="77" t="s">
        <v>210</v>
      </c>
      <c r="K324" s="77"/>
      <c r="L324" s="39" t="s">
        <v>203</v>
      </c>
      <c r="M324" s="23"/>
      <c r="N324" s="14"/>
      <c r="O324" s="14">
        <v>68354</v>
      </c>
      <c r="P324" s="14"/>
      <c r="Q324" s="168" t="s">
        <v>209</v>
      </c>
      <c r="R324" s="348"/>
    </row>
    <row r="325" spans="3:18" s="37" customFormat="1" ht="82.4" hidden="1" customHeight="1" outlineLevel="1" x14ac:dyDescent="0.45">
      <c r="C325" s="115" t="s">
        <v>229</v>
      </c>
      <c r="D325" s="15" t="s">
        <v>60</v>
      </c>
      <c r="E325" s="24">
        <v>16280</v>
      </c>
      <c r="F325" s="48" t="s">
        <v>11</v>
      </c>
      <c r="G325" s="14" t="s">
        <v>12</v>
      </c>
      <c r="H325" s="14" t="s">
        <v>16</v>
      </c>
      <c r="I325" s="14"/>
      <c r="J325" s="24" t="s">
        <v>226</v>
      </c>
      <c r="K325" s="24"/>
      <c r="L325" s="39" t="s">
        <v>203</v>
      </c>
      <c r="M325" s="23"/>
      <c r="N325" s="14">
        <v>59274</v>
      </c>
      <c r="O325" s="14">
        <v>70427</v>
      </c>
      <c r="P325" s="14"/>
      <c r="Q325" s="168" t="s">
        <v>228</v>
      </c>
      <c r="R325" s="348"/>
    </row>
    <row r="326" spans="3:18" s="41" customFormat="1" ht="82.4" hidden="1" customHeight="1" outlineLevel="1" x14ac:dyDescent="0.45">
      <c r="C326" s="114" t="s">
        <v>229</v>
      </c>
      <c r="D326" s="23" t="s">
        <v>66</v>
      </c>
      <c r="E326" s="23">
        <v>16290</v>
      </c>
      <c r="F326" s="48" t="s">
        <v>11</v>
      </c>
      <c r="G326" s="23" t="s">
        <v>12</v>
      </c>
      <c r="H326" s="23" t="s">
        <v>16</v>
      </c>
      <c r="I326" s="23"/>
      <c r="J326" s="24" t="s">
        <v>239</v>
      </c>
      <c r="K326" s="24">
        <v>141029</v>
      </c>
      <c r="L326" s="39" t="s">
        <v>203</v>
      </c>
      <c r="M326" s="23"/>
      <c r="N326" s="23"/>
      <c r="O326" s="23">
        <v>72295</v>
      </c>
      <c r="P326" s="23"/>
      <c r="Q326" s="176" t="s">
        <v>237</v>
      </c>
      <c r="R326" s="138"/>
    </row>
    <row r="327" spans="3:18" s="37" customFormat="1" ht="41.15" hidden="1" customHeight="1" outlineLevel="1" x14ac:dyDescent="0.45">
      <c r="C327" s="115" t="s">
        <v>229</v>
      </c>
      <c r="D327" s="23" t="s">
        <v>61</v>
      </c>
      <c r="E327" s="14">
        <v>16480</v>
      </c>
      <c r="F327" s="48" t="s">
        <v>11</v>
      </c>
      <c r="G327" s="14" t="s">
        <v>12</v>
      </c>
      <c r="H327" s="14" t="s">
        <v>34</v>
      </c>
      <c r="I327" s="14">
        <v>16480</v>
      </c>
      <c r="J327" s="24"/>
      <c r="K327" s="24">
        <v>146194</v>
      </c>
      <c r="L327" s="39" t="s">
        <v>200</v>
      </c>
      <c r="M327" s="23"/>
      <c r="N327" s="14"/>
      <c r="O327" s="14">
        <v>73364</v>
      </c>
      <c r="P327" s="14"/>
      <c r="Q327" s="176" t="s">
        <v>243</v>
      </c>
      <c r="R327" s="138"/>
    </row>
    <row r="328" spans="3:18" s="59" customFormat="1" ht="41.15" hidden="1" customHeight="1" outlineLevel="1" x14ac:dyDescent="0.45">
      <c r="C328" s="117" t="s">
        <v>229</v>
      </c>
      <c r="D328" s="15" t="s">
        <v>69</v>
      </c>
      <c r="E328" s="60">
        <v>15940</v>
      </c>
      <c r="F328" s="48" t="s">
        <v>11</v>
      </c>
      <c r="G328" s="14" t="s">
        <v>12</v>
      </c>
      <c r="H328" s="14" t="s">
        <v>34</v>
      </c>
      <c r="I328" s="61">
        <f t="shared" ref="I328:I334" si="21">E328</f>
        <v>15940</v>
      </c>
      <c r="J328" s="60" t="s">
        <v>250</v>
      </c>
      <c r="K328" s="60">
        <v>146194</v>
      </c>
      <c r="L328" s="96"/>
      <c r="M328" s="62"/>
      <c r="N328" s="61"/>
      <c r="O328" s="61">
        <v>74267</v>
      </c>
      <c r="P328" s="61"/>
      <c r="Q328" s="176" t="s">
        <v>249</v>
      </c>
      <c r="R328" s="138"/>
    </row>
    <row r="329" spans="3:18" s="59" customFormat="1" ht="41.15" hidden="1" customHeight="1" outlineLevel="1" x14ac:dyDescent="0.45">
      <c r="C329" s="117" t="s">
        <v>229</v>
      </c>
      <c r="D329" s="15" t="s">
        <v>67</v>
      </c>
      <c r="E329" s="60">
        <v>16270</v>
      </c>
      <c r="F329" s="48" t="s">
        <v>11</v>
      </c>
      <c r="G329" s="14" t="s">
        <v>12</v>
      </c>
      <c r="H329" s="14" t="s">
        <v>16</v>
      </c>
      <c r="I329" s="61">
        <f t="shared" si="21"/>
        <v>16270</v>
      </c>
      <c r="J329" s="60" t="s">
        <v>251</v>
      </c>
      <c r="K329" s="60">
        <v>147691</v>
      </c>
      <c r="L329" s="96" t="s">
        <v>234</v>
      </c>
      <c r="M329" s="62"/>
      <c r="N329" s="61"/>
      <c r="O329" s="61"/>
      <c r="P329" s="61"/>
      <c r="Q329" s="178"/>
      <c r="R329" s="350"/>
    </row>
    <row r="330" spans="3:18" s="59" customFormat="1" ht="41.15" hidden="1" customHeight="1" outlineLevel="1" x14ac:dyDescent="0.45">
      <c r="C330" s="117" t="s">
        <v>229</v>
      </c>
      <c r="D330" s="15" t="s">
        <v>60</v>
      </c>
      <c r="E330" s="60">
        <v>16040</v>
      </c>
      <c r="F330" s="48" t="s">
        <v>11</v>
      </c>
      <c r="G330" s="14" t="s">
        <v>12</v>
      </c>
      <c r="H330" s="14" t="s">
        <v>2</v>
      </c>
      <c r="I330" s="61">
        <f t="shared" si="21"/>
        <v>16040</v>
      </c>
      <c r="J330" s="60" t="s">
        <v>251</v>
      </c>
      <c r="K330" s="60">
        <v>147691</v>
      </c>
      <c r="L330" s="96" t="s">
        <v>238</v>
      </c>
      <c r="M330" s="62"/>
      <c r="N330" s="61"/>
      <c r="O330" s="61"/>
      <c r="P330" s="61"/>
      <c r="Q330" s="178"/>
      <c r="R330" s="350"/>
    </row>
    <row r="331" spans="3:18" s="59" customFormat="1" ht="41.15" hidden="1" customHeight="1" outlineLevel="1" x14ac:dyDescent="0.45">
      <c r="C331" s="117" t="s">
        <v>229</v>
      </c>
      <c r="D331" s="15" t="s">
        <v>62</v>
      </c>
      <c r="E331" s="60">
        <v>16060</v>
      </c>
      <c r="F331" s="48" t="s">
        <v>11</v>
      </c>
      <c r="G331" s="14" t="s">
        <v>12</v>
      </c>
      <c r="H331" s="14" t="s">
        <v>34</v>
      </c>
      <c r="I331" s="61">
        <f t="shared" si="21"/>
        <v>16060</v>
      </c>
      <c r="J331" s="60" t="s">
        <v>252</v>
      </c>
      <c r="K331" s="60">
        <v>147921</v>
      </c>
      <c r="L331" s="96" t="s">
        <v>218</v>
      </c>
      <c r="M331" s="62"/>
      <c r="N331" s="61"/>
      <c r="O331" s="61">
        <v>75494</v>
      </c>
      <c r="P331" s="61"/>
      <c r="Q331" s="177" t="s">
        <v>255</v>
      </c>
      <c r="R331" s="136"/>
    </row>
    <row r="332" spans="3:18" s="59" customFormat="1" ht="41.15" hidden="1" customHeight="1" outlineLevel="1" x14ac:dyDescent="0.45">
      <c r="C332" s="117" t="s">
        <v>229</v>
      </c>
      <c r="D332" s="70" t="s">
        <v>58</v>
      </c>
      <c r="E332" s="60">
        <v>16270</v>
      </c>
      <c r="F332" s="48" t="s">
        <v>11</v>
      </c>
      <c r="G332" s="14" t="s">
        <v>12</v>
      </c>
      <c r="H332" s="14" t="s">
        <v>34</v>
      </c>
      <c r="I332" s="61">
        <f t="shared" si="21"/>
        <v>16270</v>
      </c>
      <c r="J332" s="60" t="s">
        <v>258</v>
      </c>
      <c r="K332" s="60">
        <v>148589</v>
      </c>
      <c r="L332" s="96" t="s">
        <v>215</v>
      </c>
      <c r="M332" s="62"/>
      <c r="N332" s="61">
        <v>63783</v>
      </c>
      <c r="O332" s="61">
        <v>75495</v>
      </c>
      <c r="P332" s="61"/>
      <c r="Q332" s="177" t="s">
        <v>255</v>
      </c>
      <c r="R332" s="136"/>
    </row>
    <row r="333" spans="3:18" s="59" customFormat="1" ht="41.15" hidden="1" customHeight="1" outlineLevel="1" x14ac:dyDescent="0.45">
      <c r="C333" s="117" t="s">
        <v>229</v>
      </c>
      <c r="D333" s="70" t="s">
        <v>64</v>
      </c>
      <c r="E333" s="60">
        <v>16360</v>
      </c>
      <c r="F333" s="48" t="s">
        <v>11</v>
      </c>
      <c r="G333" s="14" t="s">
        <v>12</v>
      </c>
      <c r="H333" s="14" t="s">
        <v>34</v>
      </c>
      <c r="I333" s="61">
        <f t="shared" si="21"/>
        <v>16360</v>
      </c>
      <c r="J333" s="60" t="s">
        <v>259</v>
      </c>
      <c r="K333" s="60">
        <v>148589</v>
      </c>
      <c r="L333" s="96" t="s">
        <v>225</v>
      </c>
      <c r="M333" s="62"/>
      <c r="N333" s="61"/>
      <c r="O333" s="61">
        <v>75496</v>
      </c>
      <c r="P333" s="61"/>
      <c r="Q333" s="177" t="s">
        <v>255</v>
      </c>
      <c r="R333" s="136"/>
    </row>
    <row r="334" spans="3:18" s="59" customFormat="1" ht="41.15" hidden="1" customHeight="1" outlineLevel="1" x14ac:dyDescent="0.45">
      <c r="C334" s="117" t="s">
        <v>229</v>
      </c>
      <c r="D334" s="69" t="s">
        <v>70</v>
      </c>
      <c r="E334" s="61">
        <v>16180</v>
      </c>
      <c r="F334" s="48" t="s">
        <v>11</v>
      </c>
      <c r="G334" s="14" t="s">
        <v>12</v>
      </c>
      <c r="H334" s="14" t="s">
        <v>34</v>
      </c>
      <c r="I334" s="61">
        <f t="shared" si="21"/>
        <v>16180</v>
      </c>
      <c r="J334" s="60" t="s">
        <v>257</v>
      </c>
      <c r="K334" s="60">
        <v>148589</v>
      </c>
      <c r="L334" s="96" t="s">
        <v>200</v>
      </c>
      <c r="M334" s="62"/>
      <c r="N334" s="61"/>
      <c r="O334" s="61">
        <v>75497</v>
      </c>
      <c r="P334" s="61"/>
      <c r="Q334" s="177" t="s">
        <v>255</v>
      </c>
      <c r="R334" s="136"/>
    </row>
    <row r="335" spans="3:18" s="59" customFormat="1" ht="41.15" hidden="1" customHeight="1" outlineLevel="1" x14ac:dyDescent="0.45">
      <c r="C335" s="117" t="s">
        <v>229</v>
      </c>
      <c r="D335" s="15" t="s">
        <v>61</v>
      </c>
      <c r="E335" s="60">
        <v>16110</v>
      </c>
      <c r="F335" s="48" t="s">
        <v>11</v>
      </c>
      <c r="G335" s="14" t="s">
        <v>12</v>
      </c>
      <c r="H335" s="14" t="s">
        <v>16</v>
      </c>
      <c r="I335" s="61">
        <v>16110</v>
      </c>
      <c r="J335" s="60"/>
      <c r="K335" s="60">
        <v>150760</v>
      </c>
      <c r="L335" s="61" t="s">
        <v>254</v>
      </c>
      <c r="M335" s="62"/>
      <c r="N335" s="61"/>
      <c r="O335" s="61">
        <v>76042</v>
      </c>
      <c r="P335" s="61"/>
      <c r="Q335" s="177" t="s">
        <v>261</v>
      </c>
      <c r="R335" s="136"/>
    </row>
    <row r="336" spans="3:18" s="59" customFormat="1" ht="41.15" hidden="1" customHeight="1" outlineLevel="1" x14ac:dyDescent="0.45">
      <c r="C336" s="117" t="s">
        <v>229</v>
      </c>
      <c r="D336" s="62" t="s">
        <v>65</v>
      </c>
      <c r="E336" s="61">
        <v>16330</v>
      </c>
      <c r="F336" s="48" t="s">
        <v>11</v>
      </c>
      <c r="G336" s="14" t="s">
        <v>12</v>
      </c>
      <c r="H336" s="14" t="s">
        <v>16</v>
      </c>
      <c r="I336" s="61"/>
      <c r="J336" s="60" t="s">
        <v>265</v>
      </c>
      <c r="K336" s="60">
        <v>151692</v>
      </c>
      <c r="L336" s="96" t="s">
        <v>190</v>
      </c>
      <c r="M336" s="62"/>
      <c r="N336" s="61"/>
      <c r="O336" s="61">
        <v>76544</v>
      </c>
      <c r="P336" s="61"/>
      <c r="Q336" s="178" t="s">
        <v>268</v>
      </c>
      <c r="R336" s="350"/>
    </row>
    <row r="337" spans="3:18" s="59" customFormat="1" ht="20.9" hidden="1" customHeight="1" outlineLevel="1" x14ac:dyDescent="0.45">
      <c r="C337" s="117" t="s">
        <v>229</v>
      </c>
      <c r="D337" s="15" t="s">
        <v>69</v>
      </c>
      <c r="E337" s="60">
        <v>16050</v>
      </c>
      <c r="F337" s="48" t="s">
        <v>11</v>
      </c>
      <c r="G337" s="14" t="s">
        <v>12</v>
      </c>
      <c r="H337" s="14" t="s">
        <v>16</v>
      </c>
      <c r="I337" s="61"/>
      <c r="J337" s="60" t="s">
        <v>270</v>
      </c>
      <c r="K337" s="60">
        <v>153453</v>
      </c>
      <c r="L337" s="96" t="s">
        <v>264</v>
      </c>
      <c r="M337" s="62"/>
      <c r="N337" s="61"/>
      <c r="O337" s="61">
        <v>76911</v>
      </c>
      <c r="P337" s="61"/>
      <c r="Q337" s="177" t="s">
        <v>269</v>
      </c>
      <c r="R337" s="136"/>
    </row>
    <row r="338" spans="3:18" s="59" customFormat="1" ht="20.9" hidden="1" customHeight="1" outlineLevel="1" x14ac:dyDescent="0.45">
      <c r="C338" s="117" t="s">
        <v>229</v>
      </c>
      <c r="D338" s="15" t="s">
        <v>70</v>
      </c>
      <c r="E338" s="60">
        <v>16260</v>
      </c>
      <c r="F338" s="48" t="s">
        <v>11</v>
      </c>
      <c r="G338" s="14" t="s">
        <v>12</v>
      </c>
      <c r="H338" s="14" t="s">
        <v>16</v>
      </c>
      <c r="I338" s="61">
        <v>16260</v>
      </c>
      <c r="J338" s="60"/>
      <c r="K338" s="60">
        <v>154522</v>
      </c>
      <c r="L338" s="96" t="s">
        <v>267</v>
      </c>
      <c r="M338" s="62"/>
      <c r="N338" s="61"/>
      <c r="O338" s="61">
        <v>77273</v>
      </c>
      <c r="P338" s="61"/>
      <c r="Q338" s="178" t="s">
        <v>271</v>
      </c>
      <c r="R338" s="350"/>
    </row>
    <row r="339" spans="3:18" s="59" customFormat="1" ht="20.9" hidden="1" customHeight="1" outlineLevel="1" x14ac:dyDescent="0.45">
      <c r="C339" s="117" t="s">
        <v>229</v>
      </c>
      <c r="D339" s="15" t="s">
        <v>66</v>
      </c>
      <c r="E339" s="60">
        <v>15840</v>
      </c>
      <c r="F339" s="48" t="s">
        <v>11</v>
      </c>
      <c r="G339" s="14" t="s">
        <v>12</v>
      </c>
      <c r="H339" s="14" t="s">
        <v>2</v>
      </c>
      <c r="I339" s="61">
        <v>15840</v>
      </c>
      <c r="J339" s="60" t="s">
        <v>272</v>
      </c>
      <c r="K339" s="60">
        <v>156554</v>
      </c>
      <c r="L339" s="96" t="s">
        <v>241</v>
      </c>
      <c r="M339" s="62"/>
      <c r="N339" s="61"/>
      <c r="O339" s="61"/>
      <c r="P339" s="61"/>
      <c r="Q339" s="178"/>
      <c r="R339" s="350"/>
    </row>
    <row r="340" spans="3:18" s="59" customFormat="1" ht="20.9" hidden="1" customHeight="1" outlineLevel="1" x14ac:dyDescent="0.45">
      <c r="C340" s="117" t="s">
        <v>229</v>
      </c>
      <c r="D340" s="15" t="s">
        <v>58</v>
      </c>
      <c r="E340" s="60">
        <v>16130</v>
      </c>
      <c r="F340" s="48" t="s">
        <v>11</v>
      </c>
      <c r="G340" s="14" t="s">
        <v>12</v>
      </c>
      <c r="H340" s="14" t="s">
        <v>16</v>
      </c>
      <c r="I340" s="61"/>
      <c r="J340" s="82" t="s">
        <v>275</v>
      </c>
      <c r="K340" s="60">
        <v>161080</v>
      </c>
      <c r="L340" s="96" t="s">
        <v>267</v>
      </c>
      <c r="M340" s="62"/>
      <c r="N340" s="61"/>
      <c r="O340" s="60">
        <v>79151</v>
      </c>
      <c r="P340" s="60"/>
      <c r="Q340" s="178" t="s">
        <v>279</v>
      </c>
      <c r="R340" s="350"/>
    </row>
    <row r="341" spans="3:18" s="59" customFormat="1" ht="20.9" hidden="1" customHeight="1" outlineLevel="1" x14ac:dyDescent="0.45">
      <c r="C341" s="117" t="s">
        <v>229</v>
      </c>
      <c r="D341" s="15" t="s">
        <v>60</v>
      </c>
      <c r="E341" s="60">
        <v>15850</v>
      </c>
      <c r="F341" s="48" t="s">
        <v>11</v>
      </c>
      <c r="G341" s="14" t="s">
        <v>12</v>
      </c>
      <c r="H341" s="14" t="s">
        <v>16</v>
      </c>
      <c r="I341" s="61"/>
      <c r="J341" s="82" t="s">
        <v>276</v>
      </c>
      <c r="K341" s="60">
        <v>161201</v>
      </c>
      <c r="L341" s="96" t="s">
        <v>266</v>
      </c>
      <c r="M341" s="62"/>
      <c r="N341" s="61">
        <v>67677</v>
      </c>
      <c r="O341" s="60">
        <v>79150</v>
      </c>
      <c r="P341" s="60"/>
      <c r="Q341" s="178" t="s">
        <v>279</v>
      </c>
      <c r="R341" s="350"/>
    </row>
    <row r="342" spans="3:18" s="59" customFormat="1" ht="20.9" hidden="1" customHeight="1" outlineLevel="1" x14ac:dyDescent="0.45">
      <c r="C342" s="117" t="s">
        <v>229</v>
      </c>
      <c r="D342" s="15" t="s">
        <v>67</v>
      </c>
      <c r="E342" s="60">
        <v>15850</v>
      </c>
      <c r="F342" s="48" t="s">
        <v>11</v>
      </c>
      <c r="G342" s="14" t="s">
        <v>12</v>
      </c>
      <c r="H342" s="14" t="s">
        <v>16</v>
      </c>
      <c r="I342" s="61"/>
      <c r="J342" s="82" t="s">
        <v>277</v>
      </c>
      <c r="K342" s="60">
        <v>161706</v>
      </c>
      <c r="L342" s="96" t="s">
        <v>266</v>
      </c>
      <c r="M342" s="62"/>
      <c r="N342" s="61">
        <v>67678</v>
      </c>
      <c r="O342" s="61">
        <v>79445</v>
      </c>
      <c r="P342" s="61"/>
      <c r="Q342" s="178" t="s">
        <v>278</v>
      </c>
      <c r="R342" s="350"/>
    </row>
    <row r="343" spans="3:18" s="59" customFormat="1" ht="20.9" hidden="1" customHeight="1" outlineLevel="1" x14ac:dyDescent="0.45">
      <c r="C343" s="117" t="s">
        <v>229</v>
      </c>
      <c r="D343" s="15" t="s">
        <v>64</v>
      </c>
      <c r="E343" s="60">
        <v>16220</v>
      </c>
      <c r="F343" s="48" t="s">
        <v>11</v>
      </c>
      <c r="G343" s="14" t="s">
        <v>12</v>
      </c>
      <c r="H343" s="14" t="s">
        <v>2</v>
      </c>
      <c r="I343" s="61"/>
      <c r="J343" s="60" t="s">
        <v>283</v>
      </c>
      <c r="K343" s="60">
        <v>163701</v>
      </c>
      <c r="L343" s="96" t="s">
        <v>267</v>
      </c>
      <c r="M343" s="62"/>
      <c r="N343" s="61"/>
      <c r="O343" s="61">
        <v>79945</v>
      </c>
      <c r="P343" s="61"/>
      <c r="Q343" s="177" t="s">
        <v>281</v>
      </c>
      <c r="R343" s="136"/>
    </row>
    <row r="344" spans="3:18" s="59" customFormat="1" ht="20.9" hidden="1" customHeight="1" outlineLevel="1" x14ac:dyDescent="0.45">
      <c r="C344" s="117" t="s">
        <v>229</v>
      </c>
      <c r="D344" s="15" t="s">
        <v>62</v>
      </c>
      <c r="E344" s="60">
        <v>16220</v>
      </c>
      <c r="F344" s="48" t="s">
        <v>11</v>
      </c>
      <c r="G344" s="14" t="s">
        <v>12</v>
      </c>
      <c r="H344" s="14" t="s">
        <v>2</v>
      </c>
      <c r="I344" s="61"/>
      <c r="J344" s="60" t="s">
        <v>284</v>
      </c>
      <c r="K344" s="60">
        <v>164728</v>
      </c>
      <c r="L344" s="96" t="s">
        <v>267</v>
      </c>
      <c r="M344" s="62"/>
      <c r="N344" s="61"/>
      <c r="O344" s="61">
        <v>80457</v>
      </c>
      <c r="P344" s="61"/>
      <c r="Q344" s="178" t="s">
        <v>285</v>
      </c>
      <c r="R344" s="350"/>
    </row>
    <row r="345" spans="3:18" s="59" customFormat="1" ht="20.9" hidden="1" customHeight="1" outlineLevel="1" x14ac:dyDescent="0.45">
      <c r="C345" s="117" t="s">
        <v>229</v>
      </c>
      <c r="D345" s="15" t="s">
        <v>61</v>
      </c>
      <c r="E345" s="60">
        <v>16360</v>
      </c>
      <c r="F345" s="48" t="s">
        <v>11</v>
      </c>
      <c r="G345" s="14" t="s">
        <v>12</v>
      </c>
      <c r="H345" s="14" t="s">
        <v>16</v>
      </c>
      <c r="I345" s="61"/>
      <c r="J345" s="60" t="s">
        <v>289</v>
      </c>
      <c r="K345" s="60">
        <v>165580</v>
      </c>
      <c r="L345" s="96" t="s">
        <v>274</v>
      </c>
      <c r="M345" s="62"/>
      <c r="N345" s="61">
        <v>73577</v>
      </c>
      <c r="O345" s="61">
        <v>80458</v>
      </c>
      <c r="P345" s="61"/>
      <c r="Q345" s="178" t="s">
        <v>285</v>
      </c>
      <c r="R345" s="350"/>
    </row>
    <row r="346" spans="3:18" s="59" customFormat="1" ht="23.9" hidden="1" customHeight="1" outlineLevel="2" collapsed="1" x14ac:dyDescent="0.45">
      <c r="C346" s="117" t="s">
        <v>229</v>
      </c>
      <c r="D346" s="15" t="s">
        <v>60</v>
      </c>
      <c r="E346" s="60">
        <v>16220</v>
      </c>
      <c r="F346" s="48" t="s">
        <v>11</v>
      </c>
      <c r="G346" s="14" t="s">
        <v>12</v>
      </c>
      <c r="H346" s="14" t="s">
        <v>34</v>
      </c>
      <c r="I346" s="61">
        <v>16220</v>
      </c>
      <c r="J346" s="60" t="s">
        <v>296</v>
      </c>
      <c r="K346" s="60">
        <v>170809</v>
      </c>
      <c r="L346" s="145" t="s">
        <v>288</v>
      </c>
      <c r="M346" s="62"/>
      <c r="N346" s="100">
        <v>76042</v>
      </c>
      <c r="O346" s="61"/>
      <c r="P346" s="61"/>
      <c r="Q346" s="178" t="s">
        <v>298</v>
      </c>
      <c r="R346" s="350"/>
    </row>
    <row r="347" spans="3:18" s="59" customFormat="1" ht="20.9" hidden="1" customHeight="1" outlineLevel="2" x14ac:dyDescent="0.45">
      <c r="C347" s="117" t="s">
        <v>229</v>
      </c>
      <c r="D347" s="15" t="s">
        <v>65</v>
      </c>
      <c r="E347" s="60">
        <v>16390</v>
      </c>
      <c r="F347" s="48" t="s">
        <v>11</v>
      </c>
      <c r="G347" s="14" t="s">
        <v>12</v>
      </c>
      <c r="H347" s="14" t="s">
        <v>16</v>
      </c>
      <c r="I347" s="61">
        <v>16390</v>
      </c>
      <c r="J347" s="82" t="s">
        <v>299</v>
      </c>
      <c r="K347" s="60">
        <v>173393</v>
      </c>
      <c r="L347" s="96" t="s">
        <v>273</v>
      </c>
      <c r="M347" s="62"/>
      <c r="N347" s="61">
        <v>74267</v>
      </c>
      <c r="O347" s="61"/>
      <c r="P347" s="61"/>
      <c r="Q347" s="178"/>
      <c r="R347" s="350"/>
    </row>
    <row r="348" spans="3:18" s="59" customFormat="1" ht="20.9" hidden="1" customHeight="1" outlineLevel="2" x14ac:dyDescent="0.45">
      <c r="C348" s="117" t="s">
        <v>229</v>
      </c>
      <c r="D348" s="15" t="s">
        <v>69</v>
      </c>
      <c r="E348" s="60">
        <v>16240</v>
      </c>
      <c r="F348" s="48" t="s">
        <v>11</v>
      </c>
      <c r="G348" s="14" t="s">
        <v>12</v>
      </c>
      <c r="H348" s="14" t="s">
        <v>16</v>
      </c>
      <c r="I348" s="61">
        <v>16240</v>
      </c>
      <c r="J348" s="82" t="s">
        <v>299</v>
      </c>
      <c r="K348" s="60">
        <v>173393</v>
      </c>
      <c r="L348" s="96" t="s">
        <v>273</v>
      </c>
      <c r="M348" s="62"/>
      <c r="N348" s="61">
        <v>75494</v>
      </c>
      <c r="O348" s="61"/>
      <c r="P348" s="61"/>
      <c r="Q348" s="178"/>
      <c r="R348" s="350"/>
    </row>
    <row r="349" spans="3:18" s="59" customFormat="1" ht="41.15" hidden="1" customHeight="1" outlineLevel="2" x14ac:dyDescent="0.45">
      <c r="C349" s="117" t="s">
        <v>304</v>
      </c>
      <c r="D349" s="15" t="s">
        <v>66</v>
      </c>
      <c r="E349" s="60">
        <v>16260</v>
      </c>
      <c r="F349" s="48" t="s">
        <v>11</v>
      </c>
      <c r="G349" s="14" t="s">
        <v>12</v>
      </c>
      <c r="H349" s="14" t="s">
        <v>16</v>
      </c>
      <c r="I349" s="67">
        <v>16260</v>
      </c>
      <c r="J349" s="60" t="s">
        <v>308</v>
      </c>
      <c r="K349" s="60">
        <v>175693</v>
      </c>
      <c r="L349" s="145" t="s">
        <v>280</v>
      </c>
      <c r="M349" s="62"/>
      <c r="N349" s="100">
        <v>75495</v>
      </c>
      <c r="O349" s="61">
        <v>83647</v>
      </c>
      <c r="P349" s="61"/>
      <c r="Q349" s="178" t="s">
        <v>311</v>
      </c>
      <c r="R349" s="350"/>
    </row>
    <row r="350" spans="3:18" s="59" customFormat="1" ht="41.15" hidden="1" customHeight="1" outlineLevel="2" x14ac:dyDescent="0.45">
      <c r="C350" s="117" t="s">
        <v>304</v>
      </c>
      <c r="D350" s="15" t="s">
        <v>60</v>
      </c>
      <c r="E350" s="15">
        <v>15970</v>
      </c>
      <c r="F350" s="15" t="s">
        <v>11</v>
      </c>
      <c r="G350" s="14" t="s">
        <v>12</v>
      </c>
      <c r="H350" s="14" t="s">
        <v>294</v>
      </c>
      <c r="I350" s="67">
        <v>15970</v>
      </c>
      <c r="J350" s="62" t="s">
        <v>301</v>
      </c>
      <c r="K350" s="61">
        <v>175245</v>
      </c>
      <c r="L350" s="61" t="s">
        <v>297</v>
      </c>
      <c r="M350" s="62"/>
      <c r="N350" s="104">
        <v>79151</v>
      </c>
      <c r="O350" s="61"/>
      <c r="P350" s="61"/>
      <c r="Q350" s="178" t="s">
        <v>303</v>
      </c>
      <c r="R350" s="350"/>
    </row>
    <row r="351" spans="3:18" s="59" customFormat="1" ht="41.15" hidden="1" customHeight="1" outlineLevel="2" x14ac:dyDescent="0.45">
      <c r="C351" s="117" t="s">
        <v>304</v>
      </c>
      <c r="D351" s="15" t="s">
        <v>62</v>
      </c>
      <c r="E351" s="60">
        <v>16250</v>
      </c>
      <c r="F351" s="48" t="s">
        <v>11</v>
      </c>
      <c r="G351" s="14" t="s">
        <v>12</v>
      </c>
      <c r="H351" s="14" t="s">
        <v>16</v>
      </c>
      <c r="I351" s="67">
        <v>16250</v>
      </c>
      <c r="J351" s="60" t="s">
        <v>309</v>
      </c>
      <c r="K351" s="60">
        <v>175693</v>
      </c>
      <c r="L351" s="145" t="s">
        <v>291</v>
      </c>
      <c r="M351" s="62"/>
      <c r="N351" s="61">
        <v>79150</v>
      </c>
      <c r="O351" s="61">
        <v>83648</v>
      </c>
      <c r="P351" s="61"/>
      <c r="Q351" s="178" t="s">
        <v>311</v>
      </c>
      <c r="R351" s="350"/>
    </row>
    <row r="352" spans="3:18" s="59" customFormat="1" ht="41.15" hidden="1" customHeight="1" outlineLevel="2" x14ac:dyDescent="0.45">
      <c r="C352" s="117" t="s">
        <v>304</v>
      </c>
      <c r="D352" s="15" t="s">
        <v>58</v>
      </c>
      <c r="E352" s="60">
        <v>15980</v>
      </c>
      <c r="F352" s="48" t="s">
        <v>11</v>
      </c>
      <c r="G352" s="14" t="s">
        <v>12</v>
      </c>
      <c r="H352" s="14" t="s">
        <v>2</v>
      </c>
      <c r="I352" s="67">
        <v>15980</v>
      </c>
      <c r="J352" s="87" t="s">
        <v>310</v>
      </c>
      <c r="K352" s="60">
        <v>175926</v>
      </c>
      <c r="L352" s="145" t="s">
        <v>288</v>
      </c>
      <c r="M352" s="62"/>
      <c r="N352" s="100">
        <v>75497</v>
      </c>
      <c r="O352" s="61">
        <v>83650</v>
      </c>
      <c r="P352" s="61"/>
      <c r="Q352" s="178" t="s">
        <v>311</v>
      </c>
      <c r="R352" s="350"/>
    </row>
    <row r="353" spans="3:18" s="59" customFormat="1" ht="41.15" hidden="1" customHeight="1" outlineLevel="2" x14ac:dyDescent="0.45">
      <c r="C353" s="117" t="s">
        <v>229</v>
      </c>
      <c r="D353" s="15" t="s">
        <v>70</v>
      </c>
      <c r="E353" s="60">
        <v>16130</v>
      </c>
      <c r="F353" s="48" t="s">
        <v>11</v>
      </c>
      <c r="G353" s="14" t="s">
        <v>12</v>
      </c>
      <c r="H353" s="14" t="s">
        <v>34</v>
      </c>
      <c r="I353" s="60">
        <v>16130</v>
      </c>
      <c r="J353" s="87" t="s">
        <v>315</v>
      </c>
      <c r="K353" s="60">
        <v>179823</v>
      </c>
      <c r="L353" s="145" t="s">
        <v>280</v>
      </c>
      <c r="M353" s="62"/>
      <c r="N353" s="100">
        <v>75496</v>
      </c>
      <c r="O353" s="62">
        <v>84792</v>
      </c>
      <c r="P353" s="62"/>
      <c r="Q353" s="178" t="s">
        <v>316</v>
      </c>
      <c r="R353" s="350"/>
    </row>
    <row r="354" spans="3:18" s="59" customFormat="1" ht="41.15" hidden="1" customHeight="1" outlineLevel="2" x14ac:dyDescent="0.45">
      <c r="C354" s="117" t="s">
        <v>229</v>
      </c>
      <c r="D354" s="15" t="s">
        <v>67</v>
      </c>
      <c r="E354" s="60">
        <v>16090</v>
      </c>
      <c r="F354" s="48" t="s">
        <v>11</v>
      </c>
      <c r="G354" s="14" t="s">
        <v>12</v>
      </c>
      <c r="H354" s="14" t="s">
        <v>34</v>
      </c>
      <c r="I354" s="61">
        <v>16090</v>
      </c>
      <c r="J354" s="60" t="s">
        <v>325</v>
      </c>
      <c r="K354" s="60">
        <v>180769</v>
      </c>
      <c r="L354" s="96" t="s">
        <v>295</v>
      </c>
      <c r="M354" s="62"/>
      <c r="N354" s="61">
        <v>76544</v>
      </c>
      <c r="O354" s="62">
        <v>84793</v>
      </c>
      <c r="P354" s="62"/>
      <c r="Q354" s="178" t="s">
        <v>316</v>
      </c>
      <c r="R354" s="350"/>
    </row>
    <row r="355" spans="3:18" s="59" customFormat="1" ht="41.15" hidden="1" customHeight="1" outlineLevel="2" x14ac:dyDescent="0.45">
      <c r="C355" s="117" t="s">
        <v>229</v>
      </c>
      <c r="D355" s="15" t="s">
        <v>61</v>
      </c>
      <c r="E355" s="60">
        <v>16100</v>
      </c>
      <c r="F355" s="48" t="s">
        <v>11</v>
      </c>
      <c r="G355" s="14" t="s">
        <v>12</v>
      </c>
      <c r="H355" s="14" t="s">
        <v>34</v>
      </c>
      <c r="I355" s="61">
        <v>16100</v>
      </c>
      <c r="J355" s="60" t="s">
        <v>325</v>
      </c>
      <c r="K355" s="60">
        <v>180769</v>
      </c>
      <c r="L355" s="96" t="s">
        <v>293</v>
      </c>
      <c r="M355" s="62"/>
      <c r="N355" s="61">
        <v>77273</v>
      </c>
      <c r="O355" s="61">
        <v>85190</v>
      </c>
      <c r="P355" s="61"/>
      <c r="Q355" s="178" t="s">
        <v>317</v>
      </c>
      <c r="R355" s="350"/>
    </row>
    <row r="356" spans="3:18" s="59" customFormat="1" ht="41.15" hidden="1" customHeight="1" outlineLevel="2" x14ac:dyDescent="0.45">
      <c r="C356" s="117"/>
      <c r="D356" s="15" t="s">
        <v>62</v>
      </c>
      <c r="E356" s="60">
        <v>15870</v>
      </c>
      <c r="F356" s="48" t="s">
        <v>11</v>
      </c>
      <c r="G356" s="14" t="s">
        <v>12</v>
      </c>
      <c r="H356" s="14" t="s">
        <v>2</v>
      </c>
      <c r="I356" s="60">
        <v>15870</v>
      </c>
      <c r="J356" s="60" t="s">
        <v>321</v>
      </c>
      <c r="K356" s="60">
        <v>182648</v>
      </c>
      <c r="L356" s="61" t="s">
        <v>319</v>
      </c>
      <c r="M356" s="62"/>
      <c r="N356" s="61">
        <v>80458</v>
      </c>
      <c r="O356" s="61">
        <v>86054</v>
      </c>
      <c r="P356" s="61"/>
      <c r="Q356" s="179" t="s">
        <v>323</v>
      </c>
      <c r="R356" s="351"/>
    </row>
    <row r="357" spans="3:18" s="59" customFormat="1" ht="41.15" hidden="1" customHeight="1" outlineLevel="2" x14ac:dyDescent="0.45">
      <c r="C357" s="117" t="s">
        <v>229</v>
      </c>
      <c r="D357" s="15" t="s">
        <v>64</v>
      </c>
      <c r="E357" s="60">
        <v>16380</v>
      </c>
      <c r="F357" s="48" t="s">
        <v>11</v>
      </c>
      <c r="G357" s="14" t="s">
        <v>12</v>
      </c>
      <c r="H357" s="14" t="s">
        <v>2</v>
      </c>
      <c r="I357" s="60">
        <v>16380</v>
      </c>
      <c r="J357" s="60" t="s">
        <v>320</v>
      </c>
      <c r="K357" s="60">
        <v>182759</v>
      </c>
      <c r="L357" s="96" t="s">
        <v>295</v>
      </c>
      <c r="M357" s="62"/>
      <c r="N357" s="61">
        <v>76911</v>
      </c>
      <c r="O357" s="61">
        <v>86055</v>
      </c>
      <c r="P357" s="61"/>
      <c r="Q357" s="179" t="s">
        <v>323</v>
      </c>
      <c r="R357" s="351"/>
    </row>
    <row r="358" spans="3:18" s="59" customFormat="1" ht="20.9" hidden="1" customHeight="1" outlineLevel="2" x14ac:dyDescent="0.45">
      <c r="C358" s="117"/>
      <c r="D358" s="15" t="s">
        <v>60</v>
      </c>
      <c r="E358" s="60">
        <v>16220</v>
      </c>
      <c r="F358" s="48" t="s">
        <v>11</v>
      </c>
      <c r="G358" s="14" t="s">
        <v>12</v>
      </c>
      <c r="H358" s="14" t="s">
        <v>16</v>
      </c>
      <c r="I358" s="60">
        <v>16220</v>
      </c>
      <c r="J358" s="60" t="s">
        <v>326</v>
      </c>
      <c r="K358" s="60">
        <v>184944</v>
      </c>
      <c r="L358" s="61" t="s">
        <v>314</v>
      </c>
      <c r="M358" s="62"/>
      <c r="N358" s="61">
        <v>80457</v>
      </c>
      <c r="O358" s="61"/>
      <c r="P358" s="61"/>
      <c r="Q358" s="178" t="s">
        <v>324</v>
      </c>
      <c r="R358" s="350"/>
    </row>
    <row r="359" spans="3:18" s="59" customFormat="1" ht="20.9" hidden="1" customHeight="1" outlineLevel="2" x14ac:dyDescent="0.45">
      <c r="C359" s="117"/>
      <c r="D359" s="15" t="s">
        <v>65</v>
      </c>
      <c r="E359" s="60">
        <v>16310</v>
      </c>
      <c r="F359" s="48" t="s">
        <v>11</v>
      </c>
      <c r="G359" s="14" t="s">
        <v>12</v>
      </c>
      <c r="H359" s="14" t="s">
        <v>16</v>
      </c>
      <c r="I359" s="61"/>
      <c r="J359" s="60"/>
      <c r="K359" s="60">
        <v>185694</v>
      </c>
      <c r="L359" s="61" t="s">
        <v>314</v>
      </c>
      <c r="M359" s="62"/>
      <c r="N359" s="61">
        <v>79445</v>
      </c>
      <c r="O359" s="61"/>
      <c r="P359" s="61"/>
      <c r="Q359" s="178" t="s">
        <v>329</v>
      </c>
      <c r="R359" s="352"/>
    </row>
    <row r="360" spans="3:18" s="59" customFormat="1" ht="20.9" hidden="1" customHeight="1" outlineLevel="2" x14ac:dyDescent="0.45">
      <c r="C360" s="117"/>
      <c r="D360" s="15" t="s">
        <v>69</v>
      </c>
      <c r="E360" s="60">
        <v>16300</v>
      </c>
      <c r="F360" s="48" t="s">
        <v>11</v>
      </c>
      <c r="G360" s="14" t="s">
        <v>12</v>
      </c>
      <c r="H360" s="14" t="s">
        <v>16</v>
      </c>
      <c r="I360" s="61"/>
      <c r="J360" s="60"/>
      <c r="K360" s="60">
        <v>185707</v>
      </c>
      <c r="L360" s="61" t="s">
        <v>314</v>
      </c>
      <c r="M360" s="62"/>
      <c r="N360" s="61">
        <v>79945</v>
      </c>
      <c r="O360" s="61"/>
      <c r="P360" s="61"/>
      <c r="Q360" s="178" t="s">
        <v>331</v>
      </c>
      <c r="R360" s="350"/>
    </row>
    <row r="361" spans="3:18" s="59" customFormat="1" ht="20.9" hidden="1" customHeight="1" outlineLevel="2" x14ac:dyDescent="0.45">
      <c r="C361" s="117"/>
      <c r="D361" s="15" t="s">
        <v>66</v>
      </c>
      <c r="E361" s="60">
        <v>16250</v>
      </c>
      <c r="F361" s="48" t="s">
        <v>11</v>
      </c>
      <c r="G361" s="14" t="s">
        <v>12</v>
      </c>
      <c r="H361" s="14" t="s">
        <v>2</v>
      </c>
      <c r="I361" s="61"/>
      <c r="J361" s="60"/>
      <c r="K361" s="60"/>
      <c r="L361" s="61" t="s">
        <v>322</v>
      </c>
      <c r="M361" s="62"/>
      <c r="N361" s="134">
        <v>82754</v>
      </c>
      <c r="O361" s="62">
        <v>87265</v>
      </c>
      <c r="P361" s="62"/>
      <c r="Q361" s="178" t="s">
        <v>331</v>
      </c>
      <c r="R361" s="350"/>
    </row>
    <row r="362" spans="3:18" s="59" customFormat="1" ht="41.15" hidden="1" customHeight="1" outlineLevel="2" x14ac:dyDescent="0.45">
      <c r="C362" s="117"/>
      <c r="D362" s="15" t="s">
        <v>58</v>
      </c>
      <c r="E362" s="60">
        <v>16060</v>
      </c>
      <c r="F362" s="48" t="s">
        <v>11</v>
      </c>
      <c r="G362" s="14" t="s">
        <v>12</v>
      </c>
      <c r="H362" s="14" t="s">
        <v>16</v>
      </c>
      <c r="I362" s="61"/>
      <c r="J362" s="87" t="s">
        <v>330</v>
      </c>
      <c r="K362" s="60"/>
      <c r="L362" s="61" t="s">
        <v>322</v>
      </c>
      <c r="M362" s="62"/>
      <c r="N362" s="135">
        <v>82755</v>
      </c>
      <c r="O362" s="62">
        <v>87266</v>
      </c>
      <c r="P362" s="62"/>
      <c r="Q362" s="178" t="s">
        <v>331</v>
      </c>
      <c r="R362" s="350"/>
    </row>
    <row r="363" spans="3:18" s="59" customFormat="1" ht="20.9" hidden="1" customHeight="1" outlineLevel="2" x14ac:dyDescent="0.45">
      <c r="C363" s="117"/>
      <c r="D363" s="15" t="s">
        <v>67</v>
      </c>
      <c r="E363" s="60">
        <v>16300</v>
      </c>
      <c r="F363" s="48" t="s">
        <v>11</v>
      </c>
      <c r="G363" s="14" t="s">
        <v>12</v>
      </c>
      <c r="H363" s="14" t="s">
        <v>16</v>
      </c>
      <c r="I363" s="61"/>
      <c r="J363" s="60"/>
      <c r="K363" s="60">
        <v>187030</v>
      </c>
      <c r="L363" s="61" t="s">
        <v>318</v>
      </c>
      <c r="M363" s="62"/>
      <c r="N363" s="61">
        <v>83026</v>
      </c>
      <c r="O363" s="61"/>
      <c r="P363" s="61"/>
      <c r="Q363" s="178" t="s">
        <v>334</v>
      </c>
      <c r="R363" s="350"/>
    </row>
    <row r="364" spans="3:18" s="59" customFormat="1" ht="41.15" hidden="1" customHeight="1" outlineLevel="2" x14ac:dyDescent="0.45">
      <c r="C364" s="279"/>
      <c r="D364" s="26" t="s">
        <v>61</v>
      </c>
      <c r="E364" s="60">
        <v>16410</v>
      </c>
      <c r="F364" s="62" t="s">
        <v>11</v>
      </c>
      <c r="G364" s="14" t="s">
        <v>12</v>
      </c>
      <c r="H364" s="36" t="s">
        <v>2</v>
      </c>
      <c r="I364" s="61"/>
      <c r="J364" s="87" t="s">
        <v>333</v>
      </c>
      <c r="K364" s="60">
        <v>187030</v>
      </c>
      <c r="L364" s="61" t="s">
        <v>328</v>
      </c>
      <c r="M364" s="62"/>
      <c r="N364" s="119"/>
      <c r="O364" s="61"/>
      <c r="P364" s="61"/>
      <c r="Q364" s="178" t="s">
        <v>334</v>
      </c>
      <c r="R364" s="350"/>
    </row>
    <row r="365" spans="3:18" s="59" customFormat="1" ht="41.15" hidden="1" customHeight="1" outlineLevel="2" x14ac:dyDescent="0.45">
      <c r="C365" s="117"/>
      <c r="D365" s="15" t="s">
        <v>64</v>
      </c>
      <c r="E365" s="60">
        <v>16140</v>
      </c>
      <c r="F365" s="48" t="s">
        <v>11</v>
      </c>
      <c r="G365" s="14" t="s">
        <v>12</v>
      </c>
      <c r="H365" s="14" t="s">
        <v>16</v>
      </c>
      <c r="I365" s="61"/>
      <c r="J365" s="60" t="s">
        <v>340</v>
      </c>
      <c r="K365" s="60">
        <v>189945</v>
      </c>
      <c r="L365" s="61" t="s">
        <v>332</v>
      </c>
      <c r="M365" s="62"/>
      <c r="N365" s="61"/>
      <c r="O365" s="61"/>
      <c r="P365" s="61"/>
      <c r="Q365" s="178" t="s">
        <v>339</v>
      </c>
      <c r="R365" s="350"/>
    </row>
    <row r="366" spans="3:18" s="59" customFormat="1" ht="20.9" hidden="1" customHeight="1" outlineLevel="2" x14ac:dyDescent="0.45">
      <c r="C366" s="117"/>
      <c r="D366" s="15" t="s">
        <v>70</v>
      </c>
      <c r="E366" s="60">
        <v>16290</v>
      </c>
      <c r="F366" s="48" t="s">
        <v>11</v>
      </c>
      <c r="G366" s="14" t="s">
        <v>12</v>
      </c>
      <c r="H366" s="14" t="s">
        <v>16</v>
      </c>
      <c r="I366" s="61"/>
      <c r="J366" s="136">
        <v>45685</v>
      </c>
      <c r="K366" s="60">
        <v>190806</v>
      </c>
      <c r="L366" s="61" t="s">
        <v>318</v>
      </c>
      <c r="M366" s="62"/>
      <c r="N366" s="61">
        <v>83660</v>
      </c>
      <c r="O366" s="61"/>
      <c r="P366" s="61"/>
      <c r="Q366" s="178"/>
      <c r="R366" s="350"/>
    </row>
    <row r="367" spans="3:18" s="59" customFormat="1" ht="20.9" hidden="1" customHeight="1" outlineLevel="2" x14ac:dyDescent="0.45">
      <c r="C367" s="117"/>
      <c r="D367" s="15" t="s">
        <v>62</v>
      </c>
      <c r="E367" s="60">
        <v>16060</v>
      </c>
      <c r="F367" s="48" t="s">
        <v>11</v>
      </c>
      <c r="G367" s="14" t="s">
        <v>12</v>
      </c>
      <c r="H367" s="14" t="s">
        <v>16</v>
      </c>
      <c r="I367" s="61"/>
      <c r="J367" s="137">
        <v>45691</v>
      </c>
      <c r="K367" s="61">
        <v>191558</v>
      </c>
      <c r="L367" s="61" t="s">
        <v>332</v>
      </c>
      <c r="M367" s="62"/>
      <c r="N367" s="61"/>
      <c r="O367" s="61"/>
      <c r="P367" s="61"/>
      <c r="Q367" s="178"/>
      <c r="R367" s="350"/>
    </row>
    <row r="368" spans="3:18" s="59" customFormat="1" ht="33" hidden="1" customHeight="1" outlineLevel="2" x14ac:dyDescent="0.45">
      <c r="C368" s="117"/>
      <c r="D368" s="132" t="s">
        <v>60</v>
      </c>
      <c r="E368" s="132">
        <v>16110</v>
      </c>
      <c r="F368" s="48" t="s">
        <v>11</v>
      </c>
      <c r="G368" s="14" t="s">
        <v>12</v>
      </c>
      <c r="H368" s="14" t="s">
        <v>2</v>
      </c>
      <c r="I368" s="61"/>
      <c r="J368" s="87">
        <v>45699</v>
      </c>
      <c r="K368" s="60">
        <v>192063</v>
      </c>
      <c r="L368" s="61" t="s">
        <v>337</v>
      </c>
      <c r="M368" s="62"/>
      <c r="N368" s="61">
        <v>84793</v>
      </c>
      <c r="O368" s="61"/>
      <c r="P368" s="61"/>
      <c r="Q368" s="178"/>
      <c r="R368" s="350"/>
    </row>
    <row r="369" spans="3:18" s="59" customFormat="1" ht="45.75" hidden="1" customHeight="1" outlineLevel="2" x14ac:dyDescent="0.45">
      <c r="C369" s="117"/>
      <c r="D369" s="60" t="s">
        <v>67</v>
      </c>
      <c r="E369" s="60">
        <v>15860</v>
      </c>
      <c r="F369" s="48" t="s">
        <v>11</v>
      </c>
      <c r="G369" s="14" t="s">
        <v>12</v>
      </c>
      <c r="H369" s="14" t="s">
        <v>2</v>
      </c>
      <c r="I369" s="61"/>
      <c r="J369" s="137">
        <v>45701</v>
      </c>
      <c r="K369" s="60">
        <v>192255</v>
      </c>
      <c r="L369" s="61" t="s">
        <v>343</v>
      </c>
      <c r="M369" s="62"/>
      <c r="N369" s="61">
        <v>87264</v>
      </c>
      <c r="O369" s="61"/>
      <c r="P369" s="61"/>
      <c r="Q369" s="178"/>
      <c r="R369" s="350"/>
    </row>
    <row r="370" spans="3:18" s="59" customFormat="1" ht="34.5" hidden="1" customHeight="1" outlineLevel="2" x14ac:dyDescent="0.45">
      <c r="C370" s="117"/>
      <c r="D370" s="60" t="s">
        <v>65</v>
      </c>
      <c r="E370" s="60">
        <v>16290</v>
      </c>
      <c r="F370" s="48" t="s">
        <v>11</v>
      </c>
      <c r="G370" s="14" t="s">
        <v>12</v>
      </c>
      <c r="H370" s="14" t="s">
        <v>2</v>
      </c>
      <c r="I370" s="61"/>
      <c r="J370" s="60"/>
      <c r="K370" s="60"/>
      <c r="L370" s="61" t="s">
        <v>337</v>
      </c>
      <c r="M370" s="62"/>
      <c r="N370" s="61">
        <v>85190</v>
      </c>
      <c r="O370" s="61">
        <v>90014</v>
      </c>
      <c r="P370" s="61"/>
      <c r="Q370" s="178" t="s">
        <v>344</v>
      </c>
      <c r="R370" s="350"/>
    </row>
    <row r="371" spans="3:18" s="59" customFormat="1" ht="20.9" hidden="1" customHeight="1" outlineLevel="2" x14ac:dyDescent="0.45">
      <c r="C371" s="117"/>
      <c r="D371" s="60" t="s">
        <v>58</v>
      </c>
      <c r="E371" s="60">
        <v>16050</v>
      </c>
      <c r="F371" s="48" t="s">
        <v>11</v>
      </c>
      <c r="G371" s="14" t="s">
        <v>12</v>
      </c>
      <c r="H371" s="14" t="s">
        <v>2</v>
      </c>
      <c r="I371" s="61"/>
      <c r="J371" s="60" t="s">
        <v>345</v>
      </c>
      <c r="K371" s="60">
        <v>194099</v>
      </c>
      <c r="L371" s="61" t="s">
        <v>338</v>
      </c>
      <c r="M371" s="62"/>
      <c r="N371" s="61">
        <v>86821</v>
      </c>
      <c r="O371" s="61">
        <v>90263</v>
      </c>
      <c r="P371" s="61"/>
      <c r="Q371" s="178" t="s">
        <v>346</v>
      </c>
      <c r="R371" s="350"/>
    </row>
    <row r="372" spans="3:18" s="59" customFormat="1" ht="20.9" hidden="1" customHeight="1" outlineLevel="2" x14ac:dyDescent="0.45">
      <c r="C372" s="117"/>
      <c r="D372" s="60" t="s">
        <v>66</v>
      </c>
      <c r="E372" s="60">
        <v>16110</v>
      </c>
      <c r="F372" s="48" t="s">
        <v>11</v>
      </c>
      <c r="G372" s="14" t="s">
        <v>12</v>
      </c>
      <c r="H372" s="14" t="s">
        <v>2</v>
      </c>
      <c r="I372" s="61"/>
      <c r="J372" s="60"/>
      <c r="K372" s="60">
        <v>194099</v>
      </c>
      <c r="L372" s="61" t="s">
        <v>338</v>
      </c>
      <c r="M372" s="62"/>
      <c r="N372" s="61">
        <v>86055</v>
      </c>
      <c r="O372" s="61">
        <v>90264</v>
      </c>
      <c r="P372" s="61"/>
      <c r="Q372" s="178" t="s">
        <v>346</v>
      </c>
      <c r="R372" s="350"/>
    </row>
    <row r="373" spans="3:18" s="59" customFormat="1" ht="20.9" hidden="1" customHeight="1" outlineLevel="2" x14ac:dyDescent="0.45">
      <c r="C373" s="117"/>
      <c r="D373" s="60" t="s">
        <v>69</v>
      </c>
      <c r="E373" s="60">
        <v>16230</v>
      </c>
      <c r="F373" s="48" t="s">
        <v>11</v>
      </c>
      <c r="G373" s="14" t="s">
        <v>12</v>
      </c>
      <c r="H373" s="14" t="s">
        <v>2</v>
      </c>
      <c r="I373" s="61"/>
      <c r="J373" s="60"/>
      <c r="K373" s="60">
        <v>194851</v>
      </c>
      <c r="L373" s="61" t="s">
        <v>338</v>
      </c>
      <c r="M373" s="62"/>
      <c r="N373" s="61">
        <v>86054</v>
      </c>
      <c r="O373" s="61">
        <v>90566</v>
      </c>
      <c r="P373" s="61"/>
      <c r="Q373" s="178" t="s">
        <v>349</v>
      </c>
      <c r="R373" s="350"/>
    </row>
    <row r="374" spans="3:18" s="37" customFormat="1" ht="20.9" hidden="1" customHeight="1" collapsed="1" x14ac:dyDescent="0.45">
      <c r="C374" s="115"/>
      <c r="D374" s="24"/>
      <c r="E374" s="24"/>
      <c r="F374" s="48"/>
      <c r="G374" s="14"/>
      <c r="H374" s="14"/>
      <c r="I374" s="24"/>
      <c r="J374" s="138"/>
      <c r="K374" s="24"/>
      <c r="L374" s="14"/>
      <c r="M374" s="23"/>
      <c r="N374" s="14"/>
      <c r="O374" s="14"/>
      <c r="P374" s="14"/>
      <c r="Q374" s="168"/>
      <c r="R374" s="348"/>
    </row>
    <row r="375" spans="3:18" s="37" customFormat="1" ht="20.9" hidden="1" customHeight="1" x14ac:dyDescent="0.45">
      <c r="C375" s="115"/>
      <c r="D375" s="24"/>
      <c r="E375" s="24"/>
      <c r="F375" s="48"/>
      <c r="G375" s="14"/>
      <c r="H375" s="14"/>
      <c r="I375" s="24"/>
      <c r="J375" s="24"/>
      <c r="K375" s="24"/>
      <c r="L375" s="14"/>
      <c r="M375" s="23"/>
      <c r="N375" s="14"/>
      <c r="O375" s="14"/>
      <c r="P375" s="14"/>
      <c r="Q375" s="168"/>
      <c r="R375" s="348"/>
    </row>
    <row r="376" spans="3:18" s="37" customFormat="1" ht="20.9" hidden="1" customHeight="1" x14ac:dyDescent="0.45">
      <c r="C376" s="115"/>
      <c r="D376" s="24"/>
      <c r="E376" s="24"/>
      <c r="F376" s="48"/>
      <c r="G376" s="14"/>
      <c r="H376" s="14"/>
      <c r="I376" s="24"/>
      <c r="J376" s="24"/>
      <c r="K376" s="24"/>
      <c r="L376" s="14"/>
      <c r="M376" s="23"/>
      <c r="N376" s="14"/>
      <c r="O376" s="14"/>
      <c r="P376" s="14"/>
      <c r="Q376" s="168"/>
      <c r="R376" s="348"/>
    </row>
    <row r="377" spans="3:18" s="37" customFormat="1" ht="20.9" hidden="1" customHeight="1" x14ac:dyDescent="0.45">
      <c r="C377" s="115"/>
      <c r="D377" s="24"/>
      <c r="E377" s="24"/>
      <c r="F377" s="48"/>
      <c r="G377" s="14"/>
      <c r="H377" s="14"/>
      <c r="I377" s="24"/>
      <c r="J377" s="24"/>
      <c r="K377" s="24"/>
      <c r="L377" s="14"/>
      <c r="M377" s="23"/>
      <c r="N377" s="14"/>
      <c r="O377" s="14"/>
      <c r="P377" s="14"/>
      <c r="Q377" s="168"/>
      <c r="R377" s="348"/>
    </row>
    <row r="378" spans="3:18" s="59" customFormat="1" ht="20.9" hidden="1" customHeight="1" outlineLevel="1" x14ac:dyDescent="0.45">
      <c r="C378" s="117" t="s">
        <v>348</v>
      </c>
      <c r="D378" s="60" t="s">
        <v>62</v>
      </c>
      <c r="E378" s="60">
        <v>15900</v>
      </c>
      <c r="F378" s="48" t="s">
        <v>11</v>
      </c>
      <c r="G378" s="14" t="s">
        <v>12</v>
      </c>
      <c r="H378" s="14" t="s">
        <v>16</v>
      </c>
      <c r="I378" s="61"/>
      <c r="J378" s="60"/>
      <c r="K378" s="60">
        <v>197837</v>
      </c>
      <c r="L378" s="14" t="s">
        <v>347</v>
      </c>
      <c r="M378" s="62"/>
      <c r="N378" s="61">
        <v>87552</v>
      </c>
      <c r="O378" s="61">
        <v>91367</v>
      </c>
      <c r="P378" s="61"/>
      <c r="Q378" s="178" t="s">
        <v>350</v>
      </c>
      <c r="R378" s="350"/>
    </row>
    <row r="379" spans="3:18" s="59" customFormat="1" ht="20.9" hidden="1" customHeight="1" outlineLevel="1" x14ac:dyDescent="0.45">
      <c r="C379" s="117" t="s">
        <v>348</v>
      </c>
      <c r="D379" s="60" t="s">
        <v>70</v>
      </c>
      <c r="E379" s="60">
        <v>16070</v>
      </c>
      <c r="F379" s="48" t="s">
        <v>11</v>
      </c>
      <c r="G379" s="14" t="s">
        <v>12</v>
      </c>
      <c r="H379" s="14" t="s">
        <v>16</v>
      </c>
      <c r="I379" s="61"/>
      <c r="J379" s="60"/>
      <c r="K379" s="60">
        <v>197837</v>
      </c>
      <c r="L379" s="14" t="s">
        <v>347</v>
      </c>
      <c r="M379" s="62"/>
      <c r="N379" s="61">
        <v>87266</v>
      </c>
      <c r="O379" s="61">
        <v>91368</v>
      </c>
      <c r="P379" s="61"/>
      <c r="Q379" s="178" t="s">
        <v>350</v>
      </c>
      <c r="R379" s="350"/>
    </row>
    <row r="380" spans="3:18" s="59" customFormat="1" ht="20.9" hidden="1" customHeight="1" outlineLevel="1" x14ac:dyDescent="0.45">
      <c r="C380" s="117" t="s">
        <v>348</v>
      </c>
      <c r="D380" s="60" t="s">
        <v>67</v>
      </c>
      <c r="E380" s="60">
        <v>15750</v>
      </c>
      <c r="F380" s="48" t="s">
        <v>11</v>
      </c>
      <c r="G380" s="14" t="s">
        <v>12</v>
      </c>
      <c r="H380" s="14" t="s">
        <v>16</v>
      </c>
      <c r="I380" s="61"/>
      <c r="J380" s="60"/>
      <c r="K380" s="60">
        <v>197837</v>
      </c>
      <c r="L380" s="14" t="s">
        <v>347</v>
      </c>
      <c r="M380" s="62"/>
      <c r="N380" s="61">
        <v>87553</v>
      </c>
      <c r="O380" s="61">
        <v>91369</v>
      </c>
      <c r="P380" s="61"/>
      <c r="Q380" s="178" t="s">
        <v>350</v>
      </c>
      <c r="R380" s="350"/>
    </row>
    <row r="381" spans="3:18" s="59" customFormat="1" ht="47.15" hidden="1" customHeight="1" outlineLevel="1" x14ac:dyDescent="0.45">
      <c r="C381" s="117" t="s">
        <v>348</v>
      </c>
      <c r="D381" s="60" t="s">
        <v>60</v>
      </c>
      <c r="E381" s="60">
        <v>16170</v>
      </c>
      <c r="F381" s="48" t="s">
        <v>11</v>
      </c>
      <c r="G381" s="14" t="s">
        <v>12</v>
      </c>
      <c r="H381" s="14" t="s">
        <v>16</v>
      </c>
      <c r="I381" s="61"/>
      <c r="J381" s="60" t="s">
        <v>351</v>
      </c>
      <c r="K381" s="60"/>
      <c r="L381" s="14" t="s">
        <v>347</v>
      </c>
      <c r="M381" s="62"/>
      <c r="N381" s="61">
        <v>88705</v>
      </c>
      <c r="O381" s="61">
        <v>91370</v>
      </c>
      <c r="P381" s="61"/>
      <c r="Q381" s="178" t="s">
        <v>350</v>
      </c>
      <c r="R381" s="350"/>
    </row>
    <row r="382" spans="3:18" s="59" customFormat="1" ht="20.9" hidden="1" customHeight="1" collapsed="1" x14ac:dyDescent="0.45">
      <c r="C382" s="117" t="s">
        <v>348</v>
      </c>
      <c r="D382" s="60" t="s">
        <v>65</v>
      </c>
      <c r="E382" s="60">
        <v>16410</v>
      </c>
      <c r="F382" s="48" t="s">
        <v>11</v>
      </c>
      <c r="G382" s="14" t="s">
        <v>12</v>
      </c>
      <c r="H382" s="36" t="s">
        <v>34</v>
      </c>
      <c r="I382" s="61">
        <v>16410</v>
      </c>
      <c r="J382" s="60"/>
      <c r="K382" s="60">
        <v>198423</v>
      </c>
      <c r="L382" s="14" t="s">
        <v>352</v>
      </c>
      <c r="M382" s="62"/>
      <c r="N382" s="60">
        <v>89693</v>
      </c>
      <c r="O382" s="61">
        <v>91970</v>
      </c>
      <c r="P382" s="61"/>
      <c r="Q382" s="178" t="s">
        <v>353</v>
      </c>
      <c r="R382" s="350"/>
    </row>
    <row r="383" spans="3:18" s="59" customFormat="1" ht="20.9" hidden="1" customHeight="1" x14ac:dyDescent="0.45">
      <c r="C383" s="117" t="s">
        <v>348</v>
      </c>
      <c r="D383" s="60" t="s">
        <v>69</v>
      </c>
      <c r="E383" s="61">
        <v>16010</v>
      </c>
      <c r="F383" s="48" t="s">
        <v>11</v>
      </c>
      <c r="G383" s="14" t="s">
        <v>12</v>
      </c>
      <c r="H383" s="36" t="s">
        <v>2</v>
      </c>
      <c r="I383" s="60">
        <v>16010</v>
      </c>
      <c r="J383" s="60"/>
      <c r="K383" s="60">
        <v>201760</v>
      </c>
      <c r="L383" s="14" t="s">
        <v>352</v>
      </c>
      <c r="M383" s="62"/>
      <c r="N383" s="60">
        <v>90263</v>
      </c>
      <c r="O383" s="61"/>
      <c r="P383" s="61"/>
      <c r="Q383" s="178" t="s">
        <v>356</v>
      </c>
      <c r="R383" s="350"/>
    </row>
    <row r="384" spans="3:18" s="59" customFormat="1" ht="20.9" hidden="1" customHeight="1" x14ac:dyDescent="0.45">
      <c r="C384" s="117" t="s">
        <v>348</v>
      </c>
      <c r="D384" s="60" t="s">
        <v>61</v>
      </c>
      <c r="E384" s="61">
        <v>16270</v>
      </c>
      <c r="F384" s="48" t="s">
        <v>11</v>
      </c>
      <c r="G384" s="14" t="s">
        <v>12</v>
      </c>
      <c r="H384" s="36" t="s">
        <v>2</v>
      </c>
      <c r="I384" s="60">
        <v>16270</v>
      </c>
      <c r="J384" s="60"/>
      <c r="K384" s="60">
        <v>201760</v>
      </c>
      <c r="L384" s="14" t="s">
        <v>354</v>
      </c>
      <c r="M384" s="62"/>
      <c r="N384" s="60">
        <v>90264</v>
      </c>
      <c r="O384" s="61"/>
      <c r="P384" s="61"/>
      <c r="Q384" s="178" t="s">
        <v>356</v>
      </c>
      <c r="R384" s="350"/>
    </row>
    <row r="385" spans="1:20" ht="41.15" hidden="1" customHeight="1" outlineLevel="1" x14ac:dyDescent="0.45">
      <c r="C385" s="188" t="s">
        <v>348</v>
      </c>
      <c r="D385" s="18" t="s">
        <v>58</v>
      </c>
      <c r="E385" s="18">
        <v>16220</v>
      </c>
      <c r="F385" s="25" t="s">
        <v>11</v>
      </c>
      <c r="G385" s="22" t="s">
        <v>12</v>
      </c>
      <c r="H385" s="66" t="s">
        <v>34</v>
      </c>
      <c r="I385" s="16"/>
      <c r="J385" s="18" t="s">
        <v>359</v>
      </c>
      <c r="K385" s="18" t="s">
        <v>360</v>
      </c>
      <c r="L385" s="22" t="s">
        <v>352</v>
      </c>
      <c r="M385" s="17"/>
      <c r="N385" s="18">
        <v>90014</v>
      </c>
      <c r="O385" s="16"/>
      <c r="P385" s="16"/>
      <c r="Q385" s="181"/>
      <c r="R385" s="343"/>
    </row>
    <row r="386" spans="1:20" ht="20.9" hidden="1" customHeight="1" outlineLevel="1" x14ac:dyDescent="0.45">
      <c r="C386" s="188" t="s">
        <v>348</v>
      </c>
      <c r="D386" s="60" t="s">
        <v>64</v>
      </c>
      <c r="E386" s="60">
        <v>16190</v>
      </c>
      <c r="F386" s="48" t="s">
        <v>11</v>
      </c>
      <c r="G386" s="14" t="s">
        <v>12</v>
      </c>
      <c r="H386" s="36" t="s">
        <v>34</v>
      </c>
      <c r="I386" s="61"/>
      <c r="J386" s="60"/>
      <c r="K386" s="60">
        <v>205835</v>
      </c>
      <c r="L386" s="14" t="s">
        <v>354</v>
      </c>
      <c r="M386" s="17"/>
      <c r="N386" s="60">
        <v>90566</v>
      </c>
      <c r="O386" s="61">
        <v>93867</v>
      </c>
      <c r="P386" s="61"/>
      <c r="Q386" s="178" t="s">
        <v>365</v>
      </c>
      <c r="R386" s="350"/>
    </row>
    <row r="387" spans="1:20" ht="20.9" hidden="1" customHeight="1" collapsed="1" x14ac:dyDescent="0.45">
      <c r="A387" s="59"/>
      <c r="B387" s="59"/>
      <c r="C387" s="117"/>
      <c r="D387" s="22" t="s">
        <v>60</v>
      </c>
      <c r="E387" s="61">
        <v>16190</v>
      </c>
      <c r="F387" s="48" t="s">
        <v>11</v>
      </c>
      <c r="G387" s="14" t="s">
        <v>12</v>
      </c>
      <c r="H387" s="36" t="s">
        <v>2</v>
      </c>
      <c r="I387" s="60"/>
      <c r="J387" s="60"/>
      <c r="K387" s="60">
        <v>208150</v>
      </c>
      <c r="L387" s="14" t="s">
        <v>355</v>
      </c>
      <c r="M387" s="62"/>
      <c r="N387" s="60">
        <v>90979</v>
      </c>
      <c r="O387" s="61">
        <v>95554</v>
      </c>
      <c r="P387" s="61"/>
      <c r="Q387" s="178" t="s">
        <v>372</v>
      </c>
      <c r="R387" s="350"/>
      <c r="S387" s="59"/>
    </row>
    <row r="388" spans="1:20" ht="20.9" hidden="1" customHeight="1" outlineLevel="1" x14ac:dyDescent="0.45">
      <c r="C388" s="188"/>
      <c r="D388" s="14" t="s">
        <v>70</v>
      </c>
      <c r="E388" s="61">
        <v>16320</v>
      </c>
      <c r="F388" s="48" t="s">
        <v>11</v>
      </c>
      <c r="G388" s="14" t="s">
        <v>12</v>
      </c>
      <c r="H388" s="36" t="s">
        <v>2</v>
      </c>
      <c r="I388" s="60"/>
      <c r="J388" s="60"/>
      <c r="K388" s="60">
        <v>211451</v>
      </c>
      <c r="L388" s="14" t="s">
        <v>355</v>
      </c>
      <c r="M388" s="17"/>
      <c r="N388" s="60">
        <v>91369</v>
      </c>
      <c r="O388" s="61">
        <v>96524</v>
      </c>
      <c r="P388" s="61"/>
      <c r="Q388" s="168" t="s">
        <v>374</v>
      </c>
      <c r="R388" s="348"/>
    </row>
    <row r="389" spans="1:20" hidden="1" outlineLevel="1" collapsed="1" x14ac:dyDescent="0.45">
      <c r="A389" s="59"/>
      <c r="B389" s="59"/>
      <c r="C389" s="117"/>
      <c r="D389" s="14" t="s">
        <v>62</v>
      </c>
      <c r="E389" s="61">
        <v>16400</v>
      </c>
      <c r="F389" s="48" t="s">
        <v>11</v>
      </c>
      <c r="G389" s="14" t="s">
        <v>12</v>
      </c>
      <c r="H389" s="36" t="s">
        <v>34</v>
      </c>
      <c r="I389" s="60"/>
      <c r="J389" s="60"/>
      <c r="K389" s="60">
        <v>213478</v>
      </c>
      <c r="L389" s="14" t="s">
        <v>355</v>
      </c>
      <c r="M389" s="62"/>
      <c r="N389" s="60">
        <v>91367</v>
      </c>
      <c r="O389" s="61">
        <v>97665</v>
      </c>
      <c r="P389" s="61"/>
      <c r="Q389" s="178" t="s">
        <v>387</v>
      </c>
      <c r="R389" s="350"/>
      <c r="S389" s="59"/>
    </row>
    <row r="390" spans="1:20" hidden="1" outlineLevel="1" x14ac:dyDescent="0.45">
      <c r="C390" s="188" t="s">
        <v>348</v>
      </c>
      <c r="D390" s="14" t="s">
        <v>61</v>
      </c>
      <c r="E390" s="60">
        <v>16380</v>
      </c>
      <c r="F390" s="48" t="s">
        <v>11</v>
      </c>
      <c r="G390" s="14" t="s">
        <v>12</v>
      </c>
      <c r="H390" s="36" t="s">
        <v>34</v>
      </c>
      <c r="I390" s="61"/>
      <c r="J390" s="60"/>
      <c r="K390" s="60">
        <v>213645</v>
      </c>
      <c r="L390" s="14" t="s">
        <v>364</v>
      </c>
      <c r="M390" s="17"/>
      <c r="N390" s="60">
        <v>91621</v>
      </c>
      <c r="O390" s="61">
        <v>97666</v>
      </c>
      <c r="P390" s="61"/>
      <c r="Q390" s="178" t="s">
        <v>387</v>
      </c>
      <c r="R390" s="350"/>
    </row>
    <row r="391" spans="1:20" hidden="1" collapsed="1" x14ac:dyDescent="0.45">
      <c r="A391" s="59"/>
      <c r="B391" s="59"/>
      <c r="C391" s="117" t="s">
        <v>348</v>
      </c>
      <c r="D391" s="14" t="s">
        <v>65</v>
      </c>
      <c r="E391" s="60">
        <v>16440</v>
      </c>
      <c r="F391" s="48" t="s">
        <v>11</v>
      </c>
      <c r="G391" s="14" t="s">
        <v>12</v>
      </c>
      <c r="H391" s="36" t="s">
        <v>34</v>
      </c>
      <c r="I391" s="61"/>
      <c r="J391" s="60"/>
      <c r="K391" s="60">
        <v>213873</v>
      </c>
      <c r="L391" s="14" t="s">
        <v>358</v>
      </c>
      <c r="M391" s="62"/>
      <c r="N391" s="60">
        <v>91370</v>
      </c>
      <c r="O391" s="61">
        <v>97667</v>
      </c>
      <c r="P391" s="61"/>
      <c r="Q391" s="178" t="s">
        <v>387</v>
      </c>
      <c r="R391" s="350"/>
      <c r="S391" s="59"/>
    </row>
    <row r="392" spans="1:20" ht="21" hidden="1" x14ac:dyDescent="0.5">
      <c r="A392" s="59"/>
      <c r="B392" s="59"/>
      <c r="C392" s="117"/>
      <c r="D392" s="14" t="s">
        <v>66</v>
      </c>
      <c r="E392" s="60">
        <v>16200</v>
      </c>
      <c r="F392" s="48" t="s">
        <v>11</v>
      </c>
      <c r="G392" s="14" t="s">
        <v>12</v>
      </c>
      <c r="H392" s="36" t="s">
        <v>16</v>
      </c>
      <c r="I392" s="61"/>
      <c r="J392" s="60" t="s">
        <v>381</v>
      </c>
      <c r="K392" s="60">
        <v>214624</v>
      </c>
      <c r="L392" s="14" t="s">
        <v>357</v>
      </c>
      <c r="M392" s="62"/>
      <c r="N392" s="60">
        <v>91368</v>
      </c>
      <c r="O392" s="61"/>
      <c r="P392" s="61"/>
      <c r="Q392" s="180" t="s">
        <v>394</v>
      </c>
      <c r="R392" s="338"/>
      <c r="S392" s="59"/>
    </row>
    <row r="393" spans="1:20" hidden="1" outlineLevel="1" x14ac:dyDescent="0.45">
      <c r="C393" s="188" t="s">
        <v>371</v>
      </c>
      <c r="D393" s="14" t="s">
        <v>69</v>
      </c>
      <c r="E393" s="60">
        <v>16200</v>
      </c>
      <c r="F393" s="48" t="s">
        <v>11</v>
      </c>
      <c r="G393" s="14" t="s">
        <v>12</v>
      </c>
      <c r="H393" s="36" t="s">
        <v>16</v>
      </c>
      <c r="I393" s="61"/>
      <c r="J393" s="87">
        <v>46028</v>
      </c>
      <c r="K393" s="60">
        <v>215183</v>
      </c>
      <c r="L393" s="14" t="s">
        <v>369</v>
      </c>
      <c r="M393" s="62"/>
      <c r="N393" s="60">
        <v>91970</v>
      </c>
      <c r="O393" s="61"/>
      <c r="P393" s="61"/>
      <c r="Q393" s="181"/>
      <c r="R393" s="350"/>
    </row>
    <row r="394" spans="1:20" hidden="1" outlineLevel="1" x14ac:dyDescent="0.45">
      <c r="C394" s="188" t="s">
        <v>371</v>
      </c>
      <c r="D394" s="14" t="s">
        <v>60</v>
      </c>
      <c r="E394" s="60">
        <v>16070</v>
      </c>
      <c r="F394" s="48" t="s">
        <v>11</v>
      </c>
      <c r="G394" s="14" t="s">
        <v>12</v>
      </c>
      <c r="H394" s="36" t="s">
        <v>2</v>
      </c>
      <c r="I394" s="61"/>
      <c r="J394" s="87">
        <v>46049</v>
      </c>
      <c r="K394" s="60">
        <v>215544</v>
      </c>
      <c r="L394" s="14" t="s">
        <v>384</v>
      </c>
      <c r="M394" s="62"/>
      <c r="N394" s="23">
        <v>93867</v>
      </c>
      <c r="O394" s="61"/>
      <c r="P394" s="61"/>
      <c r="Q394" s="178"/>
      <c r="R394" s="350"/>
    </row>
    <row r="395" spans="1:20" hidden="1" outlineLevel="1" x14ac:dyDescent="0.45">
      <c r="C395" s="188" t="s">
        <v>371</v>
      </c>
      <c r="D395" s="14" t="s">
        <v>70</v>
      </c>
      <c r="E395" s="60">
        <v>16040</v>
      </c>
      <c r="F395" s="48" t="s">
        <v>11</v>
      </c>
      <c r="G395" s="14" t="s">
        <v>12</v>
      </c>
      <c r="H395" s="36" t="s">
        <v>2</v>
      </c>
      <c r="I395" s="61"/>
      <c r="J395" s="133">
        <v>46066</v>
      </c>
      <c r="K395" s="60">
        <v>216015</v>
      </c>
      <c r="L395" s="14" t="s">
        <v>386</v>
      </c>
      <c r="M395" s="62"/>
      <c r="N395" s="23">
        <v>95554</v>
      </c>
      <c r="O395" s="61"/>
      <c r="P395" s="61"/>
      <c r="Q395" s="168" t="s">
        <v>426</v>
      </c>
      <c r="R395" s="350"/>
    </row>
    <row r="396" spans="1:20" hidden="1" outlineLevel="1" x14ac:dyDescent="0.45">
      <c r="C396" s="188" t="s">
        <v>371</v>
      </c>
      <c r="D396" s="14" t="s">
        <v>64</v>
      </c>
      <c r="E396" s="60">
        <v>16400</v>
      </c>
      <c r="F396" s="48" t="s">
        <v>11</v>
      </c>
      <c r="G396" s="14" t="s">
        <v>12</v>
      </c>
      <c r="H396" s="36" t="s">
        <v>34</v>
      </c>
      <c r="I396" s="61"/>
      <c r="J396" s="133">
        <v>46080</v>
      </c>
      <c r="K396" s="60">
        <v>216410</v>
      </c>
      <c r="L396" s="14" t="s">
        <v>370</v>
      </c>
      <c r="M396" s="62"/>
      <c r="N396" s="60">
        <v>92715</v>
      </c>
      <c r="O396" s="61">
        <v>99444</v>
      </c>
      <c r="P396" s="61"/>
      <c r="Q396" s="178" t="s">
        <v>442</v>
      </c>
      <c r="R396" s="151">
        <v>46099</v>
      </c>
    </row>
    <row r="397" spans="1:20" collapsed="1" x14ac:dyDescent="0.45">
      <c r="A397" s="59"/>
      <c r="B397" s="59"/>
      <c r="C397" s="117" t="s">
        <v>371</v>
      </c>
      <c r="D397" s="72" t="s">
        <v>58</v>
      </c>
      <c r="E397" s="60">
        <v>16020</v>
      </c>
      <c r="F397" s="48" t="s">
        <v>11</v>
      </c>
      <c r="G397" s="14" t="s">
        <v>12</v>
      </c>
      <c r="H397" s="36" t="s">
        <v>34</v>
      </c>
      <c r="I397" s="61"/>
      <c r="J397" s="87">
        <v>46130</v>
      </c>
      <c r="K397" s="60"/>
      <c r="L397" s="14" t="s">
        <v>382</v>
      </c>
      <c r="M397" s="62"/>
      <c r="N397" s="60">
        <v>92716</v>
      </c>
      <c r="O397" s="148">
        <v>100527</v>
      </c>
      <c r="P397" s="148"/>
      <c r="Q397" s="146" t="s">
        <v>509</v>
      </c>
      <c r="R397" s="151">
        <v>46163</v>
      </c>
      <c r="S397" s="290" t="s">
        <v>389</v>
      </c>
      <c r="T397" s="59" t="str">
        <f>+S397&amp;D397</f>
        <v>REFILL NEW ISOTANK :SCZU8741450</v>
      </c>
    </row>
    <row r="398" spans="1:20" x14ac:dyDescent="0.45">
      <c r="C398" s="188" t="s">
        <v>371</v>
      </c>
      <c r="D398" s="198" t="s">
        <v>67</v>
      </c>
      <c r="E398" s="16">
        <v>16180</v>
      </c>
      <c r="F398" s="25" t="s">
        <v>11</v>
      </c>
      <c r="G398" s="22" t="s">
        <v>12</v>
      </c>
      <c r="H398" s="36" t="s">
        <v>34</v>
      </c>
      <c r="I398" s="18"/>
      <c r="J398" s="313">
        <v>46112</v>
      </c>
      <c r="K398" s="18">
        <v>217182</v>
      </c>
      <c r="L398" s="22" t="s">
        <v>355</v>
      </c>
      <c r="M398" s="17"/>
      <c r="N398" s="18">
        <v>90846</v>
      </c>
      <c r="O398" s="16">
        <v>100528</v>
      </c>
      <c r="P398" s="16"/>
      <c r="Q398" s="146" t="s">
        <v>509</v>
      </c>
      <c r="R398" s="151">
        <v>46163</v>
      </c>
      <c r="S398" s="290" t="s">
        <v>389</v>
      </c>
      <c r="T398" s="59" t="str">
        <f t="shared" ref="T398:T415" si="22">+S398&amp;D398</f>
        <v>REFILL NEW ISOTANK :SCZU8736284</v>
      </c>
    </row>
    <row r="399" spans="1:20" hidden="1" outlineLevel="1" x14ac:dyDescent="0.45">
      <c r="C399" s="188" t="s">
        <v>371</v>
      </c>
      <c r="D399" s="14" t="s">
        <v>61</v>
      </c>
      <c r="E399" s="60">
        <v>16140</v>
      </c>
      <c r="F399" s="48" t="s">
        <v>11</v>
      </c>
      <c r="G399" s="14" t="s">
        <v>12</v>
      </c>
      <c r="H399" s="36" t="s">
        <v>34</v>
      </c>
      <c r="I399" s="59"/>
      <c r="J399" s="133">
        <v>45745</v>
      </c>
      <c r="K399" s="61">
        <v>217121</v>
      </c>
      <c r="L399" s="23" t="s">
        <v>429</v>
      </c>
      <c r="M399" s="152"/>
      <c r="N399" s="60">
        <v>96524</v>
      </c>
      <c r="O399" s="61">
        <v>100569</v>
      </c>
      <c r="P399" s="61"/>
      <c r="Q399" s="181" t="s">
        <v>510</v>
      </c>
      <c r="R399" s="151">
        <v>46182</v>
      </c>
      <c r="S399" s="290" t="s">
        <v>389</v>
      </c>
      <c r="T399" s="59" t="str">
        <f t="shared" si="22"/>
        <v>REFILL NEW ISOTANK :SCZU8762811</v>
      </c>
    </row>
    <row r="400" spans="1:20" collapsed="1" x14ac:dyDescent="0.45">
      <c r="C400" s="188" t="s">
        <v>371</v>
      </c>
      <c r="D400" s="196" t="s">
        <v>60</v>
      </c>
      <c r="E400" s="18">
        <v>16070</v>
      </c>
      <c r="F400" s="25" t="s">
        <v>11</v>
      </c>
      <c r="G400" s="22" t="s">
        <v>12</v>
      </c>
      <c r="H400" s="36" t="s">
        <v>34</v>
      </c>
      <c r="I400" s="16"/>
      <c r="J400" s="313">
        <v>46142</v>
      </c>
      <c r="K400" s="18">
        <v>218141</v>
      </c>
      <c r="L400" s="129" t="s">
        <v>430</v>
      </c>
      <c r="M400" s="151"/>
      <c r="N400" s="18">
        <v>98459</v>
      </c>
      <c r="O400" s="16">
        <v>100570</v>
      </c>
      <c r="P400" s="16"/>
      <c r="Q400" s="181" t="s">
        <v>510</v>
      </c>
      <c r="R400" s="151">
        <v>46182</v>
      </c>
      <c r="S400" s="290" t="s">
        <v>389</v>
      </c>
      <c r="T400" s="59" t="str">
        <f t="shared" si="22"/>
        <v>REFILL NEW ISOTANK :SCZU8718275</v>
      </c>
    </row>
    <row r="401" spans="3:20" x14ac:dyDescent="0.45">
      <c r="C401" s="188" t="s">
        <v>371</v>
      </c>
      <c r="D401" s="198" t="s">
        <v>65</v>
      </c>
      <c r="E401" s="18">
        <v>16310</v>
      </c>
      <c r="F401" s="25" t="s">
        <v>11</v>
      </c>
      <c r="G401" s="22" t="s">
        <v>12</v>
      </c>
      <c r="H401" s="36" t="s">
        <v>34</v>
      </c>
      <c r="I401" s="16"/>
      <c r="J401" s="313">
        <v>46152</v>
      </c>
      <c r="K401" s="18">
        <v>218444</v>
      </c>
      <c r="L401" s="129" t="s">
        <v>429</v>
      </c>
      <c r="M401" s="151"/>
      <c r="N401" s="18">
        <v>97666</v>
      </c>
      <c r="O401" s="16">
        <v>100571</v>
      </c>
      <c r="P401" s="16"/>
      <c r="Q401" s="181" t="s">
        <v>510</v>
      </c>
      <c r="R401" s="151">
        <v>46182</v>
      </c>
      <c r="S401" s="290" t="s">
        <v>389</v>
      </c>
      <c r="T401" s="59" t="str">
        <f t="shared" si="22"/>
        <v>REFILL NEW ISOTANK :SCZU8756362</v>
      </c>
    </row>
    <row r="402" spans="3:20" ht="21" x14ac:dyDescent="0.5">
      <c r="C402" s="188" t="s">
        <v>371</v>
      </c>
      <c r="D402" s="198" t="s">
        <v>64</v>
      </c>
      <c r="E402" s="18">
        <v>16160</v>
      </c>
      <c r="F402" s="25" t="s">
        <v>11</v>
      </c>
      <c r="G402" s="212" t="s">
        <v>12</v>
      </c>
      <c r="H402" s="66" t="s">
        <v>16</v>
      </c>
      <c r="I402" s="16"/>
      <c r="J402" s="18"/>
      <c r="K402" s="18">
        <v>219044</v>
      </c>
      <c r="L402" s="129" t="s">
        <v>447</v>
      </c>
      <c r="M402" s="151"/>
      <c r="N402" s="18">
        <v>99444</v>
      </c>
      <c r="O402" s="16">
        <v>100771</v>
      </c>
      <c r="P402" s="16"/>
      <c r="Q402" s="289" t="s">
        <v>518</v>
      </c>
      <c r="R402" s="151"/>
      <c r="S402" s="290" t="s">
        <v>389</v>
      </c>
      <c r="T402" s="59" t="str">
        <f t="shared" si="22"/>
        <v>REFILL NEW ISOTANK :SCZU8762792</v>
      </c>
    </row>
    <row r="403" spans="3:20" x14ac:dyDescent="0.45">
      <c r="C403" s="188" t="s">
        <v>371</v>
      </c>
      <c r="D403" s="198" t="s">
        <v>66</v>
      </c>
      <c r="E403" s="18">
        <v>16430</v>
      </c>
      <c r="F403" s="25" t="s">
        <v>11</v>
      </c>
      <c r="G403" s="22" t="s">
        <v>29</v>
      </c>
      <c r="H403" s="66" t="s">
        <v>2</v>
      </c>
      <c r="I403" s="16"/>
      <c r="J403" s="18"/>
      <c r="K403" s="18"/>
      <c r="L403" s="129" t="s">
        <v>429</v>
      </c>
      <c r="M403" s="151"/>
      <c r="N403" s="18">
        <v>97665</v>
      </c>
      <c r="O403" s="16"/>
      <c r="P403" s="16"/>
      <c r="Q403" s="181"/>
      <c r="R403" s="151"/>
      <c r="S403" s="290" t="s">
        <v>389</v>
      </c>
      <c r="T403" s="59" t="str">
        <f t="shared" si="22"/>
        <v>REFILL NEW ISOTANK :SCZU8762874</v>
      </c>
    </row>
    <row r="404" spans="3:20" x14ac:dyDescent="0.45">
      <c r="C404" s="188" t="s">
        <v>371</v>
      </c>
      <c r="D404" s="198" t="s">
        <v>62</v>
      </c>
      <c r="E404" s="18">
        <v>16460</v>
      </c>
      <c r="F404" s="25" t="s">
        <v>11</v>
      </c>
      <c r="G404" s="22" t="s">
        <v>12</v>
      </c>
      <c r="H404" s="66" t="s">
        <v>2</v>
      </c>
      <c r="I404" s="16"/>
      <c r="J404" s="18" t="s">
        <v>581</v>
      </c>
      <c r="K404" s="18">
        <v>220173</v>
      </c>
      <c r="L404" s="129" t="s">
        <v>429</v>
      </c>
      <c r="M404" s="151"/>
      <c r="N404" s="18">
        <v>97667</v>
      </c>
      <c r="O404" s="16"/>
      <c r="P404" s="16"/>
      <c r="Q404" s="181"/>
      <c r="R404" s="151"/>
      <c r="T404" s="59" t="str">
        <f t="shared" si="22"/>
        <v>SCZU8756418</v>
      </c>
    </row>
    <row r="405" spans="3:20" x14ac:dyDescent="0.45">
      <c r="C405" s="188" t="s">
        <v>371</v>
      </c>
      <c r="D405" s="198" t="s">
        <v>69</v>
      </c>
      <c r="E405" s="18">
        <v>16340</v>
      </c>
      <c r="F405" s="25" t="s">
        <v>11</v>
      </c>
      <c r="G405" s="22" t="s">
        <v>29</v>
      </c>
      <c r="H405" s="66" t="s">
        <v>16</v>
      </c>
      <c r="I405" s="16"/>
      <c r="J405" s="18"/>
      <c r="K405" s="18"/>
      <c r="L405" s="129" t="s">
        <v>429</v>
      </c>
      <c r="M405" s="151"/>
      <c r="N405" s="18">
        <v>98330</v>
      </c>
      <c r="O405" s="16"/>
      <c r="P405" s="16"/>
      <c r="Q405" s="181"/>
      <c r="R405" s="151"/>
      <c r="T405" s="59" t="str">
        <f t="shared" si="22"/>
        <v>SCZU8735734</v>
      </c>
    </row>
    <row r="406" spans="3:20" x14ac:dyDescent="0.45">
      <c r="C406" s="188" t="s">
        <v>371</v>
      </c>
      <c r="D406" s="198" t="s">
        <v>70</v>
      </c>
      <c r="E406" s="18">
        <v>16300</v>
      </c>
      <c r="F406" s="25" t="s">
        <v>11</v>
      </c>
      <c r="G406" s="22" t="s">
        <v>12</v>
      </c>
      <c r="H406" s="66" t="s">
        <v>2</v>
      </c>
      <c r="I406" s="16"/>
      <c r="J406" s="18" t="s">
        <v>580</v>
      </c>
      <c r="K406" s="18"/>
      <c r="L406" s="129" t="s">
        <v>438</v>
      </c>
      <c r="M406" s="151"/>
      <c r="N406" s="18">
        <v>98869</v>
      </c>
      <c r="O406" s="16"/>
      <c r="P406" s="16"/>
      <c r="Q406" s="181"/>
      <c r="R406" s="151"/>
      <c r="T406" s="59" t="str">
        <f t="shared" ref="T406:T407" si="23">+S406&amp;D406</f>
        <v>SCZU8756280</v>
      </c>
    </row>
    <row r="407" spans="3:20" x14ac:dyDescent="0.45">
      <c r="C407" s="188" t="s">
        <v>371</v>
      </c>
      <c r="D407" s="198" t="s">
        <v>67</v>
      </c>
      <c r="E407" s="18">
        <v>16130</v>
      </c>
      <c r="F407" s="25" t="s">
        <v>11</v>
      </c>
      <c r="G407" s="22" t="s">
        <v>29</v>
      </c>
      <c r="H407" s="66" t="s">
        <v>535</v>
      </c>
      <c r="I407" s="16"/>
      <c r="J407" s="18"/>
      <c r="K407" s="18"/>
      <c r="L407" s="129" t="s">
        <v>566</v>
      </c>
      <c r="M407" s="151"/>
      <c r="N407" s="18">
        <v>100527</v>
      </c>
      <c r="O407" s="16"/>
      <c r="P407" s="16"/>
      <c r="Q407" s="181"/>
      <c r="R407" s="151"/>
      <c r="T407" s="59" t="str">
        <f t="shared" si="23"/>
        <v>SCZU8736284</v>
      </c>
    </row>
    <row r="408" spans="3:20" x14ac:dyDescent="0.45">
      <c r="C408" s="188" t="s">
        <v>371</v>
      </c>
      <c r="D408" s="198" t="s">
        <v>58</v>
      </c>
      <c r="E408" s="18">
        <v>16200</v>
      </c>
      <c r="F408" s="25" t="s">
        <v>11</v>
      </c>
      <c r="G408" s="22" t="s">
        <v>29</v>
      </c>
      <c r="H408" s="66" t="s">
        <v>535</v>
      </c>
      <c r="I408" s="16"/>
      <c r="J408" s="18"/>
      <c r="K408" s="18"/>
      <c r="L408" s="129" t="s">
        <v>566</v>
      </c>
      <c r="M408" s="151"/>
      <c r="N408" s="18">
        <v>100528</v>
      </c>
      <c r="O408" s="16"/>
      <c r="P408" s="16"/>
      <c r="Q408" s="181"/>
      <c r="R408" s="151"/>
      <c r="T408" s="59" t="str">
        <f t="shared" si="22"/>
        <v>SCZU8741450</v>
      </c>
    </row>
    <row r="409" spans="3:20" ht="40" x14ac:dyDescent="0.45">
      <c r="D409" s="98" t="s">
        <v>216</v>
      </c>
      <c r="E409" s="99" t="s">
        <v>4</v>
      </c>
      <c r="F409" s="56"/>
      <c r="G409" s="57"/>
      <c r="H409" s="57"/>
      <c r="I409" s="43"/>
      <c r="J409" s="158" t="s">
        <v>420</v>
      </c>
      <c r="K409" s="93" t="s">
        <v>416</v>
      </c>
      <c r="L409" s="158" t="s">
        <v>417</v>
      </c>
      <c r="M409" s="158" t="s">
        <v>418</v>
      </c>
      <c r="N409" s="158" t="s">
        <v>419</v>
      </c>
      <c r="O409" s="158" t="s">
        <v>415</v>
      </c>
      <c r="P409" s="158"/>
      <c r="Q409" s="169" t="s">
        <v>421</v>
      </c>
      <c r="R409" s="342"/>
      <c r="T409" s="59" t="str">
        <f t="shared" si="22"/>
        <v>ESCAID</v>
      </c>
    </row>
    <row r="410" spans="3:20" x14ac:dyDescent="0.45">
      <c r="D410" s="74" t="s">
        <v>248</v>
      </c>
      <c r="E410" s="191">
        <f>SUM($E$403:E408)</f>
        <v>97860</v>
      </c>
      <c r="F410" s="56"/>
      <c r="G410" s="57"/>
      <c r="H410" s="185"/>
      <c r="I410" s="154" t="s">
        <v>371</v>
      </c>
      <c r="J410" s="18">
        <v>8</v>
      </c>
      <c r="K410" s="128">
        <v>2</v>
      </c>
      <c r="L410" s="128">
        <v>9</v>
      </c>
      <c r="M410" s="128">
        <v>0</v>
      </c>
      <c r="N410" s="128"/>
      <c r="O410" s="160">
        <f>SUM(J410:N410)</f>
        <v>19</v>
      </c>
      <c r="P410" s="160"/>
      <c r="Q410" s="170">
        <v>84</v>
      </c>
      <c r="R410" s="343" t="s">
        <v>424</v>
      </c>
      <c r="T410" s="59" t="str">
        <f t="shared" si="22"/>
        <v>Qty ESCAID IN SITE</v>
      </c>
    </row>
    <row r="411" spans="3:20" x14ac:dyDescent="0.45">
      <c r="D411" s="75" t="s">
        <v>245</v>
      </c>
      <c r="E411" s="191">
        <v>2</v>
      </c>
      <c r="F411" s="56"/>
      <c r="G411" s="57"/>
      <c r="H411" s="185"/>
      <c r="I411" s="159" t="s">
        <v>414</v>
      </c>
      <c r="J411" s="75">
        <f>SUM(J410:J410)</f>
        <v>8</v>
      </c>
      <c r="K411" s="75">
        <f>SUM(K410:K410)</f>
        <v>2</v>
      </c>
      <c r="L411" s="75">
        <f>SUM(L410:L410)</f>
        <v>9</v>
      </c>
      <c r="M411" s="75">
        <f>SUM(M410:M410)</f>
        <v>0</v>
      </c>
      <c r="N411" s="75">
        <f>SUM(N410:N410)</f>
        <v>0</v>
      </c>
      <c r="O411" s="160">
        <f>SUM(J411:N411)</f>
        <v>19</v>
      </c>
      <c r="P411" s="160"/>
      <c r="Q411" s="162">
        <f>AVERAGE(Q410)</f>
        <v>84</v>
      </c>
      <c r="R411" s="343" t="s">
        <v>424</v>
      </c>
      <c r="T411" s="59" t="str">
        <f t="shared" si="22"/>
        <v>QTY ISOTANK</v>
      </c>
    </row>
    <row r="412" spans="3:20" x14ac:dyDescent="0.45">
      <c r="D412" s="75" t="s">
        <v>246</v>
      </c>
      <c r="E412" s="191">
        <v>49093</v>
      </c>
      <c r="F412" s="68"/>
      <c r="G412" s="57"/>
      <c r="H412" s="57"/>
      <c r="I412" s="186" t="s">
        <v>427</v>
      </c>
      <c r="J412" s="162">
        <v>2</v>
      </c>
      <c r="K412" s="194"/>
      <c r="L412" s="163"/>
      <c r="M412" s="164"/>
      <c r="N412" s="165"/>
      <c r="O412" s="166"/>
      <c r="P412" s="166"/>
      <c r="Q412" s="9"/>
      <c r="T412" s="59" t="str">
        <f t="shared" si="22"/>
        <v xml:space="preserve">QTY ON PRONTO </v>
      </c>
    </row>
    <row r="413" spans="3:20" x14ac:dyDescent="0.45">
      <c r="D413" s="19" t="s">
        <v>0</v>
      </c>
      <c r="E413" s="191">
        <f>E410-E412</f>
        <v>48767</v>
      </c>
      <c r="F413" s="68"/>
      <c r="G413" s="57"/>
      <c r="H413" s="185"/>
      <c r="I413" s="161" t="s">
        <v>423</v>
      </c>
      <c r="J413" s="162">
        <f>ROUNDUP($J$412*$Q$413,0)/2</f>
        <v>3</v>
      </c>
      <c r="K413" s="194"/>
      <c r="L413" s="163"/>
      <c r="M413" s="167">
        <f>ROUNDUP($J$413/2,0)</f>
        <v>2</v>
      </c>
      <c r="N413" s="167">
        <f>ROUNDUP($J$413/2,0)</f>
        <v>2</v>
      </c>
      <c r="O413" s="162">
        <f>ROUNDUP($J$412*$Q$413,0)</f>
        <v>6</v>
      </c>
      <c r="P413" s="162"/>
      <c r="Q413" s="171">
        <f>Q411/30</f>
        <v>2.8</v>
      </c>
      <c r="R413" s="353" t="s">
        <v>425</v>
      </c>
      <c r="T413" s="59" t="str">
        <f t="shared" si="22"/>
        <v>VARIANCE</v>
      </c>
    </row>
    <row r="414" spans="3:20" s="30" customFormat="1" x14ac:dyDescent="0.45">
      <c r="C414" s="118"/>
      <c r="D414" s="142"/>
      <c r="E414" s="192">
        <f>E413/16100</f>
        <v>3.0290062111801244</v>
      </c>
      <c r="F414" s="31"/>
      <c r="G414" s="32"/>
      <c r="H414" s="32"/>
      <c r="I414" s="9"/>
      <c r="J414" s="55"/>
      <c r="K414" s="55"/>
      <c r="L414" s="7"/>
      <c r="M414" s="7"/>
      <c r="N414" s="9"/>
      <c r="O414" s="9"/>
      <c r="P414" s="9"/>
      <c r="Q414" s="173"/>
      <c r="R414" s="335"/>
      <c r="T414" s="59" t="str">
        <f t="shared" si="22"/>
        <v/>
      </c>
    </row>
    <row r="415" spans="3:20" s="30" customFormat="1" x14ac:dyDescent="0.45">
      <c r="C415" s="118"/>
      <c r="D415" s="71"/>
      <c r="E415" s="32">
        <v>1313</v>
      </c>
      <c r="F415" s="31"/>
      <c r="G415" s="31"/>
      <c r="H415" s="32"/>
      <c r="I415" s="9"/>
      <c r="J415" s="55"/>
      <c r="K415" s="55"/>
      <c r="L415" s="7"/>
      <c r="M415" s="7"/>
      <c r="N415" s="9"/>
      <c r="O415" s="9"/>
      <c r="P415" s="9"/>
      <c r="Q415" s="173"/>
      <c r="R415" s="335"/>
      <c r="T415" s="59" t="str">
        <f t="shared" si="22"/>
        <v/>
      </c>
    </row>
    <row r="416" spans="3:20" x14ac:dyDescent="0.45">
      <c r="E416" s="205"/>
      <c r="I416" s="34"/>
    </row>
    <row r="418" spans="3:18" x14ac:dyDescent="0.45">
      <c r="H418" s="33"/>
    </row>
    <row r="419" spans="3:18" x14ac:dyDescent="0.45">
      <c r="I419" s="43"/>
      <c r="J419" s="65"/>
      <c r="K419" s="65"/>
      <c r="L419" s="58"/>
      <c r="M419" s="58"/>
      <c r="N419" s="43"/>
      <c r="O419" s="43"/>
      <c r="P419" s="43"/>
      <c r="Q419" s="184"/>
      <c r="R419" s="354"/>
    </row>
    <row r="420" spans="3:18" x14ac:dyDescent="0.45">
      <c r="I420" s="43"/>
      <c r="J420" s="65"/>
      <c r="K420" s="65"/>
      <c r="L420" s="58"/>
      <c r="M420" s="58"/>
      <c r="N420" s="43"/>
      <c r="O420" s="43"/>
      <c r="P420" s="43"/>
      <c r="Q420" s="184"/>
      <c r="R420" s="354"/>
    </row>
    <row r="421" spans="3:18" s="13" customFormat="1" x14ac:dyDescent="0.45">
      <c r="C421" s="116"/>
      <c r="D421" s="58"/>
      <c r="E421" s="43"/>
      <c r="F421" s="43"/>
      <c r="G421" s="43"/>
      <c r="H421" s="43"/>
      <c r="I421" s="43"/>
      <c r="J421" s="65"/>
      <c r="K421" s="65"/>
      <c r="L421" s="58"/>
      <c r="M421" s="58"/>
      <c r="N421" s="43"/>
      <c r="O421" s="43"/>
      <c r="P421" s="43"/>
      <c r="Q421" s="184"/>
      <c r="R421" s="354"/>
    </row>
    <row r="422" spans="3:18" s="13" customFormat="1" x14ac:dyDescent="0.45">
      <c r="C422" s="116"/>
      <c r="D422" s="58"/>
      <c r="E422" s="43"/>
      <c r="F422" s="43"/>
      <c r="G422" s="43"/>
      <c r="H422" s="43"/>
      <c r="I422" s="43"/>
      <c r="J422" s="65"/>
      <c r="K422" s="65"/>
      <c r="L422" s="58"/>
      <c r="M422" s="58"/>
      <c r="N422" s="43"/>
      <c r="O422" s="43"/>
      <c r="P422" s="43"/>
      <c r="Q422" s="184"/>
      <c r="R422" s="354"/>
    </row>
    <row r="423" spans="3:18" s="13" customFormat="1" x14ac:dyDescent="0.45">
      <c r="C423" s="116"/>
      <c r="D423" s="58"/>
      <c r="E423" s="43"/>
      <c r="F423" s="43"/>
      <c r="G423" s="43"/>
      <c r="H423" s="43"/>
      <c r="I423" s="43"/>
      <c r="J423" s="65"/>
      <c r="K423" s="65"/>
      <c r="L423" s="58"/>
      <c r="M423" s="58"/>
      <c r="N423" s="43"/>
      <c r="O423" s="43"/>
      <c r="P423" s="43"/>
      <c r="Q423" s="184"/>
      <c r="R423" s="354"/>
    </row>
    <row r="424" spans="3:18" s="13" customFormat="1" x14ac:dyDescent="0.45">
      <c r="C424" s="116"/>
      <c r="D424" s="58"/>
      <c r="E424" s="43"/>
      <c r="F424" s="43"/>
      <c r="G424" s="43"/>
      <c r="H424" s="43"/>
      <c r="I424" s="43"/>
      <c r="J424" s="65"/>
      <c r="K424" s="65"/>
      <c r="L424" s="58"/>
      <c r="M424" s="58"/>
      <c r="N424" s="43"/>
      <c r="O424" s="43"/>
      <c r="P424" s="43"/>
      <c r="Q424" s="184"/>
      <c r="R424" s="354"/>
    </row>
    <row r="425" spans="3:18" s="13" customFormat="1" x14ac:dyDescent="0.45">
      <c r="C425" s="116"/>
      <c r="D425" s="58"/>
      <c r="E425" s="43"/>
      <c r="F425" s="43"/>
      <c r="G425" s="43"/>
      <c r="H425" s="43"/>
      <c r="I425" s="43"/>
      <c r="J425" s="65"/>
      <c r="K425" s="65"/>
      <c r="L425" s="58"/>
      <c r="M425" s="58"/>
      <c r="N425" s="43"/>
      <c r="O425" s="43"/>
      <c r="P425" s="43"/>
      <c r="Q425" s="184"/>
      <c r="R425" s="354"/>
    </row>
    <row r="426" spans="3:18" s="13" customFormat="1" x14ac:dyDescent="0.45">
      <c r="C426" s="116"/>
      <c r="D426" s="58"/>
      <c r="E426" s="43"/>
      <c r="F426" s="43"/>
      <c r="G426" s="43"/>
      <c r="H426" s="43"/>
      <c r="I426" s="43"/>
      <c r="J426" s="65"/>
      <c r="K426" s="65"/>
      <c r="L426" s="58"/>
      <c r="M426" s="58"/>
      <c r="N426" s="43"/>
      <c r="O426" s="43"/>
      <c r="P426" s="43"/>
      <c r="Q426" s="184"/>
      <c r="R426" s="354"/>
    </row>
    <row r="427" spans="3:18" s="13" customFormat="1" x14ac:dyDescent="0.45">
      <c r="C427" s="116"/>
      <c r="D427" s="58"/>
      <c r="E427" s="43"/>
      <c r="F427" s="43"/>
      <c r="G427" s="43"/>
      <c r="H427" s="43"/>
      <c r="I427" s="43"/>
      <c r="J427" s="65"/>
      <c r="K427" s="65"/>
      <c r="L427" s="58"/>
      <c r="M427" s="58"/>
      <c r="N427" s="43"/>
      <c r="O427" s="43"/>
      <c r="P427" s="43"/>
      <c r="Q427" s="184"/>
      <c r="R427" s="354"/>
    </row>
    <row r="428" spans="3:18" s="13" customFormat="1" x14ac:dyDescent="0.45">
      <c r="C428" s="116"/>
      <c r="D428" s="58"/>
      <c r="E428" s="43"/>
      <c r="F428" s="43"/>
      <c r="G428" s="43"/>
      <c r="H428" s="43"/>
      <c r="I428" s="9"/>
      <c r="J428" s="55"/>
      <c r="K428" s="55"/>
      <c r="L428" s="7"/>
      <c r="M428" s="7"/>
      <c r="N428" s="9"/>
      <c r="O428" s="9"/>
      <c r="P428" s="9"/>
      <c r="Q428" s="173"/>
      <c r="R428" s="335"/>
    </row>
    <row r="429" spans="3:18" s="13" customFormat="1" x14ac:dyDescent="0.45">
      <c r="C429" s="116"/>
      <c r="D429" s="58"/>
      <c r="E429" s="43"/>
      <c r="F429" s="43"/>
      <c r="G429" s="43"/>
      <c r="H429" s="43"/>
      <c r="I429" s="9"/>
      <c r="J429" s="55"/>
      <c r="K429" s="55"/>
      <c r="L429" s="7"/>
      <c r="M429" s="7"/>
      <c r="N429" s="9"/>
      <c r="O429" s="9"/>
      <c r="P429" s="9"/>
      <c r="Q429" s="173"/>
      <c r="R429" s="335"/>
    </row>
  </sheetData>
  <autoFilter ref="C4:O221" xr:uid="{00000000-0001-0000-0700-000000000000}"/>
  <phoneticPr fontId="30" type="noConversion"/>
  <conditionalFormatting sqref="D194:D203">
    <cfRule type="duplicateValues" dxfId="12" priority="1"/>
  </conditionalFormatting>
  <conditionalFormatting sqref="D227">
    <cfRule type="duplicateValues" dxfId="11" priority="10"/>
  </conditionalFormatting>
  <conditionalFormatting sqref="D325:D327 D331:D334 D336">
    <cfRule type="duplicateValues" dxfId="10" priority="24"/>
  </conditionalFormatting>
  <conditionalFormatting sqref="D329">
    <cfRule type="duplicateValues" dxfId="9" priority="12"/>
  </conditionalFormatting>
  <conditionalFormatting sqref="D341:D342">
    <cfRule type="duplicateValues" dxfId="8" priority="11"/>
  </conditionalFormatting>
  <conditionalFormatting sqref="D343:D345 D340 D338">
    <cfRule type="duplicateValues" dxfId="7" priority="29"/>
  </conditionalFormatting>
  <conditionalFormatting sqref="D352 D349 D346">
    <cfRule type="duplicateValues" dxfId="6" priority="30"/>
  </conditionalFormatting>
  <conditionalFormatting sqref="D413 D328 D330 D335 D337 D347:D348 D339 D351 D353:D363 D365:D385">
    <cfRule type="duplicateValues" dxfId="5" priority="38"/>
  </conditionalFormatting>
  <conditionalFormatting sqref="D350:F350">
    <cfRule type="duplicateValues" dxfId="4" priority="6"/>
  </conditionalFormatting>
  <conditionalFormatting sqref="N38:N122">
    <cfRule type="duplicateValues" dxfId="3" priority="5"/>
  </conditionalFormatting>
  <conditionalFormatting sqref="O17:P17">
    <cfRule type="duplicateValues" dxfId="2" priority="2"/>
  </conditionalFormatting>
  <conditionalFormatting sqref="O18:P18">
    <cfRule type="duplicateValues" dxfId="1" priority="3"/>
  </conditionalFormatting>
  <conditionalFormatting sqref="O26:P26">
    <cfRule type="duplicateValues" dxfId="0" priority="4"/>
  </conditionalFormatting>
  <dataValidations count="2">
    <dataValidation type="list" allowBlank="1" showInputMessage="1" showErrorMessage="1" sqref="G255 G267 G5:G8 G221:G223 G269:G413" xr:uid="{00000000-0002-0000-0700-000000000000}">
      <formula1>"FULL, EMPTY, INSTAL"</formula1>
    </dataValidation>
    <dataValidation type="list" allowBlank="1" showInputMessage="1" showErrorMessage="1" sqref="H220:H1048576 H1:H4" xr:uid="{CE7F52BD-CCA5-4710-A1A2-3E29FAAA4D4C}">
      <formula1>$H$25:$H$167</formula1>
    </dataValidation>
  </dataValidations>
  <printOptions horizontalCentered="1"/>
  <pageMargins left="0.19685039370078741" right="0.19685039370078741" top="0" bottom="0.19685039370078741" header="0.51181102362204722" footer="0.51181102362204722"/>
  <pageSetup scale="25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C39B7EC-C16F-41CC-AE82-6F4520426568}">
          <x14:formula1>
            <xm:f>MASTER!$A$1:$A$6</xm:f>
          </x14:formula1>
          <xm:sqref>H5 H57</xm:sqref>
        </x14:dataValidation>
        <x14:dataValidation type="list" allowBlank="1" showInputMessage="1" showErrorMessage="1" xr:uid="{F40B2084-823F-4582-AAC9-DD3770AD48FC}">
          <x14:formula1>
            <xm:f>MASTER!$A$1:$A$7</xm:f>
          </x14:formula1>
          <xm:sqref>H6:H56 H58:H219</xm:sqref>
        </x14:dataValidation>
        <x14:dataValidation type="list" allowBlank="1" showInputMessage="1" showErrorMessage="1" xr:uid="{BE9B7723-71EC-4C92-918E-B2B591DEAD2E}">
          <x14:formula1>
            <xm:f>MASTER!$E$1:$E$4</xm:f>
          </x14:formula1>
          <xm:sqref>G9:G220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A7E2-30A4-4CDE-BAA9-32D3C26E1EE0}">
  <dimension ref="A1:E7"/>
  <sheetViews>
    <sheetView workbookViewId="0">
      <selection activeCell="A7" sqref="A7"/>
    </sheetView>
  </sheetViews>
  <sheetFormatPr defaultRowHeight="14.5" x14ac:dyDescent="0.35"/>
  <cols>
    <col min="1" max="1" width="30.81640625" bestFit="1" customWidth="1"/>
    <col min="5" max="5" width="11" bestFit="1" customWidth="1"/>
  </cols>
  <sheetData>
    <row r="1" spans="1:5" ht="20.5" x14ac:dyDescent="0.35">
      <c r="A1" s="66" t="s">
        <v>34</v>
      </c>
      <c r="E1" t="s">
        <v>29</v>
      </c>
    </row>
    <row r="2" spans="1:5" ht="20.5" x14ac:dyDescent="0.35">
      <c r="A2" s="66" t="s">
        <v>2</v>
      </c>
      <c r="E2" t="s">
        <v>12</v>
      </c>
    </row>
    <row r="3" spans="1:5" ht="20.5" x14ac:dyDescent="0.35">
      <c r="A3" s="66" t="s">
        <v>536</v>
      </c>
      <c r="E3" t="s">
        <v>503</v>
      </c>
    </row>
    <row r="4" spans="1:5" ht="20.5" x14ac:dyDescent="0.35">
      <c r="A4" s="66" t="s">
        <v>501</v>
      </c>
      <c r="E4" t="s">
        <v>506</v>
      </c>
    </row>
    <row r="5" spans="1:5" ht="20.5" x14ac:dyDescent="0.35">
      <c r="A5" s="66" t="s">
        <v>16</v>
      </c>
    </row>
    <row r="6" spans="1:5" ht="20.5" x14ac:dyDescent="0.35">
      <c r="A6" s="280" t="s">
        <v>502</v>
      </c>
    </row>
    <row r="7" spans="1:5" ht="20.5" x14ac:dyDescent="0.35">
      <c r="A7" s="280" t="s">
        <v>535</v>
      </c>
    </row>
  </sheetData>
  <dataValidations count="1">
    <dataValidation type="list" allowBlank="1" showInputMessage="1" showErrorMessage="1" sqref="A1:A6" xr:uid="{961A8C62-1E97-46D1-8AC8-DB1D303E6102}">
      <formula1>$A$1:$A$6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121"/>
  <sheetViews>
    <sheetView zoomScale="55" zoomScaleNormal="55" workbookViewId="0">
      <pane ySplit="4" topLeftCell="A101" activePane="bottomLeft" state="frozen"/>
      <selection pane="bottomLeft" activeCell="L102" sqref="L102"/>
    </sheetView>
  </sheetViews>
  <sheetFormatPr defaultColWidth="8.81640625" defaultRowHeight="21" x14ac:dyDescent="0.5"/>
  <cols>
    <col min="1" max="1" width="20.1796875" bestFit="1" customWidth="1"/>
    <col min="2" max="2" width="48.1796875" bestFit="1" customWidth="1"/>
    <col min="3" max="3" width="38.453125" style="28" bestFit="1" customWidth="1"/>
    <col min="4" max="4" width="26.1796875" style="28" customWidth="1"/>
    <col min="5" max="5" width="22.54296875" style="108" bestFit="1" customWidth="1"/>
    <col min="6" max="6" width="30.1796875" style="144" customWidth="1"/>
    <col min="7" max="7" width="113.1796875" style="28" bestFit="1" customWidth="1"/>
    <col min="8" max="8" width="28.1796875" hidden="1" customWidth="1"/>
    <col min="9" max="9" width="97.453125" hidden="1" customWidth="1"/>
    <col min="10" max="10" width="37.1796875" hidden="1" customWidth="1"/>
    <col min="11" max="11" width="24.81640625" style="28" bestFit="1" customWidth="1"/>
    <col min="12" max="12" width="33.54296875" style="28" bestFit="1" customWidth="1"/>
    <col min="13" max="13" width="12.81640625" bestFit="1" customWidth="1"/>
  </cols>
  <sheetData>
    <row r="1" spans="1:12" ht="20" hidden="1" x14ac:dyDescent="0.35">
      <c r="E1" s="29"/>
      <c r="F1" s="88" t="s">
        <v>223</v>
      </c>
    </row>
    <row r="2" spans="1:12" ht="33.65" customHeight="1" x14ac:dyDescent="1.35">
      <c r="B2" s="109" t="s">
        <v>282</v>
      </c>
      <c r="C2" s="94"/>
      <c r="D2" s="95"/>
      <c r="E2" s="95"/>
      <c r="F2" s="143"/>
      <c r="G2" s="94"/>
      <c r="H2" s="94"/>
      <c r="I2" s="94"/>
    </row>
    <row r="3" spans="1:12" ht="23.5" x14ac:dyDescent="0.55000000000000004">
      <c r="B3" s="109" t="s">
        <v>223</v>
      </c>
      <c r="C3" s="110" t="s">
        <v>223</v>
      </c>
      <c r="D3" s="110"/>
      <c r="E3" s="105"/>
      <c r="F3" s="90"/>
      <c r="G3" s="110"/>
      <c r="H3" s="89"/>
      <c r="I3" s="89"/>
    </row>
    <row r="4" spans="1:12" ht="20" x14ac:dyDescent="0.35">
      <c r="A4" s="91" t="s">
        <v>385</v>
      </c>
      <c r="B4" s="91" t="s">
        <v>231</v>
      </c>
      <c r="C4" s="91" t="s">
        <v>211</v>
      </c>
      <c r="D4" s="92" t="s">
        <v>224</v>
      </c>
      <c r="E4" s="106" t="s">
        <v>191</v>
      </c>
      <c r="F4" s="10" t="s">
        <v>235</v>
      </c>
      <c r="G4" s="10" t="s">
        <v>1</v>
      </c>
      <c r="H4" s="103" t="s">
        <v>3</v>
      </c>
      <c r="I4" s="101" t="s">
        <v>9</v>
      </c>
      <c r="J4" s="102" t="s">
        <v>305</v>
      </c>
    </row>
    <row r="5" spans="1:12" hidden="1" x14ac:dyDescent="0.5">
      <c r="A5" s="1"/>
      <c r="B5" s="17" t="s">
        <v>230</v>
      </c>
      <c r="C5" s="85" t="s">
        <v>380</v>
      </c>
      <c r="D5" s="111" t="s">
        <v>395</v>
      </c>
      <c r="E5" s="111" t="s">
        <v>395</v>
      </c>
      <c r="F5" s="85" t="s">
        <v>378</v>
      </c>
      <c r="G5" s="85" t="s">
        <v>397</v>
      </c>
      <c r="K5" s="28" t="s">
        <v>389</v>
      </c>
      <c r="L5" s="28" t="str">
        <f t="shared" ref="L5:L8" si="0">+K5&amp;F5</f>
        <v>REFILL NEW ISOTANK :SJIU2522993</v>
      </c>
    </row>
    <row r="6" spans="1:12" hidden="1" x14ac:dyDescent="0.5">
      <c r="A6" s="1"/>
      <c r="B6" s="17" t="s">
        <v>230</v>
      </c>
      <c r="C6" s="85" t="s">
        <v>380</v>
      </c>
      <c r="D6" s="111" t="s">
        <v>395</v>
      </c>
      <c r="E6" s="111" t="s">
        <v>395</v>
      </c>
      <c r="F6" s="85" t="s">
        <v>376</v>
      </c>
      <c r="G6" s="85" t="s">
        <v>397</v>
      </c>
      <c r="K6" s="28" t="s">
        <v>389</v>
      </c>
      <c r="L6" s="28" t="str">
        <f t="shared" si="0"/>
        <v>REFILL NEW ISOTANK :SJIU2522972</v>
      </c>
    </row>
    <row r="7" spans="1:12" hidden="1" x14ac:dyDescent="0.5">
      <c r="A7" s="1"/>
      <c r="B7" s="17" t="s">
        <v>230</v>
      </c>
      <c r="C7" s="85" t="s">
        <v>380</v>
      </c>
      <c r="D7" s="111" t="s">
        <v>395</v>
      </c>
      <c r="E7" s="111" t="s">
        <v>395</v>
      </c>
      <c r="F7" s="85" t="s">
        <v>375</v>
      </c>
      <c r="G7" s="85" t="s">
        <v>397</v>
      </c>
      <c r="K7" s="28" t="s">
        <v>389</v>
      </c>
      <c r="L7" s="28" t="str">
        <f t="shared" si="0"/>
        <v>REFILL NEW ISOTANK :SJIU2522967</v>
      </c>
    </row>
    <row r="8" spans="1:12" hidden="1" x14ac:dyDescent="0.5">
      <c r="A8" s="1"/>
      <c r="B8" s="17" t="s">
        <v>230</v>
      </c>
      <c r="C8" s="85" t="s">
        <v>306</v>
      </c>
      <c r="D8" s="111">
        <v>98131</v>
      </c>
      <c r="E8" s="111">
        <v>23000</v>
      </c>
      <c r="F8" s="85" t="s">
        <v>367</v>
      </c>
      <c r="G8" s="85" t="s">
        <v>397</v>
      </c>
      <c r="K8" s="28" t="s">
        <v>389</v>
      </c>
      <c r="L8" s="28" t="str">
        <f t="shared" si="0"/>
        <v>REFILL NEW ISOTANK :NTTU1753765</v>
      </c>
    </row>
    <row r="9" spans="1:12" hidden="1" x14ac:dyDescent="0.5">
      <c r="A9" s="1"/>
      <c r="B9" s="17" t="s">
        <v>230</v>
      </c>
      <c r="C9" s="85" t="s">
        <v>380</v>
      </c>
      <c r="D9" s="111" t="s">
        <v>395</v>
      </c>
      <c r="E9" s="111" t="s">
        <v>395</v>
      </c>
      <c r="F9" s="85" t="s">
        <v>391</v>
      </c>
      <c r="G9" s="85" t="s">
        <v>405</v>
      </c>
      <c r="K9" s="28" t="s">
        <v>389</v>
      </c>
      <c r="L9" s="28" t="str">
        <f t="shared" ref="L9:L19" si="1">+K9&amp;F9</f>
        <v>REFILL NEW ISOTANK :SJIU2422612</v>
      </c>
    </row>
    <row r="10" spans="1:12" hidden="1" x14ac:dyDescent="0.5">
      <c r="A10" s="1"/>
      <c r="B10" s="17" t="s">
        <v>230</v>
      </c>
      <c r="C10" s="85" t="s">
        <v>380</v>
      </c>
      <c r="D10" s="111" t="s">
        <v>395</v>
      </c>
      <c r="E10" s="111" t="s">
        <v>395</v>
      </c>
      <c r="F10" s="85" t="s">
        <v>392</v>
      </c>
      <c r="G10" s="85" t="s">
        <v>405</v>
      </c>
      <c r="K10" s="28" t="s">
        <v>389</v>
      </c>
      <c r="L10" s="28" t="str">
        <f t="shared" si="1"/>
        <v>REFILL NEW ISOTANK :SJIU2422628</v>
      </c>
    </row>
    <row r="11" spans="1:12" ht="21.75" hidden="1" customHeight="1" x14ac:dyDescent="0.5">
      <c r="A11" s="1"/>
      <c r="B11" s="17" t="s">
        <v>230</v>
      </c>
      <c r="C11" s="85" t="s">
        <v>302</v>
      </c>
      <c r="D11" s="111">
        <v>98321</v>
      </c>
      <c r="E11" s="111">
        <v>23000</v>
      </c>
      <c r="F11" s="187" t="s">
        <v>13</v>
      </c>
      <c r="G11" s="85" t="s">
        <v>405</v>
      </c>
      <c r="K11" s="28" t="s">
        <v>389</v>
      </c>
      <c r="L11" s="28" t="str">
        <f t="shared" si="1"/>
        <v>REFILL NEW ISOTANK :DJEU0303636</v>
      </c>
    </row>
    <row r="12" spans="1:12" hidden="1" x14ac:dyDescent="0.5">
      <c r="A12" s="1"/>
      <c r="B12" s="17" t="s">
        <v>230</v>
      </c>
      <c r="C12" s="85" t="s">
        <v>306</v>
      </c>
      <c r="D12" s="111">
        <v>98322</v>
      </c>
      <c r="E12" s="111">
        <v>23000</v>
      </c>
      <c r="F12" s="85" t="s">
        <v>383</v>
      </c>
      <c r="G12" s="85" t="s">
        <v>405</v>
      </c>
      <c r="K12" s="28" t="s">
        <v>389</v>
      </c>
      <c r="L12" s="28" t="str">
        <f t="shared" si="1"/>
        <v>REFILL NEW ISOTANK :NTTU1753739</v>
      </c>
    </row>
    <row r="13" spans="1:12" hidden="1" x14ac:dyDescent="0.5">
      <c r="A13" s="1"/>
      <c r="B13" s="17" t="s">
        <v>230</v>
      </c>
      <c r="C13" s="85" t="s">
        <v>306</v>
      </c>
      <c r="D13" s="111">
        <v>98323</v>
      </c>
      <c r="E13" s="111">
        <v>23000</v>
      </c>
      <c r="F13" s="85" t="s">
        <v>363</v>
      </c>
      <c r="G13" s="85" t="s">
        <v>405</v>
      </c>
      <c r="K13" s="28" t="s">
        <v>389</v>
      </c>
      <c r="L13" s="28" t="str">
        <f t="shared" si="1"/>
        <v>REFILL NEW ISOTANK :NTTU1753702</v>
      </c>
    </row>
    <row r="14" spans="1:12" hidden="1" x14ac:dyDescent="0.5">
      <c r="A14" s="1"/>
      <c r="B14" s="17" t="s">
        <v>230</v>
      </c>
      <c r="C14" s="85" t="s">
        <v>302</v>
      </c>
      <c r="D14" s="111">
        <v>98324</v>
      </c>
      <c r="E14" s="111">
        <v>23000</v>
      </c>
      <c r="F14" s="85" t="s">
        <v>300</v>
      </c>
      <c r="G14" s="85" t="s">
        <v>405</v>
      </c>
      <c r="K14" s="28" t="s">
        <v>389</v>
      </c>
      <c r="L14" s="28" t="str">
        <f t="shared" si="1"/>
        <v>REFILL NEW ISOTANK :NTTU1752748</v>
      </c>
    </row>
    <row r="15" spans="1:12" hidden="1" x14ac:dyDescent="0.5">
      <c r="A15" s="1"/>
      <c r="B15" s="17" t="s">
        <v>230</v>
      </c>
      <c r="C15" s="85" t="s">
        <v>302</v>
      </c>
      <c r="D15" s="111">
        <v>98325</v>
      </c>
      <c r="E15" s="111">
        <v>23000</v>
      </c>
      <c r="F15" s="85" t="s">
        <v>159</v>
      </c>
      <c r="G15" s="85" t="s">
        <v>405</v>
      </c>
      <c r="K15" s="28" t="s">
        <v>389</v>
      </c>
      <c r="L15" s="28" t="str">
        <f t="shared" si="1"/>
        <v>REFILL NEW ISOTANK :DJEU0303810</v>
      </c>
    </row>
    <row r="16" spans="1:12" hidden="1" x14ac:dyDescent="0.5">
      <c r="A16" s="1"/>
      <c r="B16" s="17" t="s">
        <v>230</v>
      </c>
      <c r="C16" s="85" t="s">
        <v>302</v>
      </c>
      <c r="D16" s="111">
        <v>98326</v>
      </c>
      <c r="E16" s="111">
        <v>23000</v>
      </c>
      <c r="F16" s="85" t="s">
        <v>54</v>
      </c>
      <c r="G16" s="85" t="s">
        <v>405</v>
      </c>
      <c r="K16" s="28" t="s">
        <v>389</v>
      </c>
      <c r="L16" s="28" t="str">
        <f t="shared" si="1"/>
        <v>REFILL NEW ISOTANK :DJEU0303699</v>
      </c>
    </row>
    <row r="17" spans="1:16" hidden="1" x14ac:dyDescent="0.5">
      <c r="A17" s="1"/>
      <c r="B17" s="17" t="s">
        <v>230</v>
      </c>
      <c r="C17" s="85" t="s">
        <v>302</v>
      </c>
      <c r="D17" s="111">
        <v>98985</v>
      </c>
      <c r="E17" s="111">
        <v>23000</v>
      </c>
      <c r="F17" s="187" t="s">
        <v>53</v>
      </c>
      <c r="G17" s="85" t="s">
        <v>405</v>
      </c>
      <c r="K17" s="28" t="s">
        <v>389</v>
      </c>
      <c r="L17" s="28" t="str">
        <f t="shared" si="1"/>
        <v>REFILL NEW ISOTANK :DJEU0303718</v>
      </c>
    </row>
    <row r="18" spans="1:16" hidden="1" x14ac:dyDescent="0.5">
      <c r="A18" s="1"/>
      <c r="B18" s="17" t="s">
        <v>230</v>
      </c>
      <c r="C18" s="85" t="s">
        <v>302</v>
      </c>
      <c r="D18" s="111">
        <v>98328</v>
      </c>
      <c r="E18" s="111">
        <v>23000</v>
      </c>
      <c r="F18" s="85" t="s">
        <v>151</v>
      </c>
      <c r="G18" s="85" t="s">
        <v>405</v>
      </c>
      <c r="K18" s="28" t="s">
        <v>389</v>
      </c>
      <c r="L18" s="28" t="str">
        <f t="shared" si="1"/>
        <v>REFILL NEW ISOTANK :DJEU0303791</v>
      </c>
    </row>
    <row r="19" spans="1:16" hidden="1" x14ac:dyDescent="0.5">
      <c r="A19" s="1"/>
      <c r="B19" s="17" t="s">
        <v>230</v>
      </c>
      <c r="C19" s="85" t="s">
        <v>302</v>
      </c>
      <c r="D19" s="111">
        <v>98986</v>
      </c>
      <c r="E19" s="111">
        <v>23000</v>
      </c>
      <c r="F19" s="187" t="s">
        <v>158</v>
      </c>
      <c r="G19" s="85" t="s">
        <v>405</v>
      </c>
      <c r="K19" s="28" t="s">
        <v>389</v>
      </c>
      <c r="L19" s="28" t="str">
        <f t="shared" si="1"/>
        <v>REFILL NEW ISOTANK :DJEU0303826</v>
      </c>
    </row>
    <row r="20" spans="1:16" hidden="1" x14ac:dyDescent="0.5">
      <c r="A20" s="1"/>
      <c r="B20" s="17" t="s">
        <v>230</v>
      </c>
      <c r="C20" s="85" t="s">
        <v>302</v>
      </c>
      <c r="D20" s="111">
        <v>98455</v>
      </c>
      <c r="E20" s="111">
        <v>23000</v>
      </c>
      <c r="F20" s="85" t="s">
        <v>144</v>
      </c>
      <c r="G20" s="85" t="s">
        <v>408</v>
      </c>
      <c r="K20" s="28" t="s">
        <v>389</v>
      </c>
      <c r="L20" s="28" t="str">
        <f t="shared" ref="L20:L23" si="2">+K20&amp;F20</f>
        <v>REFILL NEW ISOTANK :DJEU0303765</v>
      </c>
    </row>
    <row r="21" spans="1:16" hidden="1" x14ac:dyDescent="0.5">
      <c r="A21" s="1"/>
      <c r="B21" s="17" t="s">
        <v>230</v>
      </c>
      <c r="C21" s="85" t="s">
        <v>302</v>
      </c>
      <c r="D21" s="111">
        <v>98456</v>
      </c>
      <c r="E21" s="111">
        <v>23000</v>
      </c>
      <c r="F21" s="85" t="s">
        <v>290</v>
      </c>
      <c r="G21" s="85" t="s">
        <v>408</v>
      </c>
      <c r="K21" s="28" t="s">
        <v>389</v>
      </c>
      <c r="L21" s="28" t="str">
        <f t="shared" si="2"/>
        <v>REFILL NEW ISOTANK :NTTU1752795</v>
      </c>
    </row>
    <row r="22" spans="1:16" hidden="1" x14ac:dyDescent="0.5">
      <c r="A22" s="1"/>
      <c r="B22" s="17" t="s">
        <v>230</v>
      </c>
      <c r="C22" s="85" t="s">
        <v>302</v>
      </c>
      <c r="D22" s="111">
        <v>98457</v>
      </c>
      <c r="E22" s="111">
        <v>23000</v>
      </c>
      <c r="F22" s="85" t="s">
        <v>124</v>
      </c>
      <c r="G22" s="85" t="s">
        <v>408</v>
      </c>
      <c r="K22" s="28" t="s">
        <v>389</v>
      </c>
      <c r="L22" s="28" t="str">
        <f t="shared" si="2"/>
        <v>REFILL NEW ISOTANK :DJEU0303750</v>
      </c>
    </row>
    <row r="23" spans="1:16" hidden="1" x14ac:dyDescent="0.5">
      <c r="A23" s="1"/>
      <c r="B23" s="17" t="s">
        <v>230</v>
      </c>
      <c r="C23" s="85" t="s">
        <v>302</v>
      </c>
      <c r="D23" s="111">
        <v>98458</v>
      </c>
      <c r="E23" s="111">
        <v>23000</v>
      </c>
      <c r="F23" s="85" t="s">
        <v>312</v>
      </c>
      <c r="G23" s="85" t="s">
        <v>408</v>
      </c>
      <c r="K23" s="28" t="s">
        <v>389</v>
      </c>
      <c r="L23" s="28" t="str">
        <f t="shared" si="2"/>
        <v>REFILL NEW ISOTANK :NTTU1752711</v>
      </c>
    </row>
    <row r="24" spans="1:16" hidden="1" x14ac:dyDescent="0.5">
      <c r="B24" s="17" t="s">
        <v>230</v>
      </c>
      <c r="C24" s="85" t="s">
        <v>302</v>
      </c>
      <c r="D24" s="111">
        <v>98987</v>
      </c>
      <c r="E24" s="111">
        <v>23000</v>
      </c>
      <c r="F24" s="187" t="s">
        <v>388</v>
      </c>
      <c r="G24" s="85" t="s">
        <v>428</v>
      </c>
      <c r="K24" s="28" t="s">
        <v>389</v>
      </c>
      <c r="L24" s="28" t="str">
        <f t="shared" ref="L24:L28" si="3">+K24&amp;F24</f>
        <v>REFILL NEW ISOTANK :NTTU1752671</v>
      </c>
      <c r="P24" t="s">
        <v>336</v>
      </c>
    </row>
    <row r="25" spans="1:16" hidden="1" x14ac:dyDescent="0.5">
      <c r="B25" s="17" t="s">
        <v>230</v>
      </c>
      <c r="C25" s="85" t="s">
        <v>302</v>
      </c>
      <c r="D25" s="111">
        <v>98988</v>
      </c>
      <c r="E25" s="111">
        <v>23000</v>
      </c>
      <c r="F25" s="187" t="s">
        <v>292</v>
      </c>
      <c r="G25" s="85" t="s">
        <v>428</v>
      </c>
      <c r="K25" s="28" t="s">
        <v>389</v>
      </c>
      <c r="L25" s="28" t="str">
        <f t="shared" si="3"/>
        <v>REFILL NEW ISOTANK :NTTU1752692</v>
      </c>
      <c r="P25" t="s">
        <v>99</v>
      </c>
    </row>
    <row r="26" spans="1:16" hidden="1" x14ac:dyDescent="0.5">
      <c r="B26" s="17" t="s">
        <v>230</v>
      </c>
      <c r="C26" s="85" t="s">
        <v>380</v>
      </c>
      <c r="D26" s="111" t="s">
        <v>395</v>
      </c>
      <c r="E26" s="111" t="s">
        <v>395</v>
      </c>
      <c r="F26" s="85" t="s">
        <v>399</v>
      </c>
      <c r="G26" s="85" t="s">
        <v>428</v>
      </c>
      <c r="K26" s="28" t="s">
        <v>389</v>
      </c>
      <c r="L26" s="28" t="str">
        <f t="shared" si="3"/>
        <v>REFILL NEW ISOTANK :SJIU2422633</v>
      </c>
      <c r="P26" t="s">
        <v>286</v>
      </c>
    </row>
    <row r="27" spans="1:16" hidden="1" x14ac:dyDescent="0.5">
      <c r="B27" s="17" t="s">
        <v>230</v>
      </c>
      <c r="C27" s="85" t="s">
        <v>380</v>
      </c>
      <c r="D27" s="111" t="s">
        <v>395</v>
      </c>
      <c r="E27" s="111" t="s">
        <v>395</v>
      </c>
      <c r="F27" s="85" t="s">
        <v>400</v>
      </c>
      <c r="G27" s="85" t="s">
        <v>428</v>
      </c>
      <c r="K27" s="28" t="s">
        <v>389</v>
      </c>
      <c r="L27" s="28" t="str">
        <f t="shared" si="3"/>
        <v>REFILL NEW ISOTANK :SJIU2422649</v>
      </c>
      <c r="P27" t="s">
        <v>141</v>
      </c>
    </row>
    <row r="28" spans="1:16" ht="26.9" hidden="1" customHeight="1" x14ac:dyDescent="0.5">
      <c r="B28" s="17" t="s">
        <v>230</v>
      </c>
      <c r="C28" s="85" t="s">
        <v>380</v>
      </c>
      <c r="D28" s="111" t="s">
        <v>395</v>
      </c>
      <c r="E28" s="111" t="s">
        <v>395</v>
      </c>
      <c r="F28" s="85" t="s">
        <v>401</v>
      </c>
      <c r="G28" s="85" t="s">
        <v>428</v>
      </c>
      <c r="K28" s="28" t="s">
        <v>389</v>
      </c>
      <c r="L28" s="28" t="str">
        <f t="shared" si="3"/>
        <v>REFILL NEW ISOTANK :SJIU2422660</v>
      </c>
      <c r="P28" t="s">
        <v>157</v>
      </c>
    </row>
    <row r="29" spans="1:16" hidden="1" x14ac:dyDescent="0.5">
      <c r="B29" s="17" t="s">
        <v>230</v>
      </c>
      <c r="C29" s="85" t="s">
        <v>302</v>
      </c>
      <c r="D29" s="85">
        <v>99398</v>
      </c>
      <c r="E29" s="111">
        <v>23000</v>
      </c>
      <c r="F29" s="85" t="s">
        <v>22</v>
      </c>
      <c r="G29" s="85" t="s">
        <v>434</v>
      </c>
      <c r="K29" s="28" t="s">
        <v>389</v>
      </c>
      <c r="L29" s="28" t="str">
        <f t="shared" ref="L29:L38" si="4">+K29&amp;F29</f>
        <v>REFILL NEW ISOTANK :DJEU0303600</v>
      </c>
    </row>
    <row r="30" spans="1:16" hidden="1" x14ac:dyDescent="0.5">
      <c r="B30" s="17" t="s">
        <v>230</v>
      </c>
      <c r="C30" s="85" t="s">
        <v>306</v>
      </c>
      <c r="D30" s="85">
        <v>99395</v>
      </c>
      <c r="E30" s="111">
        <v>23000</v>
      </c>
      <c r="F30" s="85" t="s">
        <v>30</v>
      </c>
      <c r="G30" s="85" t="s">
        <v>434</v>
      </c>
      <c r="K30" s="28" t="s">
        <v>389</v>
      </c>
      <c r="L30" s="28" t="str">
        <f t="shared" si="4"/>
        <v>REFILL NEW ISOTANK :SJIU2001260</v>
      </c>
    </row>
    <row r="31" spans="1:16" hidden="1" x14ac:dyDescent="0.5">
      <c r="B31" s="17" t="s">
        <v>230</v>
      </c>
      <c r="C31" s="85" t="s">
        <v>302</v>
      </c>
      <c r="D31" s="85">
        <v>99404</v>
      </c>
      <c r="E31" s="111">
        <v>23000</v>
      </c>
      <c r="F31" s="85" t="s">
        <v>52</v>
      </c>
      <c r="G31" s="85" t="s">
        <v>434</v>
      </c>
      <c r="K31" s="28" t="s">
        <v>389</v>
      </c>
      <c r="L31" s="28" t="str">
        <f t="shared" si="4"/>
        <v>REFILL NEW ISOTANK :DJEU0303702</v>
      </c>
    </row>
    <row r="32" spans="1:16" hidden="1" x14ac:dyDescent="0.5">
      <c r="B32" s="17" t="s">
        <v>230</v>
      </c>
      <c r="C32" s="85" t="s">
        <v>302</v>
      </c>
      <c r="D32" s="85">
        <v>99399</v>
      </c>
      <c r="E32" s="111">
        <v>23000</v>
      </c>
      <c r="F32" s="85" t="s">
        <v>287</v>
      </c>
      <c r="G32" s="85" t="s">
        <v>434</v>
      </c>
      <c r="K32" s="28" t="s">
        <v>389</v>
      </c>
      <c r="L32" s="28" t="str">
        <f t="shared" si="4"/>
        <v>REFILL NEW ISOTANK :NTTU1752780</v>
      </c>
    </row>
    <row r="33" spans="1:12" hidden="1" x14ac:dyDescent="0.5">
      <c r="B33" s="17" t="s">
        <v>230</v>
      </c>
      <c r="C33" s="85" t="s">
        <v>306</v>
      </c>
      <c r="D33" s="85">
        <v>99401</v>
      </c>
      <c r="E33" s="111">
        <v>23000</v>
      </c>
      <c r="F33" s="85" t="s">
        <v>327</v>
      </c>
      <c r="G33" s="85" t="s">
        <v>434</v>
      </c>
      <c r="K33" s="28" t="s">
        <v>389</v>
      </c>
      <c r="L33" s="28" t="str">
        <f t="shared" si="4"/>
        <v>REFILL NEW ISOTANK :SJIU2322017</v>
      </c>
    </row>
    <row r="34" spans="1:12" hidden="1" x14ac:dyDescent="0.5">
      <c r="B34" s="17" t="s">
        <v>230</v>
      </c>
      <c r="C34" s="85" t="s">
        <v>306</v>
      </c>
      <c r="D34" s="85">
        <v>99402</v>
      </c>
      <c r="E34" s="111">
        <v>23000</v>
      </c>
      <c r="F34" s="85" t="s">
        <v>164</v>
      </c>
      <c r="G34" s="85" t="s">
        <v>434</v>
      </c>
      <c r="K34" s="28" t="s">
        <v>389</v>
      </c>
      <c r="L34" s="28" t="str">
        <f t="shared" si="4"/>
        <v>REFILL NEW ISOTANK :SJIU2221557</v>
      </c>
    </row>
    <row r="35" spans="1:12" hidden="1" x14ac:dyDescent="0.5">
      <c r="B35" s="17" t="s">
        <v>230</v>
      </c>
      <c r="C35" s="85" t="s">
        <v>306</v>
      </c>
      <c r="D35" s="85">
        <v>99403</v>
      </c>
      <c r="E35" s="111">
        <v>23000</v>
      </c>
      <c r="F35" s="85" t="s">
        <v>195</v>
      </c>
      <c r="G35" s="85" t="s">
        <v>434</v>
      </c>
      <c r="K35" s="28" t="s">
        <v>389</v>
      </c>
      <c r="L35" s="28" t="str">
        <f t="shared" si="4"/>
        <v>REFILL NEW ISOTANK :SJIU2221726</v>
      </c>
    </row>
    <row r="36" spans="1:12" ht="20.5" hidden="1" x14ac:dyDescent="0.45">
      <c r="B36" s="17" t="s">
        <v>230</v>
      </c>
      <c r="C36" s="16" t="s">
        <v>302</v>
      </c>
      <c r="D36" s="16">
        <v>99400</v>
      </c>
      <c r="E36" s="107">
        <v>23000</v>
      </c>
      <c r="F36" s="16" t="s">
        <v>18</v>
      </c>
      <c r="G36" s="16" t="s">
        <v>434</v>
      </c>
      <c r="K36" s="28" t="s">
        <v>389</v>
      </c>
      <c r="L36" s="28" t="str">
        <f t="shared" si="4"/>
        <v>REFILL NEW ISOTANK :DJEU0303662</v>
      </c>
    </row>
    <row r="37" spans="1:12" ht="20.5" hidden="1" x14ac:dyDescent="0.45">
      <c r="B37" s="17" t="s">
        <v>230</v>
      </c>
      <c r="C37" s="16" t="s">
        <v>306</v>
      </c>
      <c r="D37" s="16">
        <v>99397</v>
      </c>
      <c r="E37" s="107">
        <v>23000</v>
      </c>
      <c r="F37" s="16" t="s">
        <v>366</v>
      </c>
      <c r="G37" s="16" t="s">
        <v>434</v>
      </c>
      <c r="K37" s="28" t="s">
        <v>389</v>
      </c>
      <c r="L37" s="28" t="str">
        <f t="shared" si="4"/>
        <v>REFILL NEW ISOTANK :NTTU1753723</v>
      </c>
    </row>
    <row r="38" spans="1:12" ht="20.5" hidden="1" x14ac:dyDescent="0.45">
      <c r="B38" s="17" t="s">
        <v>230</v>
      </c>
      <c r="C38" s="16" t="s">
        <v>306</v>
      </c>
      <c r="D38" s="16">
        <v>99396</v>
      </c>
      <c r="E38" s="107">
        <v>23000</v>
      </c>
      <c r="F38" s="16" t="s">
        <v>232</v>
      </c>
      <c r="G38" s="16" t="s">
        <v>434</v>
      </c>
      <c r="K38" s="28" t="s">
        <v>389</v>
      </c>
      <c r="L38" s="28" t="str">
        <f t="shared" si="4"/>
        <v>REFILL NEW ISOTANK :SJIU2322022</v>
      </c>
    </row>
    <row r="39" spans="1:12" hidden="1" x14ac:dyDescent="0.5">
      <c r="A39" t="s">
        <v>440</v>
      </c>
      <c r="B39" s="17" t="s">
        <v>230</v>
      </c>
      <c r="C39" s="85" t="s">
        <v>302</v>
      </c>
      <c r="D39" s="16">
        <v>99435</v>
      </c>
      <c r="E39" s="107">
        <v>23000</v>
      </c>
      <c r="F39" s="16" t="s">
        <v>184</v>
      </c>
      <c r="G39" s="16" t="s">
        <v>437</v>
      </c>
      <c r="K39" s="28" t="s">
        <v>389</v>
      </c>
      <c r="L39" s="28" t="str">
        <f t="shared" ref="L39:L47" si="5">+K39&amp;F39</f>
        <v>REFILL NEW ISOTANK :DJEU0303873</v>
      </c>
    </row>
    <row r="40" spans="1:12" hidden="1" x14ac:dyDescent="0.5">
      <c r="A40" t="s">
        <v>440</v>
      </c>
      <c r="B40" s="17" t="s">
        <v>230</v>
      </c>
      <c r="C40" s="85" t="s">
        <v>302</v>
      </c>
      <c r="D40" s="16">
        <v>99436</v>
      </c>
      <c r="E40" s="107">
        <v>23000</v>
      </c>
      <c r="F40" s="16" t="s">
        <v>361</v>
      </c>
      <c r="G40" s="16" t="s">
        <v>437</v>
      </c>
      <c r="K40" s="28" t="s">
        <v>389</v>
      </c>
      <c r="L40" s="28" t="str">
        <f t="shared" si="5"/>
        <v>REFILL NEW ISOTANK :NTTU1752727</v>
      </c>
    </row>
    <row r="41" spans="1:12" hidden="1" x14ac:dyDescent="0.5">
      <c r="A41" t="s">
        <v>440</v>
      </c>
      <c r="B41" s="17" t="s">
        <v>230</v>
      </c>
      <c r="C41" s="85" t="s">
        <v>302</v>
      </c>
      <c r="D41" s="16" t="s">
        <v>439</v>
      </c>
      <c r="E41" s="107">
        <v>23000</v>
      </c>
      <c r="F41" s="16" t="s">
        <v>313</v>
      </c>
      <c r="G41" s="16" t="s">
        <v>437</v>
      </c>
      <c r="K41" s="28" t="s">
        <v>389</v>
      </c>
      <c r="L41" s="28" t="str">
        <f t="shared" si="5"/>
        <v>REFILL NEW ISOTANK :NTTU1752732</v>
      </c>
    </row>
    <row r="42" spans="1:12" hidden="1" x14ac:dyDescent="0.5">
      <c r="A42" t="s">
        <v>440</v>
      </c>
      <c r="B42" s="17" t="s">
        <v>230</v>
      </c>
      <c r="C42" s="85" t="s">
        <v>302</v>
      </c>
      <c r="D42" s="16">
        <v>99437</v>
      </c>
      <c r="E42" s="107">
        <v>23000</v>
      </c>
      <c r="F42" s="16" t="s">
        <v>146</v>
      </c>
      <c r="G42" s="16" t="s">
        <v>437</v>
      </c>
      <c r="K42" s="28" t="s">
        <v>389</v>
      </c>
      <c r="L42" s="28" t="str">
        <f t="shared" si="5"/>
        <v>REFILL NEW ISOTANK :DJEU0303615</v>
      </c>
    </row>
    <row r="43" spans="1:12" hidden="1" x14ac:dyDescent="0.5">
      <c r="A43" t="s">
        <v>440</v>
      </c>
      <c r="B43" s="17" t="s">
        <v>230</v>
      </c>
      <c r="C43" s="85" t="s">
        <v>302</v>
      </c>
      <c r="D43" s="16">
        <v>99438</v>
      </c>
      <c r="E43" s="107">
        <v>23000</v>
      </c>
      <c r="F43" s="16" t="s">
        <v>336</v>
      </c>
      <c r="G43" s="16" t="s">
        <v>437</v>
      </c>
      <c r="K43" s="28" t="s">
        <v>389</v>
      </c>
      <c r="L43" s="28" t="str">
        <f t="shared" si="5"/>
        <v>REFILL NEW ISOTANK :NTTU1752687</v>
      </c>
    </row>
    <row r="44" spans="1:12" hidden="1" x14ac:dyDescent="0.5">
      <c r="A44" t="s">
        <v>440</v>
      </c>
      <c r="B44" s="17" t="s">
        <v>230</v>
      </c>
      <c r="C44" s="85" t="s">
        <v>302</v>
      </c>
      <c r="D44" s="16">
        <v>99439</v>
      </c>
      <c r="E44" s="107">
        <v>23000</v>
      </c>
      <c r="F44" s="16" t="s">
        <v>99</v>
      </c>
      <c r="G44" s="16" t="s">
        <v>437</v>
      </c>
      <c r="K44" s="28" t="s">
        <v>389</v>
      </c>
      <c r="L44" s="28" t="str">
        <f t="shared" si="5"/>
        <v>REFILL NEW ISOTANK :DJEU0303739</v>
      </c>
    </row>
    <row r="45" spans="1:12" hidden="1" x14ac:dyDescent="0.5">
      <c r="A45" t="s">
        <v>440</v>
      </c>
      <c r="B45" s="17" t="s">
        <v>230</v>
      </c>
      <c r="C45" s="85" t="s">
        <v>302</v>
      </c>
      <c r="D45" s="16">
        <v>99440</v>
      </c>
      <c r="E45" s="107">
        <v>23000</v>
      </c>
      <c r="F45" s="16" t="s">
        <v>286</v>
      </c>
      <c r="G45" s="16" t="s">
        <v>437</v>
      </c>
      <c r="K45" s="28" t="s">
        <v>389</v>
      </c>
      <c r="L45" s="28" t="str">
        <f t="shared" si="5"/>
        <v>REFILL NEW ISOTANK :NTTU1752753</v>
      </c>
    </row>
    <row r="46" spans="1:12" hidden="1" x14ac:dyDescent="0.5">
      <c r="A46" t="s">
        <v>440</v>
      </c>
      <c r="B46" s="17" t="s">
        <v>230</v>
      </c>
      <c r="C46" s="85" t="s">
        <v>302</v>
      </c>
      <c r="D46" s="16">
        <v>99441</v>
      </c>
      <c r="E46" s="107">
        <v>23000</v>
      </c>
      <c r="F46" s="16" t="s">
        <v>141</v>
      </c>
      <c r="G46" s="16" t="s">
        <v>437</v>
      </c>
      <c r="K46" s="28" t="s">
        <v>389</v>
      </c>
      <c r="L46" s="28" t="str">
        <f t="shared" si="5"/>
        <v>REFILL NEW ISOTANK :DJEU0303786</v>
      </c>
    </row>
    <row r="47" spans="1:12" hidden="1" x14ac:dyDescent="0.5">
      <c r="A47" t="s">
        <v>440</v>
      </c>
      <c r="B47" s="17" t="s">
        <v>230</v>
      </c>
      <c r="C47" s="85" t="s">
        <v>302</v>
      </c>
      <c r="D47" s="16">
        <v>99442</v>
      </c>
      <c r="E47" s="107">
        <v>23000</v>
      </c>
      <c r="F47" s="16" t="s">
        <v>157</v>
      </c>
      <c r="G47" s="16" t="s">
        <v>437</v>
      </c>
      <c r="K47" s="28" t="s">
        <v>389</v>
      </c>
      <c r="L47" s="28" t="str">
        <f t="shared" si="5"/>
        <v>REFILL NEW ISOTANK :DJEU0303770</v>
      </c>
    </row>
    <row r="48" spans="1:12" hidden="1" x14ac:dyDescent="0.5">
      <c r="A48" t="s">
        <v>441</v>
      </c>
      <c r="B48" s="17" t="s">
        <v>230</v>
      </c>
      <c r="C48" s="85" t="s">
        <v>306</v>
      </c>
      <c r="D48" s="85">
        <v>99443</v>
      </c>
      <c r="E48" s="107">
        <v>23000</v>
      </c>
      <c r="F48" s="85" t="s">
        <v>233</v>
      </c>
      <c r="G48" s="16" t="s">
        <v>437</v>
      </c>
      <c r="K48" s="28" t="s">
        <v>389</v>
      </c>
      <c r="L48" s="28" t="str">
        <f t="shared" ref="L48" si="6">+K48&amp;F48</f>
        <v>REFILL NEW ISOTANK :SJIU2322038</v>
      </c>
    </row>
    <row r="49" spans="1:12" hidden="1" x14ac:dyDescent="0.5">
      <c r="A49" s="203" t="s">
        <v>327</v>
      </c>
      <c r="B49" s="17" t="s">
        <v>230</v>
      </c>
      <c r="C49" s="201" t="s">
        <v>302</v>
      </c>
      <c r="D49" s="204">
        <v>99401</v>
      </c>
      <c r="E49" s="107">
        <v>23000</v>
      </c>
      <c r="F49" s="85" t="s">
        <v>327</v>
      </c>
      <c r="G49" s="16" t="s">
        <v>443</v>
      </c>
      <c r="K49" s="28" t="s">
        <v>389</v>
      </c>
      <c r="L49" s="28" t="str">
        <f t="shared" ref="L49:L71" si="7">+K49&amp;F49</f>
        <v>REFILL NEW ISOTANK :SJIU2322017</v>
      </c>
    </row>
    <row r="50" spans="1:12" hidden="1" x14ac:dyDescent="0.5">
      <c r="A50" s="197" t="s">
        <v>30</v>
      </c>
      <c r="B50" s="17" t="s">
        <v>230</v>
      </c>
      <c r="C50" s="86" t="s">
        <v>306</v>
      </c>
      <c r="D50" s="85">
        <v>99395</v>
      </c>
      <c r="E50" s="107">
        <v>23000</v>
      </c>
      <c r="F50" s="85" t="s">
        <v>30</v>
      </c>
      <c r="G50" s="16" t="s">
        <v>443</v>
      </c>
      <c r="K50" s="28" t="s">
        <v>389</v>
      </c>
      <c r="L50" s="28" t="str">
        <f t="shared" si="7"/>
        <v>REFILL NEW ISOTANK :SJIU2001260</v>
      </c>
    </row>
    <row r="51" spans="1:12" hidden="1" x14ac:dyDescent="0.5">
      <c r="A51" s="203" t="s">
        <v>164</v>
      </c>
      <c r="B51" s="17" t="s">
        <v>230</v>
      </c>
      <c r="C51" s="201" t="s">
        <v>302</v>
      </c>
      <c r="D51" s="85">
        <v>99402</v>
      </c>
      <c r="E51" s="107">
        <v>23000</v>
      </c>
      <c r="F51" s="85" t="s">
        <v>164</v>
      </c>
      <c r="G51" s="16" t="s">
        <v>443</v>
      </c>
      <c r="K51" s="28" t="s">
        <v>389</v>
      </c>
      <c r="L51" s="28" t="str">
        <f t="shared" si="7"/>
        <v>REFILL NEW ISOTANK :SJIU2221557</v>
      </c>
    </row>
    <row r="52" spans="1:12" hidden="1" x14ac:dyDescent="0.5">
      <c r="A52" s="203" t="s">
        <v>195</v>
      </c>
      <c r="B52" s="17" t="s">
        <v>230</v>
      </c>
      <c r="C52" s="201" t="s">
        <v>302</v>
      </c>
      <c r="D52" s="85">
        <v>99403</v>
      </c>
      <c r="E52" s="107">
        <v>23000</v>
      </c>
      <c r="F52" s="85" t="s">
        <v>195</v>
      </c>
      <c r="G52" s="16" t="s">
        <v>443</v>
      </c>
      <c r="K52" s="28" t="s">
        <v>389</v>
      </c>
      <c r="L52" s="28" t="str">
        <f t="shared" si="7"/>
        <v>REFILL NEW ISOTANK :SJIU2221726</v>
      </c>
    </row>
    <row r="53" spans="1:12" hidden="1" x14ac:dyDescent="0.5">
      <c r="A53" s="197" t="s">
        <v>232</v>
      </c>
      <c r="B53" s="17" t="s">
        <v>230</v>
      </c>
      <c r="C53" s="86" t="s">
        <v>306</v>
      </c>
      <c r="D53" s="85">
        <v>99396</v>
      </c>
      <c r="E53" s="107">
        <v>23000</v>
      </c>
      <c r="F53" s="85" t="s">
        <v>232</v>
      </c>
      <c r="G53" s="16" t="s">
        <v>443</v>
      </c>
      <c r="K53" s="28" t="s">
        <v>389</v>
      </c>
      <c r="L53" s="28" t="str">
        <f t="shared" si="7"/>
        <v>REFILL NEW ISOTANK :SJIU2322022</v>
      </c>
    </row>
    <row r="54" spans="1:12" hidden="1" x14ac:dyDescent="0.5">
      <c r="A54" s="197" t="s">
        <v>366</v>
      </c>
      <c r="B54" s="17" t="s">
        <v>230</v>
      </c>
      <c r="C54" s="86" t="s">
        <v>306</v>
      </c>
      <c r="D54" s="85">
        <v>99397</v>
      </c>
      <c r="E54" s="107">
        <v>23000</v>
      </c>
      <c r="F54" s="85" t="s">
        <v>366</v>
      </c>
      <c r="G54" s="16" t="s">
        <v>443</v>
      </c>
      <c r="K54" s="28" t="s">
        <v>389</v>
      </c>
      <c r="L54" s="28" t="str">
        <f t="shared" si="7"/>
        <v>REFILL NEW ISOTANK :NTTU1753723</v>
      </c>
    </row>
    <row r="55" spans="1:12" ht="42" hidden="1" x14ac:dyDescent="0.5">
      <c r="A55" s="73" t="s">
        <v>22</v>
      </c>
      <c r="B55" s="17" t="s">
        <v>230</v>
      </c>
      <c r="C55" s="86" t="s">
        <v>306</v>
      </c>
      <c r="D55" s="85">
        <v>99398</v>
      </c>
      <c r="E55" s="107">
        <v>23000</v>
      </c>
      <c r="F55" s="211" t="s">
        <v>445</v>
      </c>
      <c r="G55" s="16" t="s">
        <v>443</v>
      </c>
      <c r="K55" s="28" t="s">
        <v>389</v>
      </c>
      <c r="L55" s="28" t="str">
        <f t="shared" si="7"/>
        <v>REFILL NEW ISOTANK :DJEU0303600/ Replace DJEU0303641</v>
      </c>
    </row>
    <row r="56" spans="1:12" hidden="1" x14ac:dyDescent="0.5">
      <c r="A56" s="202" t="s">
        <v>52</v>
      </c>
      <c r="B56" s="17" t="s">
        <v>230</v>
      </c>
      <c r="C56" s="201" t="s">
        <v>302</v>
      </c>
      <c r="D56" s="85">
        <v>99404</v>
      </c>
      <c r="E56" s="107">
        <v>23000</v>
      </c>
      <c r="F56" s="85" t="s">
        <v>52</v>
      </c>
      <c r="G56" s="16" t="s">
        <v>443</v>
      </c>
      <c r="K56" s="28" t="s">
        <v>389</v>
      </c>
      <c r="L56" s="28" t="str">
        <f t="shared" si="7"/>
        <v>REFILL NEW ISOTANK :DJEU0303702</v>
      </c>
    </row>
    <row r="57" spans="1:12" hidden="1" x14ac:dyDescent="0.5">
      <c r="A57" s="203" t="s">
        <v>287</v>
      </c>
      <c r="B57" s="17" t="s">
        <v>230</v>
      </c>
      <c r="C57" s="86" t="s">
        <v>306</v>
      </c>
      <c r="D57" s="85">
        <v>99399</v>
      </c>
      <c r="E57" s="107">
        <v>23000</v>
      </c>
      <c r="F57" s="85" t="s">
        <v>287</v>
      </c>
      <c r="G57" s="16" t="s">
        <v>443</v>
      </c>
      <c r="K57" s="28" t="s">
        <v>389</v>
      </c>
      <c r="L57" s="28" t="str">
        <f t="shared" si="7"/>
        <v>REFILL NEW ISOTANK :NTTU1752780</v>
      </c>
    </row>
    <row r="58" spans="1:12" hidden="1" x14ac:dyDescent="0.5">
      <c r="A58" s="203" t="s">
        <v>18</v>
      </c>
      <c r="B58" s="17" t="s">
        <v>230</v>
      </c>
      <c r="C58" s="86" t="s">
        <v>306</v>
      </c>
      <c r="D58" s="85">
        <v>99400</v>
      </c>
      <c r="E58" s="107">
        <v>23000</v>
      </c>
      <c r="F58" s="85" t="s">
        <v>18</v>
      </c>
      <c r="G58" s="16" t="s">
        <v>443</v>
      </c>
      <c r="K58" s="28" t="s">
        <v>389</v>
      </c>
      <c r="L58" s="28" t="str">
        <f t="shared" si="7"/>
        <v>REFILL NEW ISOTANK :DJEU0303662</v>
      </c>
    </row>
    <row r="59" spans="1:12" hidden="1" x14ac:dyDescent="0.5">
      <c r="B59" s="17" t="s">
        <v>230</v>
      </c>
      <c r="C59" s="85" t="s">
        <v>306</v>
      </c>
      <c r="D59" s="85">
        <v>99614</v>
      </c>
      <c r="E59" s="85">
        <v>23000</v>
      </c>
      <c r="F59" s="85" t="s">
        <v>192</v>
      </c>
      <c r="G59" s="85" t="s">
        <v>444</v>
      </c>
      <c r="K59" s="28" t="s">
        <v>389</v>
      </c>
      <c r="L59" s="28" t="str">
        <f t="shared" si="7"/>
        <v>REFILL NEW ISOTANK :SJIU2221691</v>
      </c>
    </row>
    <row r="60" spans="1:12" hidden="1" x14ac:dyDescent="0.5">
      <c r="B60" s="17" t="s">
        <v>230</v>
      </c>
      <c r="C60" s="218" t="s">
        <v>302</v>
      </c>
      <c r="D60" s="218">
        <v>99615</v>
      </c>
      <c r="E60" s="85">
        <v>23000</v>
      </c>
      <c r="F60" s="85" t="s">
        <v>174</v>
      </c>
      <c r="G60" s="85" t="s">
        <v>444</v>
      </c>
      <c r="K60" s="28" t="s">
        <v>389</v>
      </c>
      <c r="L60" s="28" t="str">
        <f t="shared" si="7"/>
        <v>REFILL NEW ISOTANK :DJEU0303868</v>
      </c>
    </row>
    <row r="61" spans="1:12" hidden="1" x14ac:dyDescent="0.5">
      <c r="B61" s="17" t="s">
        <v>230</v>
      </c>
      <c r="C61" s="85" t="s">
        <v>306</v>
      </c>
      <c r="D61" s="85">
        <v>99616</v>
      </c>
      <c r="E61" s="85">
        <v>23000</v>
      </c>
      <c r="F61" s="85" t="s">
        <v>335</v>
      </c>
      <c r="G61" s="85" t="s">
        <v>444</v>
      </c>
      <c r="K61" s="28" t="s">
        <v>389</v>
      </c>
      <c r="L61" s="28" t="str">
        <f t="shared" si="7"/>
        <v>REFILL NEW ISOTANK :SJIU2322090</v>
      </c>
    </row>
    <row r="62" spans="1:12" hidden="1" x14ac:dyDescent="0.5">
      <c r="B62" s="17" t="s">
        <v>230</v>
      </c>
      <c r="C62" s="218" t="s">
        <v>302</v>
      </c>
      <c r="D62" s="201">
        <v>99623</v>
      </c>
      <c r="E62" s="201">
        <v>23000</v>
      </c>
      <c r="F62" s="201" t="s">
        <v>162</v>
      </c>
      <c r="G62" s="85" t="s">
        <v>444</v>
      </c>
      <c r="K62" s="28" t="s">
        <v>389</v>
      </c>
      <c r="L62" s="28" t="str">
        <f t="shared" si="7"/>
        <v>REFILL NEW ISOTANK :DJEU0303805</v>
      </c>
    </row>
    <row r="63" spans="1:12" hidden="1" x14ac:dyDescent="0.5">
      <c r="B63" s="17" t="s">
        <v>230</v>
      </c>
      <c r="C63" s="218" t="s">
        <v>302</v>
      </c>
      <c r="D63" s="201">
        <v>99624</v>
      </c>
      <c r="E63" s="201">
        <v>23000</v>
      </c>
      <c r="F63" s="201" t="s">
        <v>227</v>
      </c>
      <c r="G63" s="85" t="s">
        <v>444</v>
      </c>
      <c r="K63" s="28" t="s">
        <v>389</v>
      </c>
      <c r="L63" s="28" t="str">
        <f t="shared" si="7"/>
        <v>REFILL NEW ISOTANK :DJEU0303908</v>
      </c>
    </row>
    <row r="64" spans="1:12" hidden="1" x14ac:dyDescent="0.5">
      <c r="B64" s="17" t="s">
        <v>230</v>
      </c>
      <c r="C64" s="218" t="s">
        <v>302</v>
      </c>
      <c r="D64" s="201">
        <v>99625</v>
      </c>
      <c r="E64" s="201">
        <v>23000</v>
      </c>
      <c r="F64" s="201" t="s">
        <v>175</v>
      </c>
      <c r="G64" s="85" t="s">
        <v>444</v>
      </c>
      <c r="K64" s="28" t="s">
        <v>389</v>
      </c>
      <c r="L64" s="28" t="str">
        <f t="shared" si="7"/>
        <v>REFILL NEW ISOTANK :DJEU0303852</v>
      </c>
    </row>
    <row r="65" spans="1:13" hidden="1" x14ac:dyDescent="0.5">
      <c r="B65" s="17" t="s">
        <v>230</v>
      </c>
      <c r="C65" s="85" t="s">
        <v>306</v>
      </c>
      <c r="D65" s="85">
        <v>99617</v>
      </c>
      <c r="E65" s="85">
        <v>23000</v>
      </c>
      <c r="F65" s="85" t="s">
        <v>362</v>
      </c>
      <c r="G65" s="85" t="s">
        <v>444</v>
      </c>
      <c r="K65" s="28" t="s">
        <v>389</v>
      </c>
      <c r="L65" s="28" t="str">
        <f t="shared" si="7"/>
        <v>REFILL NEW ISOTANK :NTTU1753699</v>
      </c>
    </row>
    <row r="66" spans="1:13" hidden="1" x14ac:dyDescent="0.5">
      <c r="B66" s="17" t="s">
        <v>230</v>
      </c>
      <c r="C66" s="85" t="s">
        <v>306</v>
      </c>
      <c r="D66" s="85">
        <v>99618</v>
      </c>
      <c r="E66" s="85">
        <v>23000</v>
      </c>
      <c r="F66" s="85" t="s">
        <v>263</v>
      </c>
      <c r="G66" s="85" t="s">
        <v>444</v>
      </c>
      <c r="K66" s="28" t="s">
        <v>389</v>
      </c>
      <c r="L66" s="28" t="str">
        <f>+K66&amp;F66</f>
        <v>REFILL NEW ISOTANK :SJIU2322001</v>
      </c>
    </row>
    <row r="67" spans="1:13" hidden="1" x14ac:dyDescent="0.5">
      <c r="B67" s="17" t="s">
        <v>230</v>
      </c>
      <c r="C67" s="85" t="s">
        <v>306</v>
      </c>
      <c r="D67" s="85">
        <v>99619</v>
      </c>
      <c r="E67" s="85">
        <v>23000</v>
      </c>
      <c r="F67" s="85" t="s">
        <v>160</v>
      </c>
      <c r="G67" s="85" t="s">
        <v>444</v>
      </c>
      <c r="K67" s="28" t="s">
        <v>389</v>
      </c>
      <c r="L67" s="28" t="str">
        <f t="shared" si="7"/>
        <v>REFILL NEW ISOTANK :SJIU2221541</v>
      </c>
    </row>
    <row r="68" spans="1:13" hidden="1" x14ac:dyDescent="0.5">
      <c r="B68" s="17" t="s">
        <v>230</v>
      </c>
      <c r="C68" s="85" t="s">
        <v>306</v>
      </c>
      <c r="D68" s="85">
        <v>99620</v>
      </c>
      <c r="E68" s="85">
        <v>23000</v>
      </c>
      <c r="F68" s="85" t="s">
        <v>194</v>
      </c>
      <c r="G68" s="85" t="s">
        <v>444</v>
      </c>
      <c r="K68" s="28" t="s">
        <v>389</v>
      </c>
      <c r="L68" s="28" t="str">
        <f t="shared" si="7"/>
        <v>REFILL NEW ISOTANK :SJIU2221710</v>
      </c>
    </row>
    <row r="69" spans="1:13" hidden="1" x14ac:dyDescent="0.5">
      <c r="B69" s="17" t="s">
        <v>230</v>
      </c>
      <c r="C69" s="85" t="s">
        <v>306</v>
      </c>
      <c r="D69" s="85">
        <v>99622</v>
      </c>
      <c r="E69" s="85">
        <v>23000</v>
      </c>
      <c r="F69" s="85" t="s">
        <v>161</v>
      </c>
      <c r="G69" s="85" t="s">
        <v>444</v>
      </c>
      <c r="K69" s="28" t="s">
        <v>389</v>
      </c>
      <c r="L69" s="28" t="str">
        <f t="shared" si="7"/>
        <v>REFILL NEW ISOTANK :SJIU2221536</v>
      </c>
    </row>
    <row r="70" spans="1:13" hidden="1" x14ac:dyDescent="0.5">
      <c r="B70" s="17" t="s">
        <v>230</v>
      </c>
      <c r="C70" s="85" t="s">
        <v>380</v>
      </c>
      <c r="D70" s="111" t="s">
        <v>395</v>
      </c>
      <c r="E70" s="111" t="s">
        <v>395</v>
      </c>
      <c r="F70" s="85" t="s">
        <v>402</v>
      </c>
      <c r="G70" s="85" t="s">
        <v>436</v>
      </c>
      <c r="K70" s="28" t="s">
        <v>389</v>
      </c>
      <c r="L70" s="28" t="str">
        <f t="shared" si="7"/>
        <v>REFILL NEW ISOTANK :SJIU2422675</v>
      </c>
    </row>
    <row r="71" spans="1:13" hidden="1" x14ac:dyDescent="0.5">
      <c r="B71" s="17" t="s">
        <v>230</v>
      </c>
      <c r="C71" s="85" t="s">
        <v>380</v>
      </c>
      <c r="D71" s="111" t="s">
        <v>395</v>
      </c>
      <c r="E71" s="111" t="s">
        <v>395</v>
      </c>
      <c r="F71" s="85" t="s">
        <v>403</v>
      </c>
      <c r="G71" s="85" t="s">
        <v>436</v>
      </c>
      <c r="K71" s="28" t="s">
        <v>389</v>
      </c>
      <c r="L71" s="28" t="str">
        <f t="shared" si="7"/>
        <v>REFILL NEW ISOTANK :SJIU2422680</v>
      </c>
    </row>
    <row r="72" spans="1:13" hidden="1" x14ac:dyDescent="0.5">
      <c r="A72" t="str">
        <f t="shared" ref="A72:A87" si="8">TRIM(F72)</f>
        <v>DJEU0303699</v>
      </c>
      <c r="B72" s="17" t="s">
        <v>230</v>
      </c>
      <c r="C72" s="84" t="s">
        <v>302</v>
      </c>
      <c r="D72" s="85">
        <v>100382</v>
      </c>
      <c r="E72" s="85">
        <v>23000</v>
      </c>
      <c r="F72" s="266" t="s">
        <v>54</v>
      </c>
      <c r="G72" s="85" t="s">
        <v>448</v>
      </c>
      <c r="K72" s="28" t="s">
        <v>389</v>
      </c>
      <c r="L72" s="28" t="str">
        <f t="shared" ref="L72:L87" si="9">+K72&amp;F72</f>
        <v>REFILL NEW ISOTANK :DJEU0303699</v>
      </c>
      <c r="M72" t="s">
        <v>441</v>
      </c>
    </row>
    <row r="73" spans="1:13" hidden="1" x14ac:dyDescent="0.5">
      <c r="A73" t="str">
        <f t="shared" si="8"/>
        <v>NTTU1752795</v>
      </c>
      <c r="B73" s="17" t="s">
        <v>230</v>
      </c>
      <c r="C73" s="84" t="s">
        <v>302</v>
      </c>
      <c r="D73" s="85">
        <v>100381</v>
      </c>
      <c r="E73" s="85">
        <v>23000</v>
      </c>
      <c r="F73" s="266" t="s">
        <v>290</v>
      </c>
      <c r="G73" s="85" t="s">
        <v>448</v>
      </c>
      <c r="K73" s="28" t="s">
        <v>389</v>
      </c>
      <c r="L73" s="28" t="str">
        <f t="shared" si="9"/>
        <v>REFILL NEW ISOTANK :NTTU1752795</v>
      </c>
      <c r="M73" t="s">
        <v>441</v>
      </c>
    </row>
    <row r="74" spans="1:13" hidden="1" x14ac:dyDescent="0.5">
      <c r="A74" t="str">
        <f t="shared" si="8"/>
        <v>SJIU2221578</v>
      </c>
      <c r="B74" s="17" t="s">
        <v>230</v>
      </c>
      <c r="C74" s="85" t="s">
        <v>306</v>
      </c>
      <c r="D74" s="85">
        <v>99997</v>
      </c>
      <c r="E74" s="85">
        <v>23000</v>
      </c>
      <c r="F74" s="85" t="s">
        <v>163</v>
      </c>
      <c r="G74" s="85" t="s">
        <v>448</v>
      </c>
      <c r="K74" s="28" t="s">
        <v>389</v>
      </c>
      <c r="L74" s="28" t="str">
        <f t="shared" si="9"/>
        <v>REFILL NEW ISOTANK :SJIU2221578</v>
      </c>
      <c r="M74" t="s">
        <v>441</v>
      </c>
    </row>
    <row r="75" spans="1:13" hidden="1" x14ac:dyDescent="0.5">
      <c r="A75" t="str">
        <f t="shared" si="8"/>
        <v>SJIU2221705</v>
      </c>
      <c r="B75" s="17" t="s">
        <v>230</v>
      </c>
      <c r="C75" s="85" t="s">
        <v>306</v>
      </c>
      <c r="D75" s="213">
        <v>99998</v>
      </c>
      <c r="E75" s="85">
        <v>23000</v>
      </c>
      <c r="F75" s="85" t="s">
        <v>193</v>
      </c>
      <c r="G75" s="85" t="s">
        <v>448</v>
      </c>
      <c r="K75" s="28" t="s">
        <v>389</v>
      </c>
      <c r="L75" s="28" t="str">
        <f t="shared" si="9"/>
        <v>REFILL NEW ISOTANK :SJIU2221705</v>
      </c>
      <c r="M75" t="s">
        <v>441</v>
      </c>
    </row>
    <row r="76" spans="1:13" hidden="1" x14ac:dyDescent="0.5">
      <c r="A76" t="str">
        <f t="shared" si="8"/>
        <v>NTTU1753750</v>
      </c>
      <c r="B76" s="17" t="s">
        <v>230</v>
      </c>
      <c r="C76" s="85" t="s">
        <v>306</v>
      </c>
      <c r="D76" s="213">
        <v>99999</v>
      </c>
      <c r="E76" s="85">
        <v>23000</v>
      </c>
      <c r="F76" s="85" t="s">
        <v>368</v>
      </c>
      <c r="G76" s="85" t="s">
        <v>448</v>
      </c>
      <c r="K76" s="28" t="s">
        <v>389</v>
      </c>
      <c r="L76" s="28" t="str">
        <f t="shared" si="9"/>
        <v>REFILL NEW ISOTANK :NTTU1753750</v>
      </c>
      <c r="M76" t="s">
        <v>440</v>
      </c>
    </row>
    <row r="77" spans="1:13" hidden="1" x14ac:dyDescent="0.5">
      <c r="A77" t="str">
        <f t="shared" si="8"/>
        <v>SJIU2322043</v>
      </c>
      <c r="B77" s="17" t="s">
        <v>230</v>
      </c>
      <c r="C77" s="85" t="s">
        <v>306</v>
      </c>
      <c r="D77" s="213">
        <v>100000</v>
      </c>
      <c r="E77" s="85">
        <v>23000</v>
      </c>
      <c r="F77" s="85" t="s">
        <v>341</v>
      </c>
      <c r="G77" s="85" t="s">
        <v>448</v>
      </c>
      <c r="K77" s="28" t="s">
        <v>389</v>
      </c>
      <c r="L77" s="28" t="str">
        <f t="shared" si="9"/>
        <v>REFILL NEW ISOTANK :SJIU2322043</v>
      </c>
      <c r="M77" t="s">
        <v>440</v>
      </c>
    </row>
    <row r="78" spans="1:13" hidden="1" x14ac:dyDescent="0.5">
      <c r="A78" t="str">
        <f t="shared" si="8"/>
        <v>DJEU0303929</v>
      </c>
      <c r="B78" s="17" t="s">
        <v>230</v>
      </c>
      <c r="C78" s="219" t="s">
        <v>302</v>
      </c>
      <c r="D78" s="201">
        <v>100006</v>
      </c>
      <c r="E78" s="85">
        <v>23000</v>
      </c>
      <c r="F78" s="85" t="s">
        <v>253</v>
      </c>
      <c r="G78" s="85" t="s">
        <v>448</v>
      </c>
      <c r="K78" s="28" t="s">
        <v>389</v>
      </c>
      <c r="L78" s="28" t="str">
        <f t="shared" si="9"/>
        <v>REFILL NEW ISOTANK :DJEU0303929</v>
      </c>
      <c r="M78" t="s">
        <v>441</v>
      </c>
    </row>
    <row r="79" spans="1:13" hidden="1" x14ac:dyDescent="0.5">
      <c r="A79" t="str">
        <f t="shared" si="8"/>
        <v>DJEU0303913</v>
      </c>
      <c r="B79" s="17" t="s">
        <v>230</v>
      </c>
      <c r="C79" s="219" t="s">
        <v>302</v>
      </c>
      <c r="D79" s="201">
        <v>100007</v>
      </c>
      <c r="E79" s="85">
        <v>23000</v>
      </c>
      <c r="F79" s="85" t="s">
        <v>242</v>
      </c>
      <c r="G79" s="85" t="s">
        <v>448</v>
      </c>
      <c r="K79" s="28" t="s">
        <v>389</v>
      </c>
      <c r="L79" s="28" t="str">
        <f t="shared" si="9"/>
        <v>REFILL NEW ISOTANK :DJEU0303913</v>
      </c>
      <c r="M79" t="s">
        <v>441</v>
      </c>
    </row>
    <row r="80" spans="1:13" hidden="1" x14ac:dyDescent="0.5">
      <c r="A80" t="str">
        <f t="shared" si="8"/>
        <v>NTTU1753765</v>
      </c>
      <c r="B80" s="17" t="s">
        <v>230</v>
      </c>
      <c r="C80" s="85" t="s">
        <v>306</v>
      </c>
      <c r="D80" s="85">
        <v>100001</v>
      </c>
      <c r="E80" s="85">
        <v>23000</v>
      </c>
      <c r="F80" s="85" t="s">
        <v>367</v>
      </c>
      <c r="G80" s="85" t="s">
        <v>448</v>
      </c>
      <c r="K80" s="28" t="s">
        <v>389</v>
      </c>
      <c r="L80" s="28" t="str">
        <f t="shared" si="9"/>
        <v>REFILL NEW ISOTANK :NTTU1753765</v>
      </c>
      <c r="M80" t="s">
        <v>441</v>
      </c>
    </row>
    <row r="81" spans="1:13" hidden="1" x14ac:dyDescent="0.5">
      <c r="A81" t="str">
        <f t="shared" si="8"/>
        <v>SJIU2322059</v>
      </c>
      <c r="B81" s="17" t="s">
        <v>230</v>
      </c>
      <c r="C81" s="85" t="s">
        <v>306</v>
      </c>
      <c r="D81" s="85">
        <v>100002</v>
      </c>
      <c r="E81" s="85">
        <v>23000</v>
      </c>
      <c r="F81" s="85" t="s">
        <v>256</v>
      </c>
      <c r="G81" s="85" t="s">
        <v>448</v>
      </c>
      <c r="K81" s="28" t="s">
        <v>389</v>
      </c>
      <c r="L81" s="28" t="str">
        <f t="shared" si="9"/>
        <v>REFILL NEW ISOTANK :SJIU2322059</v>
      </c>
      <c r="M81" t="s">
        <v>441</v>
      </c>
    </row>
    <row r="82" spans="1:13" hidden="1" x14ac:dyDescent="0.5">
      <c r="A82" t="str">
        <f t="shared" si="8"/>
        <v>SJIU2322064</v>
      </c>
      <c r="B82" s="17" t="s">
        <v>230</v>
      </c>
      <c r="C82" s="85" t="s">
        <v>306</v>
      </c>
      <c r="D82" s="85">
        <v>100003</v>
      </c>
      <c r="E82" s="85">
        <v>23000</v>
      </c>
      <c r="F82" s="85" t="s">
        <v>262</v>
      </c>
      <c r="G82" s="85" t="s">
        <v>448</v>
      </c>
      <c r="K82" s="28" t="s">
        <v>389</v>
      </c>
      <c r="L82" s="28" t="str">
        <f t="shared" si="9"/>
        <v>REFILL NEW ISOTANK :SJIU2322064</v>
      </c>
      <c r="M82" t="s">
        <v>441</v>
      </c>
    </row>
    <row r="83" spans="1:13" hidden="1" x14ac:dyDescent="0.5">
      <c r="A83" t="str">
        <f t="shared" si="8"/>
        <v>SJIU2001275</v>
      </c>
      <c r="B83" s="17" t="s">
        <v>230</v>
      </c>
      <c r="C83" s="85" t="s">
        <v>306</v>
      </c>
      <c r="D83" s="85">
        <v>100004</v>
      </c>
      <c r="E83" s="85">
        <v>23000</v>
      </c>
      <c r="F83" s="85" t="s">
        <v>31</v>
      </c>
      <c r="G83" s="85" t="s">
        <v>448</v>
      </c>
      <c r="K83" s="28" t="s">
        <v>389</v>
      </c>
      <c r="L83" s="28" t="str">
        <f t="shared" si="9"/>
        <v>REFILL NEW ISOTANK :SJIU2001275</v>
      </c>
      <c r="M83" t="s">
        <v>440</v>
      </c>
    </row>
    <row r="84" spans="1:13" hidden="1" x14ac:dyDescent="0.5">
      <c r="A84" t="str">
        <f t="shared" si="8"/>
        <v>SJIU2322085</v>
      </c>
      <c r="B84" s="17" t="s">
        <v>230</v>
      </c>
      <c r="C84" s="85" t="s">
        <v>306</v>
      </c>
      <c r="D84" s="85">
        <v>100005</v>
      </c>
      <c r="E84" s="85">
        <v>23000</v>
      </c>
      <c r="F84" s="85" t="s">
        <v>342</v>
      </c>
      <c r="G84" s="85" t="s">
        <v>448</v>
      </c>
      <c r="K84" s="28" t="s">
        <v>389</v>
      </c>
      <c r="L84" s="28" t="str">
        <f t="shared" si="9"/>
        <v>REFILL NEW ISOTANK :SJIU2322085</v>
      </c>
      <c r="M84" t="s">
        <v>440</v>
      </c>
    </row>
    <row r="85" spans="1:13" hidden="1" x14ac:dyDescent="0.5">
      <c r="A85" t="str">
        <f t="shared" si="8"/>
        <v>NTTU1752748</v>
      </c>
      <c r="B85" s="17" t="s">
        <v>230</v>
      </c>
      <c r="C85" s="219" t="s">
        <v>302</v>
      </c>
      <c r="D85" s="201">
        <v>100008</v>
      </c>
      <c r="E85" s="85">
        <v>23000</v>
      </c>
      <c r="F85" s="85" t="s">
        <v>300</v>
      </c>
      <c r="G85" s="85" t="s">
        <v>448</v>
      </c>
      <c r="K85" s="28" t="s">
        <v>389</v>
      </c>
      <c r="L85" s="28" t="str">
        <f t="shared" si="9"/>
        <v>REFILL NEW ISOTANK :NTTU1752748</v>
      </c>
      <c r="M85" t="s">
        <v>440</v>
      </c>
    </row>
    <row r="86" spans="1:13" hidden="1" x14ac:dyDescent="0.5">
      <c r="A86" t="str">
        <f t="shared" si="8"/>
        <v>DJEU0303791</v>
      </c>
      <c r="B86" s="17" t="s">
        <v>230</v>
      </c>
      <c r="C86" s="85" t="s">
        <v>306</v>
      </c>
      <c r="D86" s="85">
        <v>100010</v>
      </c>
      <c r="E86" s="85">
        <v>23000</v>
      </c>
      <c r="F86" s="85" t="s">
        <v>151</v>
      </c>
      <c r="G86" s="85" t="s">
        <v>448</v>
      </c>
      <c r="K86" s="28" t="s">
        <v>389</v>
      </c>
      <c r="L86" s="28" t="str">
        <f t="shared" si="9"/>
        <v>REFILL NEW ISOTANK :DJEU0303791</v>
      </c>
      <c r="M86" t="s">
        <v>440</v>
      </c>
    </row>
    <row r="87" spans="1:13" hidden="1" x14ac:dyDescent="0.5">
      <c r="A87" t="str">
        <f t="shared" si="8"/>
        <v>DJEU0303765</v>
      </c>
      <c r="B87" s="17" t="s">
        <v>230</v>
      </c>
      <c r="C87" s="85" t="s">
        <v>306</v>
      </c>
      <c r="D87" s="85">
        <v>100011</v>
      </c>
      <c r="E87" s="85">
        <v>23000</v>
      </c>
      <c r="F87" s="85" t="s">
        <v>144</v>
      </c>
      <c r="G87" s="85" t="s">
        <v>448</v>
      </c>
      <c r="K87" s="28" t="s">
        <v>389</v>
      </c>
      <c r="L87" s="28" t="str">
        <f t="shared" si="9"/>
        <v>REFILL NEW ISOTANK :DJEU0303765</v>
      </c>
      <c r="M87" t="s">
        <v>440</v>
      </c>
    </row>
    <row r="88" spans="1:13" hidden="1" x14ac:dyDescent="0.5">
      <c r="A88" t="str">
        <f t="shared" ref="A88:A110" si="10">TRIM(F88)</f>
        <v>DJEU0303810</v>
      </c>
      <c r="B88" s="17" t="s">
        <v>230</v>
      </c>
      <c r="C88" s="214" t="s">
        <v>302</v>
      </c>
      <c r="D88" s="85">
        <v>100383</v>
      </c>
      <c r="E88" s="85">
        <v>23000</v>
      </c>
      <c r="F88" s="85" t="s">
        <v>159</v>
      </c>
      <c r="G88" s="85" t="s">
        <v>451</v>
      </c>
      <c r="K88" s="28" t="s">
        <v>389</v>
      </c>
      <c r="L88" s="28" t="str">
        <f t="shared" ref="L88:L96" si="11">+K88&amp;F88</f>
        <v>REFILL NEW ISOTANK :DJEU0303810</v>
      </c>
    </row>
    <row r="89" spans="1:13" hidden="1" x14ac:dyDescent="0.5">
      <c r="A89" t="str">
        <f t="shared" si="10"/>
        <v>NTTU1752711</v>
      </c>
      <c r="B89" s="17" t="s">
        <v>230</v>
      </c>
      <c r="C89" s="214" t="s">
        <v>302</v>
      </c>
      <c r="D89" s="85">
        <v>100384</v>
      </c>
      <c r="E89" s="85">
        <v>23000</v>
      </c>
      <c r="F89" s="85" t="s">
        <v>312</v>
      </c>
      <c r="G89" s="85" t="s">
        <v>451</v>
      </c>
      <c r="K89" s="28" t="s">
        <v>389</v>
      </c>
      <c r="L89" s="28" t="str">
        <f t="shared" si="11"/>
        <v>REFILL NEW ISOTANK :NTTU1752711</v>
      </c>
    </row>
    <row r="90" spans="1:13" hidden="1" x14ac:dyDescent="0.5">
      <c r="A90" t="str">
        <f t="shared" si="10"/>
        <v>DJEU0303826</v>
      </c>
      <c r="B90" s="17" t="s">
        <v>230</v>
      </c>
      <c r="C90" s="214" t="s">
        <v>302</v>
      </c>
      <c r="D90" s="85">
        <v>100385</v>
      </c>
      <c r="E90" s="85">
        <v>23000</v>
      </c>
      <c r="F90" s="85" t="s">
        <v>158</v>
      </c>
      <c r="G90" s="85" t="s">
        <v>451</v>
      </c>
      <c r="K90" s="28" t="s">
        <v>389</v>
      </c>
      <c r="L90" s="28" t="str">
        <f t="shared" si="11"/>
        <v>REFILL NEW ISOTANK :DJEU0303826</v>
      </c>
    </row>
    <row r="91" spans="1:13" hidden="1" x14ac:dyDescent="0.5">
      <c r="A91" t="str">
        <f t="shared" si="10"/>
        <v>NTTU1752671</v>
      </c>
      <c r="B91" s="17" t="s">
        <v>230</v>
      </c>
      <c r="C91" s="214" t="s">
        <v>302</v>
      </c>
      <c r="D91" s="85">
        <v>100386</v>
      </c>
      <c r="E91" s="85">
        <v>23000</v>
      </c>
      <c r="F91" s="85" t="s">
        <v>388</v>
      </c>
      <c r="G91" s="85" t="s">
        <v>451</v>
      </c>
      <c r="K91" s="28" t="s">
        <v>389</v>
      </c>
      <c r="L91" s="28" t="str">
        <f t="shared" si="11"/>
        <v>REFILL NEW ISOTANK :NTTU1752671</v>
      </c>
    </row>
    <row r="92" spans="1:13" hidden="1" x14ac:dyDescent="0.5">
      <c r="A92" t="str">
        <f t="shared" si="10"/>
        <v>NTTU1752692</v>
      </c>
      <c r="B92" s="17" t="s">
        <v>230</v>
      </c>
      <c r="C92" s="214" t="s">
        <v>302</v>
      </c>
      <c r="D92" s="85">
        <v>100387</v>
      </c>
      <c r="E92" s="85">
        <v>23000</v>
      </c>
      <c r="F92" s="85" t="s">
        <v>292</v>
      </c>
      <c r="G92" s="85" t="s">
        <v>451</v>
      </c>
      <c r="K92" s="28" t="s">
        <v>389</v>
      </c>
      <c r="L92" s="28" t="str">
        <f t="shared" si="11"/>
        <v>REFILL NEW ISOTANK :NTTU1752692</v>
      </c>
    </row>
    <row r="93" spans="1:13" hidden="1" x14ac:dyDescent="0.5">
      <c r="A93" t="str">
        <f t="shared" si="10"/>
        <v>DJEU0303636</v>
      </c>
      <c r="B93" s="17" t="s">
        <v>230</v>
      </c>
      <c r="C93" s="214" t="s">
        <v>302</v>
      </c>
      <c r="D93" s="85">
        <v>100388</v>
      </c>
      <c r="E93" s="85">
        <v>23000</v>
      </c>
      <c r="F93" s="85" t="s">
        <v>13</v>
      </c>
      <c r="G93" s="85" t="s">
        <v>451</v>
      </c>
      <c r="K93" s="28" t="s">
        <v>389</v>
      </c>
      <c r="L93" s="28" t="str">
        <f t="shared" si="11"/>
        <v>REFILL NEW ISOTANK :DJEU0303636</v>
      </c>
    </row>
    <row r="94" spans="1:13" hidden="1" x14ac:dyDescent="0.5">
      <c r="A94" t="str">
        <f t="shared" si="10"/>
        <v>DJEU0303718</v>
      </c>
      <c r="B94" s="17" t="s">
        <v>230</v>
      </c>
      <c r="C94" s="214" t="s">
        <v>302</v>
      </c>
      <c r="D94" s="85">
        <v>100389</v>
      </c>
      <c r="E94" s="85">
        <v>23000</v>
      </c>
      <c r="F94" s="85" t="s">
        <v>53</v>
      </c>
      <c r="G94" s="85" t="s">
        <v>451</v>
      </c>
      <c r="K94" s="28" t="s">
        <v>389</v>
      </c>
      <c r="L94" s="28" t="str">
        <f t="shared" si="11"/>
        <v>REFILL NEW ISOTANK :DJEU0303718</v>
      </c>
    </row>
    <row r="95" spans="1:13" hidden="1" x14ac:dyDescent="0.5">
      <c r="A95" t="str">
        <f t="shared" si="10"/>
        <v>DJEU0303770</v>
      </c>
      <c r="B95" s="17" t="s">
        <v>230</v>
      </c>
      <c r="C95" s="214" t="s">
        <v>302</v>
      </c>
      <c r="D95" s="85">
        <v>100390</v>
      </c>
      <c r="E95" s="85">
        <v>23000</v>
      </c>
      <c r="F95" s="85" t="s">
        <v>157</v>
      </c>
      <c r="G95" s="85" t="s">
        <v>451</v>
      </c>
      <c r="K95" s="28" t="s">
        <v>389</v>
      </c>
      <c r="L95" s="28" t="str">
        <f t="shared" si="11"/>
        <v>REFILL NEW ISOTANK :DJEU0303770</v>
      </c>
    </row>
    <row r="96" spans="1:13" hidden="1" x14ac:dyDescent="0.5">
      <c r="A96" t="str">
        <f t="shared" si="10"/>
        <v>DJEU0303641</v>
      </c>
      <c r="B96" s="17" t="s">
        <v>230</v>
      </c>
      <c r="C96" s="214" t="s">
        <v>302</v>
      </c>
      <c r="D96" s="85">
        <v>100391</v>
      </c>
      <c r="E96" s="85">
        <v>23000</v>
      </c>
      <c r="F96" s="85" t="s">
        <v>10</v>
      </c>
      <c r="G96" s="85" t="s">
        <v>451</v>
      </c>
      <c r="K96" s="28" t="s">
        <v>389</v>
      </c>
      <c r="L96" s="28" t="str">
        <f t="shared" si="11"/>
        <v>REFILL NEW ISOTANK :DJEU0303641</v>
      </c>
    </row>
    <row r="97" spans="1:12" hidden="1" x14ac:dyDescent="0.5">
      <c r="A97" t="str">
        <f t="shared" si="10"/>
        <v>NTTU1753702</v>
      </c>
      <c r="B97" s="17" t="s">
        <v>230</v>
      </c>
      <c r="C97" s="85" t="s">
        <v>306</v>
      </c>
      <c r="D97" s="85">
        <v>100288</v>
      </c>
      <c r="E97" s="85">
        <v>23000</v>
      </c>
      <c r="F97" s="85" t="s">
        <v>363</v>
      </c>
      <c r="G97" s="85" t="s">
        <v>451</v>
      </c>
      <c r="K97" s="28" t="s">
        <v>389</v>
      </c>
      <c r="L97" s="28" t="str">
        <f t="shared" ref="L97:L100" si="12">+K97&amp;F97</f>
        <v>REFILL NEW ISOTANK :NTTU1753702</v>
      </c>
    </row>
    <row r="98" spans="1:12" hidden="1" x14ac:dyDescent="0.5">
      <c r="A98" t="str">
        <f t="shared" si="10"/>
        <v>SJIU2322038</v>
      </c>
      <c r="B98" s="17" t="s">
        <v>230</v>
      </c>
      <c r="C98" s="85" t="s">
        <v>306</v>
      </c>
      <c r="D98" s="85">
        <v>100289</v>
      </c>
      <c r="E98" s="85">
        <v>23000</v>
      </c>
      <c r="F98" s="85" t="s">
        <v>233</v>
      </c>
      <c r="G98" s="85" t="s">
        <v>451</v>
      </c>
      <c r="K98" s="28" t="s">
        <v>389</v>
      </c>
      <c r="L98" s="28" t="str">
        <f t="shared" si="12"/>
        <v>REFILL NEW ISOTANK :SJIU2322038</v>
      </c>
    </row>
    <row r="99" spans="1:12" hidden="1" x14ac:dyDescent="0.5">
      <c r="A99" t="str">
        <f t="shared" si="10"/>
        <v>SJIU2322022</v>
      </c>
      <c r="B99" s="17" t="s">
        <v>230</v>
      </c>
      <c r="C99" s="85" t="s">
        <v>306</v>
      </c>
      <c r="D99" s="85">
        <v>100291</v>
      </c>
      <c r="E99" s="85">
        <v>23000</v>
      </c>
      <c r="F99" s="85" t="s">
        <v>232</v>
      </c>
      <c r="G99" s="85" t="s">
        <v>451</v>
      </c>
      <c r="K99" s="28" t="s">
        <v>389</v>
      </c>
      <c r="L99" s="28" t="str">
        <f t="shared" si="12"/>
        <v>REFILL NEW ISOTANK :SJIU2322022</v>
      </c>
    </row>
    <row r="100" spans="1:12" hidden="1" x14ac:dyDescent="0.5">
      <c r="A100" t="str">
        <f t="shared" si="10"/>
        <v>NTTU1753723</v>
      </c>
      <c r="B100" s="17" t="s">
        <v>230</v>
      </c>
      <c r="C100" s="85" t="s">
        <v>306</v>
      </c>
      <c r="D100" s="85">
        <v>100292</v>
      </c>
      <c r="E100" s="85">
        <v>23000</v>
      </c>
      <c r="F100" s="85" t="s">
        <v>366</v>
      </c>
      <c r="G100" s="85" t="s">
        <v>451</v>
      </c>
      <c r="K100" s="28" t="s">
        <v>389</v>
      </c>
      <c r="L100" s="28" t="str">
        <f t="shared" si="12"/>
        <v>REFILL NEW ISOTANK :NTTU1753723</v>
      </c>
    </row>
    <row r="101" spans="1:12" x14ac:dyDescent="0.5">
      <c r="A101" t="str">
        <f t="shared" si="10"/>
        <v>SJIU2322090</v>
      </c>
      <c r="B101" s="17" t="s">
        <v>230</v>
      </c>
      <c r="C101" s="85" t="s">
        <v>306</v>
      </c>
      <c r="D101" s="291">
        <v>100761</v>
      </c>
      <c r="E101" s="85">
        <v>23000</v>
      </c>
      <c r="F101" s="85" t="s">
        <v>335</v>
      </c>
      <c r="G101" s="85" t="s">
        <v>518</v>
      </c>
      <c r="K101" s="28" t="s">
        <v>389</v>
      </c>
      <c r="L101" s="28" t="str">
        <f>+K101&amp;F101</f>
        <v>REFILL NEW ISOTANK :SJIU2322090</v>
      </c>
    </row>
    <row r="102" spans="1:12" x14ac:dyDescent="0.5">
      <c r="A102" t="str">
        <f t="shared" si="10"/>
        <v>SJIU2221536</v>
      </c>
      <c r="B102" s="17" t="s">
        <v>230</v>
      </c>
      <c r="C102" s="85" t="s">
        <v>306</v>
      </c>
      <c r="D102" s="291">
        <v>100762</v>
      </c>
      <c r="E102" s="85">
        <v>23000</v>
      </c>
      <c r="F102" s="85" t="s">
        <v>161</v>
      </c>
      <c r="G102" s="85" t="s">
        <v>518</v>
      </c>
      <c r="K102" s="28" t="s">
        <v>389</v>
      </c>
      <c r="L102" s="28" t="str">
        <f t="shared" ref="L102:L105" si="13">+K102&amp;F102</f>
        <v>REFILL NEW ISOTANK :SJIU2221536</v>
      </c>
    </row>
    <row r="103" spans="1:12" x14ac:dyDescent="0.5">
      <c r="A103" t="str">
        <f t="shared" si="10"/>
        <v>NTTU1753765</v>
      </c>
      <c r="B103" s="17" t="s">
        <v>230</v>
      </c>
      <c r="C103" s="85" t="s">
        <v>306</v>
      </c>
      <c r="D103" s="291">
        <v>100763</v>
      </c>
      <c r="E103" s="85">
        <v>23000</v>
      </c>
      <c r="F103" s="85" t="s">
        <v>367</v>
      </c>
      <c r="G103" s="85" t="s">
        <v>518</v>
      </c>
      <c r="K103" s="28" t="s">
        <v>389</v>
      </c>
      <c r="L103" s="28" t="str">
        <f t="shared" si="13"/>
        <v>REFILL NEW ISOTANK :NTTU1753765</v>
      </c>
    </row>
    <row r="104" spans="1:12" x14ac:dyDescent="0.5">
      <c r="A104" t="str">
        <f t="shared" si="10"/>
        <v>SJIU2221705</v>
      </c>
      <c r="B104" s="17" t="s">
        <v>230</v>
      </c>
      <c r="C104" s="85" t="s">
        <v>306</v>
      </c>
      <c r="D104" s="291">
        <v>100764</v>
      </c>
      <c r="E104" s="85">
        <v>23000</v>
      </c>
      <c r="F104" s="85" t="s">
        <v>193</v>
      </c>
      <c r="G104" s="85" t="s">
        <v>518</v>
      </c>
      <c r="K104" s="28" t="s">
        <v>389</v>
      </c>
      <c r="L104" s="28" t="str">
        <f t="shared" si="13"/>
        <v>REFILL NEW ISOTANK :SJIU2221705</v>
      </c>
    </row>
    <row r="105" spans="1:12" x14ac:dyDescent="0.5">
      <c r="A105" t="str">
        <f t="shared" si="10"/>
        <v>SJIU2221691</v>
      </c>
      <c r="B105" s="17" t="s">
        <v>230</v>
      </c>
      <c r="C105" s="85" t="s">
        <v>306</v>
      </c>
      <c r="D105" s="291">
        <v>100765</v>
      </c>
      <c r="E105" s="85">
        <v>23000</v>
      </c>
      <c r="F105" s="85" t="s">
        <v>192</v>
      </c>
      <c r="G105" s="85" t="s">
        <v>518</v>
      </c>
      <c r="K105" s="28" t="s">
        <v>389</v>
      </c>
      <c r="L105" s="28" t="str">
        <f t="shared" si="13"/>
        <v>REFILL NEW ISOTANK :SJIU2221691</v>
      </c>
    </row>
    <row r="106" spans="1:12" x14ac:dyDescent="0.5">
      <c r="A106" t="str">
        <f t="shared" si="10"/>
        <v>NTTU1752687</v>
      </c>
      <c r="B106" s="17" t="s">
        <v>230</v>
      </c>
      <c r="C106" s="214" t="s">
        <v>302</v>
      </c>
      <c r="D106" s="85">
        <v>100766</v>
      </c>
      <c r="E106" s="85">
        <v>23000</v>
      </c>
      <c r="F106" s="85" t="s">
        <v>336</v>
      </c>
      <c r="G106" s="85" t="s">
        <v>518</v>
      </c>
      <c r="K106" s="28" t="s">
        <v>389</v>
      </c>
      <c r="L106" s="28" t="str">
        <f t="shared" ref="L106:L121" si="14">+K106&amp;F106</f>
        <v>REFILL NEW ISOTANK :NTTU1752687</v>
      </c>
    </row>
    <row r="107" spans="1:12" x14ac:dyDescent="0.5">
      <c r="A107" t="str">
        <f t="shared" si="10"/>
        <v>DJEU0303894</v>
      </c>
      <c r="B107" s="17" t="s">
        <v>230</v>
      </c>
      <c r="C107" s="85" t="s">
        <v>302</v>
      </c>
      <c r="D107" s="85">
        <v>100767</v>
      </c>
      <c r="E107" s="85">
        <v>23000</v>
      </c>
      <c r="F107" s="85" t="s">
        <v>217</v>
      </c>
      <c r="G107" s="85" t="s">
        <v>518</v>
      </c>
      <c r="K107" s="28" t="s">
        <v>389</v>
      </c>
      <c r="L107" s="28" t="str">
        <f t="shared" si="14"/>
        <v>REFILL NEW ISOTANK :DJEU0303894</v>
      </c>
    </row>
    <row r="108" spans="1:12" x14ac:dyDescent="0.5">
      <c r="A108" t="str">
        <f t="shared" si="10"/>
        <v>NTTU1752780</v>
      </c>
      <c r="B108" s="17" t="s">
        <v>230</v>
      </c>
      <c r="C108" s="85" t="s">
        <v>302</v>
      </c>
      <c r="D108" s="85">
        <v>100768</v>
      </c>
      <c r="E108" s="85">
        <v>23000</v>
      </c>
      <c r="F108" s="85" t="s">
        <v>287</v>
      </c>
      <c r="G108" s="85" t="s">
        <v>518</v>
      </c>
      <c r="K108" s="28" t="s">
        <v>389</v>
      </c>
      <c r="L108" s="28" t="str">
        <f t="shared" si="14"/>
        <v>REFILL NEW ISOTANK :NTTU1752780</v>
      </c>
    </row>
    <row r="109" spans="1:12" x14ac:dyDescent="0.5">
      <c r="A109" t="str">
        <f t="shared" si="10"/>
        <v>NTTU1752727</v>
      </c>
      <c r="B109" s="17" t="s">
        <v>230</v>
      </c>
      <c r="C109" s="85" t="s">
        <v>302</v>
      </c>
      <c r="D109" s="85">
        <v>100769</v>
      </c>
      <c r="E109" s="85">
        <v>23000</v>
      </c>
      <c r="F109" s="85" t="s">
        <v>361</v>
      </c>
      <c r="G109" s="85" t="s">
        <v>518</v>
      </c>
      <c r="K109" s="28" t="s">
        <v>389</v>
      </c>
      <c r="L109" s="28" t="str">
        <f t="shared" si="14"/>
        <v>REFILL NEW ISOTANK :NTTU1752727</v>
      </c>
    </row>
    <row r="110" spans="1:12" x14ac:dyDescent="0.5">
      <c r="A110" t="str">
        <f t="shared" si="10"/>
        <v>DJEU0303702</v>
      </c>
      <c r="B110" s="17" t="s">
        <v>230</v>
      </c>
      <c r="C110" s="214" t="s">
        <v>302</v>
      </c>
      <c r="D110" s="85">
        <v>100770</v>
      </c>
      <c r="E110" s="85">
        <v>23000</v>
      </c>
      <c r="F110" s="85" t="s">
        <v>52</v>
      </c>
      <c r="G110" s="85" t="s">
        <v>518</v>
      </c>
      <c r="K110" s="28" t="s">
        <v>389</v>
      </c>
      <c r="L110" s="28" t="str">
        <f t="shared" si="14"/>
        <v>REFILL NEW ISOTANK :DJEU0303702</v>
      </c>
    </row>
    <row r="111" spans="1:12" x14ac:dyDescent="0.5">
      <c r="K111" s="28" t="s">
        <v>389</v>
      </c>
      <c r="L111" s="28" t="str">
        <f t="shared" si="14"/>
        <v>REFILL NEW ISOTANK :</v>
      </c>
    </row>
    <row r="112" spans="1:12" x14ac:dyDescent="0.5">
      <c r="K112" s="28" t="s">
        <v>389</v>
      </c>
      <c r="L112" s="28" t="str">
        <f t="shared" si="14"/>
        <v>REFILL NEW ISOTANK :</v>
      </c>
    </row>
    <row r="113" spans="11:12" x14ac:dyDescent="0.5">
      <c r="K113" s="28" t="s">
        <v>389</v>
      </c>
      <c r="L113" s="28" t="str">
        <f t="shared" si="14"/>
        <v>REFILL NEW ISOTANK :</v>
      </c>
    </row>
    <row r="114" spans="11:12" x14ac:dyDescent="0.5">
      <c r="K114" s="28" t="s">
        <v>389</v>
      </c>
      <c r="L114" s="28" t="str">
        <f t="shared" si="14"/>
        <v>REFILL NEW ISOTANK :</v>
      </c>
    </row>
    <row r="115" spans="11:12" x14ac:dyDescent="0.5">
      <c r="K115" s="28" t="s">
        <v>389</v>
      </c>
      <c r="L115" s="28" t="str">
        <f t="shared" si="14"/>
        <v>REFILL NEW ISOTANK :</v>
      </c>
    </row>
    <row r="116" spans="11:12" x14ac:dyDescent="0.5">
      <c r="K116" s="28" t="s">
        <v>389</v>
      </c>
      <c r="L116" s="28" t="str">
        <f t="shared" si="14"/>
        <v>REFILL NEW ISOTANK :</v>
      </c>
    </row>
    <row r="117" spans="11:12" x14ac:dyDescent="0.5">
      <c r="K117" s="28" t="s">
        <v>389</v>
      </c>
      <c r="L117" s="28" t="str">
        <f t="shared" si="14"/>
        <v>REFILL NEW ISOTANK :</v>
      </c>
    </row>
    <row r="118" spans="11:12" x14ac:dyDescent="0.5">
      <c r="K118" s="28" t="s">
        <v>389</v>
      </c>
      <c r="L118" s="28" t="str">
        <f t="shared" si="14"/>
        <v>REFILL NEW ISOTANK :</v>
      </c>
    </row>
    <row r="119" spans="11:12" x14ac:dyDescent="0.5">
      <c r="K119" s="28" t="s">
        <v>389</v>
      </c>
      <c r="L119" s="28" t="str">
        <f t="shared" si="14"/>
        <v>REFILL NEW ISOTANK :</v>
      </c>
    </row>
    <row r="120" spans="11:12" x14ac:dyDescent="0.5">
      <c r="K120" s="28" t="s">
        <v>389</v>
      </c>
      <c r="L120" s="28" t="str">
        <f t="shared" si="14"/>
        <v>REFILL NEW ISOTANK :</v>
      </c>
    </row>
    <row r="121" spans="11:12" x14ac:dyDescent="0.5">
      <c r="K121" s="28" t="s">
        <v>389</v>
      </c>
      <c r="L121" s="28" t="str">
        <f t="shared" si="14"/>
        <v>REFILL NEW ISOTANK :</v>
      </c>
    </row>
  </sheetData>
  <autoFilter ref="A4:L110" xr:uid="{00000000-0001-0000-0900-000000000000}">
    <filterColumn colId="6">
      <filters>
        <filter val="LCT PERMATA 17  VOY 1226 ETD 21062026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73B3-574B-45A4-9300-DF67CD5BA313}">
  <dimension ref="A1:X52"/>
  <sheetViews>
    <sheetView topLeftCell="C1" zoomScaleNormal="100" workbookViewId="0">
      <selection activeCell="P20" sqref="P20"/>
    </sheetView>
  </sheetViews>
  <sheetFormatPr defaultRowHeight="14.5" x14ac:dyDescent="0.35"/>
  <cols>
    <col min="1" max="1" width="14.453125" bestFit="1" customWidth="1"/>
    <col min="2" max="2" width="14.81640625" customWidth="1"/>
    <col min="3" max="3" width="12.1796875" customWidth="1"/>
    <col min="4" max="4" width="15.1796875" customWidth="1"/>
    <col min="5" max="5" width="11.1796875" bestFit="1" customWidth="1"/>
    <col min="6" max="6" width="66.1796875" customWidth="1"/>
    <col min="8" max="8" width="22.1796875" bestFit="1" customWidth="1"/>
    <col min="9" max="9" width="13.1796875" hidden="1" customWidth="1"/>
    <col min="10" max="10" width="10.1796875" hidden="1" customWidth="1"/>
    <col min="11" max="11" width="8.81640625" hidden="1" customWidth="1"/>
    <col min="12" max="12" width="10.81640625" hidden="1" customWidth="1"/>
    <col min="13" max="13" width="13.1796875" bestFit="1" customWidth="1"/>
    <col min="14" max="14" width="12.54296875" customWidth="1"/>
    <col min="15" max="15" width="10.81640625" bestFit="1" customWidth="1"/>
    <col min="16" max="16" width="8.81640625" bestFit="1" customWidth="1"/>
    <col min="17" max="17" width="10.81640625" bestFit="1" customWidth="1"/>
    <col min="18" max="18" width="8.81640625" bestFit="1" customWidth="1"/>
    <col min="19" max="19" width="10.81640625" bestFit="1" customWidth="1"/>
    <col min="20" max="20" width="8.81640625" bestFit="1" customWidth="1"/>
    <col min="21" max="21" width="10.81640625" bestFit="1" customWidth="1"/>
    <col min="22" max="22" width="8.81640625" bestFit="1" customWidth="1"/>
    <col min="23" max="23" width="10" customWidth="1"/>
    <col min="24" max="24" width="10.1796875" customWidth="1"/>
  </cols>
  <sheetData>
    <row r="1" spans="1:24" x14ac:dyDescent="0.35">
      <c r="A1" s="2" t="s">
        <v>211</v>
      </c>
      <c r="B1" s="2" t="s">
        <v>457</v>
      </c>
      <c r="C1" s="2"/>
      <c r="D1" s="2" t="s">
        <v>458</v>
      </c>
      <c r="E1" s="2" t="s">
        <v>191</v>
      </c>
      <c r="F1" s="2" t="s">
        <v>461</v>
      </c>
      <c r="I1" s="411" t="s">
        <v>420</v>
      </c>
      <c r="J1" s="411"/>
      <c r="K1" s="411" t="s">
        <v>416</v>
      </c>
      <c r="L1" s="411"/>
      <c r="M1" s="408" t="s">
        <v>474</v>
      </c>
      <c r="N1" s="408"/>
      <c r="O1" s="408" t="s">
        <v>477</v>
      </c>
      <c r="P1" s="408"/>
      <c r="Q1" s="412" t="s">
        <v>475</v>
      </c>
      <c r="R1" s="412"/>
      <c r="S1" s="412" t="s">
        <v>476</v>
      </c>
      <c r="T1" s="412"/>
      <c r="U1" s="409" t="s">
        <v>478</v>
      </c>
      <c r="V1" s="410"/>
      <c r="W1" s="407" t="s">
        <v>456</v>
      </c>
      <c r="X1" s="407"/>
    </row>
    <row r="2" spans="1:24" ht="27.65" customHeight="1" x14ac:dyDescent="0.35">
      <c r="A2" s="404" t="s">
        <v>459</v>
      </c>
      <c r="B2" s="4">
        <v>99615</v>
      </c>
      <c r="C2" s="4" t="s">
        <v>508</v>
      </c>
      <c r="D2" s="1" t="s">
        <v>174</v>
      </c>
      <c r="E2" s="147">
        <v>20000</v>
      </c>
      <c r="F2" s="1"/>
      <c r="I2" s="229" t="s">
        <v>472</v>
      </c>
      <c r="J2" s="229" t="s">
        <v>473</v>
      </c>
      <c r="K2" s="229" t="s">
        <v>472</v>
      </c>
      <c r="L2" s="229" t="s">
        <v>473</v>
      </c>
      <c r="M2" s="230" t="s">
        <v>472</v>
      </c>
      <c r="N2" s="230" t="s">
        <v>473</v>
      </c>
      <c r="O2" s="230" t="s">
        <v>472</v>
      </c>
      <c r="P2" s="230" t="s">
        <v>473</v>
      </c>
      <c r="Q2" s="231" t="s">
        <v>472</v>
      </c>
      <c r="R2" s="231" t="s">
        <v>473</v>
      </c>
      <c r="S2" s="231" t="s">
        <v>472</v>
      </c>
      <c r="T2" s="231" t="s">
        <v>473</v>
      </c>
      <c r="U2" s="229" t="s">
        <v>472</v>
      </c>
      <c r="V2" s="229" t="s">
        <v>473</v>
      </c>
      <c r="W2" s="232" t="s">
        <v>472</v>
      </c>
      <c r="X2" s="228" t="s">
        <v>473</v>
      </c>
    </row>
    <row r="3" spans="1:24" x14ac:dyDescent="0.35">
      <c r="A3" s="405"/>
      <c r="B3" s="4">
        <v>99623</v>
      </c>
      <c r="C3" s="4" t="s">
        <v>508</v>
      </c>
      <c r="D3" s="1" t="s">
        <v>162</v>
      </c>
      <c r="E3" s="147">
        <v>20000</v>
      </c>
      <c r="F3" s="1"/>
      <c r="H3" t="s">
        <v>452</v>
      </c>
      <c r="I3" s="4">
        <v>0</v>
      </c>
      <c r="J3" s="4"/>
      <c r="K3" s="4">
        <v>0</v>
      </c>
      <c r="L3" s="4"/>
      <c r="M3" s="4"/>
      <c r="N3" s="4"/>
      <c r="O3" s="4"/>
      <c r="P3" s="4"/>
      <c r="Q3" s="4"/>
      <c r="R3" s="4"/>
      <c r="S3" s="4"/>
      <c r="T3" s="4"/>
      <c r="U3" s="4">
        <v>2</v>
      </c>
      <c r="V3" s="233">
        <v>500000</v>
      </c>
      <c r="W3" s="4">
        <f t="shared" ref="W3:X5" si="0">U3-S3-Q3</f>
        <v>2</v>
      </c>
      <c r="X3" s="233">
        <f t="shared" si="0"/>
        <v>500000</v>
      </c>
    </row>
    <row r="4" spans="1:24" x14ac:dyDescent="0.35">
      <c r="A4" s="405"/>
      <c r="B4" s="4">
        <v>99624</v>
      </c>
      <c r="C4" s="4" t="s">
        <v>508</v>
      </c>
      <c r="D4" s="1" t="s">
        <v>227</v>
      </c>
      <c r="E4" s="147">
        <v>20000</v>
      </c>
      <c r="F4" s="1"/>
      <c r="H4" t="s">
        <v>212</v>
      </c>
      <c r="I4" s="4">
        <v>7</v>
      </c>
      <c r="J4" s="4"/>
      <c r="K4" s="4">
        <v>4</v>
      </c>
      <c r="L4" s="4"/>
      <c r="M4" s="4">
        <v>9</v>
      </c>
      <c r="N4" s="233">
        <f>M4*20500</f>
        <v>184500</v>
      </c>
      <c r="O4" s="4">
        <v>7</v>
      </c>
      <c r="P4" s="4">
        <f>O4*20500</f>
        <v>143500</v>
      </c>
      <c r="Q4" s="4">
        <v>3</v>
      </c>
      <c r="R4" s="233">
        <v>63230</v>
      </c>
      <c r="S4" s="4">
        <v>1</v>
      </c>
      <c r="T4" s="233">
        <v>85930</v>
      </c>
      <c r="U4" s="4">
        <v>9</v>
      </c>
      <c r="V4" s="233">
        <v>180000</v>
      </c>
      <c r="W4" s="4">
        <f t="shared" si="0"/>
        <v>5</v>
      </c>
      <c r="X4" s="233">
        <f t="shared" si="0"/>
        <v>30840</v>
      </c>
    </row>
    <row r="5" spans="1:24" x14ac:dyDescent="0.35">
      <c r="A5" s="405"/>
      <c r="B5" s="4">
        <v>99625</v>
      </c>
      <c r="C5" s="4" t="s">
        <v>508</v>
      </c>
      <c r="D5" s="216" t="s">
        <v>175</v>
      </c>
      <c r="E5" s="147">
        <v>20000</v>
      </c>
      <c r="F5" s="1"/>
      <c r="H5" t="s">
        <v>236</v>
      </c>
      <c r="I5" s="4">
        <v>5</v>
      </c>
      <c r="J5" s="4"/>
      <c r="K5" s="4">
        <v>0</v>
      </c>
      <c r="L5" s="4"/>
      <c r="M5" s="226">
        <v>4</v>
      </c>
      <c r="N5" s="236">
        <f>20500*4</f>
        <v>82000</v>
      </c>
      <c r="O5" s="226">
        <v>8</v>
      </c>
      <c r="P5" s="236">
        <f>O5*20500</f>
        <v>164000</v>
      </c>
      <c r="Q5" s="226">
        <v>5</v>
      </c>
      <c r="R5" s="236">
        <v>102790</v>
      </c>
      <c r="S5" s="226">
        <v>3</v>
      </c>
      <c r="T5" s="236">
        <v>61800</v>
      </c>
      <c r="U5" s="226">
        <v>15</v>
      </c>
      <c r="V5" s="236">
        <v>310000</v>
      </c>
      <c r="W5" s="226">
        <f t="shared" si="0"/>
        <v>7</v>
      </c>
      <c r="X5" s="236">
        <f t="shared" si="0"/>
        <v>145410</v>
      </c>
    </row>
    <row r="6" spans="1:24" ht="4.4000000000000004" customHeight="1" x14ac:dyDescent="0.35">
      <c r="A6" s="405"/>
      <c r="B6" s="4"/>
      <c r="C6" s="4"/>
      <c r="D6" s="216"/>
      <c r="E6" s="147"/>
      <c r="F6" s="1"/>
      <c r="I6" s="226"/>
      <c r="J6" s="226"/>
      <c r="K6" s="226"/>
      <c r="L6" s="235"/>
      <c r="M6" s="413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5"/>
    </row>
    <row r="7" spans="1:24" x14ac:dyDescent="0.35">
      <c r="A7" s="405"/>
      <c r="B7" s="4">
        <v>100006</v>
      </c>
      <c r="C7" s="4" t="s">
        <v>485</v>
      </c>
      <c r="D7" s="216" t="s">
        <v>507</v>
      </c>
      <c r="E7" s="147">
        <v>20000</v>
      </c>
      <c r="F7" s="1"/>
      <c r="H7" s="215" t="s">
        <v>414</v>
      </c>
      <c r="I7" s="234">
        <f t="shared" ref="I7:X7" si="1">SUM(I3:I5)</f>
        <v>12</v>
      </c>
      <c r="J7" s="234">
        <f t="shared" si="1"/>
        <v>0</v>
      </c>
      <c r="K7" s="234">
        <f t="shared" si="1"/>
        <v>4</v>
      </c>
      <c r="L7" s="234">
        <f t="shared" si="1"/>
        <v>0</v>
      </c>
      <c r="M7" s="237">
        <f t="shared" si="1"/>
        <v>13</v>
      </c>
      <c r="N7" s="238">
        <f t="shared" si="1"/>
        <v>266500</v>
      </c>
      <c r="O7" s="237">
        <f t="shared" si="1"/>
        <v>15</v>
      </c>
      <c r="P7" s="238">
        <f t="shared" si="1"/>
        <v>307500</v>
      </c>
      <c r="Q7" s="237">
        <f t="shared" si="1"/>
        <v>8</v>
      </c>
      <c r="R7" s="238">
        <f t="shared" si="1"/>
        <v>166020</v>
      </c>
      <c r="S7" s="237">
        <f t="shared" si="1"/>
        <v>4</v>
      </c>
      <c r="T7" s="238">
        <f t="shared" si="1"/>
        <v>147730</v>
      </c>
      <c r="U7" s="238">
        <f t="shared" si="1"/>
        <v>26</v>
      </c>
      <c r="V7" s="238">
        <f t="shared" si="1"/>
        <v>990000</v>
      </c>
      <c r="W7" s="237">
        <f t="shared" si="1"/>
        <v>14</v>
      </c>
      <c r="X7" s="238">
        <f t="shared" si="1"/>
        <v>676250</v>
      </c>
    </row>
    <row r="8" spans="1:24" x14ac:dyDescent="0.35">
      <c r="A8" s="405"/>
      <c r="B8" s="4"/>
      <c r="C8" s="4"/>
      <c r="D8" s="216"/>
      <c r="E8" s="147"/>
      <c r="F8" s="1"/>
      <c r="H8" s="215"/>
      <c r="I8" s="3"/>
      <c r="J8" s="3"/>
      <c r="K8" s="3"/>
      <c r="L8" s="3"/>
      <c r="M8" s="3"/>
      <c r="N8" s="256"/>
      <c r="O8" s="3"/>
      <c r="P8" s="256"/>
      <c r="Q8" s="3"/>
      <c r="R8" s="256"/>
      <c r="S8" s="3"/>
      <c r="T8" s="256"/>
      <c r="U8" s="256"/>
      <c r="V8" s="256"/>
      <c r="W8" s="3"/>
      <c r="X8" s="256"/>
    </row>
    <row r="9" spans="1:24" x14ac:dyDescent="0.35">
      <c r="A9" s="405"/>
      <c r="B9" s="4"/>
      <c r="C9" s="4"/>
      <c r="D9" s="216"/>
      <c r="E9" s="147"/>
      <c r="F9" s="1"/>
      <c r="H9" s="215"/>
      <c r="I9" s="3"/>
      <c r="J9" s="3"/>
      <c r="K9" s="3"/>
      <c r="L9" s="3"/>
      <c r="M9" s="3"/>
      <c r="N9" s="256"/>
      <c r="O9" s="3"/>
      <c r="P9" s="256"/>
      <c r="Q9" s="3"/>
      <c r="R9" s="256"/>
      <c r="S9" s="3"/>
      <c r="T9" s="256"/>
      <c r="U9" s="256"/>
      <c r="V9" s="256"/>
      <c r="W9" s="3"/>
      <c r="X9" s="256"/>
    </row>
    <row r="10" spans="1:24" x14ac:dyDescent="0.35">
      <c r="A10" s="405"/>
      <c r="B10" s="4">
        <v>100007</v>
      </c>
      <c r="C10" s="4" t="s">
        <v>485</v>
      </c>
      <c r="D10" s="1" t="s">
        <v>242</v>
      </c>
      <c r="E10" s="147">
        <v>20000</v>
      </c>
      <c r="F10" s="1"/>
      <c r="H10" s="215" t="s">
        <v>493</v>
      </c>
    </row>
    <row r="11" spans="1:24" s="250" customFormat="1" ht="35.15" customHeight="1" x14ac:dyDescent="0.35">
      <c r="A11" s="405"/>
      <c r="B11" s="249">
        <v>100008</v>
      </c>
      <c r="C11" s="249" t="s">
        <v>485</v>
      </c>
      <c r="D11" s="249" t="s">
        <v>300</v>
      </c>
      <c r="E11" s="283">
        <v>20000</v>
      </c>
      <c r="F11" s="249"/>
      <c r="H11" s="397" t="s">
        <v>486</v>
      </c>
      <c r="I11" s="251"/>
      <c r="J11" s="251"/>
      <c r="K11" s="251"/>
      <c r="L11" s="251"/>
      <c r="M11" s="420" t="s">
        <v>479</v>
      </c>
      <c r="N11" s="420" t="s">
        <v>480</v>
      </c>
      <c r="O11" s="399" t="s">
        <v>483</v>
      </c>
      <c r="P11" s="399"/>
      <c r="Q11" s="416" t="s">
        <v>488</v>
      </c>
      <c r="R11" s="417"/>
      <c r="S11" s="418" t="s">
        <v>489</v>
      </c>
      <c r="T11" s="419"/>
      <c r="U11" s="387" t="s">
        <v>490</v>
      </c>
      <c r="V11" s="388"/>
      <c r="W11" s="253" t="s">
        <v>492</v>
      </c>
      <c r="X11" s="252"/>
    </row>
    <row r="12" spans="1:24" x14ac:dyDescent="0.35">
      <c r="A12" s="405"/>
      <c r="B12" s="4">
        <v>100010</v>
      </c>
      <c r="C12" s="4" t="s">
        <v>485</v>
      </c>
      <c r="D12" s="1" t="s">
        <v>151</v>
      </c>
      <c r="E12" s="147">
        <v>20000</v>
      </c>
      <c r="F12" s="1" t="s">
        <v>469</v>
      </c>
      <c r="H12" s="397"/>
      <c r="I12" s="227"/>
      <c r="J12" s="227"/>
      <c r="K12" s="227"/>
      <c r="L12" s="227"/>
      <c r="M12" s="421"/>
      <c r="N12" s="421"/>
      <c r="O12" s="239" t="s">
        <v>481</v>
      </c>
      <c r="P12" s="239" t="s">
        <v>482</v>
      </c>
      <c r="Q12" s="241" t="s">
        <v>481</v>
      </c>
      <c r="R12" s="241" t="s">
        <v>482</v>
      </c>
      <c r="S12" s="243" t="s">
        <v>481</v>
      </c>
      <c r="T12" s="243" t="s">
        <v>482</v>
      </c>
      <c r="U12" s="245" t="s">
        <v>487</v>
      </c>
      <c r="V12" s="245" t="s">
        <v>491</v>
      </c>
      <c r="W12" s="254" t="s">
        <v>482</v>
      </c>
    </row>
    <row r="13" spans="1:24" x14ac:dyDescent="0.35">
      <c r="A13" s="406"/>
      <c r="B13" s="4">
        <v>100011</v>
      </c>
      <c r="C13" s="4" t="s">
        <v>485</v>
      </c>
      <c r="D13" s="1" t="s">
        <v>144</v>
      </c>
      <c r="E13" s="147">
        <v>20000</v>
      </c>
      <c r="F13" s="1" t="s">
        <v>469</v>
      </c>
      <c r="H13" s="1" t="s">
        <v>236</v>
      </c>
      <c r="I13" s="1"/>
      <c r="J13" s="1"/>
      <c r="K13" s="1"/>
      <c r="L13" s="1"/>
      <c r="M13" s="147">
        <v>310000</v>
      </c>
      <c r="N13" s="147">
        <f>E33</f>
        <v>307090</v>
      </c>
      <c r="O13" s="247">
        <v>5</v>
      </c>
      <c r="P13" s="240">
        <f>SUM('[2]ACID &amp; ESCAID STATUS '!D325:D329)</f>
        <v>102370</v>
      </c>
      <c r="Q13" s="248">
        <v>5</v>
      </c>
      <c r="R13" s="242">
        <f>R5</f>
        <v>102790</v>
      </c>
      <c r="S13" s="244">
        <v>3</v>
      </c>
      <c r="T13" s="244">
        <f>T5</f>
        <v>61800</v>
      </c>
      <c r="U13" s="246">
        <v>4</v>
      </c>
      <c r="V13" s="246">
        <v>8</v>
      </c>
      <c r="W13" s="255">
        <f>N13-(P13+R13+T13)</f>
        <v>40130</v>
      </c>
    </row>
    <row r="14" spans="1:24" ht="20.149999999999999" customHeight="1" x14ac:dyDescent="0.35">
      <c r="A14" s="1"/>
      <c r="B14" s="400" t="s">
        <v>467</v>
      </c>
      <c r="C14" s="400"/>
      <c r="D14" s="400"/>
      <c r="E14" s="225">
        <f>SUM(E2:E13)</f>
        <v>180000</v>
      </c>
      <c r="F14" s="1"/>
      <c r="H14" s="257"/>
      <c r="I14" s="257"/>
      <c r="J14" s="257"/>
      <c r="K14" s="257"/>
      <c r="L14" s="257"/>
      <c r="M14" s="258"/>
      <c r="N14" s="258"/>
      <c r="O14" s="258"/>
      <c r="P14" s="258"/>
      <c r="Q14" s="258"/>
      <c r="R14" s="258"/>
      <c r="S14" s="258"/>
      <c r="T14" s="258"/>
      <c r="U14" s="257"/>
      <c r="V14" s="257"/>
      <c r="W14" s="257"/>
    </row>
    <row r="15" spans="1:24" x14ac:dyDescent="0.35">
      <c r="H15" s="1" t="s">
        <v>494</v>
      </c>
      <c r="I15" s="1"/>
      <c r="J15" s="1"/>
      <c r="K15" s="1"/>
      <c r="L15" s="1"/>
      <c r="M15" s="147">
        <v>180000</v>
      </c>
      <c r="N15" s="147">
        <f>M15</f>
        <v>180000</v>
      </c>
      <c r="O15" s="259">
        <v>6</v>
      </c>
      <c r="P15" s="259">
        <f>SUM('[2]ACID &amp; ESCAID STATUS '!D319:D324)</f>
        <v>127150</v>
      </c>
      <c r="Q15" s="260">
        <v>3</v>
      </c>
      <c r="R15" s="260">
        <v>63230</v>
      </c>
      <c r="S15" s="261">
        <v>1</v>
      </c>
      <c r="T15" s="261">
        <v>85930</v>
      </c>
      <c r="U15" s="262">
        <v>9</v>
      </c>
      <c r="V15" s="262">
        <v>7</v>
      </c>
      <c r="W15" s="255">
        <f>N15-(P15+R15+T15)</f>
        <v>-96310</v>
      </c>
    </row>
    <row r="16" spans="1:24" ht="9.65" customHeight="1" x14ac:dyDescent="0.35">
      <c r="H16" s="257"/>
      <c r="I16" s="257"/>
      <c r="J16" s="257"/>
      <c r="K16" s="257"/>
      <c r="L16" s="257"/>
      <c r="M16" s="258"/>
      <c r="N16" s="258"/>
      <c r="O16" s="263"/>
      <c r="P16" s="263"/>
      <c r="Q16" s="263"/>
      <c r="R16" s="263"/>
      <c r="S16" s="263"/>
      <c r="T16" s="263"/>
      <c r="U16" s="264"/>
      <c r="V16" s="264"/>
      <c r="W16" s="264"/>
    </row>
    <row r="17" spans="1:23" x14ac:dyDescent="0.35">
      <c r="A17" s="2" t="s">
        <v>211</v>
      </c>
      <c r="B17" s="2" t="s">
        <v>457</v>
      </c>
      <c r="C17" s="2" t="s">
        <v>484</v>
      </c>
      <c r="D17" s="2" t="s">
        <v>458</v>
      </c>
      <c r="E17" s="2" t="s">
        <v>191</v>
      </c>
      <c r="F17" s="2" t="s">
        <v>461</v>
      </c>
      <c r="H17" s="1" t="s">
        <v>452</v>
      </c>
      <c r="I17" s="1"/>
      <c r="J17" s="1"/>
      <c r="K17" s="1"/>
      <c r="L17" s="1"/>
      <c r="M17" s="147">
        <v>50000</v>
      </c>
      <c r="N17" s="147">
        <v>50000</v>
      </c>
      <c r="O17" s="259">
        <v>0</v>
      </c>
      <c r="P17" s="259">
        <v>0</v>
      </c>
      <c r="Q17" s="260">
        <v>0</v>
      </c>
      <c r="R17" s="260">
        <v>0</v>
      </c>
      <c r="S17" s="261">
        <v>0</v>
      </c>
      <c r="T17" s="261">
        <v>0</v>
      </c>
      <c r="U17" s="262">
        <v>0</v>
      </c>
      <c r="V17" s="262">
        <v>0</v>
      </c>
      <c r="W17" s="255">
        <f>N17-(P17+R17+T17)</f>
        <v>50000</v>
      </c>
    </row>
    <row r="18" spans="1:23" ht="15.65" customHeight="1" x14ac:dyDescent="0.35">
      <c r="A18" s="401" t="s">
        <v>460</v>
      </c>
      <c r="B18" s="1">
        <v>99997</v>
      </c>
      <c r="C18" s="1" t="s">
        <v>485</v>
      </c>
      <c r="D18" s="1" t="s">
        <v>163</v>
      </c>
      <c r="E18" s="147">
        <v>20500</v>
      </c>
      <c r="F18" s="1" t="s">
        <v>465</v>
      </c>
    </row>
    <row r="19" spans="1:23" ht="21" customHeight="1" x14ac:dyDescent="0.35">
      <c r="A19" s="402"/>
      <c r="B19" s="222">
        <v>99998</v>
      </c>
      <c r="C19" s="222" t="s">
        <v>485</v>
      </c>
      <c r="D19" s="222" t="s">
        <v>193</v>
      </c>
      <c r="E19" s="223">
        <v>20720</v>
      </c>
      <c r="F19" s="222" t="s">
        <v>464</v>
      </c>
    </row>
    <row r="20" spans="1:23" x14ac:dyDescent="0.35">
      <c r="A20" s="402"/>
      <c r="B20" s="222">
        <v>99999</v>
      </c>
      <c r="C20" s="222" t="s">
        <v>485</v>
      </c>
      <c r="D20" s="222" t="s">
        <v>368</v>
      </c>
      <c r="E20" s="223">
        <v>20690</v>
      </c>
      <c r="F20" s="222" t="s">
        <v>464</v>
      </c>
    </row>
    <row r="21" spans="1:23" x14ac:dyDescent="0.35">
      <c r="A21" s="402"/>
      <c r="B21" s="222">
        <v>100000</v>
      </c>
      <c r="C21" s="222" t="s">
        <v>485</v>
      </c>
      <c r="D21" s="222" t="s">
        <v>341</v>
      </c>
      <c r="E21" s="223">
        <v>20340</v>
      </c>
      <c r="F21" s="222" t="s">
        <v>464</v>
      </c>
    </row>
    <row r="22" spans="1:23" x14ac:dyDescent="0.35">
      <c r="A22" s="402"/>
      <c r="B22" s="222">
        <v>100001</v>
      </c>
      <c r="C22" s="222" t="s">
        <v>485</v>
      </c>
      <c r="D22" s="222" t="s">
        <v>367</v>
      </c>
      <c r="E22" s="223">
        <v>20390</v>
      </c>
      <c r="F22" s="222" t="s">
        <v>464</v>
      </c>
    </row>
    <row r="23" spans="1:23" x14ac:dyDescent="0.35">
      <c r="A23" s="402"/>
      <c r="B23" s="1">
        <v>100002</v>
      </c>
      <c r="C23" s="1" t="s">
        <v>485</v>
      </c>
      <c r="D23" s="1" t="s">
        <v>256</v>
      </c>
      <c r="E23" s="147">
        <v>20500</v>
      </c>
      <c r="F23" s="1" t="s">
        <v>465</v>
      </c>
    </row>
    <row r="24" spans="1:23" x14ac:dyDescent="0.35">
      <c r="A24" s="402"/>
      <c r="B24" s="1">
        <v>100003</v>
      </c>
      <c r="C24" s="1" t="s">
        <v>485</v>
      </c>
      <c r="D24" s="1" t="s">
        <v>262</v>
      </c>
      <c r="E24" s="147">
        <v>20500</v>
      </c>
      <c r="F24" s="1" t="s">
        <v>465</v>
      </c>
    </row>
    <row r="25" spans="1:23" x14ac:dyDescent="0.35">
      <c r="A25" s="402"/>
      <c r="B25" s="222">
        <v>100004</v>
      </c>
      <c r="C25" s="222" t="s">
        <v>485</v>
      </c>
      <c r="D25" s="222" t="s">
        <v>31</v>
      </c>
      <c r="E25" s="223">
        <v>20230</v>
      </c>
      <c r="F25" s="222" t="s">
        <v>464</v>
      </c>
    </row>
    <row r="26" spans="1:23" x14ac:dyDescent="0.35">
      <c r="A26" s="402"/>
      <c r="B26" s="222">
        <v>100005</v>
      </c>
      <c r="C26" s="222" t="s">
        <v>485</v>
      </c>
      <c r="D26" s="222" t="s">
        <v>342</v>
      </c>
      <c r="E26" s="223">
        <v>20220</v>
      </c>
      <c r="F26" s="222" t="s">
        <v>464</v>
      </c>
    </row>
    <row r="27" spans="1:23" x14ac:dyDescent="0.35">
      <c r="A27" s="402"/>
      <c r="B27" s="1">
        <v>100009</v>
      </c>
      <c r="C27" s="1" t="s">
        <v>485</v>
      </c>
      <c r="D27" s="1" t="s">
        <v>54</v>
      </c>
      <c r="E27" s="147">
        <v>20500</v>
      </c>
      <c r="F27" s="1" t="s">
        <v>465</v>
      </c>
    </row>
    <row r="28" spans="1:23" x14ac:dyDescent="0.35">
      <c r="A28" s="402"/>
      <c r="B28" s="217">
        <v>100332</v>
      </c>
      <c r="C28" s="1" t="s">
        <v>485</v>
      </c>
      <c r="D28" s="217" t="s">
        <v>466</v>
      </c>
      <c r="E28" s="224">
        <v>20500</v>
      </c>
      <c r="F28" s="1" t="s">
        <v>471</v>
      </c>
    </row>
    <row r="29" spans="1:23" x14ac:dyDescent="0.35">
      <c r="A29" s="402"/>
      <c r="B29" s="217">
        <v>100333</v>
      </c>
      <c r="C29" s="1" t="s">
        <v>485</v>
      </c>
      <c r="D29" s="217" t="s">
        <v>466</v>
      </c>
      <c r="E29" s="224">
        <v>20500</v>
      </c>
      <c r="F29" s="1" t="s">
        <v>471</v>
      </c>
    </row>
    <row r="30" spans="1:23" x14ac:dyDescent="0.35">
      <c r="A30" s="402"/>
      <c r="B30" s="1">
        <v>100012</v>
      </c>
      <c r="C30" s="1" t="s">
        <v>485</v>
      </c>
      <c r="D30" s="1" t="s">
        <v>290</v>
      </c>
      <c r="E30" s="147">
        <v>20500</v>
      </c>
      <c r="F30" s="216" t="s">
        <v>470</v>
      </c>
    </row>
    <row r="31" spans="1:23" x14ac:dyDescent="0.35">
      <c r="A31" s="402"/>
      <c r="B31" s="1">
        <v>100334</v>
      </c>
      <c r="C31" s="1" t="s">
        <v>485</v>
      </c>
      <c r="D31" s="1" t="s">
        <v>466</v>
      </c>
      <c r="E31" s="147">
        <v>20500</v>
      </c>
      <c r="F31" s="1" t="s">
        <v>471</v>
      </c>
    </row>
    <row r="32" spans="1:23" x14ac:dyDescent="0.35">
      <c r="A32" s="402"/>
      <c r="B32" s="1">
        <v>100335</v>
      </c>
      <c r="C32" s="1" t="s">
        <v>485</v>
      </c>
      <c r="D32" s="1" t="s">
        <v>466</v>
      </c>
      <c r="E32" s="147">
        <v>20500</v>
      </c>
      <c r="F32" s="1" t="s">
        <v>471</v>
      </c>
    </row>
    <row r="33" spans="1:6" x14ac:dyDescent="0.35">
      <c r="A33" s="403"/>
      <c r="B33" s="400" t="s">
        <v>467</v>
      </c>
      <c r="C33" s="400"/>
      <c r="D33" s="400"/>
      <c r="E33" s="225">
        <f>SUM(E18:E32)</f>
        <v>307090</v>
      </c>
      <c r="F33" s="1"/>
    </row>
    <row r="34" spans="1:6" x14ac:dyDescent="0.35">
      <c r="E34" s="220"/>
    </row>
    <row r="35" spans="1:6" x14ac:dyDescent="0.35">
      <c r="E35" s="221"/>
    </row>
    <row r="36" spans="1:6" x14ac:dyDescent="0.35">
      <c r="A36" s="2" t="s">
        <v>211</v>
      </c>
      <c r="B36" s="2" t="s">
        <v>457</v>
      </c>
      <c r="C36" s="2"/>
      <c r="D36" s="2" t="s">
        <v>458</v>
      </c>
      <c r="E36" s="2" t="s">
        <v>191</v>
      </c>
      <c r="F36" s="2" t="s">
        <v>461</v>
      </c>
    </row>
    <row r="37" spans="1:6" x14ac:dyDescent="0.35">
      <c r="A37" s="401" t="s">
        <v>460</v>
      </c>
      <c r="B37" s="1">
        <v>99997</v>
      </c>
      <c r="C37" s="1"/>
      <c r="D37" s="1" t="s">
        <v>163</v>
      </c>
      <c r="E37" s="147">
        <v>20500</v>
      </c>
      <c r="F37" s="1" t="s">
        <v>465</v>
      </c>
    </row>
    <row r="38" spans="1:6" x14ac:dyDescent="0.35">
      <c r="A38" s="402"/>
      <c r="B38" s="222">
        <v>99998</v>
      </c>
      <c r="C38" s="222"/>
      <c r="D38" s="222" t="s">
        <v>193</v>
      </c>
      <c r="E38" s="223">
        <v>20720</v>
      </c>
      <c r="F38" s="222" t="s">
        <v>464</v>
      </c>
    </row>
    <row r="39" spans="1:6" x14ac:dyDescent="0.35">
      <c r="A39" s="402"/>
      <c r="B39" s="222">
        <v>99999</v>
      </c>
      <c r="C39" s="222"/>
      <c r="D39" s="222" t="s">
        <v>368</v>
      </c>
      <c r="E39" s="223">
        <v>20690</v>
      </c>
      <c r="F39" s="222" t="s">
        <v>464</v>
      </c>
    </row>
    <row r="40" spans="1:6" x14ac:dyDescent="0.35">
      <c r="A40" s="402"/>
      <c r="B40" s="222">
        <v>100000</v>
      </c>
      <c r="C40" s="222"/>
      <c r="D40" s="222" t="s">
        <v>341</v>
      </c>
      <c r="E40" s="223">
        <v>20340</v>
      </c>
      <c r="F40" s="222" t="s">
        <v>464</v>
      </c>
    </row>
    <row r="41" spans="1:6" x14ac:dyDescent="0.35">
      <c r="A41" s="402"/>
      <c r="B41" s="222">
        <v>100001</v>
      </c>
      <c r="C41" s="222"/>
      <c r="D41" s="222" t="s">
        <v>367</v>
      </c>
      <c r="E41" s="223">
        <v>20390</v>
      </c>
      <c r="F41" s="222" t="s">
        <v>464</v>
      </c>
    </row>
    <row r="42" spans="1:6" x14ac:dyDescent="0.35">
      <c r="A42" s="402"/>
      <c r="B42" s="1">
        <v>100002</v>
      </c>
      <c r="C42" s="1"/>
      <c r="D42" s="1" t="s">
        <v>256</v>
      </c>
      <c r="E42" s="147">
        <v>20500</v>
      </c>
      <c r="F42" s="1" t="s">
        <v>465</v>
      </c>
    </row>
    <row r="43" spans="1:6" x14ac:dyDescent="0.35">
      <c r="A43" s="402"/>
      <c r="B43" s="1">
        <v>100003</v>
      </c>
      <c r="C43" s="1"/>
      <c r="D43" s="1" t="s">
        <v>262</v>
      </c>
      <c r="E43" s="147">
        <v>20500</v>
      </c>
      <c r="F43" s="1" t="s">
        <v>465</v>
      </c>
    </row>
    <row r="44" spans="1:6" x14ac:dyDescent="0.35">
      <c r="A44" s="402"/>
      <c r="B44" s="222">
        <v>100004</v>
      </c>
      <c r="C44" s="222"/>
      <c r="D44" s="222" t="s">
        <v>31</v>
      </c>
      <c r="E44" s="223">
        <v>20230</v>
      </c>
      <c r="F44" s="222" t="s">
        <v>464</v>
      </c>
    </row>
    <row r="45" spans="1:6" x14ac:dyDescent="0.35">
      <c r="A45" s="402"/>
      <c r="B45" s="222">
        <v>100005</v>
      </c>
      <c r="C45" s="222"/>
      <c r="D45" s="222" t="s">
        <v>342</v>
      </c>
      <c r="E45" s="223">
        <v>20220</v>
      </c>
      <c r="F45" s="222" t="s">
        <v>464</v>
      </c>
    </row>
    <row r="46" spans="1:6" x14ac:dyDescent="0.35">
      <c r="A46" s="402"/>
      <c r="B46" s="1">
        <v>100009</v>
      </c>
      <c r="C46" s="1"/>
      <c r="D46" s="1" t="s">
        <v>54</v>
      </c>
      <c r="E46" s="147">
        <v>20500</v>
      </c>
      <c r="F46" s="1" t="s">
        <v>465</v>
      </c>
    </row>
    <row r="47" spans="1:6" x14ac:dyDescent="0.35">
      <c r="A47" s="402"/>
      <c r="B47" s="217">
        <v>100332</v>
      </c>
      <c r="C47" s="217"/>
      <c r="D47" s="217" t="s">
        <v>151</v>
      </c>
      <c r="E47" s="224">
        <v>20500</v>
      </c>
      <c r="F47" s="1" t="s">
        <v>463</v>
      </c>
    </row>
    <row r="48" spans="1:6" x14ac:dyDescent="0.35">
      <c r="A48" s="402"/>
      <c r="B48" s="217">
        <v>100333</v>
      </c>
      <c r="C48" s="217"/>
      <c r="D48" s="217" t="s">
        <v>144</v>
      </c>
      <c r="E48" s="224">
        <v>20500</v>
      </c>
      <c r="F48" s="1" t="s">
        <v>462</v>
      </c>
    </row>
    <row r="49" spans="1:6" x14ac:dyDescent="0.35">
      <c r="A49" s="402"/>
      <c r="B49" s="1">
        <v>100012</v>
      </c>
      <c r="C49" s="1"/>
      <c r="D49" s="1" t="s">
        <v>290</v>
      </c>
      <c r="E49" s="147">
        <v>20500</v>
      </c>
      <c r="F49" s="1" t="s">
        <v>470</v>
      </c>
    </row>
    <row r="50" spans="1:6" x14ac:dyDescent="0.35">
      <c r="A50" s="402"/>
      <c r="B50" s="1">
        <v>100334</v>
      </c>
      <c r="C50" s="1"/>
      <c r="D50" s="1" t="s">
        <v>466</v>
      </c>
      <c r="E50" s="147">
        <v>20500</v>
      </c>
      <c r="F50" s="1" t="s">
        <v>468</v>
      </c>
    </row>
    <row r="51" spans="1:6" x14ac:dyDescent="0.35">
      <c r="A51" s="402"/>
      <c r="B51" s="1">
        <v>100335</v>
      </c>
      <c r="C51" s="1"/>
      <c r="D51" s="1" t="s">
        <v>466</v>
      </c>
      <c r="E51" s="147">
        <v>20500</v>
      </c>
      <c r="F51" s="1" t="s">
        <v>468</v>
      </c>
    </row>
    <row r="52" spans="1:6" x14ac:dyDescent="0.35">
      <c r="A52" s="403"/>
      <c r="B52" s="400" t="s">
        <v>467</v>
      </c>
      <c r="C52" s="400"/>
      <c r="D52" s="400"/>
      <c r="E52" s="225">
        <f>SUM(E37:E51)</f>
        <v>307090</v>
      </c>
      <c r="F52" s="1"/>
    </row>
  </sheetData>
  <autoFilter ref="A1:F1" xr:uid="{D475F9D9-CD5B-4B95-97CF-71F9B0642514}"/>
  <mergeCells count="22">
    <mergeCell ref="M6:X6"/>
    <mergeCell ref="O11:P11"/>
    <mergeCell ref="H11:H12"/>
    <mergeCell ref="Q11:R11"/>
    <mergeCell ref="S11:T11"/>
    <mergeCell ref="U11:V11"/>
    <mergeCell ref="M11:M12"/>
    <mergeCell ref="N11:N12"/>
    <mergeCell ref="W1:X1"/>
    <mergeCell ref="O1:P1"/>
    <mergeCell ref="U1:V1"/>
    <mergeCell ref="I1:J1"/>
    <mergeCell ref="M1:N1"/>
    <mergeCell ref="Q1:R1"/>
    <mergeCell ref="K1:L1"/>
    <mergeCell ref="S1:T1"/>
    <mergeCell ref="B33:D33"/>
    <mergeCell ref="A18:A33"/>
    <mergeCell ref="A2:A13"/>
    <mergeCell ref="B14:D14"/>
    <mergeCell ref="A37:A52"/>
    <mergeCell ref="B52:D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SUM ISOTANK</vt:lpstr>
      <vt:lpstr>ACID &amp; ESCAID STATUS </vt:lpstr>
      <vt:lpstr>MASTER</vt:lpstr>
      <vt:lpstr>REKAP ACID TO PR</vt:lpstr>
      <vt:lpstr>mei</vt:lpstr>
      <vt:lpstr>'ACID &amp; ESCAID STATUS '!Print_Area</vt:lpstr>
      <vt:lpstr>'ACID &amp; ESCAID STATUS 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Venijesia Maupiku</dc:creator>
  <cp:lastModifiedBy>Office Wetar 020</cp:lastModifiedBy>
  <cp:lastPrinted>2026-06-21T04:41:14Z</cp:lastPrinted>
  <dcterms:created xsi:type="dcterms:W3CDTF">2021-12-04T09:53:14Z</dcterms:created>
  <dcterms:modified xsi:type="dcterms:W3CDTF">2026-07-12T04:39:23Z</dcterms:modified>
</cp:coreProperties>
</file>