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idecastro/Documents/Business Analytics/Midterm project/cluster by state/"/>
    </mc:Choice>
  </mc:AlternateContent>
  <xr:revisionPtr revIDLastSave="0" documentId="13_ncr:1_{39E2CA85-2596-5E40-8D01-D3BBFC682C61}" xr6:coauthVersionLast="36" xr6:coauthVersionMax="36" xr10:uidLastSave="{00000000-0000-0000-0000-000000000000}"/>
  <bookViews>
    <workbookView xWindow="15200" yWindow="460" windowWidth="12460" windowHeight="16120" activeTab="1" xr2:uid="{5FE2173D-E9A8-1445-9963-64B05ADDC15B}"/>
  </bookViews>
  <sheets>
    <sheet name="PA data" sheetId="1" r:id="rId1"/>
    <sheet name="PA cluster" sheetId="2" r:id="rId2"/>
  </sheets>
  <definedNames>
    <definedName name="cluster">'PA cluster'!$A$14:$J$21</definedName>
    <definedName name="solver_adj" localSheetId="1" hidden="1">'PA cluster'!$D$2:$D$4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itr" localSheetId="1" hidden="1">2147483647</definedName>
    <definedName name="solver_lhs1" localSheetId="1" hidden="1">'PA cluster'!$D$2:$D$4</definedName>
    <definedName name="solver_lhs2" localSheetId="1" hidden="1">'PA cluster'!$D$2:$D$4</definedName>
    <definedName name="solver_lhs3" localSheetId="1" hidden="1">'PA cluster'!$D$2:$D$4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'PA cluster'!$N$12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7</definedName>
    <definedName name="solver_rhs2" localSheetId="1" hidden="1">integer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2" l="1"/>
  <c r="O15" i="2"/>
  <c r="H3" i="2" l="1"/>
  <c r="H4" i="2"/>
  <c r="H2" i="2"/>
  <c r="G3" i="2"/>
  <c r="G4" i="2"/>
  <c r="G2" i="2"/>
  <c r="F3" i="2"/>
  <c r="F4" i="2"/>
  <c r="F2" i="2"/>
  <c r="E3" i="2"/>
  <c r="E4" i="2"/>
  <c r="E2" i="2"/>
  <c r="C3" i="2"/>
  <c r="C4" i="2"/>
  <c r="C2" i="2"/>
  <c r="J16" i="2"/>
  <c r="J17" i="2"/>
  <c r="J18" i="2"/>
  <c r="J19" i="2"/>
  <c r="J20" i="2"/>
  <c r="J21" i="2"/>
  <c r="J15" i="2"/>
  <c r="I16" i="2"/>
  <c r="I17" i="2"/>
  <c r="I18" i="2"/>
  <c r="I19" i="2"/>
  <c r="I20" i="2"/>
  <c r="I21" i="2"/>
  <c r="I15" i="2"/>
  <c r="H16" i="2"/>
  <c r="H17" i="2"/>
  <c r="H18" i="2"/>
  <c r="H19" i="2"/>
  <c r="H20" i="2"/>
  <c r="H21" i="2"/>
  <c r="H15" i="2"/>
  <c r="G16" i="2"/>
  <c r="G17" i="2"/>
  <c r="G18" i="2"/>
  <c r="G19" i="2"/>
  <c r="G20" i="2"/>
  <c r="G21" i="2"/>
  <c r="G15" i="2"/>
  <c r="D13" i="2"/>
  <c r="E13" i="2"/>
  <c r="F13" i="2"/>
  <c r="D12" i="2"/>
  <c r="E12" i="2"/>
  <c r="F12" i="2"/>
  <c r="C13" i="2"/>
  <c r="C12" i="2"/>
  <c r="E21" i="2"/>
  <c r="E20" i="2"/>
  <c r="E19" i="2"/>
  <c r="E18" i="2"/>
  <c r="E17" i="2"/>
  <c r="E16" i="2"/>
  <c r="E15" i="2"/>
  <c r="M17" i="2" l="1"/>
  <c r="L16" i="2"/>
  <c r="L18" i="2"/>
  <c r="K19" i="2"/>
  <c r="M20" i="2"/>
  <c r="L17" i="2"/>
  <c r="M16" i="2"/>
  <c r="K15" i="2"/>
  <c r="K18" i="2"/>
  <c r="L21" i="2"/>
  <c r="L20" i="2"/>
  <c r="K20" i="2"/>
  <c r="K16" i="2"/>
  <c r="L19" i="2"/>
  <c r="M15" i="2"/>
  <c r="M18" i="2"/>
  <c r="K21" i="2"/>
  <c r="K17" i="2"/>
  <c r="M19" i="2"/>
  <c r="L15" i="2"/>
  <c r="M21" i="2"/>
  <c r="D12" i="1"/>
  <c r="D11" i="1"/>
  <c r="D10" i="1"/>
  <c r="D9" i="1"/>
  <c r="D8" i="1"/>
  <c r="D7" i="1"/>
  <c r="D6" i="1"/>
  <c r="N17" i="2" l="1"/>
  <c r="O17" i="2" s="1"/>
  <c r="N16" i="2"/>
  <c r="O16" i="2" s="1"/>
  <c r="N18" i="2"/>
  <c r="N19" i="2"/>
  <c r="O19" i="2" s="1"/>
  <c r="N21" i="2"/>
  <c r="O21" i="2" s="1"/>
  <c r="N20" i="2"/>
  <c r="O20" i="2" s="1"/>
  <c r="N15" i="2"/>
  <c r="N12" i="2" l="1"/>
</calcChain>
</file>

<file path=xl/sharedStrings.xml><?xml version="1.0" encoding="utf-8"?>
<sst xmlns="http://schemas.openxmlformats.org/spreadsheetml/2006/main" count="44" uniqueCount="29">
  <si>
    <t>hs_grad_rate</t>
  </si>
  <si>
    <t>mean_SAT</t>
  </si>
  <si>
    <t>chronic_abst</t>
  </si>
  <si>
    <t>mean_AP</t>
  </si>
  <si>
    <t>American Indian/Alaska Native</t>
  </si>
  <si>
    <t>Asian American</t>
  </si>
  <si>
    <t>Black/African American</t>
  </si>
  <si>
    <t>Hispanic/Latino</t>
  </si>
  <si>
    <t>Native Hawaiian/Pacific Islander</t>
  </si>
  <si>
    <t>White</t>
  </si>
  <si>
    <t>Multiracial</t>
  </si>
  <si>
    <t>z_HS_grad</t>
  </si>
  <si>
    <t>z_mean_SAT</t>
  </si>
  <si>
    <t>z_chrnc_abst</t>
  </si>
  <si>
    <t>z_mean_AP</t>
  </si>
  <si>
    <t>dist_1</t>
  </si>
  <si>
    <t>dist_2</t>
  </si>
  <si>
    <t>dist_3</t>
  </si>
  <si>
    <t>min_dist</t>
  </si>
  <si>
    <t>anchor</t>
  </si>
  <si>
    <t>Anchor</t>
  </si>
  <si>
    <t>Name</t>
  </si>
  <si>
    <t>Number</t>
  </si>
  <si>
    <t>mean</t>
  </si>
  <si>
    <t>st dev</t>
  </si>
  <si>
    <t>sum_dist2</t>
  </si>
  <si>
    <t>low hs grad, low mean SAT, low chronic abs, low mean AP</t>
  </si>
  <si>
    <t>high hs grad, high mean SAT, avg-high chronic abs, high mean AP</t>
  </si>
  <si>
    <t>low hs grad, low mean SAT, high chronic abs, avg mean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</si>
</sst>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horizontal="left" vertical="top" wrapText="1"/>
    </xf>
    <xf numFmtId="0" fontId="0" fillId="0" borderId="2" xfId="0" applyBorder="1"/>
    <xf numFmtId="0" fontId="3" fillId="0" borderId="1" xfId="0" applyNumberFormat="1" applyFont="1" applyFill="1" applyBorder="1" applyAlignment="1">
      <alignment horizontal="right" wrapText="1"/>
    </xf>
    <xf numFmtId="0" fontId="3" fillId="0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3" fillId="0" borderId="0" xfId="0" applyFont="1" applyFill="1" applyBorder="1"/>
    <xf numFmtId="0" fontId="6" fillId="0" borderId="0" xfId="0" applyFont="1"/>
    <xf numFmtId="0" fontId="6" fillId="0" borderId="2" xfId="0" applyFont="1" applyBorder="1"/>
    <xf numFmtId="0" fontId="6" fillId="0" borderId="0" xfId="0" applyFont="1" applyFill="1" applyBorder="1"/>
    <xf numFmtId="0" fontId="6" fillId="0" borderId="2" xfId="0" applyFont="1" applyFill="1" applyBorder="1"/>
    <xf numFmtId="0" fontId="6" fillId="0" borderId="3" xfId="0" applyFont="1" applyFill="1" applyBorder="1"/>
    <xf numFmtId="0" fontId="7" fillId="0" borderId="0" xfId="0" applyFont="1" applyBorder="1" applyAlignment="1">
      <alignment horizontal="left" vertical="top" wrapText="1"/>
    </xf>
    <xf numFmtId="0" fontId="6" fillId="0" borderId="0" xfId="0" applyFont="1" applyAlignment="1">
      <alignment vertical="top"/>
    </xf>
    <xf numFmtId="0" fontId="0" fillId="0" borderId="3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F0DB-4E96-4E40-90B8-01CF0FCBC945}">
  <dimension ref="A5:E13"/>
  <sheetViews>
    <sheetView workbookViewId="0">
      <selection activeCell="B6" sqref="B6:E12"/>
    </sheetView>
  </sheetViews>
  <sheetFormatPr baseColWidth="10" defaultRowHeight="16" x14ac:dyDescent="0.2"/>
  <cols>
    <col min="4" max="4" width="11.5" bestFit="1" customWidth="1"/>
  </cols>
  <sheetData>
    <row r="5" spans="1:5" x14ac:dyDescent="0.2">
      <c r="A5" s="1"/>
      <c r="B5" s="2" t="s">
        <v>0</v>
      </c>
      <c r="C5" s="2" t="s">
        <v>1</v>
      </c>
      <c r="D5" s="2" t="s">
        <v>2</v>
      </c>
      <c r="E5" s="2" t="s">
        <v>3</v>
      </c>
    </row>
    <row r="6" spans="1:5" ht="42" x14ac:dyDescent="0.2">
      <c r="A6" s="3" t="s">
        <v>4</v>
      </c>
      <c r="B6" s="5">
        <v>0.78600000000000003</v>
      </c>
      <c r="C6" s="6">
        <v>983</v>
      </c>
      <c r="D6" s="7">
        <f>0.2/100</f>
        <v>2E-3</v>
      </c>
      <c r="E6" s="8">
        <v>2.5</v>
      </c>
    </row>
    <row r="7" spans="1:5" ht="28" x14ac:dyDescent="0.2">
      <c r="A7" s="3" t="s">
        <v>5</v>
      </c>
      <c r="B7" s="5">
        <v>0.92500000000000004</v>
      </c>
      <c r="C7" s="6">
        <v>1198</v>
      </c>
      <c r="D7" s="7">
        <f>1.8/100</f>
        <v>1.8000000000000002E-2</v>
      </c>
      <c r="E7" s="8">
        <v>3.46</v>
      </c>
    </row>
    <row r="8" spans="1:5" ht="42" x14ac:dyDescent="0.2">
      <c r="A8" s="3" t="s">
        <v>6</v>
      </c>
      <c r="B8" s="5">
        <v>0.72099999999999997</v>
      </c>
      <c r="C8" s="6">
        <v>923</v>
      </c>
      <c r="D8" s="7">
        <f>26.7/100</f>
        <v>0.26700000000000002</v>
      </c>
      <c r="E8" s="8">
        <v>2.08</v>
      </c>
    </row>
    <row r="9" spans="1:5" ht="28" x14ac:dyDescent="0.2">
      <c r="A9" s="3" t="s">
        <v>7</v>
      </c>
      <c r="B9" s="5">
        <v>0.73699999999999999</v>
      </c>
      <c r="C9" s="6">
        <v>984</v>
      </c>
      <c r="D9" s="7">
        <f>12.7/10</f>
        <v>1.27</v>
      </c>
      <c r="E9" s="8">
        <v>2.77</v>
      </c>
    </row>
    <row r="10" spans="1:5" ht="56" x14ac:dyDescent="0.2">
      <c r="A10" s="3" t="s">
        <v>8</v>
      </c>
      <c r="B10" s="5">
        <v>0.90300000000000002</v>
      </c>
      <c r="C10" s="6">
        <v>1033</v>
      </c>
      <c r="D10" s="7">
        <f>0/100</f>
        <v>0</v>
      </c>
      <c r="E10" s="8">
        <v>3.05</v>
      </c>
    </row>
    <row r="11" spans="1:5" x14ac:dyDescent="0.2">
      <c r="A11" s="3" t="s">
        <v>9</v>
      </c>
      <c r="B11" s="5">
        <v>0.90500000000000003</v>
      </c>
      <c r="C11" s="6">
        <v>1120</v>
      </c>
      <c r="D11" s="7">
        <f>55.2/100</f>
        <v>0.55200000000000005</v>
      </c>
      <c r="E11" s="8">
        <v>3.16</v>
      </c>
    </row>
    <row r="12" spans="1:5" x14ac:dyDescent="0.2">
      <c r="A12" s="3" t="s">
        <v>10</v>
      </c>
      <c r="B12" s="5">
        <v>0.78600000000000003</v>
      </c>
      <c r="C12" s="6">
        <v>1078</v>
      </c>
      <c r="D12" s="7">
        <f>3.4/1000</f>
        <v>3.3999999999999998E-3</v>
      </c>
      <c r="E12" s="8">
        <v>3.1</v>
      </c>
    </row>
    <row r="13" spans="1:5" x14ac:dyDescent="0.2">
      <c r="C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ADC4-B040-CB4A-940B-B20016482793}">
  <dimension ref="A1:O21"/>
  <sheetViews>
    <sheetView tabSelected="1" topLeftCell="F7" zoomScale="116" zoomScaleNormal="80" workbookViewId="0">
      <selection activeCell="O20" sqref="O20"/>
    </sheetView>
  </sheetViews>
  <sheetFormatPr baseColWidth="10" defaultRowHeight="16" x14ac:dyDescent="0.2"/>
  <cols>
    <col min="2" max="2" width="28.5" customWidth="1"/>
    <col min="3" max="3" width="27" bestFit="1" customWidth="1"/>
    <col min="4" max="4" width="11.6640625" bestFit="1" customWidth="1"/>
    <col min="5" max="5" width="13.6640625" bestFit="1" customWidth="1"/>
    <col min="6" max="6" width="13.83203125" bestFit="1" customWidth="1"/>
    <col min="7" max="7" width="14.1640625" bestFit="1" customWidth="1"/>
    <col min="8" max="8" width="13.83203125" bestFit="1" customWidth="1"/>
    <col min="9" max="9" width="14.1640625" bestFit="1" customWidth="1"/>
    <col min="10" max="10" width="12.6640625" bestFit="1" customWidth="1"/>
  </cols>
  <sheetData>
    <row r="1" spans="1:15" x14ac:dyDescent="0.2">
      <c r="B1" s="10" t="s">
        <v>20</v>
      </c>
      <c r="C1" s="10" t="s">
        <v>21</v>
      </c>
      <c r="D1" s="10" t="s">
        <v>22</v>
      </c>
      <c r="E1" s="10" t="s">
        <v>11</v>
      </c>
      <c r="F1" s="10" t="s">
        <v>12</v>
      </c>
      <c r="G1" s="10" t="s">
        <v>13</v>
      </c>
      <c r="H1" s="11" t="s">
        <v>14</v>
      </c>
    </row>
    <row r="2" spans="1:15" x14ac:dyDescent="0.2">
      <c r="B2">
        <v>1</v>
      </c>
      <c r="C2" t="str">
        <f>VLOOKUP($D2, cluster, 2, 0)</f>
        <v>American Indian/Alaska Native</v>
      </c>
      <c r="D2">
        <v>1</v>
      </c>
      <c r="E2">
        <f>VLOOKUP($D2, cluster, 7, 0)</f>
        <v>-0.43507997343779647</v>
      </c>
      <c r="F2">
        <f>VLOOKUP($D2, cluster, 8, 0)</f>
        <v>-0.66755935523214427</v>
      </c>
      <c r="G2">
        <f>VLOOKUP($D2, cluster, 9, 0)</f>
        <v>-0.63155963542402294</v>
      </c>
      <c r="H2" s="4">
        <f>VLOOKUP($D2, cluster, 10, 0)</f>
        <v>-0.80771534539633938</v>
      </c>
      <c r="I2" s="18" t="s">
        <v>26</v>
      </c>
      <c r="J2" s="18"/>
      <c r="K2" s="18"/>
      <c r="L2" s="18"/>
      <c r="M2" s="18"/>
    </row>
    <row r="3" spans="1:15" x14ac:dyDescent="0.2">
      <c r="B3">
        <v>2</v>
      </c>
      <c r="C3" t="str">
        <f>VLOOKUP($D3, cluster, 2, 0)</f>
        <v>White</v>
      </c>
      <c r="D3">
        <v>6</v>
      </c>
      <c r="E3">
        <f>VLOOKUP($D3, cluster, 7, 0)</f>
        <v>0.95350860079088073</v>
      </c>
      <c r="F3">
        <f>VLOOKUP($D3, cluster, 8, 0)</f>
        <v>0.79406032894051637</v>
      </c>
      <c r="G3">
        <f>VLOOKUP($D3, cluster, 9, 0)</f>
        <v>0.52718254737357928</v>
      </c>
      <c r="H3" s="4">
        <f>VLOOKUP($D3, cluster, 10, 0)</f>
        <v>0.61657659953918964</v>
      </c>
      <c r="I3" s="18" t="s">
        <v>27</v>
      </c>
      <c r="J3" s="18"/>
      <c r="K3" s="18"/>
      <c r="L3" s="18"/>
      <c r="M3" s="18"/>
    </row>
    <row r="4" spans="1:15" x14ac:dyDescent="0.2">
      <c r="B4">
        <v>3</v>
      </c>
      <c r="C4" t="str">
        <f>VLOOKUP($D4, cluster, 2, 0)</f>
        <v>Hispanic/Latino</v>
      </c>
      <c r="D4">
        <v>4</v>
      </c>
      <c r="E4">
        <f>VLOOKUP($D4, cluster, 7, 0)</f>
        <v>-1.0068517392966641</v>
      </c>
      <c r="F4">
        <f>VLOOKUP($D4, cluster, 8, 0)</f>
        <v>-0.65689059841336572</v>
      </c>
      <c r="G4">
        <f>VLOOKUP($D4, cluster, 9, 0)</f>
        <v>2.0398677969166306</v>
      </c>
      <c r="H4" s="4">
        <f>VLOOKUP($D4, cluster, 10, 0)</f>
        <v>-0.22505045883180486</v>
      </c>
      <c r="I4" s="18" t="s">
        <v>28</v>
      </c>
      <c r="J4" s="18"/>
      <c r="K4" s="18"/>
      <c r="L4" s="18"/>
      <c r="M4" s="18"/>
    </row>
    <row r="11" spans="1:15" x14ac:dyDescent="0.2">
      <c r="N11" t="s">
        <v>25</v>
      </c>
    </row>
    <row r="12" spans="1:15" x14ac:dyDescent="0.2">
      <c r="B12" t="s">
        <v>23</v>
      </c>
      <c r="C12">
        <f>AVERAGE(C15:C21)</f>
        <v>0.82328571428571429</v>
      </c>
      <c r="D12">
        <f t="shared" ref="D12:F12" si="0">AVERAGE(D15:D21)</f>
        <v>1045.5714285714287</v>
      </c>
      <c r="E12">
        <f t="shared" si="0"/>
        <v>0.30177142857142858</v>
      </c>
      <c r="F12">
        <f t="shared" si="0"/>
        <v>2.8742857142857146</v>
      </c>
      <c r="N12">
        <f>SUM(N15:N21)</f>
        <v>9.5247128433388841</v>
      </c>
    </row>
    <row r="13" spans="1:15" x14ac:dyDescent="0.2">
      <c r="B13" t="s">
        <v>24</v>
      </c>
      <c r="C13">
        <f>STDEV(C15:C21)</f>
        <v>8.5698530298005102E-2</v>
      </c>
      <c r="D13">
        <f t="shared" ref="D13:F13" si="1">STDEV(D15:D21)</f>
        <v>93.731633121476378</v>
      </c>
      <c r="E13">
        <f t="shared" si="1"/>
        <v>0.47465260880734561</v>
      </c>
      <c r="F13">
        <f t="shared" si="1"/>
        <v>0.46338814338367634</v>
      </c>
    </row>
    <row r="14" spans="1:15" x14ac:dyDescent="0.2">
      <c r="C14" s="10" t="s">
        <v>0</v>
      </c>
      <c r="D14" s="10" t="s">
        <v>1</v>
      </c>
      <c r="E14" s="10" t="s">
        <v>2</v>
      </c>
      <c r="F14" s="11" t="s">
        <v>3</v>
      </c>
      <c r="G14" s="10" t="s">
        <v>11</v>
      </c>
      <c r="H14" s="10" t="s">
        <v>12</v>
      </c>
      <c r="I14" s="10" t="s">
        <v>13</v>
      </c>
      <c r="J14" s="11" t="s">
        <v>14</v>
      </c>
      <c r="K14" s="12" t="s">
        <v>15</v>
      </c>
      <c r="L14" s="12" t="s">
        <v>16</v>
      </c>
      <c r="M14" s="13" t="s">
        <v>17</v>
      </c>
      <c r="N14" s="14" t="s">
        <v>18</v>
      </c>
      <c r="O14" s="12" t="s">
        <v>19</v>
      </c>
    </row>
    <row r="15" spans="1:15" ht="34" x14ac:dyDescent="0.2">
      <c r="A15" s="16">
        <v>1</v>
      </c>
      <c r="B15" s="15" t="s">
        <v>4</v>
      </c>
      <c r="C15" s="5">
        <v>0.78600000000000003</v>
      </c>
      <c r="D15" s="6">
        <v>983</v>
      </c>
      <c r="E15" s="7">
        <f>0.2/100</f>
        <v>2E-3</v>
      </c>
      <c r="F15" s="8">
        <v>2.5</v>
      </c>
      <c r="G15">
        <f>STANDARDIZE(C15, $C$12, $C$13)</f>
        <v>-0.43507997343779647</v>
      </c>
      <c r="H15">
        <f>STANDARDIZE(D15, $D$12, $D$13)</f>
        <v>-0.66755935523214427</v>
      </c>
      <c r="I15">
        <f>STANDARDIZE(E15, $E$12, $E$13)</f>
        <v>-0.63155963542402294</v>
      </c>
      <c r="J15" s="4">
        <f>STANDARDIZE(F15, $F$12, $F$13)</f>
        <v>-0.80771534539633938</v>
      </c>
      <c r="K15">
        <f>SUMXMY2($E$2:$H$2, $G15:$J15)</f>
        <v>0</v>
      </c>
      <c r="L15">
        <f>SUMXMY2($E$3:$H$3, $G15:$J15)</f>
        <v>7.4358013202422022</v>
      </c>
      <c r="M15">
        <f>SUMXMY2($E$4:$H$4, $G15:$J15)</f>
        <v>7.8030596709028641</v>
      </c>
      <c r="N15" s="17">
        <f>MIN(K15:M15)</f>
        <v>0</v>
      </c>
      <c r="O15">
        <f>MATCH(N15, K15:M15, 0)</f>
        <v>1</v>
      </c>
    </row>
    <row r="16" spans="1:15" ht="17" x14ac:dyDescent="0.2">
      <c r="A16" s="16">
        <v>2</v>
      </c>
      <c r="B16" s="15" t="s">
        <v>5</v>
      </c>
      <c r="C16" s="5">
        <v>0.92500000000000004</v>
      </c>
      <c r="D16" s="6">
        <v>1198</v>
      </c>
      <c r="E16" s="7">
        <f>1.8/100</f>
        <v>1.8000000000000002E-2</v>
      </c>
      <c r="F16" s="8">
        <v>3.46</v>
      </c>
      <c r="G16">
        <f t="shared" ref="G16:G21" si="2">STANDARDIZE(C16, $C$12, $C$13)</f>
        <v>1.1868848317536838</v>
      </c>
      <c r="H16">
        <f t="shared" ref="H16:H21" si="3">STANDARDIZE(D16, $D$12, $D$13)</f>
        <v>1.6262233608052428</v>
      </c>
      <c r="I16">
        <f t="shared" ref="I16:I21" si="4">STANDARDIZE(E16, $E$12, $E$13)</f>
        <v>-0.59785077192445635</v>
      </c>
      <c r="J16" s="4">
        <f t="shared" ref="J16:J21" si="5">STANDARDIZE(F16, $F$12, $F$13)</f>
        <v>1.2639820290553385</v>
      </c>
      <c r="K16">
        <f t="shared" ref="K16:K21" si="6">SUMXMY2($E$2:$H$2, $G16:$J16)</f>
        <v>12.185275276460096</v>
      </c>
      <c r="L16">
        <f t="shared" ref="L16:L21" si="7">SUMXMY2($E$3:$H$3, $G16:$J16)</f>
        <v>2.4317935364784424</v>
      </c>
      <c r="M16">
        <f t="shared" ref="M16:M21" si="8">SUMXMY2($E$4:$H$4, $G16:$J16)</f>
        <v>19.199866492335055</v>
      </c>
      <c r="N16" s="17">
        <f t="shared" ref="N16:N21" si="9">MIN(K16:M16)</f>
        <v>2.4317935364784424</v>
      </c>
      <c r="O16">
        <f t="shared" ref="O16:O21" si="10">MATCH(N16, K16:M16, 0)</f>
        <v>2</v>
      </c>
    </row>
    <row r="17" spans="1:15" ht="17" x14ac:dyDescent="0.2">
      <c r="A17" s="16">
        <v>3</v>
      </c>
      <c r="B17" s="15" t="s">
        <v>6</v>
      </c>
      <c r="C17" s="5">
        <v>0.72099999999999997</v>
      </c>
      <c r="D17" s="6">
        <v>923</v>
      </c>
      <c r="E17" s="7">
        <f>26.7/100</f>
        <v>0.26700000000000002</v>
      </c>
      <c r="F17" s="8">
        <v>2.08</v>
      </c>
      <c r="G17">
        <f t="shared" si="2"/>
        <v>-1.1935527240669066</v>
      </c>
      <c r="H17">
        <f t="shared" si="3"/>
        <v>-1.3076847643588569</v>
      </c>
      <c r="I17">
        <f t="shared" si="4"/>
        <v>-7.3256583712450987E-2</v>
      </c>
      <c r="J17" s="4">
        <f t="shared" si="5"/>
        <v>-1.7140829467189482</v>
      </c>
      <c r="K17">
        <f t="shared" si="6"/>
        <v>2.1182459791342834</v>
      </c>
      <c r="L17">
        <f t="shared" si="7"/>
        <v>14.819705840611604</v>
      </c>
      <c r="M17">
        <f t="shared" si="8"/>
        <v>7.140902702135282</v>
      </c>
      <c r="N17" s="17">
        <f t="shared" si="9"/>
        <v>2.1182459791342834</v>
      </c>
      <c r="O17">
        <f t="shared" si="10"/>
        <v>1</v>
      </c>
    </row>
    <row r="18" spans="1:15" ht="17" x14ac:dyDescent="0.2">
      <c r="A18" s="16">
        <v>4</v>
      </c>
      <c r="B18" s="15" t="s">
        <v>7</v>
      </c>
      <c r="C18" s="5">
        <v>0.73699999999999999</v>
      </c>
      <c r="D18" s="6">
        <v>984</v>
      </c>
      <c r="E18" s="7">
        <f>12.7/10</f>
        <v>1.27</v>
      </c>
      <c r="F18" s="8">
        <v>2.77</v>
      </c>
      <c r="G18">
        <f t="shared" si="2"/>
        <v>-1.0068517392966641</v>
      </c>
      <c r="H18">
        <f t="shared" si="3"/>
        <v>-0.65689059841336572</v>
      </c>
      <c r="I18">
        <f t="shared" si="4"/>
        <v>2.0398677969166306</v>
      </c>
      <c r="J18" s="4">
        <f t="shared" si="5"/>
        <v>-0.22505045883180486</v>
      </c>
      <c r="K18">
        <f t="shared" si="6"/>
        <v>7.8030596709028641</v>
      </c>
      <c r="L18">
        <f t="shared" si="7"/>
        <v>8.9448240261445822</v>
      </c>
      <c r="M18">
        <f t="shared" si="8"/>
        <v>0</v>
      </c>
      <c r="N18" s="17">
        <f t="shared" si="9"/>
        <v>0</v>
      </c>
      <c r="O18">
        <f>MATCH(N18, K18:M18, 0)</f>
        <v>3</v>
      </c>
    </row>
    <row r="19" spans="1:15" ht="34" x14ac:dyDescent="0.2">
      <c r="A19" s="16">
        <v>5</v>
      </c>
      <c r="B19" s="15" t="s">
        <v>8</v>
      </c>
      <c r="C19" s="5">
        <v>0.90300000000000002</v>
      </c>
      <c r="D19" s="6">
        <v>1033</v>
      </c>
      <c r="E19" s="7">
        <f>0/100</f>
        <v>0</v>
      </c>
      <c r="F19" s="8">
        <v>3.05</v>
      </c>
      <c r="G19">
        <f t="shared" si="2"/>
        <v>0.93017097769460033</v>
      </c>
      <c r="H19">
        <f t="shared" si="3"/>
        <v>-0.13412151429321703</v>
      </c>
      <c r="I19">
        <f t="shared" si="4"/>
        <v>-0.63577324336146879</v>
      </c>
      <c r="J19" s="4">
        <f t="shared" si="5"/>
        <v>0.37919460871660082</v>
      </c>
      <c r="K19">
        <f t="shared" si="6"/>
        <v>3.5572390833777314</v>
      </c>
      <c r="L19">
        <f t="shared" si="7"/>
        <v>2.2708825595316315</v>
      </c>
      <c r="M19">
        <f t="shared" si="8"/>
        <v>11.549511599529087</v>
      </c>
      <c r="N19" s="17">
        <f t="shared" si="9"/>
        <v>2.2708825595316315</v>
      </c>
      <c r="O19">
        <f t="shared" si="10"/>
        <v>2</v>
      </c>
    </row>
    <row r="20" spans="1:15" ht="17" x14ac:dyDescent="0.2">
      <c r="A20" s="16">
        <v>6</v>
      </c>
      <c r="B20" s="15" t="s">
        <v>9</v>
      </c>
      <c r="C20" s="5">
        <v>0.90500000000000003</v>
      </c>
      <c r="D20" s="6">
        <v>1120</v>
      </c>
      <c r="E20" s="7">
        <f>55.2/100</f>
        <v>0.55200000000000005</v>
      </c>
      <c r="F20" s="8">
        <v>3.16</v>
      </c>
      <c r="G20">
        <f t="shared" si="2"/>
        <v>0.95350860079088073</v>
      </c>
      <c r="H20">
        <f t="shared" si="3"/>
        <v>0.79406032894051637</v>
      </c>
      <c r="I20">
        <f t="shared" si="4"/>
        <v>0.52718254737357928</v>
      </c>
      <c r="J20" s="4">
        <f t="shared" si="5"/>
        <v>0.61657659953918964</v>
      </c>
      <c r="K20">
        <f t="shared" si="6"/>
        <v>7.4358013202422022</v>
      </c>
      <c r="L20">
        <f t="shared" si="7"/>
        <v>0</v>
      </c>
      <c r="M20">
        <f t="shared" si="8"/>
        <v>8.9448240261445822</v>
      </c>
      <c r="N20" s="17">
        <f t="shared" si="9"/>
        <v>0</v>
      </c>
      <c r="O20">
        <f t="shared" si="10"/>
        <v>2</v>
      </c>
    </row>
    <row r="21" spans="1:15" ht="17" x14ac:dyDescent="0.2">
      <c r="A21" s="16">
        <v>7</v>
      </c>
      <c r="B21" s="15" t="s">
        <v>10</v>
      </c>
      <c r="C21" s="5">
        <v>0.78600000000000003</v>
      </c>
      <c r="D21" s="6">
        <v>1078</v>
      </c>
      <c r="E21" s="7">
        <f>3.4/1000</f>
        <v>3.3999999999999998E-3</v>
      </c>
      <c r="F21" s="8">
        <v>3.1</v>
      </c>
      <c r="G21">
        <f t="shared" si="2"/>
        <v>-0.43507997343779647</v>
      </c>
      <c r="H21">
        <f t="shared" si="3"/>
        <v>0.34597254255181747</v>
      </c>
      <c r="I21">
        <f t="shared" si="4"/>
        <v>-0.62861010986781085</v>
      </c>
      <c r="J21" s="4">
        <f t="shared" si="5"/>
        <v>0.4870955136359596</v>
      </c>
      <c r="K21">
        <f t="shared" si="6"/>
        <v>2.7037907681945264</v>
      </c>
      <c r="L21">
        <f t="shared" si="7"/>
        <v>3.4815829109289482</v>
      </c>
      <c r="M21">
        <f t="shared" si="8"/>
        <v>8.9605836568386525</v>
      </c>
      <c r="N21" s="17">
        <f t="shared" si="9"/>
        <v>2.7037907681945264</v>
      </c>
      <c r="O21">
        <f t="shared" si="1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 data</vt:lpstr>
      <vt:lpstr>PA cluster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De Castro</dc:creator>
  <cp:lastModifiedBy>Victoria De Castro</cp:lastModifiedBy>
  <dcterms:created xsi:type="dcterms:W3CDTF">2020-10-29T03:11:34Z</dcterms:created>
  <dcterms:modified xsi:type="dcterms:W3CDTF">2020-10-29T03:43:49Z</dcterms:modified>
</cp:coreProperties>
</file>