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qizhouduan/Documents/GitHub/ptg-covid/2025/data and code/"/>
    </mc:Choice>
  </mc:AlternateContent>
  <xr:revisionPtr revIDLastSave="0" documentId="13_ncr:1_{00C4916C-D772-424A-A427-FDFA9B6E6882}" xr6:coauthVersionLast="47" xr6:coauthVersionMax="47" xr10:uidLastSave="{00000000-0000-0000-0000-000000000000}"/>
  <bookViews>
    <workbookView xWindow="15940" yWindow="7220" windowWidth="30240" windowHeight="1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3" i="1" l="1"/>
  <c r="G73" i="1"/>
  <c r="G67" i="1"/>
  <c r="G64" i="1"/>
  <c r="G63" i="1"/>
  <c r="G60" i="1"/>
  <c r="H58" i="1"/>
  <c r="G58" i="1"/>
  <c r="H57" i="1"/>
  <c r="G57" i="1"/>
  <c r="H55" i="1"/>
  <c r="G55" i="1"/>
  <c r="H54" i="1"/>
  <c r="G54" i="1"/>
  <c r="H52" i="1"/>
  <c r="H51" i="1"/>
  <c r="G51" i="1"/>
  <c r="H50" i="1"/>
  <c r="G50" i="1"/>
  <c r="H48" i="1"/>
  <c r="G48" i="1"/>
  <c r="H47" i="1"/>
  <c r="G47" i="1"/>
  <c r="H46" i="1"/>
  <c r="G46" i="1"/>
  <c r="G44" i="1"/>
  <c r="H43" i="1"/>
  <c r="G43" i="1"/>
  <c r="H40" i="1"/>
  <c r="G40" i="1"/>
  <c r="H39" i="1"/>
  <c r="G39" i="1"/>
  <c r="G38" i="1"/>
  <c r="H35" i="1"/>
  <c r="G35" i="1"/>
  <c r="H34" i="1"/>
  <c r="I30" i="1"/>
  <c r="G30" i="1"/>
  <c r="I9" i="1"/>
  <c r="G5" i="1"/>
  <c r="I4" i="1"/>
  <c r="I3" i="1"/>
  <c r="I2" i="1"/>
</calcChain>
</file>

<file path=xl/sharedStrings.xml><?xml version="1.0" encoding="utf-8"?>
<sst xmlns="http://schemas.openxmlformats.org/spreadsheetml/2006/main" count="396" uniqueCount="139">
  <si>
    <t>Source</t>
  </si>
  <si>
    <t>Mean Age</t>
  </si>
  <si>
    <t>Groups</t>
  </si>
  <si>
    <t>Countries</t>
  </si>
  <si>
    <t>scale type</t>
  </si>
  <si>
    <t>effect size</t>
  </si>
  <si>
    <t>sd</t>
  </si>
  <si>
    <t>sample size</t>
  </si>
  <si>
    <t>Anxiety</t>
  </si>
  <si>
    <t>Depression</t>
  </si>
  <si>
    <t>Coping</t>
  </si>
  <si>
    <t>Sprituality/Religion</t>
  </si>
  <si>
    <t>PTSD</t>
  </si>
  <si>
    <t>Social Support</t>
  </si>
  <si>
    <t>female proportion(Marg)</t>
  </si>
  <si>
    <t>Adjorlolo et al. (2022)</t>
  </si>
  <si>
    <t>Patients</t>
  </si>
  <si>
    <t>Ghana</t>
  </si>
  <si>
    <t>PTGI-SF</t>
  </si>
  <si>
    <t>Arnout and Al‐Sufyani (2021)</t>
  </si>
  <si>
    <t>General</t>
  </si>
  <si>
    <t>Saudi Arabia</t>
  </si>
  <si>
    <t>PTGI</t>
  </si>
  <si>
    <t>Chasson et al. (2022)</t>
  </si>
  <si>
    <t>Pregant women</t>
  </si>
  <si>
    <t>Israel</t>
  </si>
  <si>
    <t>Chen &amp; Tang (2021)</t>
  </si>
  <si>
    <t>Patient relatives</t>
  </si>
  <si>
    <t>China</t>
  </si>
  <si>
    <t>Chen et al.(2020)</t>
  </si>
  <si>
    <t>Nurses</t>
  </si>
  <si>
    <t>US</t>
  </si>
  <si>
    <t>Gul (2023)</t>
  </si>
  <si>
    <t>Pakistan</t>
  </si>
  <si>
    <t>Kalaitzaki et al. (2022)</t>
  </si>
  <si>
    <t>Greece</t>
  </si>
  <si>
    <t>Lau et al. (2021)</t>
  </si>
  <si>
    <t>Lewis et al. (2022)</t>
  </si>
  <si>
    <t>UK</t>
  </si>
  <si>
    <t>Lyu et al. (2021)</t>
  </si>
  <si>
    <t>Front Line worker</t>
  </si>
  <si>
    <t>Mo (2022)</t>
  </si>
  <si>
    <t>Northfield &amp; Johnston (2021)</t>
  </si>
  <si>
    <t>Ulset &amp; Soest (2022)</t>
  </si>
  <si>
    <t>Norway</t>
  </si>
  <si>
    <t>n/a</t>
  </si>
  <si>
    <t>Vazquez et al. (2021)</t>
  </si>
  <si>
    <t>Spain</t>
  </si>
  <si>
    <t>Willey et al.(2022)</t>
  </si>
  <si>
    <t>Yeung et al. (2022)</t>
  </si>
  <si>
    <t>Yıldız (2021)</t>
  </si>
  <si>
    <t>Nursing Students</t>
  </si>
  <si>
    <t>Turkey</t>
  </si>
  <si>
    <t>Zhang et al. (2021)</t>
  </si>
  <si>
    <t>Zhou et al.(2020)</t>
  </si>
  <si>
    <t>Yao et al. (2023)</t>
  </si>
  <si>
    <t>El-Khoury Malhame et al. (2023)</t>
  </si>
  <si>
    <t>Lebanon</t>
  </si>
  <si>
    <t>Das et al. (2023)</t>
  </si>
  <si>
    <t>Medical Doctors</t>
  </si>
  <si>
    <t>Tu et al. (2023)</t>
  </si>
  <si>
    <t>PHD Students</t>
  </si>
  <si>
    <t>United States</t>
  </si>
  <si>
    <t>Wang et. al (2023)</t>
  </si>
  <si>
    <t>Castiglioni et. al (2023)</t>
  </si>
  <si>
    <t>Italy</t>
  </si>
  <si>
    <t>Barnicot et al (2023)</t>
  </si>
  <si>
    <t>Health Care Workers</t>
  </si>
  <si>
    <t>United Kingdom</t>
  </si>
  <si>
    <t>Morales et al (2023)</t>
  </si>
  <si>
    <t>Lan et al (2023)</t>
  </si>
  <si>
    <t>General students</t>
  </si>
  <si>
    <t>Kalaitzaki et al. (2023)</t>
  </si>
  <si>
    <t>Bai et al. (2023)</t>
  </si>
  <si>
    <t>Akdag et al. (2023)</t>
  </si>
  <si>
    <t>Atay et al. (2023)</t>
  </si>
  <si>
    <t>Azman et al. (2023)</t>
  </si>
  <si>
    <t>Malaysia</t>
  </si>
  <si>
    <t>Bai et al. (2024)</t>
  </si>
  <si>
    <t>Cardinali et al. (2023)</t>
  </si>
  <si>
    <t>Carola et al. (2022)</t>
  </si>
  <si>
    <t>NA</t>
  </si>
  <si>
    <t>Dahan et al. (2022)</t>
  </si>
  <si>
    <t>Deitz (2024)</t>
  </si>
  <si>
    <t>Parents</t>
  </si>
  <si>
    <t>Gaboardi et al. (2024)</t>
  </si>
  <si>
    <t>Kalaitzaki et al. (2024)</t>
  </si>
  <si>
    <t>greece</t>
  </si>
  <si>
    <t>Kapur et al. (2022)</t>
  </si>
  <si>
    <t>Levinsky et al. (2024)</t>
  </si>
  <si>
    <t>Liu G. et al (2024)</t>
  </si>
  <si>
    <t>Liu S. et al (2024)</t>
  </si>
  <si>
    <t>Moreno-Jimenez et al. (2021)</t>
  </si>
  <si>
    <t>Nie et al. (2021)</t>
  </si>
  <si>
    <t>Nowicki et al. (2024)</t>
  </si>
  <si>
    <t>Iran</t>
  </si>
  <si>
    <t>Özönder et al. (2023)</t>
  </si>
  <si>
    <t>Petrocchi et al. (2023)</t>
  </si>
  <si>
    <t>switzerland</t>
  </si>
  <si>
    <t>Pfeiffer et al. (2023)</t>
  </si>
  <si>
    <t>Read et al. (2022)</t>
  </si>
  <si>
    <t>Sarialioglu et al. (2022)</t>
  </si>
  <si>
    <t>Veronese et al. (2022)</t>
  </si>
  <si>
    <t>Palestinian</t>
  </si>
  <si>
    <t>Wu (2024)</t>
  </si>
  <si>
    <t>Yilmaz-Karaman et al. (2023)</t>
  </si>
  <si>
    <t>Yim et al. (2022)</t>
  </si>
  <si>
    <t>south korea</t>
  </si>
  <si>
    <t>Zhang et al. (2023)</t>
  </si>
  <si>
    <t>Zeng et al. (2023)</t>
  </si>
  <si>
    <t>Paeizi et al. (2024)</t>
  </si>
  <si>
    <t>Foster et al. (2024)</t>
  </si>
  <si>
    <t>Austrilia</t>
  </si>
  <si>
    <t>Kalaitzaki et al. (2021)</t>
  </si>
  <si>
    <t>Liu et al. (2021)</t>
  </si>
  <si>
    <t>Kowalski et al. (2021)</t>
  </si>
  <si>
    <t>Mturk Worker</t>
  </si>
  <si>
    <t>Fino et al. (2023)</t>
  </si>
  <si>
    <t>Jiang et al. (2022)</t>
  </si>
  <si>
    <t>Song et al. (2024)</t>
  </si>
  <si>
    <t>Elderly</t>
  </si>
  <si>
    <t>Sun et al. (2022)</t>
  </si>
  <si>
    <t>Aggar et al. (2022)</t>
  </si>
  <si>
    <t>Peng et al. (2021)</t>
  </si>
  <si>
    <t>Cui et al.</t>
  </si>
  <si>
    <t>Lafuenti et al. (2024)</t>
  </si>
  <si>
    <t>Ottaviani et al. (2024)</t>
  </si>
  <si>
    <t>Li et al. (2022)</t>
  </si>
  <si>
    <t>Zurko et al. (2022)</t>
  </si>
  <si>
    <t>Poland</t>
  </si>
  <si>
    <t>College Students</t>
  </si>
  <si>
    <t>Ultra-Orthodox Jewish</t>
  </si>
  <si>
    <t>General Students</t>
  </si>
  <si>
    <t>continents</t>
  </si>
  <si>
    <t>Africa</t>
  </si>
  <si>
    <t>Asia</t>
  </si>
  <si>
    <t>North America</t>
  </si>
  <si>
    <t>Europe</t>
  </si>
  <si>
    <t>Oceania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</si>
</sst>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8"/>
      <color theme="1"/>
      <name val="Helvetica Neue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3" fillId="0" borderId="0" xfId="0" applyFont="1"/>
    <xf numFmtId="0" fontId="4" fillId="0" borderId="0" xfId="0" applyFont="1"/>
    <xf numFmtId="3" fontId="2" fillId="0" borderId="0" xfId="0" applyNumberFormat="1" applyFont="1"/>
    <xf numFmtId="0" fontId="1" fillId="2" borderId="0" xfId="0" applyFont="1" applyFill="1"/>
    <xf numFmtId="0" fontId="5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9"/>
  <sheetViews>
    <sheetView tabSelected="1" topLeftCell="A25" zoomScale="150" workbookViewId="0">
      <selection activeCell="D43" sqref="D43"/>
    </sheetView>
  </sheetViews>
  <sheetFormatPr baseColWidth="10" defaultColWidth="12.6640625" defaultRowHeight="15" customHeight="1" x14ac:dyDescent="0.15"/>
  <cols>
    <col min="1" max="1" width="26.33203125" customWidth="1"/>
    <col min="2" max="2" width="9.6640625" customWidth="1"/>
    <col min="3" max="3" width="22" customWidth="1"/>
    <col min="4" max="4" width="13.5" bestFit="1" customWidth="1"/>
    <col min="6" max="6" width="9.6640625" customWidth="1"/>
    <col min="7" max="7" width="9" customWidth="1"/>
    <col min="8" max="9" width="10.1640625" customWidth="1"/>
    <col min="10" max="10" width="6.83203125" customWidth="1"/>
    <col min="11" max="11" width="6.1640625" customWidth="1"/>
    <col min="12" max="12" width="6.6640625" customWidth="1"/>
    <col min="13" max="13" width="7.83203125" customWidth="1"/>
    <col min="14" max="14" width="5.6640625" customWidth="1"/>
    <col min="15" max="15" width="13" customWidth="1"/>
    <col min="16" max="16" width="19.6640625" customWidth="1"/>
    <col min="17" max="27" width="11.5" customWidth="1"/>
  </cols>
  <sheetData>
    <row r="1" spans="1:16" ht="12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133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</row>
    <row r="2" spans="1:16" ht="12.75" customHeight="1" x14ac:dyDescent="0.15">
      <c r="A2" s="2" t="s">
        <v>15</v>
      </c>
      <c r="B2" s="1">
        <v>43.1</v>
      </c>
      <c r="C2" s="1" t="s">
        <v>16</v>
      </c>
      <c r="D2" s="1" t="s">
        <v>17</v>
      </c>
      <c r="E2" s="1" t="s">
        <v>134</v>
      </c>
      <c r="F2" s="1" t="s">
        <v>18</v>
      </c>
      <c r="G2" s="1">
        <v>22.257999999999999</v>
      </c>
      <c r="H2" s="1">
        <v>5.0519999999999996</v>
      </c>
      <c r="I2" s="3">
        <f>226+155</f>
        <v>381</v>
      </c>
      <c r="J2" s="2">
        <v>1</v>
      </c>
      <c r="K2" s="1">
        <v>1</v>
      </c>
      <c r="L2" s="1">
        <v>0</v>
      </c>
      <c r="M2" s="1">
        <v>0</v>
      </c>
      <c r="N2" s="2">
        <v>0</v>
      </c>
      <c r="O2" s="2">
        <v>1</v>
      </c>
      <c r="P2" s="2">
        <v>0.40699999999999997</v>
      </c>
    </row>
    <row r="3" spans="1:16" ht="12.75" customHeight="1" x14ac:dyDescent="0.15">
      <c r="A3" s="1" t="s">
        <v>19</v>
      </c>
      <c r="B3" s="1">
        <v>35</v>
      </c>
      <c r="C3" s="1" t="s">
        <v>20</v>
      </c>
      <c r="D3" s="1" t="s">
        <v>21</v>
      </c>
      <c r="E3" s="1" t="s">
        <v>135</v>
      </c>
      <c r="F3" s="1" t="s">
        <v>22</v>
      </c>
      <c r="G3" s="1">
        <v>65.194999999999993</v>
      </c>
      <c r="H3" s="1">
        <v>17.943999999999999</v>
      </c>
      <c r="I3" s="3">
        <f>94+141+84+46</f>
        <v>365</v>
      </c>
      <c r="J3" s="2">
        <v>1</v>
      </c>
      <c r="K3" s="1">
        <v>1</v>
      </c>
      <c r="L3" s="1">
        <v>0</v>
      </c>
      <c r="M3" s="1">
        <v>0</v>
      </c>
      <c r="N3" s="2">
        <v>1</v>
      </c>
      <c r="O3" s="2">
        <v>0</v>
      </c>
      <c r="P3" s="1">
        <v>0.68200000000000005</v>
      </c>
    </row>
    <row r="4" spans="1:16" ht="12.75" customHeight="1" x14ac:dyDescent="0.15">
      <c r="A4" s="1" t="s">
        <v>23</v>
      </c>
      <c r="B4" s="1">
        <v>28.16</v>
      </c>
      <c r="C4" s="1" t="s">
        <v>24</v>
      </c>
      <c r="D4" s="1" t="s">
        <v>25</v>
      </c>
      <c r="E4" s="1" t="s">
        <v>135</v>
      </c>
      <c r="F4" s="1" t="s">
        <v>22</v>
      </c>
      <c r="G4" s="1">
        <v>55.78</v>
      </c>
      <c r="H4" s="1">
        <v>19.100000000000001</v>
      </c>
      <c r="I4" s="3">
        <f>517+399</f>
        <v>916</v>
      </c>
      <c r="J4" s="2">
        <v>1</v>
      </c>
      <c r="K4" s="1">
        <v>0</v>
      </c>
      <c r="L4" s="1">
        <v>0</v>
      </c>
      <c r="M4" s="1">
        <v>0</v>
      </c>
      <c r="N4" s="2">
        <v>0</v>
      </c>
      <c r="O4" s="2">
        <v>0</v>
      </c>
      <c r="P4" s="1">
        <v>1</v>
      </c>
    </row>
    <row r="5" spans="1:16" ht="12.75" customHeight="1" x14ac:dyDescent="0.15">
      <c r="A5" s="1" t="s">
        <v>26</v>
      </c>
      <c r="B5" s="1">
        <v>32.700000000000003</v>
      </c>
      <c r="C5" s="2" t="s">
        <v>27</v>
      </c>
      <c r="D5" s="1" t="s">
        <v>28</v>
      </c>
      <c r="E5" s="1" t="s">
        <v>135</v>
      </c>
      <c r="F5" s="1" t="s">
        <v>22</v>
      </c>
      <c r="G5" s="1">
        <f>ROUND(38.09*10.7/100+73.78*20.1/100+57.91*42.2/100+79.47*27/100,2)</f>
        <v>64.8</v>
      </c>
      <c r="H5" s="1">
        <v>10.44</v>
      </c>
      <c r="I5" s="3">
        <v>422</v>
      </c>
      <c r="J5" s="2">
        <v>0</v>
      </c>
      <c r="K5" s="1">
        <v>0</v>
      </c>
      <c r="L5" s="1">
        <v>0</v>
      </c>
      <c r="M5" s="1">
        <v>0</v>
      </c>
      <c r="N5" s="2">
        <v>1</v>
      </c>
      <c r="O5" s="2">
        <v>0</v>
      </c>
      <c r="P5" s="1">
        <v>0.44500000000000001</v>
      </c>
    </row>
    <row r="6" spans="1:16" ht="12.75" customHeight="1" x14ac:dyDescent="0.15">
      <c r="A6" s="1" t="s">
        <v>29</v>
      </c>
      <c r="B6" s="1">
        <v>33.1</v>
      </c>
      <c r="C6" s="1" t="s">
        <v>30</v>
      </c>
      <c r="D6" s="1" t="s">
        <v>31</v>
      </c>
      <c r="E6" s="1" t="s">
        <v>136</v>
      </c>
      <c r="F6" s="1" t="s">
        <v>18</v>
      </c>
      <c r="G6" s="1">
        <v>28</v>
      </c>
      <c r="H6" s="1">
        <v>11.5</v>
      </c>
      <c r="I6" s="3">
        <v>12596</v>
      </c>
      <c r="J6" s="2">
        <v>0</v>
      </c>
      <c r="K6" s="1">
        <v>0</v>
      </c>
      <c r="L6" s="2">
        <v>0</v>
      </c>
      <c r="M6" s="1">
        <v>0</v>
      </c>
      <c r="N6" s="2">
        <v>1</v>
      </c>
      <c r="O6" s="2">
        <v>0</v>
      </c>
      <c r="P6" s="2">
        <v>0.95599999999999996</v>
      </c>
    </row>
    <row r="7" spans="1:16" ht="12.75" customHeight="1" x14ac:dyDescent="0.15">
      <c r="A7" s="1" t="s">
        <v>32</v>
      </c>
      <c r="C7" s="1" t="s">
        <v>16</v>
      </c>
      <c r="D7" s="1" t="s">
        <v>33</v>
      </c>
      <c r="E7" s="1" t="s">
        <v>135</v>
      </c>
      <c r="F7" s="1" t="s">
        <v>22</v>
      </c>
      <c r="G7" s="1">
        <v>45.57</v>
      </c>
      <c r="H7" s="1">
        <v>11.7</v>
      </c>
      <c r="I7" s="3">
        <v>300</v>
      </c>
      <c r="J7" s="2">
        <v>0</v>
      </c>
      <c r="K7" s="1">
        <v>0</v>
      </c>
      <c r="L7" s="1">
        <v>0</v>
      </c>
      <c r="M7" s="1">
        <v>0</v>
      </c>
      <c r="N7" s="2">
        <v>0</v>
      </c>
      <c r="O7" s="2">
        <v>1</v>
      </c>
      <c r="P7" s="1">
        <v>0.5</v>
      </c>
    </row>
    <row r="8" spans="1:16" ht="12.75" customHeight="1" x14ac:dyDescent="0.15">
      <c r="A8" s="1" t="s">
        <v>34</v>
      </c>
      <c r="B8" s="1">
        <v>35.36</v>
      </c>
      <c r="C8" s="1" t="s">
        <v>20</v>
      </c>
      <c r="D8" s="1" t="s">
        <v>35</v>
      </c>
      <c r="E8" s="1" t="s">
        <v>137</v>
      </c>
      <c r="F8" s="1" t="s">
        <v>22</v>
      </c>
      <c r="G8" s="1">
        <v>47.73</v>
      </c>
      <c r="H8" s="1">
        <v>24.63</v>
      </c>
      <c r="I8" s="3">
        <v>352</v>
      </c>
      <c r="J8" s="2">
        <v>1</v>
      </c>
      <c r="K8" s="1">
        <v>1</v>
      </c>
      <c r="L8" s="1">
        <v>1</v>
      </c>
      <c r="M8" s="1">
        <v>1</v>
      </c>
      <c r="N8" s="2">
        <v>0</v>
      </c>
      <c r="O8" s="2">
        <v>1</v>
      </c>
      <c r="P8" s="1">
        <v>0.75800000000000001</v>
      </c>
    </row>
    <row r="9" spans="1:16" ht="12.75" customHeight="1" x14ac:dyDescent="0.15">
      <c r="A9" s="1" t="s">
        <v>36</v>
      </c>
      <c r="B9" s="1">
        <v>35</v>
      </c>
      <c r="C9" s="1" t="s">
        <v>20</v>
      </c>
      <c r="D9" s="1" t="s">
        <v>28</v>
      </c>
      <c r="E9" s="1" t="s">
        <v>135</v>
      </c>
      <c r="F9" s="1" t="s">
        <v>22</v>
      </c>
      <c r="G9" s="1">
        <v>53.13</v>
      </c>
      <c r="H9" s="1">
        <v>17.22</v>
      </c>
      <c r="I9" s="3">
        <f>235+92</f>
        <v>327</v>
      </c>
      <c r="J9" s="2">
        <v>0</v>
      </c>
      <c r="K9" s="1">
        <v>0</v>
      </c>
      <c r="L9" s="1">
        <v>0</v>
      </c>
      <c r="M9" s="1">
        <v>0</v>
      </c>
      <c r="N9" s="2">
        <v>1</v>
      </c>
      <c r="O9" s="2">
        <v>0</v>
      </c>
      <c r="P9" s="1">
        <v>0.71899999999999997</v>
      </c>
    </row>
    <row r="10" spans="1:16" ht="12.75" customHeight="1" x14ac:dyDescent="0.15">
      <c r="A10" s="1" t="s">
        <v>37</v>
      </c>
      <c r="B10" s="1">
        <v>46.7</v>
      </c>
      <c r="C10" s="1" t="s">
        <v>16</v>
      </c>
      <c r="D10" s="1" t="s">
        <v>38</v>
      </c>
      <c r="E10" s="1" t="s">
        <v>137</v>
      </c>
      <c r="F10" s="1" t="s">
        <v>18</v>
      </c>
      <c r="G10" s="1">
        <v>12.64</v>
      </c>
      <c r="H10" s="1">
        <v>11.01</v>
      </c>
      <c r="I10" s="3">
        <v>1424</v>
      </c>
      <c r="J10" s="2">
        <v>0</v>
      </c>
      <c r="K10" s="1">
        <v>0</v>
      </c>
      <c r="L10" s="1">
        <v>0</v>
      </c>
      <c r="M10" s="1">
        <v>0</v>
      </c>
      <c r="N10" s="2">
        <v>1</v>
      </c>
      <c r="O10" s="2">
        <v>0</v>
      </c>
      <c r="P10" s="1">
        <v>0.753</v>
      </c>
    </row>
    <row r="11" spans="1:16" ht="12.75" customHeight="1" x14ac:dyDescent="0.15">
      <c r="A11" s="1" t="s">
        <v>39</v>
      </c>
      <c r="B11" s="1">
        <v>35.409999999999997</v>
      </c>
      <c r="C11" s="1" t="s">
        <v>40</v>
      </c>
      <c r="D11" s="1" t="s">
        <v>28</v>
      </c>
      <c r="E11" s="1" t="s">
        <v>135</v>
      </c>
      <c r="F11" s="1" t="s">
        <v>22</v>
      </c>
      <c r="G11" s="1">
        <v>78.400000000000006</v>
      </c>
      <c r="H11" s="1">
        <v>14</v>
      </c>
      <c r="I11" s="3">
        <v>251</v>
      </c>
      <c r="J11" s="2">
        <v>0</v>
      </c>
      <c r="K11" s="1">
        <v>0</v>
      </c>
      <c r="L11" s="1">
        <v>0</v>
      </c>
      <c r="M11" s="1">
        <v>0</v>
      </c>
      <c r="N11" s="2">
        <v>0</v>
      </c>
      <c r="O11" s="2">
        <v>0</v>
      </c>
      <c r="P11" s="1">
        <v>0.70899999999999996</v>
      </c>
    </row>
    <row r="12" spans="1:16" ht="12.75" customHeight="1" x14ac:dyDescent="0.15">
      <c r="A12" s="1" t="s">
        <v>41</v>
      </c>
      <c r="B12" s="1">
        <v>32.340000000000003</v>
      </c>
      <c r="C12" s="1" t="s">
        <v>30</v>
      </c>
      <c r="D12" s="1" t="s">
        <v>28</v>
      </c>
      <c r="E12" s="1" t="s">
        <v>135</v>
      </c>
      <c r="F12" s="1" t="s">
        <v>22</v>
      </c>
      <c r="G12" s="1">
        <v>96.26</v>
      </c>
      <c r="H12" s="1">
        <v>21.57</v>
      </c>
      <c r="I12" s="3">
        <v>266</v>
      </c>
      <c r="J12" s="2">
        <v>0</v>
      </c>
      <c r="K12" s="1">
        <v>0</v>
      </c>
      <c r="L12" s="1">
        <v>0</v>
      </c>
      <c r="M12" s="1">
        <v>0</v>
      </c>
      <c r="N12" s="2">
        <v>1</v>
      </c>
      <c r="O12" s="2">
        <v>1</v>
      </c>
      <c r="P12" s="1">
        <v>0.91</v>
      </c>
    </row>
    <row r="13" spans="1:16" ht="12.75" customHeight="1" x14ac:dyDescent="0.15">
      <c r="A13" s="1" t="s">
        <v>42</v>
      </c>
      <c r="B13" s="1">
        <v>39.700000000000003</v>
      </c>
      <c r="C13" s="1" t="s">
        <v>20</v>
      </c>
      <c r="D13" s="1" t="s">
        <v>31</v>
      </c>
      <c r="E13" s="1" t="s">
        <v>136</v>
      </c>
      <c r="F13" s="1" t="s">
        <v>22</v>
      </c>
      <c r="G13" s="1">
        <v>47</v>
      </c>
      <c r="H13" s="1">
        <v>28.2</v>
      </c>
      <c r="I13" s="3">
        <v>296</v>
      </c>
      <c r="J13" s="2">
        <v>0</v>
      </c>
      <c r="K13" s="1">
        <v>0</v>
      </c>
      <c r="L13" s="1">
        <v>0</v>
      </c>
      <c r="M13" s="1">
        <v>0</v>
      </c>
      <c r="N13" s="2">
        <v>0</v>
      </c>
      <c r="O13" s="2">
        <v>1</v>
      </c>
      <c r="P13" s="1">
        <v>0.58799999999999997</v>
      </c>
    </row>
    <row r="14" spans="1:16" ht="12.75" customHeight="1" x14ac:dyDescent="0.15">
      <c r="A14" s="2" t="s">
        <v>43</v>
      </c>
      <c r="B14" s="1">
        <v>16</v>
      </c>
      <c r="C14" s="1" t="s">
        <v>20</v>
      </c>
      <c r="D14" s="1" t="s">
        <v>44</v>
      </c>
      <c r="E14" s="1" t="s">
        <v>137</v>
      </c>
      <c r="F14" s="1" t="s">
        <v>18</v>
      </c>
      <c r="G14" s="1">
        <v>21.6</v>
      </c>
      <c r="H14" s="1">
        <v>6.8</v>
      </c>
      <c r="I14" s="3">
        <v>12686</v>
      </c>
      <c r="J14" s="2">
        <v>0</v>
      </c>
      <c r="K14" s="1">
        <v>1</v>
      </c>
      <c r="L14" s="1">
        <v>0</v>
      </c>
      <c r="M14" s="1">
        <v>0</v>
      </c>
      <c r="N14" s="2">
        <v>0</v>
      </c>
      <c r="O14" s="2">
        <v>1</v>
      </c>
      <c r="P14" s="2" t="s">
        <v>45</v>
      </c>
    </row>
    <row r="15" spans="1:16" ht="12.75" customHeight="1" x14ac:dyDescent="0.15">
      <c r="A15" s="1" t="s">
        <v>46</v>
      </c>
      <c r="B15" s="1">
        <v>45.16</v>
      </c>
      <c r="C15" s="1" t="s">
        <v>20</v>
      </c>
      <c r="D15" s="1" t="s">
        <v>47</v>
      </c>
      <c r="E15" s="1" t="s">
        <v>137</v>
      </c>
      <c r="F15" s="1" t="s">
        <v>18</v>
      </c>
      <c r="G15" s="1">
        <v>36.51</v>
      </c>
      <c r="H15" s="1">
        <v>7.6</v>
      </c>
      <c r="I15" s="3">
        <v>1951</v>
      </c>
      <c r="J15" s="2">
        <v>1</v>
      </c>
      <c r="K15" s="1">
        <v>0</v>
      </c>
      <c r="L15" s="1">
        <v>0</v>
      </c>
      <c r="M15" s="1">
        <v>1</v>
      </c>
      <c r="N15" s="2">
        <v>1</v>
      </c>
      <c r="O15" s="2">
        <v>0</v>
      </c>
      <c r="P15" s="1">
        <v>0.5</v>
      </c>
    </row>
    <row r="16" spans="1:16" ht="12.75" customHeight="1" x14ac:dyDescent="0.15">
      <c r="A16" s="1" t="s">
        <v>48</v>
      </c>
      <c r="B16" s="1">
        <v>76.3</v>
      </c>
      <c r="C16" s="1" t="s">
        <v>20</v>
      </c>
      <c r="D16" s="1" t="s">
        <v>31</v>
      </c>
      <c r="E16" s="1" t="s">
        <v>136</v>
      </c>
      <c r="F16" s="1" t="s">
        <v>22</v>
      </c>
      <c r="G16" s="1">
        <v>47.95</v>
      </c>
      <c r="H16" s="1">
        <v>24.48</v>
      </c>
      <c r="I16" s="3">
        <v>176</v>
      </c>
      <c r="J16" s="2">
        <v>1</v>
      </c>
      <c r="K16" s="1">
        <v>1</v>
      </c>
      <c r="L16" s="1">
        <v>1</v>
      </c>
      <c r="M16" s="1">
        <v>1</v>
      </c>
      <c r="N16" s="2">
        <v>0</v>
      </c>
      <c r="O16" s="2">
        <v>0</v>
      </c>
      <c r="P16" s="1">
        <v>0.57899999999999996</v>
      </c>
    </row>
    <row r="17" spans="1:16" ht="12.75" customHeight="1" x14ac:dyDescent="0.15">
      <c r="A17" s="1" t="s">
        <v>49</v>
      </c>
      <c r="B17" s="1">
        <v>36.799999999999997</v>
      </c>
      <c r="C17" s="1" t="s">
        <v>30</v>
      </c>
      <c r="D17" s="1" t="s">
        <v>28</v>
      </c>
      <c r="E17" s="1" t="s">
        <v>135</v>
      </c>
      <c r="F17" s="1" t="s">
        <v>18</v>
      </c>
      <c r="G17" s="1">
        <v>21.9</v>
      </c>
      <c r="H17" s="1">
        <v>9.6999999999999993</v>
      </c>
      <c r="I17" s="3">
        <v>1510</v>
      </c>
      <c r="J17" s="2">
        <v>0</v>
      </c>
      <c r="K17" s="1">
        <v>0</v>
      </c>
      <c r="L17" s="1">
        <v>0</v>
      </c>
      <c r="M17" s="1">
        <v>1</v>
      </c>
      <c r="N17" s="2">
        <v>0</v>
      </c>
      <c r="O17" s="2">
        <v>0</v>
      </c>
      <c r="P17" s="2" t="s">
        <v>45</v>
      </c>
    </row>
    <row r="18" spans="1:16" ht="12.75" customHeight="1" x14ac:dyDescent="0.15">
      <c r="A18" s="1" t="s">
        <v>50</v>
      </c>
      <c r="B18" s="1">
        <v>21.2</v>
      </c>
      <c r="C18" s="1" t="s">
        <v>51</v>
      </c>
      <c r="D18" s="1" t="s">
        <v>52</v>
      </c>
      <c r="E18" s="1" t="s">
        <v>137</v>
      </c>
      <c r="F18" s="1" t="s">
        <v>22</v>
      </c>
      <c r="G18" s="1">
        <v>63.49</v>
      </c>
      <c r="H18" s="1">
        <v>20.64</v>
      </c>
      <c r="I18" s="3">
        <v>292</v>
      </c>
      <c r="J18" s="2">
        <v>0</v>
      </c>
      <c r="K18" s="1">
        <v>0</v>
      </c>
      <c r="L18" s="1">
        <v>0</v>
      </c>
      <c r="M18" s="1">
        <v>0</v>
      </c>
      <c r="N18" s="2">
        <v>0</v>
      </c>
      <c r="O18" s="2">
        <v>0</v>
      </c>
      <c r="P18" s="1">
        <v>0.78500000000000003</v>
      </c>
    </row>
    <row r="19" spans="1:16" ht="12.75" customHeight="1" x14ac:dyDescent="0.15">
      <c r="A19" s="1" t="s">
        <v>53</v>
      </c>
      <c r="C19" s="1" t="s">
        <v>30</v>
      </c>
      <c r="D19" s="1" t="s">
        <v>31</v>
      </c>
      <c r="E19" s="1" t="s">
        <v>136</v>
      </c>
      <c r="F19" s="1" t="s">
        <v>22</v>
      </c>
      <c r="G19" s="1">
        <v>67.17</v>
      </c>
      <c r="H19" s="1">
        <v>14.79</v>
      </c>
      <c r="I19" s="3">
        <v>1790</v>
      </c>
      <c r="J19" s="2">
        <v>0</v>
      </c>
      <c r="K19" s="1">
        <v>0</v>
      </c>
      <c r="L19" s="1">
        <v>1</v>
      </c>
      <c r="M19" s="1">
        <v>1</v>
      </c>
      <c r="N19" s="2">
        <v>1</v>
      </c>
      <c r="O19" s="2">
        <v>1</v>
      </c>
      <c r="P19" s="1">
        <v>0.99399999999999999</v>
      </c>
    </row>
    <row r="20" spans="1:16" ht="12.75" customHeight="1" x14ac:dyDescent="0.15">
      <c r="A20" s="1" t="s">
        <v>54</v>
      </c>
      <c r="B20" s="1">
        <v>45.3</v>
      </c>
      <c r="C20" s="1" t="s">
        <v>20</v>
      </c>
      <c r="D20" s="1" t="s">
        <v>31</v>
      </c>
      <c r="E20" s="1" t="s">
        <v>136</v>
      </c>
      <c r="F20" s="1" t="s">
        <v>22</v>
      </c>
      <c r="G20" s="1">
        <v>58.34</v>
      </c>
      <c r="H20" s="1">
        <v>26.76</v>
      </c>
      <c r="I20" s="3">
        <v>442</v>
      </c>
      <c r="J20" s="2">
        <v>1</v>
      </c>
      <c r="K20" s="1">
        <v>1</v>
      </c>
      <c r="L20" s="1">
        <v>1</v>
      </c>
      <c r="M20" s="1">
        <v>1</v>
      </c>
      <c r="N20" s="2">
        <v>0</v>
      </c>
      <c r="O20" s="2">
        <v>1</v>
      </c>
      <c r="P20" s="1">
        <v>0.52300000000000002</v>
      </c>
    </row>
    <row r="21" spans="1:16" ht="12.75" customHeight="1" x14ac:dyDescent="0.15">
      <c r="A21" s="1" t="s">
        <v>55</v>
      </c>
      <c r="B21" s="1">
        <v>32.46</v>
      </c>
      <c r="C21" s="1" t="s">
        <v>30</v>
      </c>
      <c r="D21" s="1" t="s">
        <v>28</v>
      </c>
      <c r="E21" s="1" t="s">
        <v>135</v>
      </c>
      <c r="F21" s="1" t="s">
        <v>22</v>
      </c>
      <c r="G21" s="1">
        <v>71.75</v>
      </c>
      <c r="H21" s="1">
        <v>18.53</v>
      </c>
      <c r="I21" s="3">
        <v>1512</v>
      </c>
      <c r="J21" s="2">
        <v>0</v>
      </c>
      <c r="K21" s="1">
        <v>0</v>
      </c>
      <c r="L21" s="1">
        <v>0</v>
      </c>
      <c r="M21" s="1">
        <v>1</v>
      </c>
      <c r="N21" s="2">
        <v>0</v>
      </c>
      <c r="O21" s="2">
        <v>0</v>
      </c>
      <c r="P21" s="1">
        <v>0.93799999999999994</v>
      </c>
    </row>
    <row r="22" spans="1:16" ht="12.75" customHeight="1" x14ac:dyDescent="0.15">
      <c r="A22" s="1" t="s">
        <v>56</v>
      </c>
      <c r="B22" s="1">
        <v>25</v>
      </c>
      <c r="C22" s="1" t="s">
        <v>20</v>
      </c>
      <c r="D22" s="1" t="s">
        <v>57</v>
      </c>
      <c r="E22" s="1" t="s">
        <v>134</v>
      </c>
      <c r="F22" s="1" t="s">
        <v>18</v>
      </c>
      <c r="G22" s="1">
        <v>30.33</v>
      </c>
      <c r="H22" s="1">
        <v>11.65</v>
      </c>
      <c r="I22" s="3">
        <v>252</v>
      </c>
      <c r="J22" s="2">
        <v>0</v>
      </c>
      <c r="K22" s="1">
        <v>0</v>
      </c>
      <c r="L22" s="1">
        <v>0</v>
      </c>
      <c r="M22" s="1">
        <v>1</v>
      </c>
      <c r="N22" s="2">
        <v>1</v>
      </c>
      <c r="O22" s="2">
        <v>0</v>
      </c>
      <c r="P22" s="1">
        <v>0.71699999999999997</v>
      </c>
    </row>
    <row r="23" spans="1:16" ht="12.75" customHeight="1" x14ac:dyDescent="0.15">
      <c r="A23" s="1" t="s">
        <v>58</v>
      </c>
      <c r="B23" s="1">
        <v>55</v>
      </c>
      <c r="C23" s="1" t="s">
        <v>59</v>
      </c>
      <c r="D23" s="1" t="s">
        <v>33</v>
      </c>
      <c r="E23" s="1" t="s">
        <v>135</v>
      </c>
      <c r="F23" s="1" t="s">
        <v>22</v>
      </c>
      <c r="G23" s="1">
        <v>64.81</v>
      </c>
      <c r="H23" s="1">
        <v>20.27</v>
      </c>
      <c r="I23" s="3">
        <v>166</v>
      </c>
      <c r="J23" s="2">
        <v>0</v>
      </c>
      <c r="K23" s="1">
        <v>0</v>
      </c>
      <c r="L23" s="1">
        <v>0</v>
      </c>
      <c r="M23" s="1">
        <v>1</v>
      </c>
      <c r="N23" s="2">
        <v>1</v>
      </c>
      <c r="O23" s="2">
        <v>0</v>
      </c>
      <c r="P23" s="1">
        <v>0.6</v>
      </c>
    </row>
    <row r="24" spans="1:16" ht="12.75" customHeight="1" x14ac:dyDescent="0.15">
      <c r="A24" s="2" t="s">
        <v>60</v>
      </c>
      <c r="B24" s="2">
        <v>27</v>
      </c>
      <c r="C24" s="2" t="s">
        <v>61</v>
      </c>
      <c r="D24" s="2" t="s">
        <v>62</v>
      </c>
      <c r="E24" s="1" t="s">
        <v>136</v>
      </c>
      <c r="F24" s="2" t="s">
        <v>18</v>
      </c>
      <c r="G24" s="1">
        <v>46.81</v>
      </c>
      <c r="H24" s="1">
        <v>11.93</v>
      </c>
      <c r="I24" s="3">
        <v>290</v>
      </c>
      <c r="J24" s="2">
        <v>1</v>
      </c>
      <c r="K24" s="2">
        <v>1</v>
      </c>
      <c r="L24" s="2">
        <v>0</v>
      </c>
      <c r="M24" s="2">
        <v>1</v>
      </c>
      <c r="N24" s="2">
        <v>0</v>
      </c>
      <c r="O24" s="2">
        <v>1</v>
      </c>
      <c r="P24" s="2">
        <v>0.53800000000000003</v>
      </c>
    </row>
    <row r="25" spans="1:16" ht="12.75" customHeight="1" x14ac:dyDescent="0.15">
      <c r="A25" s="1" t="s">
        <v>63</v>
      </c>
      <c r="B25" s="1">
        <v>22.42</v>
      </c>
      <c r="C25" s="2" t="s">
        <v>130</v>
      </c>
      <c r="D25" s="2" t="s">
        <v>28</v>
      </c>
      <c r="E25" s="1" t="s">
        <v>135</v>
      </c>
      <c r="F25" s="1" t="s">
        <v>22</v>
      </c>
      <c r="G25" s="1">
        <v>63.36</v>
      </c>
      <c r="H25" s="1">
        <v>20.91</v>
      </c>
      <c r="I25" s="3">
        <v>100</v>
      </c>
      <c r="J25" s="2">
        <v>0</v>
      </c>
      <c r="K25" s="1">
        <v>0</v>
      </c>
      <c r="L25" s="1">
        <v>0</v>
      </c>
      <c r="M25" s="1">
        <v>1</v>
      </c>
      <c r="N25" s="2">
        <v>1</v>
      </c>
      <c r="O25" s="2">
        <v>0</v>
      </c>
      <c r="P25" s="1">
        <v>0.38400000000000001</v>
      </c>
    </row>
    <row r="26" spans="1:16" ht="12.75" customHeight="1" x14ac:dyDescent="0.15">
      <c r="A26" s="2" t="s">
        <v>64</v>
      </c>
      <c r="B26" s="1">
        <v>52.81</v>
      </c>
      <c r="C26" s="2" t="s">
        <v>20</v>
      </c>
      <c r="D26" s="2" t="s">
        <v>65</v>
      </c>
      <c r="E26" s="1" t="s">
        <v>137</v>
      </c>
      <c r="F26" s="1" t="s">
        <v>22</v>
      </c>
      <c r="G26" s="1">
        <v>31.82</v>
      </c>
      <c r="H26" s="1">
        <v>23.1</v>
      </c>
      <c r="I26" s="3">
        <v>733</v>
      </c>
      <c r="J26" s="2">
        <v>1</v>
      </c>
      <c r="K26" s="2">
        <v>1</v>
      </c>
      <c r="L26" s="1">
        <v>0</v>
      </c>
      <c r="M26" s="1">
        <v>1</v>
      </c>
      <c r="N26" s="2">
        <v>0</v>
      </c>
      <c r="O26" s="2">
        <v>0</v>
      </c>
      <c r="P26" s="2">
        <v>0.622</v>
      </c>
    </row>
    <row r="27" spans="1:16" ht="12.75" customHeight="1" x14ac:dyDescent="0.15">
      <c r="A27" s="1" t="s">
        <v>66</v>
      </c>
      <c r="B27" s="1">
        <v>46.68</v>
      </c>
      <c r="C27" s="2" t="s">
        <v>67</v>
      </c>
      <c r="D27" s="2" t="s">
        <v>68</v>
      </c>
      <c r="E27" s="1" t="s">
        <v>137</v>
      </c>
      <c r="F27" s="1" t="s">
        <v>18</v>
      </c>
      <c r="G27" s="1">
        <v>20.350000000000001</v>
      </c>
      <c r="H27" s="1">
        <v>10.92</v>
      </c>
      <c r="I27" s="3">
        <v>854</v>
      </c>
      <c r="J27" s="2">
        <v>1</v>
      </c>
      <c r="K27" s="1">
        <v>1</v>
      </c>
      <c r="L27" s="1">
        <v>0</v>
      </c>
      <c r="M27" s="1">
        <v>0</v>
      </c>
      <c r="N27" s="2">
        <v>0</v>
      </c>
      <c r="O27" s="2">
        <v>0</v>
      </c>
      <c r="P27" s="1">
        <v>0.81699999999999995</v>
      </c>
    </row>
    <row r="28" spans="1:16" ht="12.75" customHeight="1" x14ac:dyDescent="0.15">
      <c r="A28" s="2" t="s">
        <v>69</v>
      </c>
      <c r="B28" s="2">
        <v>25</v>
      </c>
      <c r="C28" s="2" t="s">
        <v>130</v>
      </c>
      <c r="D28" s="2" t="s">
        <v>62</v>
      </c>
      <c r="E28" s="1" t="s">
        <v>136</v>
      </c>
      <c r="F28" s="1" t="s">
        <v>22</v>
      </c>
      <c r="G28" s="1">
        <v>51.44</v>
      </c>
      <c r="H28" s="1">
        <v>12.5</v>
      </c>
      <c r="I28" s="3">
        <v>785</v>
      </c>
      <c r="J28" s="2">
        <v>1</v>
      </c>
      <c r="K28" s="1">
        <v>1</v>
      </c>
      <c r="L28" s="1">
        <v>0</v>
      </c>
      <c r="M28" s="1">
        <v>1</v>
      </c>
      <c r="N28" s="2">
        <v>0</v>
      </c>
      <c r="O28" s="2">
        <v>1</v>
      </c>
      <c r="P28" s="2">
        <v>0.59599999999999997</v>
      </c>
    </row>
    <row r="29" spans="1:16" ht="12.75" customHeight="1" x14ac:dyDescent="0.15">
      <c r="A29" s="1" t="s">
        <v>70</v>
      </c>
      <c r="B29" s="1">
        <v>22.37</v>
      </c>
      <c r="C29" s="2" t="s">
        <v>71</v>
      </c>
      <c r="D29" s="2" t="s">
        <v>28</v>
      </c>
      <c r="E29" s="1" t="s">
        <v>135</v>
      </c>
      <c r="F29" s="1" t="s">
        <v>22</v>
      </c>
      <c r="G29" s="1">
        <v>62.83</v>
      </c>
      <c r="H29" s="1">
        <v>23.19</v>
      </c>
      <c r="I29" s="3">
        <v>115</v>
      </c>
      <c r="J29" s="2">
        <v>0</v>
      </c>
      <c r="K29" s="1">
        <v>0</v>
      </c>
      <c r="L29" s="1">
        <v>0</v>
      </c>
      <c r="M29" s="1">
        <v>1</v>
      </c>
      <c r="N29" s="2">
        <v>1</v>
      </c>
      <c r="O29" s="2">
        <v>0</v>
      </c>
      <c r="P29" s="1">
        <v>0.57399999999999995</v>
      </c>
    </row>
    <row r="30" spans="1:16" ht="12.75" customHeight="1" x14ac:dyDescent="0.15">
      <c r="A30" s="1" t="s">
        <v>72</v>
      </c>
      <c r="B30" s="1">
        <v>41.6</v>
      </c>
      <c r="C30" s="2" t="s">
        <v>67</v>
      </c>
      <c r="D30" s="2" t="s">
        <v>35</v>
      </c>
      <c r="E30" s="1" t="s">
        <v>137</v>
      </c>
      <c r="F30" s="1" t="s">
        <v>22</v>
      </c>
      <c r="G30" s="1">
        <f>ROUND((53.97*253+45.56*176)/(253+176),2)</f>
        <v>50.52</v>
      </c>
      <c r="H30" s="1">
        <v>20</v>
      </c>
      <c r="I30" s="3">
        <f>253+176</f>
        <v>429</v>
      </c>
      <c r="J30" s="2">
        <v>0</v>
      </c>
      <c r="K30" s="1">
        <v>0</v>
      </c>
      <c r="L30" s="1">
        <v>1</v>
      </c>
      <c r="M30" s="1">
        <v>1</v>
      </c>
      <c r="N30" s="2">
        <v>0</v>
      </c>
      <c r="O30" s="2">
        <v>0</v>
      </c>
      <c r="P30" s="2">
        <v>0.78300000000000003</v>
      </c>
    </row>
    <row r="31" spans="1:16" ht="12.75" customHeight="1" x14ac:dyDescent="0.15">
      <c r="A31" s="1" t="s">
        <v>73</v>
      </c>
      <c r="B31" s="1">
        <v>34.1</v>
      </c>
      <c r="C31" s="2" t="s">
        <v>30</v>
      </c>
      <c r="D31" s="2" t="s">
        <v>28</v>
      </c>
      <c r="E31" s="1" t="s">
        <v>135</v>
      </c>
      <c r="F31" s="1" t="s">
        <v>22</v>
      </c>
      <c r="G31" s="1">
        <v>75.47</v>
      </c>
      <c r="H31" s="1">
        <v>21.8</v>
      </c>
      <c r="I31" s="3">
        <v>407</v>
      </c>
      <c r="J31" s="2">
        <v>0</v>
      </c>
      <c r="K31" s="1">
        <v>0</v>
      </c>
      <c r="L31" s="1">
        <v>0</v>
      </c>
      <c r="M31" s="1">
        <v>1</v>
      </c>
      <c r="N31" s="2">
        <v>0</v>
      </c>
      <c r="O31" s="2">
        <v>0</v>
      </c>
      <c r="P31" s="1">
        <v>0.79700000000000004</v>
      </c>
    </row>
    <row r="32" spans="1:16" ht="12.75" customHeight="1" x14ac:dyDescent="0.15">
      <c r="A32" s="2" t="s">
        <v>74</v>
      </c>
      <c r="B32" s="1">
        <v>30.38</v>
      </c>
      <c r="C32" s="2" t="s">
        <v>20</v>
      </c>
      <c r="D32" s="1" t="s">
        <v>52</v>
      </c>
      <c r="E32" s="1" t="s">
        <v>137</v>
      </c>
      <c r="F32" s="1" t="s">
        <v>22</v>
      </c>
      <c r="G32" s="1">
        <v>70.91</v>
      </c>
      <c r="H32" s="1">
        <v>22.54</v>
      </c>
      <c r="I32" s="3">
        <v>184</v>
      </c>
      <c r="J32" s="2">
        <v>0</v>
      </c>
      <c r="K32" s="1">
        <v>0</v>
      </c>
      <c r="L32" s="1">
        <v>0</v>
      </c>
      <c r="M32" s="1">
        <v>0</v>
      </c>
      <c r="N32" s="2">
        <v>1</v>
      </c>
      <c r="O32" s="2">
        <v>1</v>
      </c>
      <c r="P32" s="2">
        <v>0.77</v>
      </c>
    </row>
    <row r="33" spans="1:16" ht="12.75" customHeight="1" x14ac:dyDescent="0.15">
      <c r="A33" s="2" t="s">
        <v>75</v>
      </c>
      <c r="B33" s="1">
        <v>32.14</v>
      </c>
      <c r="C33" s="2" t="s">
        <v>30</v>
      </c>
      <c r="D33" s="2" t="s">
        <v>52</v>
      </c>
      <c r="E33" s="1" t="s">
        <v>137</v>
      </c>
      <c r="F33" s="1" t="s">
        <v>22</v>
      </c>
      <c r="G33" s="1">
        <v>69.95</v>
      </c>
      <c r="H33" s="1">
        <v>15.73</v>
      </c>
      <c r="I33" s="3">
        <v>263</v>
      </c>
      <c r="J33" s="2">
        <v>0</v>
      </c>
      <c r="K33" s="1">
        <v>0</v>
      </c>
      <c r="L33" s="1">
        <v>1</v>
      </c>
      <c r="M33" s="1">
        <v>0</v>
      </c>
      <c r="N33" s="2">
        <v>0</v>
      </c>
      <c r="O33" s="2">
        <v>0</v>
      </c>
      <c r="P33" s="1">
        <v>0.56699999999999995</v>
      </c>
    </row>
    <row r="34" spans="1:16" ht="12.75" customHeight="1" x14ac:dyDescent="0.15">
      <c r="A34" s="2" t="s">
        <v>76</v>
      </c>
      <c r="B34" s="1">
        <v>34</v>
      </c>
      <c r="C34" s="2" t="s">
        <v>16</v>
      </c>
      <c r="D34" s="2" t="s">
        <v>77</v>
      </c>
      <c r="E34" s="1" t="s">
        <v>135</v>
      </c>
      <c r="F34" s="1" t="s">
        <v>18</v>
      </c>
      <c r="G34" s="1">
        <v>40</v>
      </c>
      <c r="H34" s="1">
        <f>1.35 * 16</f>
        <v>21.6</v>
      </c>
      <c r="I34" s="3">
        <v>152</v>
      </c>
      <c r="J34" s="2">
        <v>1</v>
      </c>
      <c r="K34" s="1">
        <v>1</v>
      </c>
      <c r="L34" s="1">
        <v>0</v>
      </c>
      <c r="M34" s="1">
        <v>0</v>
      </c>
      <c r="N34" s="2">
        <v>0</v>
      </c>
      <c r="O34" s="2">
        <v>0</v>
      </c>
      <c r="P34" s="2">
        <v>0.35499999999999998</v>
      </c>
    </row>
    <row r="35" spans="1:16" ht="12.75" customHeight="1" x14ac:dyDescent="0.15">
      <c r="A35" s="2" t="s">
        <v>78</v>
      </c>
      <c r="B35" s="1">
        <v>31.04</v>
      </c>
      <c r="C35" s="2" t="s">
        <v>30</v>
      </c>
      <c r="D35" s="2" t="s">
        <v>28</v>
      </c>
      <c r="E35" s="1" t="s">
        <v>135</v>
      </c>
      <c r="F35" s="1" t="s">
        <v>22</v>
      </c>
      <c r="G35" s="1">
        <f>73.92 /25 * 21</f>
        <v>62.092799999999997</v>
      </c>
      <c r="H35" s="1">
        <f>SQRT(22.1^2 *(21/25)^2 )</f>
        <v>18.564</v>
      </c>
      <c r="I35" s="3">
        <v>692</v>
      </c>
      <c r="J35" s="2">
        <v>0</v>
      </c>
      <c r="K35" s="1">
        <v>0</v>
      </c>
      <c r="L35" s="1">
        <v>1</v>
      </c>
      <c r="M35" s="1">
        <v>0</v>
      </c>
      <c r="N35" s="2">
        <v>0</v>
      </c>
      <c r="O35" s="2">
        <v>0</v>
      </c>
      <c r="P35" s="1">
        <v>0.99099999999999999</v>
      </c>
    </row>
    <row r="36" spans="1:16" ht="12.75" customHeight="1" x14ac:dyDescent="0.15">
      <c r="A36" s="2" t="s">
        <v>79</v>
      </c>
      <c r="B36" s="1">
        <v>51.44</v>
      </c>
      <c r="C36" s="2" t="s">
        <v>16</v>
      </c>
      <c r="D36" s="4" t="s">
        <v>65</v>
      </c>
      <c r="E36" s="1" t="s">
        <v>137</v>
      </c>
      <c r="F36" s="1" t="s">
        <v>22</v>
      </c>
      <c r="G36" s="1">
        <v>43.05</v>
      </c>
      <c r="H36" s="1">
        <v>26.59</v>
      </c>
      <c r="I36" s="3">
        <v>118</v>
      </c>
      <c r="J36" s="2">
        <v>0</v>
      </c>
      <c r="K36" s="1">
        <v>0</v>
      </c>
      <c r="L36" s="1">
        <v>1</v>
      </c>
      <c r="M36" s="1">
        <v>0</v>
      </c>
      <c r="N36" s="2">
        <v>0</v>
      </c>
      <c r="O36" s="2">
        <v>0</v>
      </c>
      <c r="P36" s="2">
        <v>0.73699999999999999</v>
      </c>
    </row>
    <row r="37" spans="1:16" ht="12.75" customHeight="1" x14ac:dyDescent="0.15">
      <c r="A37" s="2" t="s">
        <v>80</v>
      </c>
      <c r="B37" s="2" t="s">
        <v>81</v>
      </c>
      <c r="C37" s="2" t="s">
        <v>16</v>
      </c>
      <c r="D37" s="5" t="s">
        <v>65</v>
      </c>
      <c r="E37" s="1" t="s">
        <v>137</v>
      </c>
      <c r="F37" s="1" t="s">
        <v>22</v>
      </c>
      <c r="G37" s="2">
        <v>34.51</v>
      </c>
      <c r="H37" s="2">
        <v>25.46</v>
      </c>
      <c r="I37" s="3">
        <v>35</v>
      </c>
      <c r="J37" s="2">
        <v>1</v>
      </c>
      <c r="K37" s="2">
        <v>0</v>
      </c>
      <c r="L37" s="2">
        <v>0</v>
      </c>
      <c r="M37" s="2">
        <v>0</v>
      </c>
      <c r="N37" s="2">
        <v>1</v>
      </c>
      <c r="O37" s="2">
        <v>0</v>
      </c>
      <c r="P37" s="2">
        <v>0.74299999999999999</v>
      </c>
    </row>
    <row r="38" spans="1:16" ht="12.75" customHeight="1" x14ac:dyDescent="0.15">
      <c r="A38" s="2" t="s">
        <v>82</v>
      </c>
      <c r="B38" s="1">
        <v>47.37</v>
      </c>
      <c r="C38" s="2" t="s">
        <v>30</v>
      </c>
      <c r="D38" s="2" t="s">
        <v>25</v>
      </c>
      <c r="E38" s="1" t="s">
        <v>135</v>
      </c>
      <c r="F38" s="1" t="s">
        <v>22</v>
      </c>
      <c r="G38" s="1">
        <f>3.01 * 21</f>
        <v>63.209999999999994</v>
      </c>
      <c r="H38" s="1">
        <v>17</v>
      </c>
      <c r="I38" s="3">
        <v>183</v>
      </c>
      <c r="J38" s="2">
        <v>1</v>
      </c>
      <c r="K38" s="1">
        <v>1</v>
      </c>
      <c r="L38" s="1">
        <v>1</v>
      </c>
      <c r="M38" s="1">
        <v>0</v>
      </c>
      <c r="N38" s="2">
        <v>0</v>
      </c>
      <c r="O38" s="2">
        <v>0</v>
      </c>
      <c r="P38" s="2">
        <v>0.65</v>
      </c>
    </row>
    <row r="39" spans="1:16" ht="12.75" customHeight="1" x14ac:dyDescent="0.15">
      <c r="A39" s="2" t="s">
        <v>83</v>
      </c>
      <c r="B39" s="1">
        <v>37.619999999999997</v>
      </c>
      <c r="C39" s="2" t="s">
        <v>84</v>
      </c>
      <c r="D39" s="2" t="s">
        <v>31</v>
      </c>
      <c r="E39" s="1" t="s">
        <v>136</v>
      </c>
      <c r="F39" s="1" t="s">
        <v>18</v>
      </c>
      <c r="G39" s="2">
        <f>2.3 * 10</f>
        <v>23</v>
      </c>
      <c r="H39" s="2">
        <f>SQRT(0.51^2 * 10^2)</f>
        <v>5.0999999999999996</v>
      </c>
      <c r="I39" s="3">
        <v>436</v>
      </c>
      <c r="J39" s="2">
        <v>1</v>
      </c>
      <c r="K39" s="1">
        <v>0</v>
      </c>
      <c r="L39" s="1">
        <v>1</v>
      </c>
      <c r="M39" s="1">
        <v>0</v>
      </c>
      <c r="N39" s="2">
        <v>1</v>
      </c>
      <c r="O39" s="2">
        <v>0</v>
      </c>
      <c r="P39" s="2">
        <v>0.69950000000000001</v>
      </c>
    </row>
    <row r="40" spans="1:16" ht="12.75" customHeight="1" x14ac:dyDescent="0.15">
      <c r="A40" s="2" t="s">
        <v>85</v>
      </c>
      <c r="B40" s="1">
        <v>44.77</v>
      </c>
      <c r="C40" s="2" t="s">
        <v>20</v>
      </c>
      <c r="D40" s="2" t="s">
        <v>65</v>
      </c>
      <c r="E40" s="1" t="s">
        <v>137</v>
      </c>
      <c r="F40" s="1" t="s">
        <v>18</v>
      </c>
      <c r="G40" s="1">
        <f>3.62 *10</f>
        <v>36.200000000000003</v>
      </c>
      <c r="H40" s="1">
        <f>SQRT(1.22^2 * 100)</f>
        <v>12.2</v>
      </c>
      <c r="I40" s="3">
        <v>295</v>
      </c>
      <c r="J40" s="2">
        <v>0</v>
      </c>
      <c r="K40" s="1">
        <v>0</v>
      </c>
      <c r="L40" s="1">
        <v>1</v>
      </c>
      <c r="M40" s="1">
        <v>0</v>
      </c>
      <c r="N40" s="2">
        <v>0</v>
      </c>
      <c r="O40" s="2">
        <v>0</v>
      </c>
      <c r="P40" s="2">
        <v>0.63700000000000001</v>
      </c>
    </row>
    <row r="41" spans="1:16" ht="12.75" customHeight="1" x14ac:dyDescent="0.15">
      <c r="A41" s="2" t="s">
        <v>86</v>
      </c>
      <c r="B41" s="1">
        <v>41.8</v>
      </c>
      <c r="C41" s="2" t="s">
        <v>30</v>
      </c>
      <c r="D41" s="2" t="s">
        <v>87</v>
      </c>
      <c r="E41" s="1" t="s">
        <v>137</v>
      </c>
      <c r="F41" s="1" t="s">
        <v>22</v>
      </c>
      <c r="G41" s="2">
        <v>62.24</v>
      </c>
      <c r="H41" s="2">
        <v>2.1800000000000002</v>
      </c>
      <c r="I41" s="3">
        <v>429</v>
      </c>
      <c r="J41" s="2">
        <v>0</v>
      </c>
      <c r="K41" s="2">
        <v>0</v>
      </c>
      <c r="L41" s="2">
        <v>1</v>
      </c>
      <c r="M41" s="2">
        <v>0</v>
      </c>
      <c r="N41" s="2">
        <v>0</v>
      </c>
      <c r="O41" s="2">
        <v>0</v>
      </c>
      <c r="P41" s="2">
        <v>0.47</v>
      </c>
    </row>
    <row r="42" spans="1:16" ht="12.75" customHeight="1" x14ac:dyDescent="0.15">
      <c r="A42" s="2" t="s">
        <v>88</v>
      </c>
      <c r="B42" s="1">
        <v>41.8</v>
      </c>
      <c r="C42" s="2" t="s">
        <v>40</v>
      </c>
      <c r="D42" s="2" t="s">
        <v>31</v>
      </c>
      <c r="E42" s="1" t="s">
        <v>136</v>
      </c>
      <c r="F42" s="1" t="s">
        <v>22</v>
      </c>
      <c r="G42" s="1">
        <v>47.4</v>
      </c>
      <c r="H42" s="1">
        <v>27</v>
      </c>
      <c r="I42" s="3">
        <v>213</v>
      </c>
      <c r="J42" s="2">
        <v>0</v>
      </c>
      <c r="K42" s="1">
        <v>0</v>
      </c>
      <c r="L42" s="1">
        <v>1</v>
      </c>
      <c r="M42" s="1">
        <v>0</v>
      </c>
      <c r="N42" s="2">
        <v>0</v>
      </c>
      <c r="O42" s="2">
        <v>0</v>
      </c>
      <c r="P42" s="2">
        <v>0.874</v>
      </c>
    </row>
    <row r="43" spans="1:16" ht="12.75" customHeight="1" x14ac:dyDescent="0.15">
      <c r="A43" s="2" t="s">
        <v>89</v>
      </c>
      <c r="B43" s="1">
        <v>32.299999999999997</v>
      </c>
      <c r="C43" s="2" t="s">
        <v>131</v>
      </c>
      <c r="D43" s="2" t="s">
        <v>25</v>
      </c>
      <c r="E43" s="1" t="s">
        <v>135</v>
      </c>
      <c r="F43" s="1" t="s">
        <v>22</v>
      </c>
      <c r="G43" s="2">
        <f>2.169 * 21</f>
        <v>45.548999999999999</v>
      </c>
      <c r="H43" s="2">
        <f>SQRT( 1.299^2 * 21^2)</f>
        <v>27.279</v>
      </c>
      <c r="I43" s="3">
        <v>369</v>
      </c>
      <c r="J43" s="2">
        <v>1</v>
      </c>
      <c r="K43" s="1">
        <v>1</v>
      </c>
      <c r="L43" s="2">
        <v>0</v>
      </c>
      <c r="M43" s="1">
        <v>0</v>
      </c>
      <c r="N43" s="2">
        <v>0</v>
      </c>
      <c r="O43" s="2">
        <v>0</v>
      </c>
      <c r="P43" s="2">
        <v>0.7</v>
      </c>
    </row>
    <row r="44" spans="1:16" ht="12.75" customHeight="1" x14ac:dyDescent="0.15">
      <c r="A44" s="2" t="s">
        <v>90</v>
      </c>
      <c r="B44" s="2" t="s">
        <v>81</v>
      </c>
      <c r="C44" s="2" t="s">
        <v>20</v>
      </c>
      <c r="D44" s="2" t="s">
        <v>28</v>
      </c>
      <c r="E44" s="1" t="s">
        <v>135</v>
      </c>
      <c r="F44" s="1" t="s">
        <v>22</v>
      </c>
      <c r="G44" s="2">
        <f>45.4545</f>
        <v>45.454500000000003</v>
      </c>
      <c r="H44" s="2">
        <v>25.452000000000002</v>
      </c>
      <c r="I44" s="3">
        <v>575</v>
      </c>
      <c r="J44" s="2">
        <v>1</v>
      </c>
      <c r="K44" s="2">
        <v>1</v>
      </c>
      <c r="L44" s="2">
        <v>0</v>
      </c>
      <c r="M44" s="2">
        <v>0</v>
      </c>
      <c r="N44" s="2">
        <v>0</v>
      </c>
      <c r="O44" s="2">
        <v>0</v>
      </c>
      <c r="P44" s="2">
        <v>0.7</v>
      </c>
    </row>
    <row r="45" spans="1:16" ht="12.75" customHeight="1" x14ac:dyDescent="0.15">
      <c r="A45" s="2" t="s">
        <v>91</v>
      </c>
      <c r="B45" s="2" t="s">
        <v>81</v>
      </c>
      <c r="C45" s="2" t="s">
        <v>84</v>
      </c>
      <c r="D45" s="2" t="s">
        <v>31</v>
      </c>
      <c r="E45" s="1" t="s">
        <v>136</v>
      </c>
      <c r="F45" s="1" t="s">
        <v>22</v>
      </c>
      <c r="G45" s="1">
        <v>37.085999999999999</v>
      </c>
      <c r="H45" s="1">
        <v>58.860349999999997</v>
      </c>
      <c r="I45" s="3">
        <v>669</v>
      </c>
      <c r="J45" s="2">
        <v>1</v>
      </c>
      <c r="K45" s="1">
        <v>0</v>
      </c>
      <c r="L45" s="2">
        <v>1</v>
      </c>
      <c r="M45" s="1">
        <v>0</v>
      </c>
      <c r="N45" s="2">
        <v>0</v>
      </c>
      <c r="O45" s="2">
        <v>0</v>
      </c>
      <c r="P45" s="2">
        <v>0.60699999999999998</v>
      </c>
    </row>
    <row r="46" spans="1:16" ht="12.75" customHeight="1" x14ac:dyDescent="0.15">
      <c r="A46" s="2" t="s">
        <v>92</v>
      </c>
      <c r="B46" s="1">
        <v>38.090000000000003</v>
      </c>
      <c r="C46" s="2" t="s">
        <v>67</v>
      </c>
      <c r="D46" s="2" t="s">
        <v>47</v>
      </c>
      <c r="E46" s="1" t="s">
        <v>137</v>
      </c>
      <c r="F46" s="1" t="s">
        <v>18</v>
      </c>
      <c r="G46" s="1">
        <f>4.11 * 10</f>
        <v>41.1</v>
      </c>
      <c r="H46" s="1">
        <f>SQRT(0.84^2 * 10^2)</f>
        <v>8.3999999999999986</v>
      </c>
      <c r="I46" s="3">
        <v>172</v>
      </c>
      <c r="J46" s="2">
        <v>1</v>
      </c>
      <c r="K46" s="1">
        <v>0</v>
      </c>
      <c r="L46" s="2">
        <v>1</v>
      </c>
      <c r="M46" s="1">
        <v>0</v>
      </c>
      <c r="N46" s="2">
        <v>0</v>
      </c>
      <c r="O46" s="2">
        <v>0</v>
      </c>
      <c r="P46" s="2">
        <v>0.97750000000000004</v>
      </c>
    </row>
    <row r="47" spans="1:16" ht="12.75" customHeight="1" x14ac:dyDescent="0.15">
      <c r="A47" s="2" t="s">
        <v>93</v>
      </c>
      <c r="B47" s="2" t="s">
        <v>81</v>
      </c>
      <c r="C47" s="2" t="s">
        <v>20</v>
      </c>
      <c r="D47" s="2" t="s">
        <v>28</v>
      </c>
      <c r="E47" s="1" t="s">
        <v>135</v>
      </c>
      <c r="F47" s="1" t="s">
        <v>22</v>
      </c>
      <c r="G47" s="1">
        <f>3.98 * 21</f>
        <v>83.58</v>
      </c>
      <c r="H47" s="1">
        <f>SQRT(0.73^2 * 21^2)</f>
        <v>15.33</v>
      </c>
      <c r="I47" s="3">
        <v>760</v>
      </c>
      <c r="J47" s="2">
        <v>0</v>
      </c>
      <c r="K47" s="1">
        <v>0</v>
      </c>
      <c r="L47" s="2">
        <v>1</v>
      </c>
      <c r="M47" s="1">
        <v>0</v>
      </c>
      <c r="N47" s="2">
        <v>0</v>
      </c>
      <c r="O47" s="2">
        <v>0</v>
      </c>
      <c r="P47" s="2">
        <v>0.83099999999999996</v>
      </c>
    </row>
    <row r="48" spans="1:16" ht="12.75" customHeight="1" x14ac:dyDescent="0.15">
      <c r="A48" s="2" t="s">
        <v>94</v>
      </c>
      <c r="B48" s="1">
        <v>43.1</v>
      </c>
      <c r="C48" s="2" t="s">
        <v>30</v>
      </c>
      <c r="D48" s="2" t="s">
        <v>95</v>
      </c>
      <c r="E48" s="1" t="s">
        <v>135</v>
      </c>
      <c r="F48" s="1" t="s">
        <v>22</v>
      </c>
      <c r="G48" s="1">
        <f>2.74 * 21</f>
        <v>57.540000000000006</v>
      </c>
      <c r="H48" s="1">
        <f>SQRT(1.21^2 * 21^2)</f>
        <v>25.41</v>
      </c>
      <c r="I48" s="3">
        <v>120</v>
      </c>
      <c r="J48" s="2">
        <v>0</v>
      </c>
      <c r="K48" s="1">
        <v>0</v>
      </c>
      <c r="L48" s="2">
        <v>0</v>
      </c>
      <c r="M48" s="1">
        <v>1</v>
      </c>
      <c r="N48" s="2">
        <v>0</v>
      </c>
      <c r="O48" s="2">
        <v>0</v>
      </c>
      <c r="P48" s="2">
        <v>0.83699999999999997</v>
      </c>
    </row>
    <row r="49" spans="1:16" ht="12.75" customHeight="1" x14ac:dyDescent="0.15">
      <c r="A49" s="2" t="s">
        <v>96</v>
      </c>
      <c r="B49" s="1">
        <v>57.29</v>
      </c>
      <c r="C49" s="2" t="s">
        <v>16</v>
      </c>
      <c r="D49" s="2" t="s">
        <v>65</v>
      </c>
      <c r="E49" s="1" t="s">
        <v>137</v>
      </c>
      <c r="F49" s="1" t="s">
        <v>22</v>
      </c>
      <c r="G49" s="1">
        <v>58.09</v>
      </c>
      <c r="H49" s="1">
        <v>9.69</v>
      </c>
      <c r="I49" s="3">
        <v>253</v>
      </c>
      <c r="J49" s="2">
        <v>0</v>
      </c>
      <c r="K49" s="1">
        <v>0</v>
      </c>
      <c r="L49" s="2">
        <v>1</v>
      </c>
      <c r="M49" s="1">
        <v>1</v>
      </c>
      <c r="N49" s="2">
        <v>0</v>
      </c>
      <c r="O49" s="2">
        <v>0</v>
      </c>
      <c r="P49" s="2">
        <v>0.82499999999999996</v>
      </c>
    </row>
    <row r="50" spans="1:16" ht="12.75" customHeight="1" x14ac:dyDescent="0.15">
      <c r="A50" s="2" t="s">
        <v>97</v>
      </c>
      <c r="B50" s="1">
        <v>57.83</v>
      </c>
      <c r="C50" s="2" t="s">
        <v>20</v>
      </c>
      <c r="D50" s="2" t="s">
        <v>98</v>
      </c>
      <c r="E50" s="1" t="s">
        <v>137</v>
      </c>
      <c r="F50" s="1" t="s">
        <v>22</v>
      </c>
      <c r="G50" s="1">
        <f>3.25 * 21</f>
        <v>68.25</v>
      </c>
      <c r="H50" s="1">
        <f>SQRT(2.27^2 * 21^2)</f>
        <v>47.67</v>
      </c>
      <c r="I50" s="3">
        <v>4934</v>
      </c>
      <c r="J50" s="2">
        <v>1</v>
      </c>
      <c r="K50" s="1">
        <v>0</v>
      </c>
      <c r="L50" s="2">
        <v>1</v>
      </c>
      <c r="M50" s="1">
        <v>0</v>
      </c>
      <c r="N50" s="2">
        <v>0</v>
      </c>
      <c r="O50" s="2">
        <v>0</v>
      </c>
      <c r="P50" s="2">
        <v>0.628</v>
      </c>
    </row>
    <row r="51" spans="1:16" ht="12.75" customHeight="1" x14ac:dyDescent="0.15">
      <c r="A51" s="2" t="s">
        <v>99</v>
      </c>
      <c r="B51" s="2" t="s">
        <v>81</v>
      </c>
      <c r="C51" s="2" t="s">
        <v>30</v>
      </c>
      <c r="D51" s="2" t="s">
        <v>31</v>
      </c>
      <c r="E51" s="1" t="s">
        <v>136</v>
      </c>
      <c r="F51" s="1" t="s">
        <v>22</v>
      </c>
      <c r="G51" s="1">
        <f>2.4 * 21</f>
        <v>50.4</v>
      </c>
      <c r="H51" s="2">
        <f>SQRT(1.2^2 * 21^2)</f>
        <v>25.2</v>
      </c>
      <c r="I51" s="3">
        <v>163</v>
      </c>
      <c r="J51" s="2">
        <v>0</v>
      </c>
      <c r="K51" s="1">
        <v>0</v>
      </c>
      <c r="L51" s="2">
        <v>0</v>
      </c>
      <c r="M51" s="1">
        <v>0</v>
      </c>
      <c r="N51" s="2">
        <v>0</v>
      </c>
      <c r="O51" s="2">
        <v>0</v>
      </c>
      <c r="P51" s="2">
        <v>0.55500000000000005</v>
      </c>
    </row>
    <row r="52" spans="1:16" ht="12.75" customHeight="1" x14ac:dyDescent="0.15">
      <c r="A52" s="2" t="s">
        <v>100</v>
      </c>
      <c r="B52" s="1">
        <v>51</v>
      </c>
      <c r="C52" s="2" t="s">
        <v>20</v>
      </c>
      <c r="D52" s="2" t="s">
        <v>38</v>
      </c>
      <c r="E52" s="1" t="s">
        <v>137</v>
      </c>
      <c r="F52" s="1" t="s">
        <v>22</v>
      </c>
      <c r="G52" s="2">
        <v>67.489999999999995</v>
      </c>
      <c r="H52" s="2">
        <f>2.73</f>
        <v>2.73</v>
      </c>
      <c r="I52" s="3">
        <v>109</v>
      </c>
      <c r="J52" s="2">
        <v>0</v>
      </c>
      <c r="K52" s="2">
        <v>0</v>
      </c>
      <c r="L52" s="2">
        <v>1</v>
      </c>
      <c r="M52" s="2">
        <v>0</v>
      </c>
      <c r="N52" s="2">
        <v>0</v>
      </c>
      <c r="O52" s="2">
        <v>0</v>
      </c>
      <c r="P52" s="2">
        <v>0.68</v>
      </c>
    </row>
    <row r="53" spans="1:16" ht="12.75" customHeight="1" x14ac:dyDescent="0.15">
      <c r="A53" s="2" t="s">
        <v>101</v>
      </c>
      <c r="B53" s="2" t="s">
        <v>81</v>
      </c>
      <c r="C53" s="2" t="s">
        <v>30</v>
      </c>
      <c r="D53" s="2" t="s">
        <v>52</v>
      </c>
      <c r="E53" s="1" t="s">
        <v>137</v>
      </c>
      <c r="F53" s="1" t="s">
        <v>22</v>
      </c>
      <c r="G53" s="1">
        <v>50.98</v>
      </c>
      <c r="H53" s="1">
        <v>25.3</v>
      </c>
      <c r="I53" s="3">
        <v>175</v>
      </c>
      <c r="J53" s="2">
        <v>0</v>
      </c>
      <c r="K53" s="1">
        <v>0</v>
      </c>
      <c r="L53" s="2">
        <v>1</v>
      </c>
      <c r="M53" s="1">
        <v>0</v>
      </c>
      <c r="N53" s="2">
        <v>0</v>
      </c>
      <c r="O53" s="2">
        <v>0</v>
      </c>
      <c r="P53" s="2">
        <v>0.88</v>
      </c>
    </row>
    <row r="54" spans="1:16" ht="12.75" customHeight="1" x14ac:dyDescent="0.15">
      <c r="A54" s="2" t="s">
        <v>102</v>
      </c>
      <c r="B54" s="1" t="s">
        <v>81</v>
      </c>
      <c r="C54" s="1" t="s">
        <v>20</v>
      </c>
      <c r="D54" s="1" t="s">
        <v>103</v>
      </c>
      <c r="E54" s="1" t="s">
        <v>135</v>
      </c>
      <c r="F54" s="1" t="s">
        <v>18</v>
      </c>
      <c r="G54" s="1">
        <f>3.62 *10</f>
        <v>36.200000000000003</v>
      </c>
      <c r="H54" s="1">
        <f>SQRT(0.9^2 * 10^2)</f>
        <v>9</v>
      </c>
      <c r="I54" s="3">
        <v>441</v>
      </c>
      <c r="J54" s="2">
        <v>0</v>
      </c>
      <c r="K54" s="1">
        <v>0</v>
      </c>
      <c r="L54" s="2">
        <v>1</v>
      </c>
      <c r="M54" s="1">
        <v>0</v>
      </c>
      <c r="N54" s="2">
        <v>1</v>
      </c>
      <c r="O54" s="2">
        <v>0</v>
      </c>
      <c r="P54" s="2">
        <v>0.5</v>
      </c>
    </row>
    <row r="55" spans="1:16" ht="12.75" customHeight="1" x14ac:dyDescent="0.15">
      <c r="A55" s="2" t="s">
        <v>104</v>
      </c>
      <c r="B55" s="1">
        <v>19.89</v>
      </c>
      <c r="C55" s="1" t="s">
        <v>130</v>
      </c>
      <c r="D55" s="1" t="s">
        <v>28</v>
      </c>
      <c r="E55" s="1" t="s">
        <v>135</v>
      </c>
      <c r="F55" s="1" t="s">
        <v>22</v>
      </c>
      <c r="G55" s="2">
        <f>4.2*21</f>
        <v>88.2</v>
      </c>
      <c r="H55" s="1">
        <f>SQRT(0.99^2* 21^2)</f>
        <v>20.79</v>
      </c>
      <c r="I55" s="3">
        <v>1711</v>
      </c>
      <c r="J55" s="2">
        <v>0</v>
      </c>
      <c r="K55" s="2">
        <v>0</v>
      </c>
      <c r="L55" s="2">
        <v>1</v>
      </c>
      <c r="M55" s="2">
        <v>1</v>
      </c>
      <c r="N55" s="2">
        <v>0</v>
      </c>
      <c r="O55" s="2">
        <v>1</v>
      </c>
      <c r="P55" s="2">
        <v>0.71399999999999997</v>
      </c>
    </row>
    <row r="56" spans="1:16" ht="12.75" customHeight="1" x14ac:dyDescent="0.15">
      <c r="A56" s="2" t="s">
        <v>105</v>
      </c>
      <c r="B56" s="1">
        <v>39.5</v>
      </c>
      <c r="C56" s="1" t="s">
        <v>20</v>
      </c>
      <c r="D56" s="1" t="s">
        <v>52</v>
      </c>
      <c r="E56" s="1" t="s">
        <v>137</v>
      </c>
      <c r="F56" s="1" t="s">
        <v>22</v>
      </c>
      <c r="G56" s="1">
        <v>37.86</v>
      </c>
      <c r="H56" s="1">
        <v>26.28</v>
      </c>
      <c r="I56" s="3">
        <v>66</v>
      </c>
      <c r="J56" s="2">
        <v>1</v>
      </c>
      <c r="K56" s="1">
        <v>0</v>
      </c>
      <c r="L56" s="2">
        <v>1</v>
      </c>
      <c r="M56" s="1">
        <v>0</v>
      </c>
      <c r="N56" s="2">
        <v>0</v>
      </c>
      <c r="O56" s="2">
        <v>0</v>
      </c>
      <c r="P56" s="2">
        <v>0.38800000000000001</v>
      </c>
    </row>
    <row r="57" spans="1:16" ht="12.75" customHeight="1" x14ac:dyDescent="0.15">
      <c r="A57" s="2" t="s">
        <v>106</v>
      </c>
      <c r="B57" s="1">
        <v>30.28</v>
      </c>
      <c r="C57" s="1" t="s">
        <v>30</v>
      </c>
      <c r="D57" s="1" t="s">
        <v>107</v>
      </c>
      <c r="E57" s="1" t="s">
        <v>135</v>
      </c>
      <c r="F57" s="1" t="s">
        <v>22</v>
      </c>
      <c r="G57" s="2">
        <f>43.8 /16 *21</f>
        <v>57.487499999999997</v>
      </c>
      <c r="H57" s="1">
        <f>SQRT(14.65^2 * (21/16)^2)</f>
        <v>19.228125000000002</v>
      </c>
      <c r="I57" s="3">
        <v>100</v>
      </c>
      <c r="J57" s="2">
        <v>0</v>
      </c>
      <c r="K57" s="2">
        <v>0</v>
      </c>
      <c r="L57" s="2">
        <v>0</v>
      </c>
      <c r="M57" s="2">
        <v>1</v>
      </c>
      <c r="N57" s="2">
        <v>1</v>
      </c>
      <c r="O57" s="2">
        <v>1</v>
      </c>
      <c r="P57" s="2">
        <v>0.63600000000000001</v>
      </c>
    </row>
    <row r="58" spans="1:16" ht="12.75" customHeight="1" x14ac:dyDescent="0.15">
      <c r="A58" s="2" t="s">
        <v>108</v>
      </c>
      <c r="B58" s="1">
        <v>32.64</v>
      </c>
      <c r="C58" s="1" t="s">
        <v>67</v>
      </c>
      <c r="D58" s="1" t="s">
        <v>28</v>
      </c>
      <c r="E58" s="1" t="s">
        <v>135</v>
      </c>
      <c r="F58" s="1" t="s">
        <v>22</v>
      </c>
      <c r="G58" s="1">
        <f>76.74 / 25 *21</f>
        <v>64.461600000000004</v>
      </c>
      <c r="H58" s="1">
        <f>SQRT(27.13^2 * (21/25)^2)</f>
        <v>22.789199999999997</v>
      </c>
      <c r="I58" s="3">
        <v>589</v>
      </c>
      <c r="J58" s="2">
        <v>1</v>
      </c>
      <c r="K58" s="1">
        <v>0</v>
      </c>
      <c r="L58" s="2">
        <v>1</v>
      </c>
      <c r="M58" s="1">
        <v>0</v>
      </c>
      <c r="N58" s="2">
        <v>0</v>
      </c>
      <c r="O58" s="2">
        <v>0</v>
      </c>
      <c r="P58" s="2">
        <v>0.90800000000000003</v>
      </c>
    </row>
    <row r="59" spans="1:16" ht="12.75" customHeight="1" x14ac:dyDescent="0.15">
      <c r="A59" s="2" t="s">
        <v>109</v>
      </c>
      <c r="B59" s="1">
        <v>26.68</v>
      </c>
      <c r="C59" s="1" t="s">
        <v>59</v>
      </c>
      <c r="D59" s="1" t="s">
        <v>28</v>
      </c>
      <c r="E59" s="1" t="s">
        <v>135</v>
      </c>
      <c r="F59" s="1" t="s">
        <v>18</v>
      </c>
      <c r="G59" s="2">
        <v>25.19</v>
      </c>
      <c r="H59" s="1">
        <v>9.48</v>
      </c>
      <c r="I59" s="3">
        <v>2267</v>
      </c>
      <c r="J59" s="2">
        <v>1</v>
      </c>
      <c r="K59" s="2">
        <v>1</v>
      </c>
      <c r="L59" s="2">
        <v>1</v>
      </c>
      <c r="M59" s="2">
        <v>0</v>
      </c>
      <c r="N59" s="2">
        <v>0</v>
      </c>
      <c r="O59" s="2">
        <v>0</v>
      </c>
      <c r="P59" s="2" t="s">
        <v>45</v>
      </c>
    </row>
    <row r="60" spans="1:16" ht="12.75" customHeight="1" x14ac:dyDescent="0.15">
      <c r="A60" s="2" t="s">
        <v>110</v>
      </c>
      <c r="B60" s="1">
        <v>52</v>
      </c>
      <c r="C60" s="1" t="s">
        <v>16</v>
      </c>
      <c r="D60" s="1" t="s">
        <v>95</v>
      </c>
      <c r="E60" s="1" t="s">
        <v>135</v>
      </c>
      <c r="F60" s="1" t="s">
        <v>22</v>
      </c>
      <c r="G60" s="2">
        <f>2.6*21</f>
        <v>54.6</v>
      </c>
      <c r="H60" s="1">
        <v>0.52</v>
      </c>
      <c r="I60" s="3">
        <v>700</v>
      </c>
      <c r="J60" s="2">
        <v>0</v>
      </c>
      <c r="K60" s="1">
        <v>0</v>
      </c>
      <c r="L60" s="2">
        <v>1</v>
      </c>
      <c r="M60" s="1">
        <v>1</v>
      </c>
      <c r="N60" s="2">
        <v>0</v>
      </c>
      <c r="O60" s="2">
        <v>0</v>
      </c>
      <c r="P60" s="2">
        <v>0.54700000000000004</v>
      </c>
    </row>
    <row r="61" spans="1:16" ht="12.75" customHeight="1" x14ac:dyDescent="0.15">
      <c r="A61" s="2" t="s">
        <v>111</v>
      </c>
      <c r="B61" s="1">
        <v>30.67</v>
      </c>
      <c r="C61" s="1" t="s">
        <v>30</v>
      </c>
      <c r="D61" s="1" t="s">
        <v>112</v>
      </c>
      <c r="E61" s="1" t="s">
        <v>138</v>
      </c>
      <c r="F61" s="1" t="s">
        <v>22</v>
      </c>
      <c r="G61" s="2">
        <v>61.03</v>
      </c>
      <c r="H61" s="1">
        <v>21.28</v>
      </c>
      <c r="I61" s="3">
        <v>144</v>
      </c>
      <c r="J61" s="2">
        <v>1</v>
      </c>
      <c r="K61" s="2">
        <v>1</v>
      </c>
      <c r="L61" s="2">
        <v>1</v>
      </c>
      <c r="M61" s="2">
        <v>0</v>
      </c>
      <c r="N61" s="2">
        <v>0</v>
      </c>
      <c r="O61" s="2">
        <v>0</v>
      </c>
      <c r="P61" s="2">
        <v>0.436</v>
      </c>
    </row>
    <row r="62" spans="1:16" ht="12.75" customHeight="1" x14ac:dyDescent="0.15">
      <c r="A62" s="2" t="s">
        <v>113</v>
      </c>
      <c r="B62" s="1">
        <v>41.8</v>
      </c>
      <c r="C62" s="1" t="s">
        <v>30</v>
      </c>
      <c r="D62" s="1" t="s">
        <v>87</v>
      </c>
      <c r="E62" s="1" t="s">
        <v>137</v>
      </c>
      <c r="F62" s="1" t="s">
        <v>22</v>
      </c>
      <c r="G62" s="2">
        <v>46.6</v>
      </c>
      <c r="H62" s="1">
        <v>24.61</v>
      </c>
      <c r="I62" s="3">
        <v>673</v>
      </c>
      <c r="J62" s="2">
        <v>0</v>
      </c>
      <c r="K62" s="1">
        <v>0</v>
      </c>
      <c r="L62" s="2">
        <v>1</v>
      </c>
      <c r="M62" s="1">
        <v>1</v>
      </c>
      <c r="N62" s="2">
        <v>0</v>
      </c>
      <c r="O62" s="2">
        <v>1</v>
      </c>
      <c r="P62" s="2">
        <v>0.72199999999999998</v>
      </c>
    </row>
    <row r="63" spans="1:16" ht="12.75" customHeight="1" x14ac:dyDescent="0.15">
      <c r="A63" s="2" t="s">
        <v>114</v>
      </c>
      <c r="B63" s="1">
        <v>51.57</v>
      </c>
      <c r="C63" s="1" t="s">
        <v>30</v>
      </c>
      <c r="D63" s="1" t="s">
        <v>28</v>
      </c>
      <c r="E63" s="1" t="s">
        <v>135</v>
      </c>
      <c r="F63" s="1" t="s">
        <v>22</v>
      </c>
      <c r="G63" s="2">
        <f>3.18*21</f>
        <v>66.78</v>
      </c>
      <c r="H63" s="1">
        <v>1.06</v>
      </c>
      <c r="I63" s="3">
        <v>200</v>
      </c>
      <c r="J63" s="2">
        <v>0</v>
      </c>
      <c r="K63" s="2">
        <v>0</v>
      </c>
      <c r="L63" s="2">
        <v>1</v>
      </c>
      <c r="M63" s="2">
        <v>0</v>
      </c>
      <c r="N63" s="2">
        <v>0</v>
      </c>
      <c r="O63" s="2">
        <v>0</v>
      </c>
      <c r="P63" s="2">
        <v>0.747</v>
      </c>
    </row>
    <row r="64" spans="1:16" ht="12.75" customHeight="1" x14ac:dyDescent="0.15">
      <c r="A64" s="2" t="s">
        <v>115</v>
      </c>
      <c r="B64" s="1">
        <v>43.35</v>
      </c>
      <c r="C64" s="1" t="s">
        <v>116</v>
      </c>
      <c r="D64" s="1" t="s">
        <v>31</v>
      </c>
      <c r="E64" s="1" t="s">
        <v>136</v>
      </c>
      <c r="F64" s="1" t="s">
        <v>22</v>
      </c>
      <c r="G64" s="2">
        <f>2.24*21</f>
        <v>47.040000000000006</v>
      </c>
      <c r="H64" s="1">
        <v>1.24</v>
      </c>
      <c r="I64" s="3">
        <v>179</v>
      </c>
      <c r="J64" s="2">
        <v>0</v>
      </c>
      <c r="K64" s="1">
        <v>0</v>
      </c>
      <c r="L64" s="2">
        <v>1</v>
      </c>
      <c r="M64" s="1">
        <v>1</v>
      </c>
      <c r="N64" s="2">
        <v>0</v>
      </c>
      <c r="O64" s="2">
        <v>0</v>
      </c>
      <c r="P64" s="2">
        <v>0.83</v>
      </c>
    </row>
    <row r="65" spans="1:16" ht="12.75" customHeight="1" x14ac:dyDescent="0.2">
      <c r="A65" s="2" t="s">
        <v>117</v>
      </c>
      <c r="B65" s="7">
        <v>35</v>
      </c>
      <c r="C65" s="1" t="s">
        <v>67</v>
      </c>
      <c r="D65" s="1" t="s">
        <v>65</v>
      </c>
      <c r="E65" s="1" t="s">
        <v>137</v>
      </c>
      <c r="F65" s="2" t="s">
        <v>22</v>
      </c>
      <c r="G65" s="8">
        <v>37.1</v>
      </c>
      <c r="H65" s="2">
        <v>24.7</v>
      </c>
      <c r="I65" s="3">
        <v>202</v>
      </c>
      <c r="J65" s="2">
        <v>0</v>
      </c>
      <c r="K65" s="2">
        <v>0</v>
      </c>
      <c r="L65" s="2">
        <v>1</v>
      </c>
      <c r="M65" s="2">
        <v>0</v>
      </c>
      <c r="N65" s="2">
        <v>1</v>
      </c>
      <c r="O65" s="2">
        <v>1</v>
      </c>
      <c r="P65" s="2">
        <v>0.44400000000000001</v>
      </c>
    </row>
    <row r="66" spans="1:16" ht="12.75" customHeight="1" x14ac:dyDescent="0.15">
      <c r="A66" s="2" t="s">
        <v>118</v>
      </c>
      <c r="B66" s="1">
        <v>30.39</v>
      </c>
      <c r="C66" s="1" t="s">
        <v>30</v>
      </c>
      <c r="D66" s="1" t="s">
        <v>28</v>
      </c>
      <c r="E66" s="1" t="s">
        <v>135</v>
      </c>
      <c r="F66" s="1" t="s">
        <v>22</v>
      </c>
      <c r="G66" s="2">
        <v>97.09</v>
      </c>
      <c r="H66" s="2">
        <v>18.27</v>
      </c>
      <c r="I66" s="6">
        <v>2750</v>
      </c>
      <c r="J66" s="2">
        <v>0</v>
      </c>
      <c r="K66" s="1">
        <v>0</v>
      </c>
      <c r="L66" s="2">
        <v>0</v>
      </c>
      <c r="M66" s="1">
        <v>0</v>
      </c>
      <c r="N66" s="2">
        <v>1</v>
      </c>
      <c r="O66" s="2">
        <v>0</v>
      </c>
      <c r="P66" s="2">
        <v>0.76700000000000002</v>
      </c>
    </row>
    <row r="67" spans="1:16" ht="12.75" customHeight="1" x14ac:dyDescent="0.15">
      <c r="A67" s="2" t="s">
        <v>119</v>
      </c>
      <c r="B67" s="7">
        <v>60</v>
      </c>
      <c r="C67" s="1" t="s">
        <v>120</v>
      </c>
      <c r="D67" s="1" t="s">
        <v>28</v>
      </c>
      <c r="E67" s="1" t="s">
        <v>135</v>
      </c>
      <c r="F67" s="1" t="s">
        <v>22</v>
      </c>
      <c r="G67" s="1">
        <f>3.65*21</f>
        <v>76.649999999999991</v>
      </c>
      <c r="H67" s="1">
        <v>0.77</v>
      </c>
      <c r="I67" s="3">
        <v>338</v>
      </c>
      <c r="J67" s="2">
        <v>0</v>
      </c>
      <c r="K67" s="2">
        <v>0</v>
      </c>
      <c r="L67" s="2">
        <v>1</v>
      </c>
      <c r="M67" s="2">
        <v>1</v>
      </c>
      <c r="N67" s="2">
        <v>0</v>
      </c>
      <c r="O67" s="2">
        <v>1</v>
      </c>
      <c r="P67" s="2">
        <v>0.95299999999999996</v>
      </c>
    </row>
    <row r="68" spans="1:16" ht="12.75" customHeight="1" x14ac:dyDescent="0.15">
      <c r="A68" s="2" t="s">
        <v>121</v>
      </c>
      <c r="B68" s="1">
        <v>41.53</v>
      </c>
      <c r="C68" s="1" t="s">
        <v>30</v>
      </c>
      <c r="D68" s="1" t="s">
        <v>28</v>
      </c>
      <c r="E68" s="1" t="s">
        <v>135</v>
      </c>
      <c r="F68" s="1" t="s">
        <v>22</v>
      </c>
      <c r="G68" s="1">
        <v>76.180000000000007</v>
      </c>
      <c r="H68" s="1">
        <v>16.004000000000001</v>
      </c>
      <c r="I68" s="3">
        <v>233</v>
      </c>
      <c r="J68" s="2">
        <v>0</v>
      </c>
      <c r="K68" s="1">
        <v>0</v>
      </c>
      <c r="L68" s="2">
        <v>1</v>
      </c>
      <c r="M68" s="1">
        <v>0</v>
      </c>
      <c r="N68" s="2">
        <v>0</v>
      </c>
      <c r="O68" s="2">
        <v>0</v>
      </c>
      <c r="P68" s="2">
        <v>0.49399999999999999</v>
      </c>
    </row>
    <row r="69" spans="1:16" ht="12.75" customHeight="1" x14ac:dyDescent="0.15">
      <c r="A69" s="2" t="s">
        <v>122</v>
      </c>
      <c r="B69" s="1">
        <v>45.93</v>
      </c>
      <c r="C69" s="1" t="s">
        <v>30</v>
      </c>
      <c r="D69" s="1" t="s">
        <v>112</v>
      </c>
      <c r="E69" s="1" t="s">
        <v>138</v>
      </c>
      <c r="F69" s="1" t="s">
        <v>18</v>
      </c>
      <c r="G69" s="1">
        <v>21.6</v>
      </c>
      <c r="H69" s="1">
        <v>11.72</v>
      </c>
      <c r="I69" s="3">
        <v>767</v>
      </c>
      <c r="J69" s="2">
        <v>1</v>
      </c>
      <c r="K69" s="1">
        <v>1</v>
      </c>
      <c r="L69" s="1">
        <v>1</v>
      </c>
      <c r="M69" s="1">
        <v>0</v>
      </c>
      <c r="N69" s="2">
        <v>0</v>
      </c>
      <c r="O69" s="1">
        <v>0</v>
      </c>
      <c r="P69" s="2">
        <v>0.96599999999999997</v>
      </c>
    </row>
    <row r="70" spans="1:16" ht="12.75" customHeight="1" x14ac:dyDescent="0.15">
      <c r="A70" s="2" t="s">
        <v>123</v>
      </c>
      <c r="B70" s="1">
        <v>34.07</v>
      </c>
      <c r="C70" s="1" t="s">
        <v>30</v>
      </c>
      <c r="D70" s="1" t="s">
        <v>28</v>
      </c>
      <c r="E70" s="1" t="s">
        <v>135</v>
      </c>
      <c r="F70" s="1" t="s">
        <v>22</v>
      </c>
      <c r="G70" s="1">
        <v>65.650000000000006</v>
      </c>
      <c r="H70" s="1">
        <v>11.5</v>
      </c>
      <c r="I70" s="3">
        <v>116</v>
      </c>
      <c r="J70" s="2">
        <v>0</v>
      </c>
      <c r="K70" s="1">
        <v>0</v>
      </c>
      <c r="L70" s="2">
        <v>0</v>
      </c>
      <c r="M70" s="1">
        <v>0</v>
      </c>
      <c r="N70" s="2">
        <v>0</v>
      </c>
      <c r="O70" s="2">
        <v>1</v>
      </c>
      <c r="P70" s="2">
        <v>0.89500000000000002</v>
      </c>
    </row>
    <row r="71" spans="1:16" ht="12.75" customHeight="1" x14ac:dyDescent="0.15">
      <c r="A71" s="2" t="s">
        <v>124</v>
      </c>
      <c r="B71" s="1">
        <v>30</v>
      </c>
      <c r="C71" s="1" t="s">
        <v>30</v>
      </c>
      <c r="D71" s="1" t="s">
        <v>28</v>
      </c>
      <c r="E71" s="1" t="s">
        <v>135</v>
      </c>
      <c r="F71" s="1" t="s">
        <v>22</v>
      </c>
      <c r="G71" s="1">
        <v>70.53</v>
      </c>
      <c r="H71" s="1">
        <v>17.260000000000002</v>
      </c>
      <c r="I71" s="3">
        <v>179</v>
      </c>
      <c r="J71" s="2">
        <v>0</v>
      </c>
      <c r="K71" s="1">
        <v>0</v>
      </c>
      <c r="L71" s="2">
        <v>1</v>
      </c>
      <c r="M71" s="1">
        <v>1</v>
      </c>
      <c r="N71" s="2">
        <v>0</v>
      </c>
      <c r="O71" s="2">
        <v>0</v>
      </c>
      <c r="P71" s="2">
        <v>0.91400000000000003</v>
      </c>
    </row>
    <row r="72" spans="1:16" ht="12.75" customHeight="1" x14ac:dyDescent="0.15">
      <c r="A72" s="2" t="s">
        <v>125</v>
      </c>
      <c r="B72" s="1">
        <v>53.61</v>
      </c>
      <c r="C72" s="1" t="s">
        <v>16</v>
      </c>
      <c r="D72" s="1" t="s">
        <v>65</v>
      </c>
      <c r="E72" s="1" t="s">
        <v>137</v>
      </c>
      <c r="F72" s="1" t="s">
        <v>22</v>
      </c>
      <c r="G72" s="1">
        <v>52.89</v>
      </c>
      <c r="H72" s="1">
        <v>22.75</v>
      </c>
      <c r="I72" s="3">
        <v>146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0</v>
      </c>
      <c r="P72" s="2">
        <v>0.85</v>
      </c>
    </row>
    <row r="73" spans="1:16" ht="12.75" customHeight="1" x14ac:dyDescent="0.15">
      <c r="A73" s="9" t="s">
        <v>126</v>
      </c>
      <c r="B73" s="1">
        <v>60.8</v>
      </c>
      <c r="C73" s="1" t="s">
        <v>16</v>
      </c>
      <c r="D73" s="1" t="s">
        <v>65</v>
      </c>
      <c r="E73" s="1" t="s">
        <v>137</v>
      </c>
      <c r="F73" s="1" t="s">
        <v>18</v>
      </c>
      <c r="G73" s="1">
        <f>27.5 / 10 * 21</f>
        <v>57.75</v>
      </c>
      <c r="H73" s="1">
        <f>SQRT(13.52^2 * (21/10)^2)</f>
        <v>28.391999999999999</v>
      </c>
      <c r="I73" s="3">
        <v>100</v>
      </c>
      <c r="J73" s="1">
        <v>1</v>
      </c>
      <c r="K73" s="1">
        <v>1</v>
      </c>
      <c r="L73" s="1">
        <v>0</v>
      </c>
      <c r="M73" s="1">
        <v>0</v>
      </c>
      <c r="N73" s="1">
        <v>0</v>
      </c>
      <c r="O73" s="1">
        <v>0</v>
      </c>
      <c r="P73" s="1">
        <v>0.74</v>
      </c>
    </row>
    <row r="74" spans="1:16" ht="12.75" customHeight="1" x14ac:dyDescent="0.15">
      <c r="A74" s="1" t="s">
        <v>127</v>
      </c>
      <c r="B74" s="1">
        <v>30.3</v>
      </c>
      <c r="C74" s="1" t="s">
        <v>30</v>
      </c>
      <c r="D74" s="1" t="s">
        <v>28</v>
      </c>
      <c r="E74" s="1" t="s">
        <v>135</v>
      </c>
      <c r="F74" s="1" t="s">
        <v>22</v>
      </c>
      <c r="G74" s="1">
        <v>63.28</v>
      </c>
      <c r="H74" s="1">
        <v>23.41</v>
      </c>
      <c r="I74" s="3">
        <v>455</v>
      </c>
      <c r="J74" s="1">
        <v>1</v>
      </c>
      <c r="K74" s="1">
        <v>0</v>
      </c>
      <c r="L74" s="1">
        <v>1</v>
      </c>
      <c r="M74" s="1">
        <v>0</v>
      </c>
      <c r="N74" s="1">
        <v>0</v>
      </c>
      <c r="O74" s="1">
        <v>0</v>
      </c>
      <c r="P74" s="1">
        <v>0.65800000000000003</v>
      </c>
    </row>
    <row r="75" spans="1:16" ht="12.75" customHeight="1" x14ac:dyDescent="0.15">
      <c r="A75" s="2" t="s">
        <v>128</v>
      </c>
      <c r="B75" s="1">
        <v>21.64</v>
      </c>
      <c r="C75" s="1" t="s">
        <v>132</v>
      </c>
      <c r="D75" s="1" t="s">
        <v>129</v>
      </c>
      <c r="E75" s="1" t="s">
        <v>137</v>
      </c>
      <c r="F75" s="1" t="s">
        <v>22</v>
      </c>
      <c r="G75" s="1">
        <v>37.18</v>
      </c>
      <c r="H75" s="1">
        <v>24.18</v>
      </c>
      <c r="I75" s="3">
        <v>1206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0</v>
      </c>
      <c r="P75" s="1">
        <v>0.77900000000000003</v>
      </c>
    </row>
    <row r="76" spans="1:16" ht="12.75" customHeight="1" x14ac:dyDescent="0.15"/>
    <row r="77" spans="1:16" ht="12.75" customHeight="1" x14ac:dyDescent="0.15"/>
    <row r="78" spans="1:16" ht="12.75" customHeight="1" x14ac:dyDescent="0.15"/>
    <row r="79" spans="1:16" ht="12.75" customHeight="1" x14ac:dyDescent="0.15"/>
    <row r="80" spans="1:16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Qizhou Duan</cp:lastModifiedBy>
  <dcterms:modified xsi:type="dcterms:W3CDTF">2025-01-18T20:41:33Z</dcterms:modified>
</cp:coreProperties>
</file>