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sh1702140\Documents\University\R\mrsa_transduction\Lab\Varying_MOI\"/>
    </mc:Choice>
  </mc:AlternateContent>
  <bookViews>
    <workbookView xWindow="-105" yWindow="-105" windowWidth="19425" windowHeight="11625" activeTab="1"/>
  </bookViews>
  <sheets>
    <sheet name="CFU assay" sheetId="1" r:id="rId1"/>
    <sheet name="PFU assa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45" i="1" l="1"/>
  <c r="AB45" i="1"/>
  <c r="K24" i="2"/>
  <c r="E20" i="2"/>
  <c r="J20" i="2"/>
  <c r="J21" i="2"/>
  <c r="G14" i="2"/>
  <c r="O27" i="1"/>
  <c r="P39" i="1"/>
  <c r="R38" i="1"/>
  <c r="U38" i="1"/>
  <c r="U47" i="1"/>
  <c r="T47" i="1"/>
  <c r="S47" i="1"/>
  <c r="R47" i="1"/>
  <c r="U9" i="1"/>
  <c r="P9" i="2" l="1"/>
  <c r="P6" i="2"/>
  <c r="P3" i="2" a="1"/>
  <c r="P3" i="2" s="1"/>
  <c r="AG79" i="1"/>
  <c r="AF70" i="1"/>
  <c r="U37" i="1" l="1"/>
  <c r="U36" i="1"/>
  <c r="I20" i="2" l="1"/>
  <c r="J13" i="2"/>
  <c r="H11" i="2" l="1"/>
  <c r="H12" i="2"/>
  <c r="I11" i="2"/>
  <c r="J11" i="2"/>
  <c r="J10" i="2"/>
  <c r="H20" i="2"/>
  <c r="J12" i="2"/>
  <c r="J8" i="2"/>
  <c r="J7" i="2"/>
  <c r="AG75" i="1"/>
  <c r="AG73" i="1"/>
  <c r="AG70" i="1"/>
  <c r="K11" i="2" l="1"/>
  <c r="K20" i="2"/>
  <c r="I13" i="2"/>
  <c r="H13" i="2"/>
  <c r="J3" i="2"/>
  <c r="AC57" i="1"/>
  <c r="J17" i="2"/>
  <c r="I17" i="2"/>
  <c r="H17" i="2"/>
  <c r="J16" i="2"/>
  <c r="I16" i="2"/>
  <c r="H16" i="2"/>
  <c r="J15" i="2"/>
  <c r="I15" i="2"/>
  <c r="H15" i="2"/>
  <c r="J14" i="2"/>
  <c r="I14" i="2"/>
  <c r="H14" i="2"/>
  <c r="J6" i="2"/>
  <c r="I6" i="2"/>
  <c r="H6" i="2"/>
  <c r="J5" i="2"/>
  <c r="I5" i="2"/>
  <c r="H5" i="2"/>
  <c r="J4" i="2"/>
  <c r="I4" i="2"/>
  <c r="H4" i="2"/>
  <c r="I3" i="2"/>
  <c r="H3" i="2"/>
  <c r="U46" i="1"/>
  <c r="T46" i="1"/>
  <c r="S46" i="1"/>
  <c r="R46" i="1"/>
  <c r="AC45" i="1"/>
  <c r="Z45" i="1"/>
  <c r="U45" i="1"/>
  <c r="T45" i="1"/>
  <c r="S45" i="1"/>
  <c r="R45" i="1"/>
  <c r="C45" i="1"/>
  <c r="H45" i="1" s="1"/>
  <c r="I45" i="1" s="1"/>
  <c r="U44" i="1"/>
  <c r="T44" i="1"/>
  <c r="S44" i="1"/>
  <c r="R44" i="1"/>
  <c r="U43" i="1"/>
  <c r="T43" i="1"/>
  <c r="S43" i="1"/>
  <c r="R43" i="1"/>
  <c r="AC42" i="1"/>
  <c r="AB42" i="1"/>
  <c r="AA42" i="1"/>
  <c r="Z42" i="1"/>
  <c r="U42" i="1"/>
  <c r="T42" i="1"/>
  <c r="S42" i="1"/>
  <c r="R42" i="1"/>
  <c r="U41" i="1"/>
  <c r="T41" i="1"/>
  <c r="S41" i="1"/>
  <c r="R41" i="1"/>
  <c r="U40" i="1"/>
  <c r="T40" i="1"/>
  <c r="S40" i="1"/>
  <c r="R40" i="1"/>
  <c r="AC39" i="1"/>
  <c r="AB39" i="1"/>
  <c r="AA39" i="1"/>
  <c r="Z39" i="1"/>
  <c r="U39" i="1"/>
  <c r="T39" i="1"/>
  <c r="S39" i="1"/>
  <c r="R39" i="1"/>
  <c r="T38" i="1"/>
  <c r="S38" i="1"/>
  <c r="T37" i="1"/>
  <c r="S37" i="1"/>
  <c r="R37" i="1"/>
  <c r="AC36" i="1"/>
  <c r="AB36" i="1"/>
  <c r="AA36" i="1"/>
  <c r="Z36" i="1"/>
  <c r="T36" i="1"/>
  <c r="S36" i="1"/>
  <c r="R36" i="1"/>
  <c r="S65" i="1"/>
  <c r="S64" i="1"/>
  <c r="S63" i="1"/>
  <c r="U65" i="1"/>
  <c r="U64" i="1"/>
  <c r="U63" i="1"/>
  <c r="U20" i="1"/>
  <c r="U16" i="1"/>
  <c r="U13" i="1"/>
  <c r="U10" i="1"/>
  <c r="U7" i="1"/>
  <c r="U4" i="1"/>
  <c r="C12" i="1"/>
  <c r="C9" i="1" s="1"/>
  <c r="U5" i="1"/>
  <c r="T5" i="1"/>
  <c r="S5" i="1"/>
  <c r="R5" i="1"/>
  <c r="T4" i="1"/>
  <c r="S4" i="1"/>
  <c r="R4" i="1"/>
  <c r="AC3" i="1"/>
  <c r="AB3" i="1"/>
  <c r="AA3" i="1"/>
  <c r="Z3" i="1"/>
  <c r="U3" i="1"/>
  <c r="T3" i="1"/>
  <c r="S3" i="1"/>
  <c r="R3" i="1"/>
  <c r="U8" i="1"/>
  <c r="T8" i="1"/>
  <c r="S8" i="1"/>
  <c r="R8" i="1"/>
  <c r="T7" i="1"/>
  <c r="S7" i="1"/>
  <c r="R7" i="1"/>
  <c r="AC6" i="1"/>
  <c r="AB6" i="1"/>
  <c r="AA6" i="1"/>
  <c r="Z6" i="1"/>
  <c r="U6" i="1"/>
  <c r="T6" i="1"/>
  <c r="S6" i="1"/>
  <c r="R6" i="1"/>
  <c r="U11" i="1"/>
  <c r="T11" i="1"/>
  <c r="S11" i="1"/>
  <c r="R11" i="1"/>
  <c r="T10" i="1"/>
  <c r="S10" i="1"/>
  <c r="R10" i="1"/>
  <c r="AC9" i="1"/>
  <c r="AB9" i="1"/>
  <c r="AA9" i="1"/>
  <c r="Z9" i="1"/>
  <c r="T9" i="1"/>
  <c r="S9" i="1"/>
  <c r="R9" i="1"/>
  <c r="U14" i="1"/>
  <c r="T14" i="1"/>
  <c r="S14" i="1"/>
  <c r="R14" i="1"/>
  <c r="T13" i="1"/>
  <c r="S13" i="1"/>
  <c r="R13" i="1"/>
  <c r="AC12" i="1"/>
  <c r="AB12" i="1"/>
  <c r="AA12" i="1"/>
  <c r="Z12" i="1"/>
  <c r="U12" i="1"/>
  <c r="T12" i="1"/>
  <c r="S12" i="1"/>
  <c r="R12" i="1"/>
  <c r="H12" i="1" l="1"/>
  <c r="I12" i="1" s="1"/>
  <c r="K13" i="2"/>
  <c r="K4" i="2"/>
  <c r="K5" i="2"/>
  <c r="K16" i="2"/>
  <c r="K15" i="2"/>
  <c r="K14" i="2"/>
  <c r="K17" i="2"/>
  <c r="K3" i="2"/>
  <c r="K6" i="2"/>
  <c r="C42" i="1"/>
  <c r="C39" i="1" s="1"/>
  <c r="C36" i="1" s="1"/>
  <c r="H36" i="1" s="1"/>
  <c r="I36" i="1" s="1"/>
  <c r="H39" i="1"/>
  <c r="I39" i="1" s="1"/>
  <c r="H42" i="1"/>
  <c r="I42" i="1" s="1"/>
  <c r="H9" i="1"/>
  <c r="I9" i="1" s="1"/>
  <c r="C6" i="1"/>
  <c r="H6" i="1" l="1"/>
  <c r="I6" i="1" s="1"/>
  <c r="C3" i="1"/>
  <c r="H3" i="1" s="1"/>
  <c r="I3" i="1" s="1"/>
  <c r="T55" i="1" l="1"/>
  <c r="U68" i="1"/>
  <c r="T68" i="1"/>
  <c r="S68" i="1"/>
  <c r="R68" i="1"/>
  <c r="U67" i="1"/>
  <c r="T67" i="1"/>
  <c r="S67" i="1"/>
  <c r="R67" i="1"/>
  <c r="AC66" i="1"/>
  <c r="AB66" i="1"/>
  <c r="AA66" i="1"/>
  <c r="Z66" i="1"/>
  <c r="U66" i="1"/>
  <c r="T66" i="1"/>
  <c r="S66" i="1"/>
  <c r="R66" i="1"/>
  <c r="T65" i="1"/>
  <c r="R65" i="1"/>
  <c r="T64" i="1"/>
  <c r="R64" i="1"/>
  <c r="AC63" i="1"/>
  <c r="AB63" i="1"/>
  <c r="AA63" i="1"/>
  <c r="Z63" i="1"/>
  <c r="T63" i="1"/>
  <c r="R63" i="1"/>
  <c r="U62" i="1"/>
  <c r="T62" i="1"/>
  <c r="S62" i="1"/>
  <c r="R62" i="1"/>
  <c r="U61" i="1"/>
  <c r="T61" i="1"/>
  <c r="S61" i="1"/>
  <c r="R61" i="1"/>
  <c r="AC60" i="1"/>
  <c r="AB60" i="1"/>
  <c r="AA60" i="1"/>
  <c r="Z60" i="1"/>
  <c r="U60" i="1"/>
  <c r="T60" i="1"/>
  <c r="S60" i="1"/>
  <c r="R60" i="1"/>
  <c r="U59" i="1"/>
  <c r="T59" i="1"/>
  <c r="S59" i="1"/>
  <c r="R59" i="1"/>
  <c r="U58" i="1"/>
  <c r="T58" i="1"/>
  <c r="S58" i="1"/>
  <c r="R58" i="1"/>
  <c r="AB57" i="1"/>
  <c r="AA57" i="1"/>
  <c r="Z57" i="1"/>
  <c r="U57" i="1"/>
  <c r="T57" i="1"/>
  <c r="S57" i="1"/>
  <c r="R57" i="1"/>
  <c r="U56" i="1"/>
  <c r="T56" i="1"/>
  <c r="S56" i="1"/>
  <c r="R56" i="1"/>
  <c r="S55" i="1"/>
  <c r="R55" i="1"/>
  <c r="AC54" i="1"/>
  <c r="AB54" i="1"/>
  <c r="AA54" i="1"/>
  <c r="Z54" i="1"/>
  <c r="U54" i="1"/>
  <c r="T54" i="1"/>
  <c r="S54" i="1"/>
  <c r="R54" i="1"/>
  <c r="C54" i="1"/>
  <c r="C57" i="1" s="1"/>
  <c r="U53" i="1"/>
  <c r="T53" i="1"/>
  <c r="S53" i="1"/>
  <c r="R53" i="1"/>
  <c r="T52" i="1"/>
  <c r="S52" i="1"/>
  <c r="R52" i="1"/>
  <c r="AC51" i="1"/>
  <c r="AB51" i="1"/>
  <c r="AA51" i="1"/>
  <c r="Z51" i="1"/>
  <c r="T51" i="1"/>
  <c r="S51" i="1"/>
  <c r="R51" i="1"/>
  <c r="C51" i="1"/>
  <c r="U50" i="1"/>
  <c r="T50" i="1"/>
  <c r="S50" i="1"/>
  <c r="R50" i="1"/>
  <c r="T49" i="1"/>
  <c r="S49" i="1"/>
  <c r="R49" i="1"/>
  <c r="AC48" i="1"/>
  <c r="AB48" i="1"/>
  <c r="AA48" i="1"/>
  <c r="Z48" i="1"/>
  <c r="U48" i="1"/>
  <c r="T48" i="1"/>
  <c r="S48" i="1"/>
  <c r="R48" i="1"/>
  <c r="G48" i="1"/>
  <c r="G51" i="1" s="1"/>
  <c r="G54" i="1" s="1"/>
  <c r="G57" i="1" s="1"/>
  <c r="C48" i="1"/>
  <c r="H48" i="1" s="1"/>
  <c r="U35" i="1"/>
  <c r="T35" i="1"/>
  <c r="S35" i="1"/>
  <c r="R35" i="1"/>
  <c r="U34" i="1"/>
  <c r="T34" i="1"/>
  <c r="S34" i="1"/>
  <c r="R34" i="1"/>
  <c r="AC33" i="1"/>
  <c r="AB33" i="1"/>
  <c r="AA33" i="1"/>
  <c r="Z33" i="1"/>
  <c r="U33" i="1"/>
  <c r="T33" i="1"/>
  <c r="S33" i="1"/>
  <c r="R33" i="1"/>
  <c r="U32" i="1"/>
  <c r="T32" i="1"/>
  <c r="S32" i="1"/>
  <c r="R32" i="1"/>
  <c r="U31" i="1"/>
  <c r="T31" i="1"/>
  <c r="S31" i="1"/>
  <c r="R31" i="1"/>
  <c r="AC30" i="1"/>
  <c r="AB30" i="1"/>
  <c r="AA30" i="1"/>
  <c r="Z30" i="1"/>
  <c r="U30" i="1"/>
  <c r="T30" i="1"/>
  <c r="S30" i="1"/>
  <c r="R30" i="1"/>
  <c r="U29" i="1"/>
  <c r="T29" i="1"/>
  <c r="S29" i="1"/>
  <c r="R29" i="1"/>
  <c r="U28" i="1"/>
  <c r="T28" i="1"/>
  <c r="S28" i="1"/>
  <c r="R28" i="1"/>
  <c r="AC27" i="1"/>
  <c r="AB27" i="1"/>
  <c r="AA27" i="1"/>
  <c r="Z27" i="1"/>
  <c r="U27" i="1"/>
  <c r="T27" i="1"/>
  <c r="S27" i="1"/>
  <c r="R27" i="1"/>
  <c r="U26" i="1"/>
  <c r="T26" i="1"/>
  <c r="S26" i="1"/>
  <c r="R26" i="1"/>
  <c r="U25" i="1"/>
  <c r="T25" i="1"/>
  <c r="S25" i="1"/>
  <c r="R25" i="1"/>
  <c r="AC24" i="1"/>
  <c r="AB24" i="1"/>
  <c r="AA24" i="1"/>
  <c r="Z24" i="1"/>
  <c r="U24" i="1"/>
  <c r="T24" i="1"/>
  <c r="S24" i="1"/>
  <c r="R24" i="1"/>
  <c r="U23" i="1"/>
  <c r="T23" i="1"/>
  <c r="S23" i="1"/>
  <c r="R23" i="1"/>
  <c r="U22" i="1"/>
  <c r="T22" i="1"/>
  <c r="S22" i="1"/>
  <c r="R22" i="1"/>
  <c r="AC21" i="1"/>
  <c r="AB21" i="1"/>
  <c r="AA21" i="1"/>
  <c r="Z21" i="1"/>
  <c r="U21" i="1"/>
  <c r="T21" i="1"/>
  <c r="S21" i="1"/>
  <c r="R21" i="1"/>
  <c r="C21" i="1"/>
  <c r="C24" i="1" s="1"/>
  <c r="C27" i="1" s="1"/>
  <c r="C30" i="1" s="1"/>
  <c r="C33" i="1" s="1"/>
  <c r="T20" i="1"/>
  <c r="S20" i="1"/>
  <c r="R20" i="1"/>
  <c r="U19" i="1"/>
  <c r="T19" i="1"/>
  <c r="S19" i="1"/>
  <c r="R19" i="1"/>
  <c r="AC18" i="1"/>
  <c r="AB18" i="1"/>
  <c r="AA18" i="1"/>
  <c r="Z18" i="1"/>
  <c r="U18" i="1"/>
  <c r="T18" i="1"/>
  <c r="S18" i="1"/>
  <c r="R18" i="1"/>
  <c r="C18" i="1"/>
  <c r="U17" i="1"/>
  <c r="T17" i="1"/>
  <c r="S17" i="1"/>
  <c r="R17" i="1"/>
  <c r="T16" i="1"/>
  <c r="S16" i="1"/>
  <c r="R16" i="1"/>
  <c r="AC15" i="1"/>
  <c r="AB15" i="1"/>
  <c r="AA15" i="1"/>
  <c r="Z15" i="1"/>
  <c r="U15" i="1"/>
  <c r="T15" i="1"/>
  <c r="S15" i="1"/>
  <c r="R15" i="1"/>
  <c r="C15" i="1"/>
  <c r="H15" i="1" s="1"/>
  <c r="H9" i="2"/>
  <c r="I9" i="2"/>
  <c r="J9" i="2"/>
  <c r="J24" i="2"/>
  <c r="I24" i="2"/>
  <c r="H24" i="2"/>
  <c r="J23" i="2"/>
  <c r="I23" i="2"/>
  <c r="H23" i="2"/>
  <c r="J22" i="2"/>
  <c r="I22" i="2"/>
  <c r="H22" i="2"/>
  <c r="I21" i="2"/>
  <c r="H21" i="2"/>
  <c r="J19" i="2"/>
  <c r="I19" i="2"/>
  <c r="H19" i="2"/>
  <c r="J18" i="2"/>
  <c r="I18" i="2"/>
  <c r="H18" i="2"/>
  <c r="I12" i="2"/>
  <c r="K12" i="2" s="1"/>
  <c r="I10" i="2"/>
  <c r="H10" i="2"/>
  <c r="I8" i="2"/>
  <c r="H8" i="2"/>
  <c r="I7" i="2"/>
  <c r="H7" i="2"/>
  <c r="K18" i="2" l="1"/>
  <c r="K9" i="2"/>
  <c r="K22" i="2"/>
  <c r="K23" i="2"/>
  <c r="G60" i="1"/>
  <c r="K8" i="2"/>
  <c r="K7" i="2"/>
  <c r="K19" i="2"/>
  <c r="U49" i="1"/>
  <c r="U51" i="1"/>
  <c r="U52" i="1"/>
  <c r="U55" i="1"/>
  <c r="K21" i="2"/>
  <c r="K10" i="2"/>
  <c r="H18" i="1"/>
  <c r="I15" i="1"/>
  <c r="I48" i="1"/>
  <c r="H51" i="1"/>
  <c r="G63" i="1" l="1"/>
  <c r="G66" i="1" s="1"/>
  <c r="H54" i="1"/>
  <c r="I51" i="1"/>
  <c r="C60" i="1"/>
  <c r="C63" i="1" s="1"/>
  <c r="C66" i="1" s="1"/>
  <c r="H21" i="1"/>
  <c r="I18" i="1"/>
  <c r="H24" i="1" l="1"/>
  <c r="I21" i="1"/>
  <c r="I54" i="1"/>
  <c r="H57" i="1"/>
  <c r="I57" i="1" l="1"/>
  <c r="H60" i="1"/>
  <c r="I60" i="1" s="1"/>
  <c r="I24" i="1"/>
  <c r="H27" i="1"/>
  <c r="H30" i="1" l="1"/>
  <c r="I27" i="1"/>
  <c r="H63" i="1"/>
  <c r="I63" i="1" l="1"/>
  <c r="H66" i="1"/>
  <c r="I66" i="1" s="1"/>
  <c r="I30" i="1"/>
  <c r="H33" i="1"/>
  <c r="I3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<sst xmlns="http://schemas.openxmlformats.org/spreadsheetml/2006/main" count="181" uniqueCount="77">
  <si>
    <t>Phage</t>
  </si>
  <si>
    <t>Plate</t>
  </si>
  <si>
    <t>Strains</t>
  </si>
  <si>
    <t>B</t>
  </si>
  <si>
    <t>E</t>
  </si>
  <si>
    <t>T</t>
  </si>
  <si>
    <t>Lysate vol./uL</t>
  </si>
  <si>
    <t>Pre-culture vol./uL</t>
  </si>
  <si>
    <t>Dilution</t>
  </si>
  <si>
    <t>CFU</t>
  </si>
  <si>
    <t>201KT/327</t>
  </si>
  <si>
    <t>Co-culture vol./uL</t>
  </si>
  <si>
    <t>DRP</t>
  </si>
  <si>
    <t>Lysate dilution</t>
  </si>
  <si>
    <t>~PFU/mL</t>
  </si>
  <si>
    <r>
      <t>J</t>
    </r>
    <r>
      <rPr>
        <sz val="11"/>
        <color theme="1"/>
        <rFont val="Calibri"/>
        <family val="2"/>
      </rPr>
      <t>φ</t>
    </r>
  </si>
  <si>
    <t>201KT/1085</t>
  </si>
  <si>
    <t>MOI of co-culture (T=0h)</t>
  </si>
  <si>
    <t>Co-culture CFU/mL</t>
  </si>
  <si>
    <t>Co-culture PFU/mL</t>
  </si>
  <si>
    <t>1/20</t>
  </si>
  <si>
    <t>1/160</t>
  </si>
  <si>
    <t>Co-culture [CaCl2] / mM</t>
  </si>
  <si>
    <t>Mean CFU/mL</t>
  </si>
  <si>
    <t>DRP/mL</t>
  </si>
  <si>
    <t>Conditions</t>
  </si>
  <si>
    <t>PFU</t>
  </si>
  <si>
    <t>Mean PFU/mL</t>
  </si>
  <si>
    <t>PFU/mL</t>
  </si>
  <si>
    <t>327     1/20</t>
  </si>
  <si>
    <t>327     1/40</t>
  </si>
  <si>
    <t>327     1/80</t>
  </si>
  <si>
    <t>327     1/160</t>
  </si>
  <si>
    <t>327     1/320</t>
  </si>
  <si>
    <t>327     1/640</t>
  </si>
  <si>
    <t>327     1/1280</t>
  </si>
  <si>
    <t>1085   1/20</t>
  </si>
  <si>
    <t>1085   1/40</t>
  </si>
  <si>
    <t>1085   1/80</t>
  </si>
  <si>
    <t>1085   1/160</t>
  </si>
  <si>
    <t>1085   1/320</t>
  </si>
  <si>
    <t>1085   1/640</t>
  </si>
  <si>
    <t>1085   1/1280</t>
  </si>
  <si>
    <t>CFU/mL</t>
  </si>
  <si>
    <t>Mean DRP/mL</t>
  </si>
  <si>
    <t>1/40</t>
  </si>
  <si>
    <t>1/80</t>
  </si>
  <si>
    <t>1/320</t>
  </si>
  <si>
    <t>1/640</t>
  </si>
  <si>
    <t>1/1280</t>
  </si>
  <si>
    <t>1/10</t>
  </si>
  <si>
    <t>2-3</t>
  </si>
  <si>
    <t>3-4</t>
  </si>
  <si>
    <t>1/5</t>
  </si>
  <si>
    <t>1/2.5</t>
  </si>
  <si>
    <t>1</t>
  </si>
  <si>
    <t>8-9</t>
  </si>
  <si>
    <t>mL of BHIA</t>
  </si>
  <si>
    <t>327     1/10</t>
  </si>
  <si>
    <t>327     1/5</t>
  </si>
  <si>
    <t>327     1/2.5</t>
  </si>
  <si>
    <t>327     1</t>
  </si>
  <si>
    <t>7-8</t>
  </si>
  <si>
    <t>5-6</t>
  </si>
  <si>
    <t>6-7</t>
  </si>
  <si>
    <t>4-7</t>
  </si>
  <si>
    <t>2-5</t>
  </si>
  <si>
    <t>3-6</t>
  </si>
  <si>
    <t>ET plates</t>
  </si>
  <si>
    <t>BET plates</t>
  </si>
  <si>
    <t>plates</t>
  </si>
  <si>
    <t>mL per bottle</t>
  </si>
  <si>
    <t>4-6</t>
  </si>
  <si>
    <t xml:space="preserve">total plates </t>
  </si>
  <si>
    <t>total phage bot</t>
  </si>
  <si>
    <t>total phage top</t>
  </si>
  <si>
    <t>can't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</si>
</sst>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2" xfId="0" applyBorder="1"/>
    <xf numFmtId="0" fontId="0" fillId="0" borderId="5" xfId="0" applyBorder="1"/>
    <xf numFmtId="11" fontId="0" fillId="0" borderId="8" xfId="0" applyNumberFormat="1" applyBorder="1"/>
    <xf numFmtId="11" fontId="0" fillId="0" borderId="0" xfId="0" applyNumberFormat="1"/>
    <xf numFmtId="0" fontId="0" fillId="0" borderId="14" xfId="0" applyBorder="1"/>
    <xf numFmtId="11" fontId="0" fillId="0" borderId="7" xfId="0" applyNumberFormat="1" applyBorder="1"/>
    <xf numFmtId="0" fontId="0" fillId="0" borderId="13" xfId="0" applyBorder="1"/>
    <xf numFmtId="0" fontId="0" fillId="0" borderId="15" xfId="0" applyBorder="1"/>
    <xf numFmtId="0" fontId="0" fillId="0" borderId="0" xfId="0" applyNumberFormat="1"/>
    <xf numFmtId="0" fontId="0" fillId="0" borderId="22" xfId="0" applyBorder="1"/>
    <xf numFmtId="0" fontId="0" fillId="0" borderId="20" xfId="0" applyBorder="1"/>
    <xf numFmtId="11" fontId="0" fillId="0" borderId="19" xfId="0" applyNumberFormat="1" applyBorder="1"/>
    <xf numFmtId="11" fontId="0" fillId="0" borderId="6" xfId="0" applyNumberFormat="1" applyBorder="1"/>
    <xf numFmtId="0" fontId="0" fillId="0" borderId="17" xfId="0" applyBorder="1" applyAlignment="1">
      <alignment horizont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vertical="center"/>
    </xf>
    <xf numFmtId="49" fontId="0" fillId="0" borderId="0" xfId="0" applyNumberFormat="1" applyAlignment="1">
      <alignment horizontal="righ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/>
    <xf numFmtId="0" fontId="0" fillId="0" borderId="12" xfId="0" applyBorder="1"/>
    <xf numFmtId="49" fontId="1" fillId="0" borderId="7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11" fontId="0" fillId="0" borderId="2" xfId="0" applyNumberFormat="1" applyBorder="1"/>
    <xf numFmtId="11" fontId="0" fillId="0" borderId="5" xfId="0" applyNumberFormat="1" applyBorder="1"/>
    <xf numFmtId="49" fontId="1" fillId="0" borderId="13" xfId="0" applyNumberFormat="1" applyFont="1" applyBorder="1" applyAlignment="1">
      <alignment horizontal="left" vertical="center"/>
    </xf>
    <xf numFmtId="1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8" xfId="0" applyBorder="1" applyAlignment="1">
      <alignment horizontal="center"/>
    </xf>
    <xf numFmtId="1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1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/>
    <xf numFmtId="11" fontId="0" fillId="0" borderId="18" xfId="0" applyNumberFormat="1" applyBorder="1" applyAlignment="1">
      <alignment horizontal="center"/>
    </xf>
    <xf numFmtId="11" fontId="0" fillId="0" borderId="18" xfId="0" applyNumberFormat="1" applyBorder="1"/>
    <xf numFmtId="49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1" fontId="0" fillId="0" borderId="0" xfId="0" applyNumberFormat="1" applyBorder="1"/>
    <xf numFmtId="11" fontId="0" fillId="0" borderId="3" xfId="0" applyNumberFormat="1" applyBorder="1"/>
    <xf numFmtId="11" fontId="0" fillId="0" borderId="13" xfId="0" applyNumberFormat="1" applyBorder="1"/>
    <xf numFmtId="0" fontId="1" fillId="0" borderId="0" xfId="0" applyFont="1" applyFill="1" applyBorder="1" applyAlignment="1">
      <alignment vertical="center"/>
    </xf>
    <xf numFmtId="0" fontId="0" fillId="0" borderId="0" xfId="0" applyNumberFormat="1" applyAlignment="1">
      <alignment horizontal="right"/>
    </xf>
    <xf numFmtId="11" fontId="0" fillId="0" borderId="0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0" xfId="0" applyNumberFormat="1" applyAlignment="1">
      <alignment vertical="center" wrapText="1"/>
    </xf>
    <xf numFmtId="0" fontId="0" fillId="0" borderId="19" xfId="0" applyFill="1" applyBorder="1" applyAlignment="1">
      <alignment horizontal="center"/>
    </xf>
    <xf numFmtId="11" fontId="0" fillId="0" borderId="19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1" fontId="0" fillId="0" borderId="7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1" fontId="0" fillId="0" borderId="8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11" fontId="0" fillId="0" borderId="18" xfId="0" applyNumberFormat="1" applyBorder="1" applyAlignment="1">
      <alignment horizontal="center"/>
    </xf>
    <xf numFmtId="11" fontId="0" fillId="0" borderId="12" xfId="0" applyNumberFormat="1" applyBorder="1" applyAlignment="1">
      <alignment horizontal="center"/>
    </xf>
    <xf numFmtId="11" fontId="0" fillId="0" borderId="13" xfId="0" applyNumberFormat="1" applyBorder="1" applyAlignment="1">
      <alignment horizontal="center"/>
    </xf>
    <xf numFmtId="11" fontId="0" fillId="0" borderId="15" xfId="0" applyNumberFormat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1" fontId="0" fillId="0" borderId="14" xfId="0" applyNumberFormat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165" fontId="0" fillId="3" borderId="6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49" fontId="0" fillId="0" borderId="21" xfId="0" applyNumberFormat="1" applyBorder="1" applyAlignment="1">
      <alignment horizontal="center"/>
    </xf>
    <xf numFmtId="11" fontId="0" fillId="0" borderId="20" xfId="0" applyNumberFormat="1" applyBorder="1" applyAlignment="1">
      <alignment horizontal="center"/>
    </xf>
    <xf numFmtId="11" fontId="0" fillId="0" borderId="19" xfId="0" applyNumberFormat="1" applyBorder="1" applyAlignment="1">
      <alignment horizontal="center"/>
    </xf>
    <xf numFmtId="164" fontId="0" fillId="3" borderId="19" xfId="0" applyNumberForma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topLeftCell="P28" zoomScale="58" zoomScaleNormal="115" workbookViewId="0">
      <selection activeCell="X48" sqref="X48:X50"/>
    </sheetView>
  </sheetViews>
  <sheetFormatPr defaultRowHeight="15" x14ac:dyDescent="0.25"/>
  <cols>
    <col min="1" max="1" width="17" bestFit="1" customWidth="1"/>
    <col min="2" max="2" width="17" customWidth="1"/>
    <col min="3" max="3" width="17" hidden="1" customWidth="1"/>
    <col min="4" max="4" width="12.28515625" bestFit="1" customWidth="1"/>
    <col min="5" max="5" width="9.5703125" hidden="1" customWidth="1"/>
    <col min="6" max="8" width="12.42578125" hidden="1" customWidth="1"/>
    <col min="9" max="9" width="12.42578125" style="9" customWidth="1"/>
    <col min="10" max="10" width="12.42578125" style="9" hidden="1" customWidth="1"/>
    <col min="11" max="12" width="11.5703125" customWidth="1"/>
    <col min="13" max="13" width="15.85546875" customWidth="1"/>
    <col min="14" max="14" width="14" customWidth="1"/>
    <col min="15" max="15" width="15.85546875" customWidth="1"/>
    <col min="16" max="17" width="16.42578125" customWidth="1"/>
    <col min="18" max="18" width="17.140625" customWidth="1"/>
    <col min="19" max="19" width="15.140625" customWidth="1"/>
    <col min="20" max="20" width="15.85546875" customWidth="1"/>
    <col min="21" max="21" width="14.5703125" customWidth="1"/>
    <col min="22" max="28" width="8.7109375" customWidth="1"/>
    <col min="30" max="31" width="8.7109375" style="52"/>
  </cols>
  <sheetData>
    <row r="1" spans="1:38" x14ac:dyDescent="0.25">
      <c r="A1" s="136" t="s">
        <v>0</v>
      </c>
      <c r="B1" s="138" t="s">
        <v>13</v>
      </c>
      <c r="C1" s="136" t="s">
        <v>14</v>
      </c>
      <c r="D1" s="143" t="s">
        <v>2</v>
      </c>
      <c r="E1" s="125" t="s">
        <v>6</v>
      </c>
      <c r="F1" s="127" t="s">
        <v>7</v>
      </c>
      <c r="G1" s="120" t="s">
        <v>18</v>
      </c>
      <c r="H1" s="120" t="s">
        <v>19</v>
      </c>
      <c r="I1" s="145" t="s">
        <v>17</v>
      </c>
      <c r="J1" s="120" t="s">
        <v>22</v>
      </c>
      <c r="K1" s="138" t="s">
        <v>1</v>
      </c>
      <c r="L1" s="76" t="s">
        <v>8</v>
      </c>
      <c r="M1" s="77"/>
      <c r="N1" s="77"/>
      <c r="O1" s="76" t="s">
        <v>9</v>
      </c>
      <c r="P1" s="77"/>
      <c r="Q1" s="77"/>
      <c r="R1" s="76" t="s">
        <v>43</v>
      </c>
      <c r="S1" s="77"/>
      <c r="T1" s="77"/>
      <c r="U1" s="120" t="s">
        <v>23</v>
      </c>
      <c r="V1" s="120" t="s">
        <v>11</v>
      </c>
      <c r="W1" s="122" t="s">
        <v>12</v>
      </c>
      <c r="X1" s="123"/>
      <c r="Y1" s="124"/>
      <c r="Z1" s="125" t="s">
        <v>24</v>
      </c>
      <c r="AA1" s="126"/>
      <c r="AB1" s="127"/>
      <c r="AC1" s="127" t="s">
        <v>44</v>
      </c>
      <c r="AD1"/>
      <c r="AE1"/>
    </row>
    <row r="2" spans="1:38" ht="34.5" customHeight="1" thickBot="1" x14ac:dyDescent="0.3">
      <c r="A2" s="137"/>
      <c r="B2" s="139"/>
      <c r="C2" s="137"/>
      <c r="D2" s="144"/>
      <c r="E2" s="142"/>
      <c r="F2" s="128"/>
      <c r="G2" s="121"/>
      <c r="H2" s="121"/>
      <c r="I2" s="146"/>
      <c r="J2" s="121"/>
      <c r="K2" s="139"/>
      <c r="L2" s="37">
        <v>1</v>
      </c>
      <c r="M2" s="37">
        <v>2</v>
      </c>
      <c r="N2" s="37">
        <v>3</v>
      </c>
      <c r="O2" s="37">
        <v>1</v>
      </c>
      <c r="P2" s="37">
        <v>2</v>
      </c>
      <c r="Q2" s="37">
        <v>3</v>
      </c>
      <c r="R2" s="37">
        <v>1</v>
      </c>
      <c r="S2" s="37">
        <v>2</v>
      </c>
      <c r="T2" s="37">
        <v>3</v>
      </c>
      <c r="U2" s="121"/>
      <c r="V2" s="121"/>
      <c r="W2" s="38">
        <v>1</v>
      </c>
      <c r="X2" s="14">
        <v>2</v>
      </c>
      <c r="Y2" s="35">
        <v>3</v>
      </c>
      <c r="Z2" s="45">
        <v>1</v>
      </c>
      <c r="AA2" s="46">
        <v>2</v>
      </c>
      <c r="AB2" s="46">
        <v>3</v>
      </c>
      <c r="AC2" s="128"/>
      <c r="AD2"/>
      <c r="AE2"/>
    </row>
    <row r="3" spans="1:38" x14ac:dyDescent="0.25">
      <c r="A3" s="155" t="s">
        <v>15</v>
      </c>
      <c r="B3" s="150" t="s">
        <v>55</v>
      </c>
      <c r="C3" s="151">
        <f>C6*2.5</f>
        <v>4683333333.3332996</v>
      </c>
      <c r="D3" s="154" t="s">
        <v>10</v>
      </c>
      <c r="E3" s="10">
        <v>10</v>
      </c>
      <c r="F3" s="11">
        <v>5</v>
      </c>
      <c r="G3" s="152">
        <v>4000000</v>
      </c>
      <c r="H3" s="152">
        <f>(C3*0.01)/5</f>
        <v>9366666.6666666009</v>
      </c>
      <c r="I3" s="153">
        <f>H3/G3</f>
        <v>2.3416666666666504</v>
      </c>
      <c r="J3" s="148">
        <v>10</v>
      </c>
      <c r="K3" s="47" t="s">
        <v>3</v>
      </c>
      <c r="L3" s="47">
        <v>3</v>
      </c>
      <c r="M3" s="47">
        <v>2</v>
      </c>
      <c r="N3" s="47">
        <v>4</v>
      </c>
      <c r="O3" s="47">
        <v>7</v>
      </c>
      <c r="P3" s="47">
        <v>207</v>
      </c>
      <c r="Q3" s="47">
        <v>80</v>
      </c>
      <c r="R3" s="42">
        <f t="shared" ref="R3:R34" si="0">(O3/0.05)*10^L3</f>
        <v>140000</v>
      </c>
      <c r="S3" s="42">
        <f t="shared" ref="S3:S34" si="1">(P3/0.05)*10^M3</f>
        <v>414000</v>
      </c>
      <c r="T3" s="42">
        <f t="shared" ref="T3:T34" si="2">(Q3/0.05)*10^N3</f>
        <v>16000000</v>
      </c>
      <c r="U3" s="12">
        <f t="shared" ref="U3:U48" si="3">(((O3/0.05)*10^L3)+((P3/0.05)*10^M3)+((Q3/0.05)*10^N3))/3</f>
        <v>5518000</v>
      </c>
      <c r="V3" s="149">
        <v>250</v>
      </c>
      <c r="W3" s="147">
        <v>0</v>
      </c>
      <c r="X3" s="147">
        <v>0</v>
      </c>
      <c r="Y3" s="147">
        <v>0</v>
      </c>
      <c r="Z3" s="154">
        <f>W3*4</f>
        <v>0</v>
      </c>
      <c r="AA3" s="147">
        <f t="shared" ref="AA3" si="4">X3*4</f>
        <v>0</v>
      </c>
      <c r="AB3" s="155">
        <f t="shared" ref="AB3" si="5">Y3*4</f>
        <v>0</v>
      </c>
      <c r="AC3" s="155">
        <f t="shared" ref="AC3" si="6">((Y3+W3+X3)/3)*(1000/V3)</f>
        <v>0</v>
      </c>
      <c r="AE3"/>
      <c r="AH3" s="61"/>
      <c r="AI3" s="61"/>
      <c r="AJ3" s="61"/>
      <c r="AK3" s="61"/>
      <c r="AL3" s="61"/>
    </row>
    <row r="4" spans="1:38" x14ac:dyDescent="0.25">
      <c r="A4" s="105"/>
      <c r="B4" s="99"/>
      <c r="C4" s="86"/>
      <c r="D4" s="117"/>
      <c r="E4" s="53"/>
      <c r="F4" s="7"/>
      <c r="G4" s="82"/>
      <c r="H4" s="82"/>
      <c r="I4" s="115"/>
      <c r="J4" s="140"/>
      <c r="K4" s="48" t="s">
        <v>4</v>
      </c>
      <c r="L4" s="48">
        <v>3</v>
      </c>
      <c r="M4" s="48">
        <v>2</v>
      </c>
      <c r="N4" s="48">
        <v>4</v>
      </c>
      <c r="O4" s="48">
        <v>5</v>
      </c>
      <c r="P4" s="48">
        <v>111</v>
      </c>
      <c r="Q4" s="48">
        <v>63</v>
      </c>
      <c r="R4" s="40">
        <f t="shared" si="0"/>
        <v>100000</v>
      </c>
      <c r="S4" s="40">
        <f t="shared" si="1"/>
        <v>222000</v>
      </c>
      <c r="T4" s="40">
        <f t="shared" si="2"/>
        <v>12600000</v>
      </c>
      <c r="U4" s="6">
        <f t="shared" si="3"/>
        <v>4307333.333333333</v>
      </c>
      <c r="V4" s="109"/>
      <c r="W4" s="129"/>
      <c r="X4" s="129"/>
      <c r="Y4" s="129"/>
      <c r="Z4" s="117"/>
      <c r="AA4" s="129"/>
      <c r="AB4" s="105"/>
      <c r="AC4" s="105"/>
      <c r="AD4" s="52" t="s">
        <v>66</v>
      </c>
      <c r="AE4">
        <v>3</v>
      </c>
      <c r="AH4" s="61"/>
      <c r="AI4" s="61"/>
      <c r="AJ4" s="61"/>
      <c r="AK4" s="61"/>
      <c r="AL4" s="61"/>
    </row>
    <row r="5" spans="1:38" x14ac:dyDescent="0.25">
      <c r="A5" s="105"/>
      <c r="B5" s="100"/>
      <c r="C5" s="101"/>
      <c r="D5" s="117"/>
      <c r="E5" s="2"/>
      <c r="F5" s="5"/>
      <c r="G5" s="83"/>
      <c r="H5" s="83"/>
      <c r="I5" s="116"/>
      <c r="J5" s="141"/>
      <c r="K5" s="43" t="s">
        <v>5</v>
      </c>
      <c r="L5" s="43">
        <v>3</v>
      </c>
      <c r="M5" s="43">
        <v>2</v>
      </c>
      <c r="N5" s="43">
        <v>4</v>
      </c>
      <c r="O5" s="43">
        <v>2</v>
      </c>
      <c r="P5" s="43">
        <v>115</v>
      </c>
      <c r="Q5" s="43">
        <v>25</v>
      </c>
      <c r="R5" s="41">
        <f t="shared" si="0"/>
        <v>40000</v>
      </c>
      <c r="S5" s="41">
        <f t="shared" si="1"/>
        <v>230000</v>
      </c>
      <c r="T5" s="41">
        <f t="shared" si="2"/>
        <v>5000000</v>
      </c>
      <c r="U5" s="3">
        <f t="shared" si="3"/>
        <v>1756666.6666666667</v>
      </c>
      <c r="V5" s="114"/>
      <c r="W5" s="104"/>
      <c r="X5" s="104"/>
      <c r="Y5" s="104"/>
      <c r="Z5" s="118"/>
      <c r="AA5" s="104"/>
      <c r="AB5" s="106"/>
      <c r="AC5" s="106"/>
      <c r="AE5"/>
      <c r="AH5" s="61"/>
      <c r="AI5" s="61"/>
      <c r="AJ5" s="61"/>
      <c r="AK5" s="61"/>
      <c r="AL5" s="61"/>
    </row>
    <row r="6" spans="1:38" x14ac:dyDescent="0.25">
      <c r="A6" s="105"/>
      <c r="B6" s="99" t="s">
        <v>54</v>
      </c>
      <c r="C6" s="86">
        <f>C9*2</f>
        <v>1873333333.3333199</v>
      </c>
      <c r="D6" s="117"/>
      <c r="E6" s="53">
        <v>10</v>
      </c>
      <c r="F6" s="7">
        <v>5</v>
      </c>
      <c r="G6" s="82">
        <v>4000000</v>
      </c>
      <c r="H6" s="82">
        <f>(C6*0.01)/5</f>
        <v>3746666.6666666395</v>
      </c>
      <c r="I6" s="115">
        <f>H6/G6</f>
        <v>0.93666666666665988</v>
      </c>
      <c r="J6" s="140">
        <v>10</v>
      </c>
      <c r="K6" s="48" t="s">
        <v>3</v>
      </c>
      <c r="L6" s="48">
        <v>6</v>
      </c>
      <c r="M6" s="48">
        <v>6</v>
      </c>
      <c r="N6" s="48">
        <v>6</v>
      </c>
      <c r="O6" s="48">
        <v>30</v>
      </c>
      <c r="P6" s="48">
        <v>37</v>
      </c>
      <c r="Q6" s="48">
        <v>31</v>
      </c>
      <c r="R6" s="40">
        <f t="shared" si="0"/>
        <v>600000000</v>
      </c>
      <c r="S6" s="40">
        <f t="shared" si="1"/>
        <v>740000000</v>
      </c>
      <c r="T6" s="40">
        <f t="shared" si="2"/>
        <v>620000000</v>
      </c>
      <c r="U6" s="6">
        <f t="shared" si="3"/>
        <v>653333333.33333337</v>
      </c>
      <c r="V6" s="109">
        <v>250</v>
      </c>
      <c r="W6" s="129">
        <v>0</v>
      </c>
      <c r="X6" s="129">
        <v>6</v>
      </c>
      <c r="Y6" s="129">
        <v>6</v>
      </c>
      <c r="Z6" s="117">
        <f>W6*4</f>
        <v>0</v>
      </c>
      <c r="AA6" s="129">
        <f t="shared" ref="AA6" si="7">X6*4</f>
        <v>24</v>
      </c>
      <c r="AB6" s="105">
        <f t="shared" ref="AB6" si="8">Y6*4</f>
        <v>24</v>
      </c>
      <c r="AC6" s="105">
        <f t="shared" ref="AC6" si="9">((Y6+W6+X6)/3)*(1000/V6)</f>
        <v>16</v>
      </c>
      <c r="AD6" s="52" t="s">
        <v>67</v>
      </c>
      <c r="AE6"/>
      <c r="AH6" s="61"/>
      <c r="AI6" s="61"/>
      <c r="AJ6" s="61"/>
      <c r="AK6" s="61"/>
      <c r="AL6" s="61"/>
    </row>
    <row r="7" spans="1:38" x14ac:dyDescent="0.25">
      <c r="A7" s="105"/>
      <c r="B7" s="99"/>
      <c r="C7" s="86"/>
      <c r="D7" s="117"/>
      <c r="E7" s="53"/>
      <c r="F7" s="7"/>
      <c r="G7" s="82"/>
      <c r="H7" s="82"/>
      <c r="I7" s="115"/>
      <c r="J7" s="140"/>
      <c r="K7" s="48" t="s">
        <v>4</v>
      </c>
      <c r="L7" s="48">
        <v>5</v>
      </c>
      <c r="M7" s="48">
        <v>5</v>
      </c>
      <c r="N7" s="48">
        <v>5</v>
      </c>
      <c r="O7" s="48">
        <v>129</v>
      </c>
      <c r="P7" s="48">
        <v>179</v>
      </c>
      <c r="Q7" s="48">
        <v>152</v>
      </c>
      <c r="R7" s="40">
        <f t="shared" si="0"/>
        <v>258000000</v>
      </c>
      <c r="S7" s="40">
        <f t="shared" si="1"/>
        <v>358000000</v>
      </c>
      <c r="T7" s="40">
        <f t="shared" si="2"/>
        <v>304000000</v>
      </c>
      <c r="U7" s="6">
        <f t="shared" si="3"/>
        <v>306666666.66666669</v>
      </c>
      <c r="V7" s="109"/>
      <c r="W7" s="129"/>
      <c r="X7" s="129"/>
      <c r="Y7" s="129"/>
      <c r="Z7" s="117"/>
      <c r="AA7" s="129"/>
      <c r="AB7" s="105"/>
      <c r="AC7" s="105"/>
      <c r="AD7" s="52" t="s">
        <v>66</v>
      </c>
      <c r="AE7">
        <v>3</v>
      </c>
      <c r="AH7" s="61"/>
      <c r="AI7" s="61"/>
      <c r="AJ7" s="61"/>
      <c r="AK7" s="61"/>
      <c r="AL7" s="61"/>
    </row>
    <row r="8" spans="1:38" x14ac:dyDescent="0.25">
      <c r="A8" s="105"/>
      <c r="B8" s="100"/>
      <c r="C8" s="101"/>
      <c r="D8" s="117"/>
      <c r="E8" s="2"/>
      <c r="F8" s="5"/>
      <c r="G8" s="83"/>
      <c r="H8" s="83"/>
      <c r="I8" s="116"/>
      <c r="J8" s="141"/>
      <c r="K8" s="43" t="s">
        <v>5</v>
      </c>
      <c r="L8" s="43">
        <v>5</v>
      </c>
      <c r="M8" s="43">
        <v>5</v>
      </c>
      <c r="N8" s="43">
        <v>5</v>
      </c>
      <c r="O8" s="43">
        <v>106</v>
      </c>
      <c r="P8" s="43">
        <v>129</v>
      </c>
      <c r="Q8" s="43">
        <v>120</v>
      </c>
      <c r="R8" s="41">
        <f t="shared" si="0"/>
        <v>212000000</v>
      </c>
      <c r="S8" s="41">
        <f t="shared" si="1"/>
        <v>258000000</v>
      </c>
      <c r="T8" s="41">
        <f t="shared" si="2"/>
        <v>240000000</v>
      </c>
      <c r="U8" s="3">
        <f t="shared" si="3"/>
        <v>236666666.66666666</v>
      </c>
      <c r="V8" s="114"/>
      <c r="W8" s="104"/>
      <c r="X8" s="104"/>
      <c r="Y8" s="104"/>
      <c r="Z8" s="118"/>
      <c r="AA8" s="104"/>
      <c r="AB8" s="106"/>
      <c r="AC8" s="106"/>
      <c r="AD8" s="52" t="s">
        <v>66</v>
      </c>
      <c r="AE8"/>
      <c r="AH8" s="61"/>
      <c r="AI8" s="61"/>
      <c r="AJ8" s="61"/>
      <c r="AK8" s="61"/>
      <c r="AL8" s="61"/>
    </row>
    <row r="9" spans="1:38" x14ac:dyDescent="0.25">
      <c r="A9" s="105"/>
      <c r="B9" s="99" t="s">
        <v>53</v>
      </c>
      <c r="C9" s="86">
        <f>C12*2</f>
        <v>936666666.66665995</v>
      </c>
      <c r="D9" s="117"/>
      <c r="E9" s="53">
        <v>10</v>
      </c>
      <c r="F9" s="7">
        <v>5</v>
      </c>
      <c r="G9" s="82">
        <v>4000000</v>
      </c>
      <c r="H9" s="82">
        <f>(C9*0.01)/5</f>
        <v>1873333.3333333198</v>
      </c>
      <c r="I9" s="115">
        <f>H9/G9</f>
        <v>0.46833333333332994</v>
      </c>
      <c r="J9" s="140">
        <v>10</v>
      </c>
      <c r="K9" s="48" t="s">
        <v>3</v>
      </c>
      <c r="L9" s="48">
        <v>6</v>
      </c>
      <c r="M9" s="48">
        <v>6</v>
      </c>
      <c r="N9" s="48">
        <v>6</v>
      </c>
      <c r="O9" s="48">
        <v>81</v>
      </c>
      <c r="P9" s="48">
        <v>74</v>
      </c>
      <c r="Q9" s="48">
        <v>76</v>
      </c>
      <c r="R9" s="40">
        <f t="shared" si="0"/>
        <v>1620000000</v>
      </c>
      <c r="S9" s="40">
        <f t="shared" si="1"/>
        <v>1480000000</v>
      </c>
      <c r="T9" s="40">
        <f t="shared" si="2"/>
        <v>1520000000</v>
      </c>
      <c r="U9" s="6">
        <f>(((O9/0.05)*10^L9)+((P9/0.05)*10^M9)+((Q9/0.05)*10^N9))/3</f>
        <v>1540000000</v>
      </c>
      <c r="V9" s="109">
        <v>250</v>
      </c>
      <c r="W9" s="129">
        <v>7</v>
      </c>
      <c r="X9" s="129">
        <v>8</v>
      </c>
      <c r="Y9" s="129">
        <v>5</v>
      </c>
      <c r="Z9" s="117">
        <f>W9*4</f>
        <v>28</v>
      </c>
      <c r="AA9" s="129">
        <f t="shared" ref="AA9" si="10">X9*4</f>
        <v>32</v>
      </c>
      <c r="AB9" s="105">
        <f t="shared" ref="AB9" si="11">Y9*4</f>
        <v>20</v>
      </c>
      <c r="AC9" s="105">
        <f t="shared" ref="AC9" si="12">((Y9+W9+X9)/3)*(1000/V9)</f>
        <v>26.666666666666668</v>
      </c>
      <c r="AE9"/>
      <c r="AH9" s="61"/>
      <c r="AI9" s="61"/>
      <c r="AJ9" s="61"/>
      <c r="AK9" s="61"/>
      <c r="AL9" s="61"/>
    </row>
    <row r="10" spans="1:38" x14ac:dyDescent="0.25">
      <c r="A10" s="105"/>
      <c r="B10" s="99"/>
      <c r="C10" s="86"/>
      <c r="D10" s="117"/>
      <c r="E10" s="53"/>
      <c r="F10" s="7"/>
      <c r="G10" s="82"/>
      <c r="H10" s="82"/>
      <c r="I10" s="115"/>
      <c r="J10" s="140"/>
      <c r="K10" s="48" t="s">
        <v>4</v>
      </c>
      <c r="L10" s="48">
        <v>6</v>
      </c>
      <c r="M10" s="48">
        <v>6</v>
      </c>
      <c r="N10" s="48">
        <v>6</v>
      </c>
      <c r="O10" s="48">
        <v>33</v>
      </c>
      <c r="P10" s="48">
        <v>43</v>
      </c>
      <c r="Q10" s="48">
        <v>54</v>
      </c>
      <c r="R10" s="40">
        <f t="shared" si="0"/>
        <v>660000000</v>
      </c>
      <c r="S10" s="40">
        <f t="shared" si="1"/>
        <v>860000000</v>
      </c>
      <c r="T10" s="40">
        <f t="shared" si="2"/>
        <v>1080000000</v>
      </c>
      <c r="U10" s="6">
        <f t="shared" si="3"/>
        <v>866666666.66666663</v>
      </c>
      <c r="V10" s="109"/>
      <c r="W10" s="129"/>
      <c r="X10" s="129"/>
      <c r="Y10" s="129"/>
      <c r="Z10" s="117"/>
      <c r="AA10" s="129"/>
      <c r="AB10" s="105"/>
      <c r="AC10" s="105"/>
      <c r="AD10" s="52" t="s">
        <v>65</v>
      </c>
      <c r="AE10">
        <v>3</v>
      </c>
      <c r="AH10" s="61"/>
      <c r="AI10" s="61"/>
      <c r="AJ10" s="61"/>
      <c r="AK10" s="61"/>
      <c r="AL10" s="61"/>
    </row>
    <row r="11" spans="1:38" x14ac:dyDescent="0.25">
      <c r="A11" s="105"/>
      <c r="B11" s="100"/>
      <c r="C11" s="101"/>
      <c r="D11" s="117"/>
      <c r="E11" s="2"/>
      <c r="F11" s="5"/>
      <c r="G11" s="83"/>
      <c r="H11" s="83"/>
      <c r="I11" s="116"/>
      <c r="J11" s="141"/>
      <c r="K11" s="43" t="s">
        <v>5</v>
      </c>
      <c r="L11" s="43">
        <v>6</v>
      </c>
      <c r="M11" s="43">
        <v>6</v>
      </c>
      <c r="N11" s="43">
        <v>6</v>
      </c>
      <c r="O11" s="43">
        <v>40</v>
      </c>
      <c r="P11" s="43">
        <v>34</v>
      </c>
      <c r="Q11" s="43">
        <v>46</v>
      </c>
      <c r="R11" s="41">
        <f t="shared" si="0"/>
        <v>800000000</v>
      </c>
      <c r="S11" s="41">
        <f t="shared" si="1"/>
        <v>680000000</v>
      </c>
      <c r="T11" s="41">
        <f t="shared" si="2"/>
        <v>920000000</v>
      </c>
      <c r="U11" s="3">
        <f t="shared" si="3"/>
        <v>800000000</v>
      </c>
      <c r="V11" s="114"/>
      <c r="W11" s="104"/>
      <c r="X11" s="104"/>
      <c r="Y11" s="104"/>
      <c r="Z11" s="118"/>
      <c r="AA11" s="104"/>
      <c r="AB11" s="106"/>
      <c r="AC11" s="106"/>
      <c r="AE11"/>
      <c r="AH11" s="61"/>
      <c r="AI11" s="61"/>
      <c r="AJ11" s="61"/>
      <c r="AK11" s="61"/>
      <c r="AL11" s="61"/>
    </row>
    <row r="12" spans="1:38" x14ac:dyDescent="0.25">
      <c r="A12" s="105"/>
      <c r="B12" s="99" t="s">
        <v>50</v>
      </c>
      <c r="C12" s="86">
        <f>468333333.33333</f>
        <v>468333333.33332998</v>
      </c>
      <c r="D12" s="117"/>
      <c r="E12" s="53">
        <v>10</v>
      </c>
      <c r="F12" s="7">
        <v>5</v>
      </c>
      <c r="G12" s="82">
        <v>4000000</v>
      </c>
      <c r="H12" s="82">
        <f>(C12*0.01)/5</f>
        <v>936666.66666665988</v>
      </c>
      <c r="I12" s="115">
        <f>H12/G12</f>
        <v>0.23416666666666497</v>
      </c>
      <c r="J12" s="140">
        <v>10</v>
      </c>
      <c r="K12" s="48" t="s">
        <v>3</v>
      </c>
      <c r="L12" s="63">
        <v>6</v>
      </c>
      <c r="M12" s="63">
        <v>6</v>
      </c>
      <c r="N12" s="63">
        <v>6</v>
      </c>
      <c r="O12" s="63">
        <v>85</v>
      </c>
      <c r="P12" s="63">
        <v>79</v>
      </c>
      <c r="Q12" s="63">
        <v>97</v>
      </c>
      <c r="R12" s="40">
        <f t="shared" si="0"/>
        <v>1700000000</v>
      </c>
      <c r="S12" s="40">
        <f t="shared" si="1"/>
        <v>1580000000</v>
      </c>
      <c r="T12" s="40">
        <f t="shared" si="2"/>
        <v>1940000000</v>
      </c>
      <c r="U12" s="6">
        <f t="shared" si="3"/>
        <v>1740000000</v>
      </c>
      <c r="V12" s="109">
        <v>250</v>
      </c>
      <c r="W12" s="129">
        <v>4</v>
      </c>
      <c r="X12" s="129">
        <v>1</v>
      </c>
      <c r="Y12" s="129">
        <v>2</v>
      </c>
      <c r="Z12" s="117">
        <f>W12*4</f>
        <v>16</v>
      </c>
      <c r="AA12" s="129">
        <f t="shared" ref="AA12" si="13">X12*4</f>
        <v>4</v>
      </c>
      <c r="AB12" s="105">
        <f t="shared" ref="AB12" si="14">Y12*4</f>
        <v>8</v>
      </c>
      <c r="AC12" s="105">
        <f t="shared" ref="AC12" si="15">((Y12+W12+X12)/3)*(1000/V12)</f>
        <v>9.3333333333333339</v>
      </c>
      <c r="AE12"/>
      <c r="AH12" s="61"/>
      <c r="AI12" s="61"/>
      <c r="AJ12" s="61"/>
      <c r="AK12" s="61"/>
      <c r="AL12" s="61"/>
    </row>
    <row r="13" spans="1:38" x14ac:dyDescent="0.25">
      <c r="A13" s="105"/>
      <c r="B13" s="99"/>
      <c r="C13" s="86"/>
      <c r="D13" s="117"/>
      <c r="E13" s="53"/>
      <c r="F13" s="7"/>
      <c r="G13" s="82"/>
      <c r="H13" s="82"/>
      <c r="I13" s="115"/>
      <c r="J13" s="140"/>
      <c r="K13" s="48" t="s">
        <v>4</v>
      </c>
      <c r="L13" s="63">
        <v>6</v>
      </c>
      <c r="M13" s="63">
        <v>6</v>
      </c>
      <c r="N13" s="63">
        <v>6</v>
      </c>
      <c r="O13" s="63">
        <v>46</v>
      </c>
      <c r="P13" s="63">
        <v>47</v>
      </c>
      <c r="Q13" s="63">
        <v>48</v>
      </c>
      <c r="R13" s="40">
        <f t="shared" si="0"/>
        <v>920000000</v>
      </c>
      <c r="S13" s="40">
        <f t="shared" si="1"/>
        <v>940000000</v>
      </c>
      <c r="T13" s="40">
        <f t="shared" si="2"/>
        <v>960000000</v>
      </c>
      <c r="U13" s="6">
        <f t="shared" si="3"/>
        <v>940000000</v>
      </c>
      <c r="V13" s="109"/>
      <c r="W13" s="129"/>
      <c r="X13" s="129"/>
      <c r="Y13" s="129"/>
      <c r="Z13" s="117"/>
      <c r="AA13" s="129"/>
      <c r="AB13" s="105"/>
      <c r="AC13" s="105"/>
      <c r="AD13" s="52" t="s">
        <v>64</v>
      </c>
      <c r="AE13">
        <v>1.5</v>
      </c>
      <c r="AH13" s="61"/>
      <c r="AI13" s="61"/>
      <c r="AJ13" s="61"/>
      <c r="AK13" s="61"/>
      <c r="AL13" s="61"/>
    </row>
    <row r="14" spans="1:38" x14ac:dyDescent="0.25">
      <c r="A14" s="105"/>
      <c r="B14" s="100"/>
      <c r="C14" s="101"/>
      <c r="D14" s="117"/>
      <c r="E14" s="2"/>
      <c r="F14" s="5"/>
      <c r="G14" s="83"/>
      <c r="H14" s="83"/>
      <c r="I14" s="116"/>
      <c r="J14" s="141"/>
      <c r="K14" s="43" t="s">
        <v>5</v>
      </c>
      <c r="L14" s="64">
        <v>6</v>
      </c>
      <c r="M14" s="64">
        <v>6</v>
      </c>
      <c r="N14" s="64">
        <v>6</v>
      </c>
      <c r="O14" s="64">
        <v>35</v>
      </c>
      <c r="P14" s="67">
        <v>38</v>
      </c>
      <c r="Q14" s="64">
        <v>47</v>
      </c>
      <c r="R14" s="41">
        <f>(O47/0.05)*10^L47</f>
        <v>1300000000</v>
      </c>
      <c r="S14" s="41">
        <f>(P47/0.05)*10^M47</f>
        <v>1160000000</v>
      </c>
      <c r="T14" s="41">
        <f>(Q14/0.05)*10^N47</f>
        <v>940000000</v>
      </c>
      <c r="U14" s="3">
        <f>(((O47/0.05)*10^L47)+((P47/0.05)*10^M47)+((Q14/0.05)*10^N47))/3</f>
        <v>1133333333.3333333</v>
      </c>
      <c r="V14" s="114"/>
      <c r="W14" s="104"/>
      <c r="X14" s="104"/>
      <c r="Y14" s="104"/>
      <c r="Z14" s="118"/>
      <c r="AA14" s="104"/>
      <c r="AB14" s="106"/>
      <c r="AC14" s="106"/>
      <c r="AE14"/>
      <c r="AJ14" s="53"/>
      <c r="AK14" s="53"/>
      <c r="AL14" s="53"/>
    </row>
    <row r="15" spans="1:38" x14ac:dyDescent="0.25">
      <c r="A15" s="105"/>
      <c r="B15" s="99" t="s">
        <v>20</v>
      </c>
      <c r="C15" s="86">
        <f>468333333.33333/2</f>
        <v>234166666.66666499</v>
      </c>
      <c r="D15" s="117"/>
      <c r="E15" s="53">
        <v>10</v>
      </c>
      <c r="F15" s="7">
        <v>5</v>
      </c>
      <c r="G15" s="82">
        <v>4000000</v>
      </c>
      <c r="H15" s="82">
        <f>(C15*0.01)/5</f>
        <v>468333.33333332994</v>
      </c>
      <c r="I15" s="115">
        <f>H15/G15</f>
        <v>0.11708333333333248</v>
      </c>
      <c r="J15" s="140">
        <v>10</v>
      </c>
      <c r="K15" s="48" t="s">
        <v>3</v>
      </c>
      <c r="L15" s="63">
        <v>6</v>
      </c>
      <c r="M15" s="63">
        <v>7</v>
      </c>
      <c r="N15" s="63">
        <v>7</v>
      </c>
      <c r="O15" s="63">
        <v>107</v>
      </c>
      <c r="P15" s="63">
        <v>14</v>
      </c>
      <c r="Q15" s="63">
        <v>14</v>
      </c>
      <c r="R15" s="40">
        <f t="shared" si="0"/>
        <v>2140000000</v>
      </c>
      <c r="S15" s="40">
        <f t="shared" si="1"/>
        <v>2800000000</v>
      </c>
      <c r="T15" s="40">
        <f t="shared" si="2"/>
        <v>2800000000</v>
      </c>
      <c r="U15" s="6">
        <f t="shared" si="3"/>
        <v>2580000000</v>
      </c>
      <c r="V15" s="109">
        <v>250</v>
      </c>
      <c r="W15" s="129">
        <v>2</v>
      </c>
      <c r="X15" s="129">
        <v>2</v>
      </c>
      <c r="Y15" s="129">
        <v>3</v>
      </c>
      <c r="Z15" s="117">
        <f>W15*4</f>
        <v>8</v>
      </c>
      <c r="AA15" s="129">
        <f t="shared" ref="AA15:AB15" si="16">X15*4</f>
        <v>8</v>
      </c>
      <c r="AB15" s="105">
        <f t="shared" si="16"/>
        <v>12</v>
      </c>
      <c r="AC15" s="105">
        <f t="shared" ref="AC15" si="17">((Y15+W15+X15)/3)*(1000/V15)</f>
        <v>9.3333333333333339</v>
      </c>
      <c r="AE15"/>
      <c r="AJ15" s="53"/>
      <c r="AK15" s="53"/>
      <c r="AL15" s="53"/>
    </row>
    <row r="16" spans="1:38" x14ac:dyDescent="0.25">
      <c r="A16" s="105"/>
      <c r="B16" s="99"/>
      <c r="C16" s="86"/>
      <c r="D16" s="117"/>
      <c r="F16" s="7"/>
      <c r="G16" s="82"/>
      <c r="H16" s="82"/>
      <c r="I16" s="115"/>
      <c r="J16" s="140"/>
      <c r="K16" s="18" t="s">
        <v>4</v>
      </c>
      <c r="L16" s="63">
        <v>6</v>
      </c>
      <c r="M16" s="63">
        <v>6</v>
      </c>
      <c r="N16" s="63">
        <v>6</v>
      </c>
      <c r="O16" s="63">
        <v>69</v>
      </c>
      <c r="P16" s="63">
        <v>59</v>
      </c>
      <c r="Q16" s="63">
        <v>53</v>
      </c>
      <c r="R16" s="32">
        <f t="shared" si="0"/>
        <v>1380000000</v>
      </c>
      <c r="S16" s="32">
        <f t="shared" si="1"/>
        <v>1180000000</v>
      </c>
      <c r="T16" s="32">
        <f t="shared" si="2"/>
        <v>1060000000</v>
      </c>
      <c r="U16" s="6">
        <f t="shared" si="3"/>
        <v>1206666666.6666667</v>
      </c>
      <c r="V16" s="109"/>
      <c r="W16" s="103"/>
      <c r="X16" s="103"/>
      <c r="Y16" s="103"/>
      <c r="Z16" s="117"/>
      <c r="AA16" s="103"/>
      <c r="AB16" s="105"/>
      <c r="AC16" s="105"/>
      <c r="AD16" s="52" t="s">
        <v>64</v>
      </c>
      <c r="AE16">
        <v>1.5</v>
      </c>
    </row>
    <row r="17" spans="1:31" x14ac:dyDescent="0.25">
      <c r="A17" s="105"/>
      <c r="B17" s="100"/>
      <c r="C17" s="101"/>
      <c r="D17" s="117"/>
      <c r="E17" s="2"/>
      <c r="F17" s="5"/>
      <c r="G17" s="83"/>
      <c r="H17" s="83"/>
      <c r="I17" s="116"/>
      <c r="J17" s="141"/>
      <c r="K17" s="39" t="s">
        <v>5</v>
      </c>
      <c r="L17" s="64">
        <v>6</v>
      </c>
      <c r="M17" s="64">
        <v>6</v>
      </c>
      <c r="N17" s="64">
        <v>6</v>
      </c>
      <c r="O17" s="64">
        <v>52</v>
      </c>
      <c r="P17" s="64">
        <v>40</v>
      </c>
      <c r="Q17" s="64">
        <v>60</v>
      </c>
      <c r="R17" s="33">
        <f t="shared" si="0"/>
        <v>1040000000</v>
      </c>
      <c r="S17" s="33">
        <f t="shared" si="1"/>
        <v>800000000</v>
      </c>
      <c r="T17" s="33">
        <f t="shared" si="2"/>
        <v>1200000000</v>
      </c>
      <c r="U17" s="3">
        <f t="shared" si="3"/>
        <v>1013333333.3333334</v>
      </c>
      <c r="V17" s="114"/>
      <c r="W17" s="104"/>
      <c r="X17" s="104"/>
      <c r="Y17" s="104"/>
      <c r="Z17" s="118"/>
      <c r="AA17" s="104"/>
      <c r="AB17" s="106"/>
      <c r="AC17" s="106"/>
      <c r="AE17"/>
    </row>
    <row r="18" spans="1:31" x14ac:dyDescent="0.25">
      <c r="A18" s="105"/>
      <c r="B18" s="98" t="s">
        <v>45</v>
      </c>
      <c r="C18" s="85">
        <f>234166666.666665/2</f>
        <v>117083333.33333249</v>
      </c>
      <c r="D18" s="117"/>
      <c r="E18">
        <v>10</v>
      </c>
      <c r="F18" s="7">
        <v>5</v>
      </c>
      <c r="G18" s="82">
        <v>4000000</v>
      </c>
      <c r="H18" s="82">
        <f>H15/2</f>
        <v>234166.66666666497</v>
      </c>
      <c r="I18" s="130">
        <f>H18/G18</f>
        <v>5.8541666666666242E-2</v>
      </c>
      <c r="J18" s="138">
        <v>10</v>
      </c>
      <c r="K18" s="18" t="s">
        <v>3</v>
      </c>
      <c r="L18" s="65">
        <v>6</v>
      </c>
      <c r="M18" s="65">
        <v>7</v>
      </c>
      <c r="N18" s="65">
        <v>6</v>
      </c>
      <c r="O18" s="65">
        <v>96</v>
      </c>
      <c r="P18" s="65">
        <v>13</v>
      </c>
      <c r="Q18" s="65">
        <v>75</v>
      </c>
      <c r="R18" s="32">
        <f t="shared" si="0"/>
        <v>1920000000</v>
      </c>
      <c r="S18" s="32">
        <f t="shared" si="1"/>
        <v>2600000000</v>
      </c>
      <c r="T18" s="32">
        <f t="shared" si="2"/>
        <v>1500000000</v>
      </c>
      <c r="U18" s="6">
        <f t="shared" si="3"/>
        <v>2006666666.6666667</v>
      </c>
      <c r="V18" s="108">
        <v>250</v>
      </c>
      <c r="W18" s="111">
        <v>3</v>
      </c>
      <c r="X18" s="111">
        <v>2</v>
      </c>
      <c r="Y18" s="111">
        <v>1</v>
      </c>
      <c r="Z18" s="117">
        <f t="shared" ref="Z18:AB18" si="18">W18*4</f>
        <v>12</v>
      </c>
      <c r="AA18" s="111">
        <f t="shared" si="18"/>
        <v>8</v>
      </c>
      <c r="AB18" s="107">
        <f t="shared" si="18"/>
        <v>4</v>
      </c>
      <c r="AC18" s="107">
        <f t="shared" ref="AC18" si="19">((Y18+W18+X18)/3)*(1000/V18)</f>
        <v>8</v>
      </c>
      <c r="AE18"/>
    </row>
    <row r="19" spans="1:31" x14ac:dyDescent="0.25">
      <c r="A19" s="105"/>
      <c r="B19" s="99"/>
      <c r="C19" s="86"/>
      <c r="D19" s="117"/>
      <c r="F19" s="7"/>
      <c r="G19" s="82"/>
      <c r="H19" s="82"/>
      <c r="I19" s="131"/>
      <c r="J19" s="140"/>
      <c r="K19" s="18" t="s">
        <v>4</v>
      </c>
      <c r="L19" s="63">
        <v>6</v>
      </c>
      <c r="M19" s="63">
        <v>6</v>
      </c>
      <c r="N19" s="63">
        <v>6</v>
      </c>
      <c r="O19" s="63">
        <v>52</v>
      </c>
      <c r="P19" s="63">
        <v>66</v>
      </c>
      <c r="Q19" s="63">
        <v>54</v>
      </c>
      <c r="R19" s="32">
        <f t="shared" si="0"/>
        <v>1040000000</v>
      </c>
      <c r="S19" s="32">
        <f t="shared" si="1"/>
        <v>1320000000</v>
      </c>
      <c r="T19" s="32">
        <f t="shared" si="2"/>
        <v>1080000000</v>
      </c>
      <c r="U19" s="6">
        <f t="shared" si="3"/>
        <v>1146666666.6666667</v>
      </c>
      <c r="V19" s="109"/>
      <c r="W19" s="103"/>
      <c r="X19" s="103"/>
      <c r="Y19" s="103"/>
      <c r="Z19" s="117"/>
      <c r="AA19" s="103"/>
      <c r="AB19" s="105"/>
      <c r="AC19" s="105"/>
      <c r="AD19" s="52" t="s">
        <v>64</v>
      </c>
      <c r="AE19">
        <v>1.5</v>
      </c>
    </row>
    <row r="20" spans="1:31" x14ac:dyDescent="0.25">
      <c r="A20" s="105"/>
      <c r="B20" s="100"/>
      <c r="C20" s="101"/>
      <c r="D20" s="117"/>
      <c r="E20" s="2"/>
      <c r="F20" s="5"/>
      <c r="G20" s="83"/>
      <c r="H20" s="83"/>
      <c r="I20" s="132"/>
      <c r="J20" s="141"/>
      <c r="K20" s="39" t="s">
        <v>5</v>
      </c>
      <c r="L20" s="64">
        <v>6</v>
      </c>
      <c r="M20" s="64">
        <v>6</v>
      </c>
      <c r="N20" s="64">
        <v>6</v>
      </c>
      <c r="O20" s="64">
        <v>55</v>
      </c>
      <c r="P20" s="64">
        <v>66</v>
      </c>
      <c r="Q20" s="64">
        <v>43</v>
      </c>
      <c r="R20" s="33">
        <f t="shared" si="0"/>
        <v>1100000000</v>
      </c>
      <c r="S20" s="33">
        <f t="shared" si="1"/>
        <v>1320000000</v>
      </c>
      <c r="T20" s="33">
        <f t="shared" si="2"/>
        <v>860000000</v>
      </c>
      <c r="U20" s="3">
        <f t="shared" si="3"/>
        <v>1093333333.3333333</v>
      </c>
      <c r="V20" s="114"/>
      <c r="W20" s="104"/>
      <c r="X20" s="104"/>
      <c r="Y20" s="104"/>
      <c r="Z20" s="118"/>
      <c r="AA20" s="104"/>
      <c r="AB20" s="106"/>
      <c r="AC20" s="106"/>
      <c r="AE20"/>
    </row>
    <row r="21" spans="1:31" x14ac:dyDescent="0.25">
      <c r="A21" s="105"/>
      <c r="B21" s="98" t="s">
        <v>46</v>
      </c>
      <c r="C21" s="85">
        <f>117083333.333332/2</f>
        <v>58541666.666666001</v>
      </c>
      <c r="D21" s="117"/>
      <c r="E21">
        <v>10</v>
      </c>
      <c r="F21" s="7">
        <v>5</v>
      </c>
      <c r="G21" s="81">
        <v>4000000</v>
      </c>
      <c r="H21" s="81">
        <f>H18/2</f>
        <v>117083.33333333248</v>
      </c>
      <c r="I21" s="130">
        <f t="shared" ref="I21" si="20">H21/G21</f>
        <v>2.9270833333333121E-2</v>
      </c>
      <c r="J21" s="92">
        <v>10</v>
      </c>
      <c r="K21" s="18" t="s">
        <v>3</v>
      </c>
      <c r="L21" s="65">
        <v>6</v>
      </c>
      <c r="M21" s="65">
        <v>6</v>
      </c>
      <c r="N21" s="65">
        <v>6</v>
      </c>
      <c r="O21" s="65">
        <v>83</v>
      </c>
      <c r="P21" s="65">
        <v>95</v>
      </c>
      <c r="Q21" s="65">
        <v>90</v>
      </c>
      <c r="R21" s="32">
        <f t="shared" si="0"/>
        <v>1660000000</v>
      </c>
      <c r="S21" s="32">
        <f t="shared" si="1"/>
        <v>1900000000</v>
      </c>
      <c r="T21" s="32">
        <f t="shared" si="2"/>
        <v>1800000000</v>
      </c>
      <c r="U21" s="6">
        <f t="shared" si="3"/>
        <v>1786666666.6666667</v>
      </c>
      <c r="V21" s="109">
        <v>250</v>
      </c>
      <c r="W21" s="111">
        <v>1</v>
      </c>
      <c r="X21" s="111">
        <v>0</v>
      </c>
      <c r="Y21" s="111">
        <v>1</v>
      </c>
      <c r="Z21" s="117">
        <f t="shared" ref="Z21:AB21" si="21">W21*4</f>
        <v>4</v>
      </c>
      <c r="AA21" s="111">
        <f t="shared" si="21"/>
        <v>0</v>
      </c>
      <c r="AB21" s="107">
        <f t="shared" si="21"/>
        <v>4</v>
      </c>
      <c r="AC21" s="107">
        <f t="shared" ref="AC21" si="22">((Y21+W21+X21)/3)*(1000/V21)</f>
        <v>2.6666666666666665</v>
      </c>
      <c r="AE21"/>
    </row>
    <row r="22" spans="1:31" x14ac:dyDescent="0.25">
      <c r="A22" s="105"/>
      <c r="B22" s="99"/>
      <c r="C22" s="86"/>
      <c r="D22" s="117"/>
      <c r="F22" s="7"/>
      <c r="G22" s="82"/>
      <c r="H22" s="82"/>
      <c r="I22" s="131"/>
      <c r="J22" s="92"/>
      <c r="K22" s="18" t="s">
        <v>4</v>
      </c>
      <c r="L22" s="63">
        <v>6</v>
      </c>
      <c r="M22" s="63">
        <v>6</v>
      </c>
      <c r="N22" s="63">
        <v>6</v>
      </c>
      <c r="O22" s="63">
        <v>42</v>
      </c>
      <c r="P22" s="63">
        <v>61</v>
      </c>
      <c r="Q22" s="63">
        <v>55</v>
      </c>
      <c r="R22" s="32">
        <f t="shared" si="0"/>
        <v>840000000</v>
      </c>
      <c r="S22" s="32">
        <f t="shared" si="1"/>
        <v>1220000000</v>
      </c>
      <c r="T22" s="32">
        <f t="shared" si="2"/>
        <v>1100000000</v>
      </c>
      <c r="U22" s="6">
        <f t="shared" si="3"/>
        <v>1053333333.3333334</v>
      </c>
      <c r="V22" s="109"/>
      <c r="W22" s="103"/>
      <c r="X22" s="103"/>
      <c r="Y22" s="103"/>
      <c r="Z22" s="117"/>
      <c r="AA22" s="103"/>
      <c r="AB22" s="105"/>
      <c r="AC22" s="105"/>
      <c r="AD22" s="52" t="s">
        <v>64</v>
      </c>
      <c r="AE22">
        <v>1.5</v>
      </c>
    </row>
    <row r="23" spans="1:31" x14ac:dyDescent="0.25">
      <c r="A23" s="105"/>
      <c r="B23" s="100"/>
      <c r="C23" s="101"/>
      <c r="D23" s="117"/>
      <c r="E23" s="2"/>
      <c r="F23" s="5"/>
      <c r="G23" s="83"/>
      <c r="H23" s="83"/>
      <c r="I23" s="132"/>
      <c r="J23" s="97"/>
      <c r="K23" s="39" t="s">
        <v>5</v>
      </c>
      <c r="L23" s="64">
        <v>6</v>
      </c>
      <c r="M23" s="64">
        <v>6</v>
      </c>
      <c r="N23" s="64">
        <v>6</v>
      </c>
      <c r="O23" s="64">
        <v>40</v>
      </c>
      <c r="P23" s="64">
        <v>33</v>
      </c>
      <c r="Q23" s="64">
        <v>39</v>
      </c>
      <c r="R23" s="33">
        <f t="shared" si="0"/>
        <v>800000000</v>
      </c>
      <c r="S23" s="33">
        <f t="shared" si="1"/>
        <v>660000000</v>
      </c>
      <c r="T23" s="33">
        <f t="shared" si="2"/>
        <v>780000000</v>
      </c>
      <c r="U23" s="3">
        <f t="shared" si="3"/>
        <v>746666666.66666663</v>
      </c>
      <c r="V23" s="114"/>
      <c r="W23" s="104"/>
      <c r="X23" s="104"/>
      <c r="Y23" s="104"/>
      <c r="Z23" s="118"/>
      <c r="AA23" s="104"/>
      <c r="AB23" s="106"/>
      <c r="AC23" s="106"/>
      <c r="AE23"/>
    </row>
    <row r="24" spans="1:31" x14ac:dyDescent="0.25">
      <c r="A24" s="105"/>
      <c r="B24" s="98" t="s">
        <v>21</v>
      </c>
      <c r="C24" s="85">
        <f>C21/2</f>
        <v>29270833.333333001</v>
      </c>
      <c r="D24" s="117"/>
      <c r="E24">
        <v>10</v>
      </c>
      <c r="F24" s="7">
        <v>5</v>
      </c>
      <c r="G24" s="81">
        <v>4000000</v>
      </c>
      <c r="H24" s="81">
        <f>H21/2</f>
        <v>58541.666666666242</v>
      </c>
      <c r="I24" s="130">
        <f t="shared" ref="I24" si="23">H24/G24</f>
        <v>1.4635416666666561E-2</v>
      </c>
      <c r="J24" s="91">
        <v>10</v>
      </c>
      <c r="K24" s="18" t="s">
        <v>3</v>
      </c>
      <c r="L24" s="65">
        <v>7</v>
      </c>
      <c r="M24" s="65">
        <v>6</v>
      </c>
      <c r="N24" s="65">
        <v>7</v>
      </c>
      <c r="O24" s="65">
        <v>15</v>
      </c>
      <c r="P24" s="65">
        <v>112</v>
      </c>
      <c r="Q24" s="65">
        <v>12</v>
      </c>
      <c r="R24" s="32">
        <f t="shared" si="0"/>
        <v>3000000000</v>
      </c>
      <c r="S24" s="32">
        <f t="shared" si="1"/>
        <v>2240000000</v>
      </c>
      <c r="T24" s="32">
        <f t="shared" si="2"/>
        <v>2400000000</v>
      </c>
      <c r="U24" s="6">
        <f t="shared" si="3"/>
        <v>2546666666.6666665</v>
      </c>
      <c r="V24" s="108">
        <v>250</v>
      </c>
      <c r="W24" s="111">
        <v>0</v>
      </c>
      <c r="X24" s="111">
        <v>1</v>
      </c>
      <c r="Y24" s="111">
        <v>1</v>
      </c>
      <c r="Z24" s="117">
        <f t="shared" ref="Z24:AB24" si="24">W24*4</f>
        <v>0</v>
      </c>
      <c r="AA24" s="111">
        <f t="shared" si="24"/>
        <v>4</v>
      </c>
      <c r="AB24" s="107">
        <f t="shared" si="24"/>
        <v>4</v>
      </c>
      <c r="AC24" s="107">
        <f t="shared" ref="AC24" si="25">((Y24+W24+X24)/3)*(1000/V24)</f>
        <v>2.6666666666666665</v>
      </c>
      <c r="AE24"/>
    </row>
    <row r="25" spans="1:31" x14ac:dyDescent="0.25">
      <c r="A25" s="105"/>
      <c r="B25" s="99"/>
      <c r="C25" s="86"/>
      <c r="D25" s="117"/>
      <c r="F25" s="7"/>
      <c r="G25" s="82"/>
      <c r="H25" s="82"/>
      <c r="I25" s="131"/>
      <c r="J25" s="92"/>
      <c r="K25" s="18" t="s">
        <v>4</v>
      </c>
      <c r="L25" s="63">
        <v>6</v>
      </c>
      <c r="M25" s="63">
        <v>6</v>
      </c>
      <c r="N25" s="63">
        <v>6</v>
      </c>
      <c r="O25" s="63">
        <v>68</v>
      </c>
      <c r="P25" s="63">
        <v>68</v>
      </c>
      <c r="Q25" s="63">
        <v>53</v>
      </c>
      <c r="R25" s="32">
        <f t="shared" si="0"/>
        <v>1360000000</v>
      </c>
      <c r="S25" s="32">
        <f t="shared" si="1"/>
        <v>1360000000</v>
      </c>
      <c r="T25" s="32">
        <f t="shared" si="2"/>
        <v>1060000000</v>
      </c>
      <c r="U25" s="6">
        <f t="shared" si="3"/>
        <v>1260000000</v>
      </c>
      <c r="V25" s="109"/>
      <c r="W25" s="103"/>
      <c r="X25" s="103"/>
      <c r="Y25" s="103"/>
      <c r="Z25" s="117"/>
      <c r="AA25" s="103"/>
      <c r="AB25" s="105"/>
      <c r="AC25" s="105"/>
      <c r="AD25" s="52" t="s">
        <v>64</v>
      </c>
      <c r="AE25">
        <v>1.5</v>
      </c>
    </row>
    <row r="26" spans="1:31" x14ac:dyDescent="0.25">
      <c r="A26" s="105"/>
      <c r="B26" s="100"/>
      <c r="C26" s="101"/>
      <c r="D26" s="117"/>
      <c r="E26" s="2"/>
      <c r="F26" s="5"/>
      <c r="G26" s="83"/>
      <c r="H26" s="83"/>
      <c r="I26" s="132"/>
      <c r="J26" s="97"/>
      <c r="K26" s="39" t="s">
        <v>5</v>
      </c>
      <c r="L26" s="64">
        <v>6</v>
      </c>
      <c r="M26" s="64">
        <v>6</v>
      </c>
      <c r="N26" s="64">
        <v>6</v>
      </c>
      <c r="O26" s="64">
        <v>42</v>
      </c>
      <c r="P26" s="64">
        <v>56</v>
      </c>
      <c r="Q26" s="64">
        <v>53</v>
      </c>
      <c r="R26" s="33">
        <f t="shared" si="0"/>
        <v>840000000</v>
      </c>
      <c r="S26" s="33">
        <f t="shared" si="1"/>
        <v>1120000000</v>
      </c>
      <c r="T26" s="33">
        <f t="shared" si="2"/>
        <v>1060000000</v>
      </c>
      <c r="U26" s="3">
        <f t="shared" si="3"/>
        <v>1006666666.6666666</v>
      </c>
      <c r="V26" s="114"/>
      <c r="W26" s="104"/>
      <c r="X26" s="104"/>
      <c r="Y26" s="104"/>
      <c r="Z26" s="118"/>
      <c r="AA26" s="104"/>
      <c r="AB26" s="106"/>
      <c r="AC26" s="106"/>
      <c r="AE26"/>
    </row>
    <row r="27" spans="1:31" x14ac:dyDescent="0.25">
      <c r="A27" s="105"/>
      <c r="B27" s="98" t="s">
        <v>47</v>
      </c>
      <c r="C27" s="85">
        <f>C24/2</f>
        <v>14635416.6666665</v>
      </c>
      <c r="D27" s="117"/>
      <c r="E27">
        <v>10</v>
      </c>
      <c r="F27" s="7">
        <v>5</v>
      </c>
      <c r="G27" s="81">
        <v>4000000</v>
      </c>
      <c r="H27" s="81">
        <f>H24/2</f>
        <v>29270.833333333121</v>
      </c>
      <c r="I27" s="130">
        <f t="shared" ref="I27" si="26">H27/G27</f>
        <v>7.3177083333332803E-3</v>
      </c>
      <c r="J27" s="91">
        <v>10</v>
      </c>
      <c r="K27" s="18" t="s">
        <v>3</v>
      </c>
      <c r="L27" s="65">
        <v>6</v>
      </c>
      <c r="M27" s="65">
        <v>6</v>
      </c>
      <c r="N27" s="65">
        <v>6</v>
      </c>
      <c r="O27" s="65">
        <f>O28+O29</f>
        <v>145</v>
      </c>
      <c r="P27" s="65">
        <v>134</v>
      </c>
      <c r="Q27" s="65">
        <v>93</v>
      </c>
      <c r="R27" s="32">
        <f t="shared" si="0"/>
        <v>2900000000</v>
      </c>
      <c r="S27" s="32">
        <f t="shared" si="1"/>
        <v>2680000000</v>
      </c>
      <c r="T27" s="32">
        <f t="shared" si="2"/>
        <v>1860000000</v>
      </c>
      <c r="U27" s="6">
        <f t="shared" si="3"/>
        <v>2480000000</v>
      </c>
      <c r="V27" s="108">
        <v>250</v>
      </c>
      <c r="W27" s="111">
        <v>0</v>
      </c>
      <c r="X27" s="111">
        <v>0</v>
      </c>
      <c r="Y27" s="111">
        <v>0</v>
      </c>
      <c r="Z27" s="117">
        <f t="shared" ref="Z27:AB27" si="27">W27*4</f>
        <v>0</v>
      </c>
      <c r="AA27" s="111">
        <f t="shared" si="27"/>
        <v>0</v>
      </c>
      <c r="AB27" s="107">
        <f t="shared" si="27"/>
        <v>0</v>
      </c>
      <c r="AC27" s="107">
        <f t="shared" ref="AC27" si="28">((Y27+W27+X27)/3)*(1000/V27)</f>
        <v>0</v>
      </c>
      <c r="AE27"/>
    </row>
    <row r="28" spans="1:31" x14ac:dyDescent="0.25">
      <c r="A28" s="105"/>
      <c r="B28" s="99"/>
      <c r="C28" s="86"/>
      <c r="D28" s="117"/>
      <c r="F28" s="7"/>
      <c r="G28" s="82"/>
      <c r="H28" s="82"/>
      <c r="I28" s="131"/>
      <c r="J28" s="92"/>
      <c r="K28" s="18" t="s">
        <v>4</v>
      </c>
      <c r="L28" s="63">
        <v>6</v>
      </c>
      <c r="M28" s="63">
        <v>6</v>
      </c>
      <c r="N28" s="63">
        <v>6</v>
      </c>
      <c r="O28" s="63">
        <v>80</v>
      </c>
      <c r="P28" s="63">
        <v>67</v>
      </c>
      <c r="Q28" s="63">
        <v>51</v>
      </c>
      <c r="R28" s="32">
        <f t="shared" si="0"/>
        <v>1600000000</v>
      </c>
      <c r="S28" s="32">
        <f t="shared" si="1"/>
        <v>1340000000</v>
      </c>
      <c r="T28" s="32">
        <f t="shared" si="2"/>
        <v>1020000000</v>
      </c>
      <c r="U28" s="6">
        <f t="shared" si="3"/>
        <v>1320000000</v>
      </c>
      <c r="V28" s="109"/>
      <c r="W28" s="103"/>
      <c r="X28" s="103"/>
      <c r="Y28" s="103"/>
      <c r="Z28" s="117"/>
      <c r="AA28" s="103"/>
      <c r="AB28" s="105"/>
      <c r="AC28" s="105"/>
      <c r="AD28" s="52" t="s">
        <v>64</v>
      </c>
      <c r="AE28">
        <v>1.5</v>
      </c>
    </row>
    <row r="29" spans="1:31" x14ac:dyDescent="0.25">
      <c r="A29" s="105"/>
      <c r="B29" s="100"/>
      <c r="C29" s="101"/>
      <c r="D29" s="117"/>
      <c r="E29" s="2"/>
      <c r="F29" s="5"/>
      <c r="G29" s="83"/>
      <c r="H29" s="83"/>
      <c r="I29" s="132"/>
      <c r="J29" s="97"/>
      <c r="K29" s="39" t="s">
        <v>5</v>
      </c>
      <c r="L29" s="64">
        <v>6</v>
      </c>
      <c r="M29" s="64">
        <v>6</v>
      </c>
      <c r="N29" s="64">
        <v>6</v>
      </c>
      <c r="O29" s="64">
        <v>65</v>
      </c>
      <c r="P29" s="64">
        <v>54</v>
      </c>
      <c r="Q29" s="64">
        <v>35</v>
      </c>
      <c r="R29" s="33">
        <f t="shared" si="0"/>
        <v>1300000000</v>
      </c>
      <c r="S29" s="33">
        <f t="shared" si="1"/>
        <v>1080000000</v>
      </c>
      <c r="T29" s="33">
        <f t="shared" si="2"/>
        <v>700000000</v>
      </c>
      <c r="U29" s="3">
        <f t="shared" si="3"/>
        <v>1026666666.6666666</v>
      </c>
      <c r="V29" s="114"/>
      <c r="W29" s="104"/>
      <c r="X29" s="104"/>
      <c r="Y29" s="104"/>
      <c r="Z29" s="118"/>
      <c r="AA29" s="104"/>
      <c r="AB29" s="106"/>
      <c r="AC29" s="106"/>
      <c r="AE29"/>
    </row>
    <row r="30" spans="1:31" x14ac:dyDescent="0.25">
      <c r="A30" s="105"/>
      <c r="B30" s="98" t="s">
        <v>48</v>
      </c>
      <c r="C30" s="85">
        <f t="shared" ref="C30" si="29">C27/2</f>
        <v>7317708.3333332501</v>
      </c>
      <c r="D30" s="117"/>
      <c r="E30">
        <v>10</v>
      </c>
      <c r="F30" s="7">
        <v>5</v>
      </c>
      <c r="G30" s="81">
        <v>4000000</v>
      </c>
      <c r="H30" s="81">
        <f>H27/2</f>
        <v>14635.416666666561</v>
      </c>
      <c r="I30" s="88">
        <f t="shared" ref="I30" si="30">H30/G30</f>
        <v>3.6588541666666401E-3</v>
      </c>
      <c r="J30" s="91">
        <v>10</v>
      </c>
      <c r="K30" s="18" t="s">
        <v>3</v>
      </c>
      <c r="L30" s="65">
        <v>7</v>
      </c>
      <c r="M30" s="65">
        <v>6</v>
      </c>
      <c r="N30" s="65">
        <v>6</v>
      </c>
      <c r="O30" s="65">
        <v>11</v>
      </c>
      <c r="P30" s="65">
        <v>69</v>
      </c>
      <c r="Q30" s="65">
        <v>66</v>
      </c>
      <c r="R30" s="32">
        <f t="shared" si="0"/>
        <v>2200000000</v>
      </c>
      <c r="S30" s="32">
        <f t="shared" si="1"/>
        <v>1380000000</v>
      </c>
      <c r="T30" s="32">
        <f t="shared" si="2"/>
        <v>1320000000</v>
      </c>
      <c r="U30" s="6">
        <f t="shared" si="3"/>
        <v>1633333333.3333333</v>
      </c>
      <c r="V30" s="109">
        <v>250</v>
      </c>
      <c r="W30" s="111">
        <v>0</v>
      </c>
      <c r="X30" s="111">
        <v>0</v>
      </c>
      <c r="Y30" s="111">
        <v>0</v>
      </c>
      <c r="Z30" s="117">
        <f t="shared" ref="Z30:AB30" si="31">W30*4</f>
        <v>0</v>
      </c>
      <c r="AA30" s="111">
        <f t="shared" si="31"/>
        <v>0</v>
      </c>
      <c r="AB30" s="107">
        <f t="shared" si="31"/>
        <v>0</v>
      </c>
      <c r="AC30" s="107">
        <f t="shared" ref="AC30" si="32">((Y30+W30+X30)/3)*(1000/V30)</f>
        <v>0</v>
      </c>
      <c r="AE30"/>
    </row>
    <row r="31" spans="1:31" x14ac:dyDescent="0.25">
      <c r="A31" s="105"/>
      <c r="B31" s="99"/>
      <c r="C31" s="86"/>
      <c r="D31" s="117"/>
      <c r="F31" s="7"/>
      <c r="G31" s="82"/>
      <c r="H31" s="82"/>
      <c r="I31" s="89"/>
      <c r="J31" s="92"/>
      <c r="K31" s="18" t="s">
        <v>4</v>
      </c>
      <c r="L31" s="63">
        <v>6</v>
      </c>
      <c r="M31" s="63">
        <v>6</v>
      </c>
      <c r="N31" s="63">
        <v>6</v>
      </c>
      <c r="O31" s="63">
        <v>59</v>
      </c>
      <c r="P31" s="63">
        <v>39</v>
      </c>
      <c r="Q31" s="63">
        <v>47</v>
      </c>
      <c r="R31" s="32">
        <f t="shared" si="0"/>
        <v>1180000000</v>
      </c>
      <c r="S31" s="32">
        <f t="shared" si="1"/>
        <v>780000000</v>
      </c>
      <c r="T31" s="32">
        <f t="shared" si="2"/>
        <v>940000000</v>
      </c>
      <c r="U31" s="6">
        <f t="shared" si="3"/>
        <v>966666666.66666663</v>
      </c>
      <c r="V31" s="109"/>
      <c r="W31" s="103"/>
      <c r="X31" s="103"/>
      <c r="Y31" s="103"/>
      <c r="Z31" s="117"/>
      <c r="AA31" s="103"/>
      <c r="AB31" s="105"/>
      <c r="AC31" s="105"/>
      <c r="AD31" s="52" t="s">
        <v>64</v>
      </c>
      <c r="AE31">
        <v>1.5</v>
      </c>
    </row>
    <row r="32" spans="1:31" x14ac:dyDescent="0.25">
      <c r="A32" s="105"/>
      <c r="B32" s="100"/>
      <c r="C32" s="101"/>
      <c r="D32" s="117"/>
      <c r="E32" s="2"/>
      <c r="F32" s="5"/>
      <c r="G32" s="83"/>
      <c r="H32" s="83"/>
      <c r="I32" s="102"/>
      <c r="J32" s="97"/>
      <c r="K32" s="39" t="s">
        <v>5</v>
      </c>
      <c r="L32" s="64">
        <v>6</v>
      </c>
      <c r="M32" s="64">
        <v>6</v>
      </c>
      <c r="N32" s="64">
        <v>6</v>
      </c>
      <c r="O32" s="64">
        <v>57</v>
      </c>
      <c r="P32" s="64">
        <v>27</v>
      </c>
      <c r="Q32" s="64">
        <v>41</v>
      </c>
      <c r="R32" s="33">
        <f t="shared" si="0"/>
        <v>1140000000</v>
      </c>
      <c r="S32" s="33">
        <f t="shared" si="1"/>
        <v>540000000</v>
      </c>
      <c r="T32" s="33">
        <f t="shared" si="2"/>
        <v>820000000</v>
      </c>
      <c r="U32" s="3">
        <f t="shared" si="3"/>
        <v>833333333.33333337</v>
      </c>
      <c r="V32" s="114"/>
      <c r="W32" s="104"/>
      <c r="X32" s="104"/>
      <c r="Y32" s="104"/>
      <c r="Z32" s="118"/>
      <c r="AA32" s="104"/>
      <c r="AB32" s="106"/>
      <c r="AC32" s="106"/>
      <c r="AE32"/>
    </row>
    <row r="33" spans="1:36" x14ac:dyDescent="0.25">
      <c r="A33" s="105"/>
      <c r="B33" s="98" t="s">
        <v>49</v>
      </c>
      <c r="C33" s="85">
        <f t="shared" ref="C33" si="33">C30/2</f>
        <v>3658854.1666666251</v>
      </c>
      <c r="D33" s="117"/>
      <c r="E33">
        <v>10</v>
      </c>
      <c r="F33" s="7">
        <v>5</v>
      </c>
      <c r="G33" s="82">
        <v>4000000</v>
      </c>
      <c r="H33" s="82">
        <f>H30/2</f>
        <v>7317.7083333332803</v>
      </c>
      <c r="I33" s="88">
        <f t="shared" ref="I33" si="34">H33/G33</f>
        <v>1.8294270833333201E-3</v>
      </c>
      <c r="J33" s="91">
        <v>10</v>
      </c>
      <c r="K33" s="36" t="s">
        <v>3</v>
      </c>
      <c r="L33" s="65">
        <v>6</v>
      </c>
      <c r="M33" s="65">
        <v>6</v>
      </c>
      <c r="N33" s="65">
        <v>6</v>
      </c>
      <c r="O33" s="65">
        <v>73</v>
      </c>
      <c r="P33" s="65">
        <v>83</v>
      </c>
      <c r="Q33" s="65">
        <v>86</v>
      </c>
      <c r="R33" s="32">
        <f t="shared" si="0"/>
        <v>1460000000</v>
      </c>
      <c r="S33" s="32">
        <f t="shared" si="1"/>
        <v>1660000000</v>
      </c>
      <c r="T33" s="32">
        <f t="shared" si="2"/>
        <v>1720000000</v>
      </c>
      <c r="U33" s="6">
        <f t="shared" si="3"/>
        <v>1613333333.3333333</v>
      </c>
      <c r="V33" s="108">
        <v>250</v>
      </c>
      <c r="W33" s="111">
        <v>0</v>
      </c>
      <c r="X33" s="111">
        <v>0</v>
      </c>
      <c r="Y33" s="111">
        <v>0</v>
      </c>
      <c r="Z33" s="117">
        <f t="shared" ref="Z33:AB33" si="35">W33*4</f>
        <v>0</v>
      </c>
      <c r="AA33" s="111">
        <f t="shared" si="35"/>
        <v>0</v>
      </c>
      <c r="AB33" s="105">
        <f t="shared" si="35"/>
        <v>0</v>
      </c>
      <c r="AC33" s="107">
        <f t="shared" ref="AC33" si="36">((Y33+W33+X33)/3)*(1000/V33)</f>
        <v>0</v>
      </c>
      <c r="AE33"/>
    </row>
    <row r="34" spans="1:36" x14ac:dyDescent="0.25">
      <c r="A34" s="105"/>
      <c r="B34" s="99"/>
      <c r="C34" s="86"/>
      <c r="D34" s="117"/>
      <c r="F34" s="7"/>
      <c r="G34" s="82"/>
      <c r="H34" s="82"/>
      <c r="I34" s="89"/>
      <c r="J34" s="92"/>
      <c r="K34" s="18" t="s">
        <v>4</v>
      </c>
      <c r="L34" s="63">
        <v>6</v>
      </c>
      <c r="M34" s="63">
        <v>6</v>
      </c>
      <c r="N34" s="63">
        <v>6</v>
      </c>
      <c r="O34" s="63">
        <v>30</v>
      </c>
      <c r="P34" s="63">
        <v>61</v>
      </c>
      <c r="Q34" s="63">
        <v>49</v>
      </c>
      <c r="R34" s="32">
        <f t="shared" si="0"/>
        <v>600000000</v>
      </c>
      <c r="S34" s="32">
        <f t="shared" si="1"/>
        <v>1220000000</v>
      </c>
      <c r="T34" s="32">
        <f t="shared" si="2"/>
        <v>980000000</v>
      </c>
      <c r="U34" s="6">
        <f t="shared" si="3"/>
        <v>933333333.33333337</v>
      </c>
      <c r="V34" s="109"/>
      <c r="W34" s="103"/>
      <c r="X34" s="103"/>
      <c r="Y34" s="103"/>
      <c r="Z34" s="117"/>
      <c r="AA34" s="103"/>
      <c r="AB34" s="105"/>
      <c r="AC34" s="105"/>
      <c r="AD34" s="52" t="s">
        <v>64</v>
      </c>
      <c r="AE34">
        <v>1.5</v>
      </c>
    </row>
    <row r="35" spans="1:36" ht="15.75" thickBot="1" x14ac:dyDescent="0.3">
      <c r="A35" s="105"/>
      <c r="B35" s="135"/>
      <c r="C35" s="87"/>
      <c r="D35" s="119"/>
      <c r="E35" s="49"/>
      <c r="F35" s="8"/>
      <c r="G35" s="84"/>
      <c r="H35" s="84"/>
      <c r="I35" s="90"/>
      <c r="J35" s="93"/>
      <c r="K35" s="37" t="s">
        <v>5</v>
      </c>
      <c r="L35" s="66">
        <v>6</v>
      </c>
      <c r="M35" s="66">
        <v>6</v>
      </c>
      <c r="N35" s="66">
        <v>6</v>
      </c>
      <c r="O35" s="66">
        <v>35</v>
      </c>
      <c r="P35" s="66">
        <v>45</v>
      </c>
      <c r="Q35" s="66">
        <v>44</v>
      </c>
      <c r="R35" s="50">
        <f t="shared" ref="R35:R62" si="37">(O35/0.05)*10^L35</f>
        <v>700000000</v>
      </c>
      <c r="S35" s="50">
        <f t="shared" ref="S35:S62" si="38">(P35/0.05)*10^M35</f>
        <v>900000000</v>
      </c>
      <c r="T35" s="50">
        <f t="shared" ref="T35:T62" si="39">(Q35/0.05)*10^N35</f>
        <v>880000000</v>
      </c>
      <c r="U35" s="51">
        <f t="shared" si="3"/>
        <v>826666666.66666663</v>
      </c>
      <c r="V35" s="110"/>
      <c r="W35" s="112"/>
      <c r="X35" s="112"/>
      <c r="Y35" s="112"/>
      <c r="Z35" s="119"/>
      <c r="AA35" s="112"/>
      <c r="AB35" s="113"/>
      <c r="AC35" s="113"/>
      <c r="AE35"/>
    </row>
    <row r="36" spans="1:36" x14ac:dyDescent="0.25">
      <c r="A36" s="105"/>
      <c r="B36" s="150" t="s">
        <v>55</v>
      </c>
      <c r="C36" s="151">
        <f>C39*2.5</f>
        <v>4683333333.3332996</v>
      </c>
      <c r="D36" s="154" t="s">
        <v>16</v>
      </c>
      <c r="E36" s="10">
        <v>10</v>
      </c>
      <c r="F36" s="11">
        <v>5</v>
      </c>
      <c r="G36" s="152">
        <v>4000000</v>
      </c>
      <c r="H36" s="152">
        <f>(C36*0.01)/5</f>
        <v>9366666.6666666009</v>
      </c>
      <c r="I36" s="153">
        <f>H36/G36</f>
        <v>2.3416666666666504</v>
      </c>
      <c r="J36" s="148">
        <v>10</v>
      </c>
      <c r="K36" s="47" t="s">
        <v>3</v>
      </c>
      <c r="L36" s="69">
        <v>4</v>
      </c>
      <c r="M36" s="69">
        <v>4</v>
      </c>
      <c r="N36" s="69">
        <v>3</v>
      </c>
      <c r="O36" s="69">
        <v>45</v>
      </c>
      <c r="P36" s="69">
        <v>41</v>
      </c>
      <c r="Q36" s="69">
        <v>47</v>
      </c>
      <c r="R36" s="70">
        <f t="shared" si="37"/>
        <v>9000000</v>
      </c>
      <c r="S36" s="70">
        <f t="shared" si="38"/>
        <v>8200000</v>
      </c>
      <c r="T36" s="70">
        <f t="shared" si="39"/>
        <v>940000</v>
      </c>
      <c r="U36" s="6">
        <f t="shared" si="3"/>
        <v>6046666.666666667</v>
      </c>
      <c r="V36" s="149">
        <v>250</v>
      </c>
      <c r="W36" s="147">
        <v>0</v>
      </c>
      <c r="X36" s="147">
        <v>0</v>
      </c>
      <c r="Y36" s="147">
        <v>0</v>
      </c>
      <c r="Z36" s="154">
        <f>W36*4</f>
        <v>0</v>
      </c>
      <c r="AA36" s="147">
        <f t="shared" ref="AA36" si="40">X36*4</f>
        <v>0</v>
      </c>
      <c r="AB36" s="155">
        <f t="shared" ref="AB36" si="41">Y36*4</f>
        <v>0</v>
      </c>
      <c r="AC36" s="155">
        <f t="shared" ref="AC36" si="42">((Y36+W36+X36)/3)*(1000/V36)</f>
        <v>0</v>
      </c>
      <c r="AE36"/>
      <c r="AH36" s="75"/>
      <c r="AI36" s="75"/>
      <c r="AJ36" s="75"/>
    </row>
    <row r="37" spans="1:36" x14ac:dyDescent="0.25">
      <c r="A37" s="105"/>
      <c r="B37" s="99"/>
      <c r="C37" s="86"/>
      <c r="D37" s="117"/>
      <c r="F37" s="7"/>
      <c r="G37" s="82"/>
      <c r="H37" s="82"/>
      <c r="I37" s="115"/>
      <c r="J37" s="140"/>
      <c r="K37" s="48" t="s">
        <v>4</v>
      </c>
      <c r="L37" s="71">
        <v>3</v>
      </c>
      <c r="M37" s="71">
        <v>3</v>
      </c>
      <c r="N37" s="71">
        <v>2</v>
      </c>
      <c r="O37" s="71">
        <v>31</v>
      </c>
      <c r="P37" s="71">
        <v>40</v>
      </c>
      <c r="Q37" s="71">
        <v>31</v>
      </c>
      <c r="R37" s="72">
        <f t="shared" si="37"/>
        <v>620000</v>
      </c>
      <c r="S37" s="72">
        <f t="shared" si="38"/>
        <v>800000</v>
      </c>
      <c r="T37" s="72">
        <f t="shared" si="39"/>
        <v>62000</v>
      </c>
      <c r="U37" s="6">
        <f t="shared" si="3"/>
        <v>494000</v>
      </c>
      <c r="V37" s="109"/>
      <c r="W37" s="129"/>
      <c r="X37" s="129"/>
      <c r="Y37" s="129"/>
      <c r="Z37" s="117"/>
      <c r="AA37" s="129"/>
      <c r="AB37" s="105"/>
      <c r="AC37" s="105"/>
      <c r="AD37" s="52" t="s">
        <v>66</v>
      </c>
      <c r="AE37">
        <v>3</v>
      </c>
      <c r="AH37" s="61"/>
      <c r="AI37" s="61"/>
      <c r="AJ37" s="61"/>
    </row>
    <row r="38" spans="1:36" x14ac:dyDescent="0.25">
      <c r="A38" s="105"/>
      <c r="B38" s="100"/>
      <c r="C38" s="101"/>
      <c r="D38" s="117"/>
      <c r="E38" s="2"/>
      <c r="F38" s="5"/>
      <c r="G38" s="83"/>
      <c r="H38" s="83"/>
      <c r="I38" s="116"/>
      <c r="J38" s="141"/>
      <c r="K38" s="43" t="s">
        <v>5</v>
      </c>
      <c r="L38" s="73">
        <v>4</v>
      </c>
      <c r="M38" s="73">
        <v>4</v>
      </c>
      <c r="N38" s="73">
        <v>3</v>
      </c>
      <c r="O38" s="73">
        <v>30</v>
      </c>
      <c r="P38" s="64">
        <v>36</v>
      </c>
      <c r="Q38" s="73">
        <v>48</v>
      </c>
      <c r="R38" s="74">
        <f>(O38/0.05)*10^L38</f>
        <v>6000000</v>
      </c>
      <c r="S38" s="74">
        <f>(O38/0.05)*10^M38</f>
        <v>6000000</v>
      </c>
      <c r="T38" s="74">
        <f t="shared" si="39"/>
        <v>960000</v>
      </c>
      <c r="U38" s="3">
        <f t="shared" si="3"/>
        <v>4720000</v>
      </c>
      <c r="V38" s="114"/>
      <c r="W38" s="104"/>
      <c r="X38" s="104"/>
      <c r="Y38" s="104"/>
      <c r="Z38" s="118"/>
      <c r="AA38" s="104"/>
      <c r="AB38" s="106"/>
      <c r="AC38" s="106"/>
      <c r="AE38"/>
      <c r="AH38" s="61"/>
      <c r="AI38" s="61"/>
      <c r="AJ38" s="61"/>
    </row>
    <row r="39" spans="1:36" x14ac:dyDescent="0.25">
      <c r="A39" s="105"/>
      <c r="B39" s="99" t="s">
        <v>54</v>
      </c>
      <c r="C39" s="86">
        <f>C42*2</f>
        <v>1873333333.3333199</v>
      </c>
      <c r="D39" s="117"/>
      <c r="E39" s="53">
        <v>10</v>
      </c>
      <c r="F39" s="7">
        <v>5</v>
      </c>
      <c r="G39" s="82">
        <v>4000000</v>
      </c>
      <c r="H39" s="82">
        <f>(C39*0.01)/5</f>
        <v>3746666.6666666395</v>
      </c>
      <c r="I39" s="115">
        <f>H39/G39</f>
        <v>0.93666666666665988</v>
      </c>
      <c r="J39" s="140">
        <v>10</v>
      </c>
      <c r="K39" s="48" t="s">
        <v>3</v>
      </c>
      <c r="L39" s="48">
        <v>5</v>
      </c>
      <c r="M39" s="48">
        <v>5</v>
      </c>
      <c r="N39" s="48">
        <v>5</v>
      </c>
      <c r="O39" s="48">
        <v>135</v>
      </c>
      <c r="P39" s="48">
        <f>P41+(0.1*P40)</f>
        <v>324.3</v>
      </c>
      <c r="Q39" s="48">
        <v>121</v>
      </c>
      <c r="R39" s="40">
        <f t="shared" si="37"/>
        <v>270000000</v>
      </c>
      <c r="S39" s="40">
        <f t="shared" si="38"/>
        <v>648600000</v>
      </c>
      <c r="T39" s="40">
        <f t="shared" si="39"/>
        <v>242000000</v>
      </c>
      <c r="U39" s="6">
        <f t="shared" si="3"/>
        <v>386866666.66666669</v>
      </c>
      <c r="V39" s="109">
        <v>250</v>
      </c>
      <c r="W39" s="129">
        <v>0</v>
      </c>
      <c r="X39" s="129">
        <v>210</v>
      </c>
      <c r="Y39" s="129">
        <v>2</v>
      </c>
      <c r="Z39" s="117">
        <f>W39*4</f>
        <v>0</v>
      </c>
      <c r="AA39" s="129">
        <f t="shared" ref="AA39" si="43">X39*4</f>
        <v>840</v>
      </c>
      <c r="AB39" s="105">
        <f t="shared" ref="AB39" si="44">Y39*4</f>
        <v>8</v>
      </c>
      <c r="AC39" s="105">
        <f t="shared" ref="AC39" si="45">((Y39+W39+X39)/3)*(1000/V39)</f>
        <v>282.66666666666669</v>
      </c>
      <c r="AE39"/>
      <c r="AH39" s="61"/>
      <c r="AI39" s="61"/>
      <c r="AJ39" s="61"/>
    </row>
    <row r="40" spans="1:36" x14ac:dyDescent="0.25">
      <c r="A40" s="105"/>
      <c r="B40" s="99"/>
      <c r="C40" s="86"/>
      <c r="D40" s="117"/>
      <c r="F40" s="7"/>
      <c r="G40" s="82"/>
      <c r="H40" s="82"/>
      <c r="I40" s="115"/>
      <c r="J40" s="140"/>
      <c r="K40" s="48" t="s">
        <v>4</v>
      </c>
      <c r="L40" s="48">
        <v>5</v>
      </c>
      <c r="M40" s="48">
        <v>4</v>
      </c>
      <c r="N40" s="48">
        <v>4</v>
      </c>
      <c r="O40" s="48">
        <v>15</v>
      </c>
      <c r="P40" s="48">
        <v>403</v>
      </c>
      <c r="Q40" s="48">
        <v>175</v>
      </c>
      <c r="R40" s="40">
        <f t="shared" si="37"/>
        <v>30000000</v>
      </c>
      <c r="S40" s="40">
        <f t="shared" si="38"/>
        <v>80600000</v>
      </c>
      <c r="T40" s="40">
        <f t="shared" si="39"/>
        <v>35000000</v>
      </c>
      <c r="U40" s="6">
        <f t="shared" si="3"/>
        <v>48533333.333333336</v>
      </c>
      <c r="V40" s="109"/>
      <c r="W40" s="129"/>
      <c r="X40" s="129"/>
      <c r="Y40" s="129"/>
      <c r="Z40" s="117"/>
      <c r="AA40" s="129"/>
      <c r="AB40" s="105"/>
      <c r="AC40" s="105"/>
      <c r="AD40" s="52" t="s">
        <v>66</v>
      </c>
      <c r="AE40">
        <v>3</v>
      </c>
      <c r="AH40" s="61"/>
      <c r="AI40" s="61"/>
      <c r="AJ40" s="61"/>
    </row>
    <row r="41" spans="1:36" x14ac:dyDescent="0.25">
      <c r="A41" s="105"/>
      <c r="B41" s="100"/>
      <c r="C41" s="101"/>
      <c r="D41" s="117"/>
      <c r="E41" s="2"/>
      <c r="F41" s="5"/>
      <c r="G41" s="83"/>
      <c r="H41" s="83"/>
      <c r="I41" s="116"/>
      <c r="J41" s="141"/>
      <c r="K41" s="43" t="s">
        <v>5</v>
      </c>
      <c r="L41" s="43">
        <v>5</v>
      </c>
      <c r="M41" s="43">
        <v>5</v>
      </c>
      <c r="N41" s="43">
        <v>5</v>
      </c>
      <c r="O41" s="43">
        <v>120</v>
      </c>
      <c r="P41" s="43">
        <v>284</v>
      </c>
      <c r="Q41" s="43">
        <v>124</v>
      </c>
      <c r="R41" s="41">
        <f t="shared" si="37"/>
        <v>240000000</v>
      </c>
      <c r="S41" s="41">
        <f t="shared" si="38"/>
        <v>568000000</v>
      </c>
      <c r="T41" s="41">
        <f t="shared" si="39"/>
        <v>248000000</v>
      </c>
      <c r="U41" s="3">
        <f t="shared" si="3"/>
        <v>352000000</v>
      </c>
      <c r="V41" s="114"/>
      <c r="W41" s="104"/>
      <c r="X41" s="104"/>
      <c r="Y41" s="104"/>
      <c r="Z41" s="118"/>
      <c r="AA41" s="104"/>
      <c r="AB41" s="106"/>
      <c r="AC41" s="106"/>
      <c r="AE41"/>
      <c r="AH41" s="61"/>
      <c r="AI41" s="61"/>
      <c r="AJ41" s="61"/>
    </row>
    <row r="42" spans="1:36" x14ac:dyDescent="0.25">
      <c r="A42" s="105"/>
      <c r="B42" s="99" t="s">
        <v>53</v>
      </c>
      <c r="C42" s="86">
        <f>C45*2</f>
        <v>936666666.66665995</v>
      </c>
      <c r="D42" s="117"/>
      <c r="E42" s="53">
        <v>10</v>
      </c>
      <c r="F42" s="7">
        <v>5</v>
      </c>
      <c r="G42" s="82">
        <v>4000000</v>
      </c>
      <c r="H42" s="82">
        <f>(C42*0.01)/5</f>
        <v>1873333.3333333198</v>
      </c>
      <c r="I42" s="115">
        <f>H42/G42</f>
        <v>0.46833333333332994</v>
      </c>
      <c r="J42" s="140">
        <v>10</v>
      </c>
      <c r="K42" s="48" t="s">
        <v>3</v>
      </c>
      <c r="L42" s="48">
        <v>6</v>
      </c>
      <c r="M42" s="48">
        <v>6</v>
      </c>
      <c r="N42" s="48">
        <v>6</v>
      </c>
      <c r="O42" s="48">
        <v>70</v>
      </c>
      <c r="P42" s="48">
        <v>70</v>
      </c>
      <c r="Q42" s="48">
        <v>84</v>
      </c>
      <c r="R42" s="40">
        <f t="shared" si="37"/>
        <v>1400000000</v>
      </c>
      <c r="S42" s="40">
        <f t="shared" si="38"/>
        <v>1400000000</v>
      </c>
      <c r="T42" s="40">
        <f t="shared" si="39"/>
        <v>1680000000</v>
      </c>
      <c r="U42" s="6">
        <f t="shared" si="3"/>
        <v>1493333333.3333333</v>
      </c>
      <c r="V42" s="109">
        <v>250</v>
      </c>
      <c r="W42" s="129">
        <v>169</v>
      </c>
      <c r="X42" s="129">
        <v>212</v>
      </c>
      <c r="Y42" s="129">
        <v>216</v>
      </c>
      <c r="Z42" s="117">
        <f>W42*4</f>
        <v>676</v>
      </c>
      <c r="AA42" s="129">
        <f t="shared" ref="AA42" si="46">X42*4</f>
        <v>848</v>
      </c>
      <c r="AB42" s="105">
        <f t="shared" ref="AB42" si="47">Y42*4</f>
        <v>864</v>
      </c>
      <c r="AC42" s="105">
        <f t="shared" ref="AC42" si="48">((Y42+W42+X42)/3)*(1000/V42)</f>
        <v>796</v>
      </c>
      <c r="AE42"/>
      <c r="AH42" s="61"/>
      <c r="AI42" s="61"/>
      <c r="AJ42" s="61"/>
    </row>
    <row r="43" spans="1:36" x14ac:dyDescent="0.25">
      <c r="A43" s="105"/>
      <c r="B43" s="99"/>
      <c r="C43" s="86"/>
      <c r="D43" s="117"/>
      <c r="F43" s="7"/>
      <c r="G43" s="82"/>
      <c r="H43" s="82"/>
      <c r="I43" s="115"/>
      <c r="J43" s="140"/>
      <c r="K43" s="48" t="s">
        <v>4</v>
      </c>
      <c r="L43" s="48">
        <v>5</v>
      </c>
      <c r="M43" s="48">
        <v>5</v>
      </c>
      <c r="N43" s="48">
        <v>5</v>
      </c>
      <c r="O43" s="48">
        <v>98</v>
      </c>
      <c r="P43" s="48">
        <v>114</v>
      </c>
      <c r="Q43" s="48">
        <v>124</v>
      </c>
      <c r="R43" s="40">
        <f t="shared" si="37"/>
        <v>196000000</v>
      </c>
      <c r="S43" s="40">
        <f t="shared" si="38"/>
        <v>228000000</v>
      </c>
      <c r="T43" s="40">
        <f t="shared" si="39"/>
        <v>248000000</v>
      </c>
      <c r="U43" s="6">
        <f t="shared" si="3"/>
        <v>224000000</v>
      </c>
      <c r="V43" s="109"/>
      <c r="W43" s="129"/>
      <c r="X43" s="129"/>
      <c r="Y43" s="129"/>
      <c r="Z43" s="117"/>
      <c r="AA43" s="129"/>
      <c r="AB43" s="105"/>
      <c r="AC43" s="105"/>
      <c r="AD43" s="52" t="s">
        <v>65</v>
      </c>
      <c r="AE43">
        <v>3</v>
      </c>
      <c r="AH43" s="61"/>
      <c r="AI43" s="61"/>
      <c r="AJ43" s="61"/>
    </row>
    <row r="44" spans="1:36" x14ac:dyDescent="0.25">
      <c r="A44" s="105"/>
      <c r="B44" s="100"/>
      <c r="C44" s="101"/>
      <c r="D44" s="117"/>
      <c r="E44" s="2"/>
      <c r="F44" s="5"/>
      <c r="G44" s="83"/>
      <c r="H44" s="83"/>
      <c r="I44" s="116"/>
      <c r="J44" s="141"/>
      <c r="K44" s="43" t="s">
        <v>5</v>
      </c>
      <c r="L44" s="43">
        <v>6</v>
      </c>
      <c r="M44" s="43">
        <v>6</v>
      </c>
      <c r="N44" s="43">
        <v>6</v>
      </c>
      <c r="O44" s="43">
        <v>42</v>
      </c>
      <c r="P44" s="43">
        <v>58</v>
      </c>
      <c r="Q44" s="43">
        <v>60</v>
      </c>
      <c r="R44" s="41">
        <f t="shared" si="37"/>
        <v>840000000</v>
      </c>
      <c r="S44" s="41">
        <f t="shared" si="38"/>
        <v>1160000000</v>
      </c>
      <c r="T44" s="41">
        <f t="shared" si="39"/>
        <v>1200000000</v>
      </c>
      <c r="U44" s="3">
        <f t="shared" si="3"/>
        <v>1066666666.6666666</v>
      </c>
      <c r="V44" s="114"/>
      <c r="W44" s="104"/>
      <c r="X44" s="104"/>
      <c r="Y44" s="104"/>
      <c r="Z44" s="118"/>
      <c r="AA44" s="104"/>
      <c r="AB44" s="106"/>
      <c r="AC44" s="106"/>
      <c r="AE44"/>
      <c r="AH44" s="61"/>
      <c r="AI44" s="61"/>
      <c r="AJ44" s="61"/>
    </row>
    <row r="45" spans="1:36" x14ac:dyDescent="0.25">
      <c r="A45" s="105"/>
      <c r="B45" s="99" t="s">
        <v>50</v>
      </c>
      <c r="C45" s="86">
        <f>468333333.33333</f>
        <v>468333333.33332998</v>
      </c>
      <c r="D45" s="117"/>
      <c r="E45" s="53">
        <v>10</v>
      </c>
      <c r="F45" s="7">
        <v>5</v>
      </c>
      <c r="G45" s="82">
        <v>4000000</v>
      </c>
      <c r="H45" s="82">
        <f>(C45*0.01)/5</f>
        <v>936666.66666665988</v>
      </c>
      <c r="I45" s="115">
        <f>H45/G45</f>
        <v>0.23416666666666497</v>
      </c>
      <c r="J45" s="140">
        <v>10</v>
      </c>
      <c r="K45" s="48" t="s">
        <v>3</v>
      </c>
      <c r="L45" s="48">
        <v>7</v>
      </c>
      <c r="M45" s="48">
        <v>7</v>
      </c>
      <c r="N45" s="48">
        <v>7</v>
      </c>
      <c r="O45" s="48">
        <v>8</v>
      </c>
      <c r="P45" s="48">
        <v>10</v>
      </c>
      <c r="Q45" s="48">
        <v>13</v>
      </c>
      <c r="R45" s="40">
        <f>(O45/0.05)*10^L45</f>
        <v>1600000000</v>
      </c>
      <c r="S45" s="40">
        <f>(P45/0.05)*10^M45</f>
        <v>2000000000</v>
      </c>
      <c r="T45" s="40">
        <f>(Q45/0.05)*10^N45</f>
        <v>2600000000</v>
      </c>
      <c r="U45" s="6">
        <f>(((O45/0.05)*10^L45)+((P45/0.05)*10^M45)+((Q45/0.05)*10^N45))/3</f>
        <v>2066666666.6666667</v>
      </c>
      <c r="V45" s="109">
        <v>250</v>
      </c>
      <c r="W45" s="129">
        <v>73</v>
      </c>
      <c r="X45" s="129">
        <v>110</v>
      </c>
      <c r="Y45" s="129">
        <v>95</v>
      </c>
      <c r="Z45" s="117">
        <f>W45*4</f>
        <v>292</v>
      </c>
      <c r="AA45" s="129">
        <f t="shared" ref="AA45" si="49">X45*4</f>
        <v>440</v>
      </c>
      <c r="AB45" s="105">
        <f t="shared" ref="AB45" si="50">Y45*4</f>
        <v>380</v>
      </c>
      <c r="AC45" s="105">
        <f t="shared" ref="AC45" si="51">((Y45+W45+X45)/3)*(1000/V45)</f>
        <v>370.66666666666669</v>
      </c>
      <c r="AE45"/>
      <c r="AH45" s="61"/>
      <c r="AI45" s="61"/>
      <c r="AJ45" s="61"/>
    </row>
    <row r="46" spans="1:36" x14ac:dyDescent="0.25">
      <c r="A46" s="105"/>
      <c r="B46" s="99"/>
      <c r="C46" s="86"/>
      <c r="D46" s="117"/>
      <c r="F46" s="7"/>
      <c r="G46" s="82"/>
      <c r="H46" s="82"/>
      <c r="I46" s="115"/>
      <c r="J46" s="140"/>
      <c r="K46" s="48" t="s">
        <v>4</v>
      </c>
      <c r="L46" s="48">
        <v>6</v>
      </c>
      <c r="M46" s="48">
        <v>6</v>
      </c>
      <c r="N46" s="48">
        <v>6</v>
      </c>
      <c r="O46" s="48">
        <v>19</v>
      </c>
      <c r="P46" s="48">
        <v>11</v>
      </c>
      <c r="Q46" s="48">
        <v>22</v>
      </c>
      <c r="R46" s="40">
        <f t="shared" si="37"/>
        <v>380000000</v>
      </c>
      <c r="S46" s="40">
        <f t="shared" si="38"/>
        <v>220000000</v>
      </c>
      <c r="T46" s="40">
        <f t="shared" si="39"/>
        <v>440000000</v>
      </c>
      <c r="U46" s="6">
        <f t="shared" si="3"/>
        <v>346666666.66666669</v>
      </c>
      <c r="V46" s="109"/>
      <c r="W46" s="129"/>
      <c r="X46" s="129"/>
      <c r="Y46" s="129"/>
      <c r="Z46" s="117"/>
      <c r="AA46" s="129"/>
      <c r="AB46" s="105"/>
      <c r="AC46" s="105"/>
      <c r="AD46" s="52" t="s">
        <v>64</v>
      </c>
      <c r="AE46">
        <v>1.5</v>
      </c>
      <c r="AH46" s="61"/>
      <c r="AI46" s="61"/>
      <c r="AJ46" s="61"/>
    </row>
    <row r="47" spans="1:36" x14ac:dyDescent="0.25">
      <c r="A47" s="105"/>
      <c r="B47" s="100"/>
      <c r="C47" s="101"/>
      <c r="D47" s="117"/>
      <c r="E47" s="2"/>
      <c r="F47" s="5"/>
      <c r="G47" s="83"/>
      <c r="H47" s="83"/>
      <c r="I47" s="116"/>
      <c r="J47" s="141"/>
      <c r="K47" s="43" t="s">
        <v>5</v>
      </c>
      <c r="L47" s="43">
        <v>6</v>
      </c>
      <c r="M47" s="43">
        <v>6</v>
      </c>
      <c r="N47" s="43">
        <v>6</v>
      </c>
      <c r="O47" s="43">
        <v>65</v>
      </c>
      <c r="P47" s="43">
        <v>58</v>
      </c>
      <c r="Q47" s="43">
        <v>112</v>
      </c>
      <c r="R47" s="62">
        <f t="shared" ref="R47" si="52">(O47/0.05)*10^L47</f>
        <v>1300000000</v>
      </c>
      <c r="S47" s="62">
        <f t="shared" ref="S47" si="53">(P47/0.05)*10^M47</f>
        <v>1160000000</v>
      </c>
      <c r="T47" s="62">
        <f t="shared" ref="T47" si="54">(Q47/0.05)*10^N47</f>
        <v>2240000000</v>
      </c>
      <c r="U47" s="3">
        <f t="shared" ref="U47" si="55">(((O47/0.05)*10^L47)+((P47/0.05)*10^M47)+((Q47/0.05)*10^N47))/3</f>
        <v>1566666666.6666667</v>
      </c>
      <c r="V47" s="114"/>
      <c r="W47" s="104"/>
      <c r="X47" s="104"/>
      <c r="Y47" s="104"/>
      <c r="Z47" s="118"/>
      <c r="AA47" s="104"/>
      <c r="AB47" s="106"/>
      <c r="AC47" s="106"/>
      <c r="AE47"/>
    </row>
    <row r="48" spans="1:36" x14ac:dyDescent="0.25">
      <c r="A48" s="105"/>
      <c r="B48" s="79" t="s">
        <v>20</v>
      </c>
      <c r="C48" s="86">
        <f>468333333.33333/2</f>
        <v>234166666.66666499</v>
      </c>
      <c r="D48" s="117"/>
      <c r="E48">
        <v>10</v>
      </c>
      <c r="F48" s="7">
        <v>5</v>
      </c>
      <c r="G48" s="82">
        <f>G33</f>
        <v>4000000</v>
      </c>
      <c r="H48" s="82">
        <f>(C48*0.01)/5</f>
        <v>468333.33333332994</v>
      </c>
      <c r="I48" s="115">
        <f>H48/G48</f>
        <v>0.11708333333333248</v>
      </c>
      <c r="J48" s="92">
        <v>10</v>
      </c>
      <c r="K48" s="18" t="s">
        <v>3</v>
      </c>
      <c r="L48" s="18">
        <v>7</v>
      </c>
      <c r="M48" s="18">
        <v>7</v>
      </c>
      <c r="N48" s="18">
        <v>7</v>
      </c>
      <c r="O48" s="18">
        <v>10</v>
      </c>
      <c r="P48" s="18">
        <v>8</v>
      </c>
      <c r="Q48" s="18">
        <v>11</v>
      </c>
      <c r="R48" s="32">
        <f t="shared" si="37"/>
        <v>2000000000</v>
      </c>
      <c r="S48" s="32">
        <f t="shared" si="38"/>
        <v>1600000000</v>
      </c>
      <c r="T48" s="32">
        <f t="shared" si="39"/>
        <v>2200000000</v>
      </c>
      <c r="U48" s="6">
        <f t="shared" si="3"/>
        <v>1933333333.3333333</v>
      </c>
      <c r="V48" s="109">
        <v>250</v>
      </c>
      <c r="W48" s="103">
        <v>23</v>
      </c>
      <c r="X48" s="103">
        <v>89</v>
      </c>
      <c r="Y48" s="105">
        <v>38</v>
      </c>
      <c r="Z48" s="103">
        <f t="shared" ref="Z48:AB48" si="56">W48*4</f>
        <v>92</v>
      </c>
      <c r="AA48" s="103">
        <f t="shared" si="56"/>
        <v>356</v>
      </c>
      <c r="AB48" s="105">
        <f t="shared" si="56"/>
        <v>152</v>
      </c>
      <c r="AC48" s="105">
        <f>((Y48+W48+X48)/3)*(1000/V48)</f>
        <v>200</v>
      </c>
    </row>
    <row r="49" spans="1:31" x14ac:dyDescent="0.25">
      <c r="A49" s="105"/>
      <c r="B49" s="79"/>
      <c r="C49" s="133"/>
      <c r="D49" s="117"/>
      <c r="F49" s="7"/>
      <c r="G49" s="82"/>
      <c r="H49" s="82"/>
      <c r="I49" s="115"/>
      <c r="J49" s="92"/>
      <c r="K49" s="18" t="s">
        <v>4</v>
      </c>
      <c r="L49" s="18">
        <v>6</v>
      </c>
      <c r="M49" s="18">
        <v>6</v>
      </c>
      <c r="N49" s="18">
        <v>6</v>
      </c>
      <c r="O49" s="18">
        <v>21</v>
      </c>
      <c r="P49" s="18">
        <v>17</v>
      </c>
      <c r="Q49" s="18">
        <v>18</v>
      </c>
      <c r="R49" s="32">
        <f t="shared" si="37"/>
        <v>420000000</v>
      </c>
      <c r="S49" s="32">
        <f t="shared" si="38"/>
        <v>340000000</v>
      </c>
      <c r="T49" s="32">
        <f t="shared" si="39"/>
        <v>360000000</v>
      </c>
      <c r="U49" s="6">
        <f>(SUM(R49:T49))/3</f>
        <v>373333333.33333331</v>
      </c>
      <c r="V49" s="109"/>
      <c r="W49" s="103"/>
      <c r="X49" s="103"/>
      <c r="Y49" s="105"/>
      <c r="Z49" s="103"/>
      <c r="AA49" s="103"/>
      <c r="AB49" s="105"/>
      <c r="AC49" s="105"/>
      <c r="AD49" s="52" t="s">
        <v>64</v>
      </c>
      <c r="AE49">
        <v>1.5</v>
      </c>
    </row>
    <row r="50" spans="1:31" x14ac:dyDescent="0.25">
      <c r="A50" s="105"/>
      <c r="B50" s="80"/>
      <c r="C50" s="134"/>
      <c r="D50" s="117"/>
      <c r="E50" s="2"/>
      <c r="F50" s="5"/>
      <c r="G50" s="83"/>
      <c r="H50" s="83"/>
      <c r="I50" s="116"/>
      <c r="J50" s="97"/>
      <c r="K50" s="39" t="s">
        <v>5</v>
      </c>
      <c r="L50" s="39">
        <v>6</v>
      </c>
      <c r="M50" s="39">
        <v>6</v>
      </c>
      <c r="N50" s="39">
        <v>6</v>
      </c>
      <c r="O50" s="39">
        <v>93</v>
      </c>
      <c r="P50" s="39">
        <v>71</v>
      </c>
      <c r="Q50" s="39">
        <v>61</v>
      </c>
      <c r="R50" s="33">
        <f t="shared" si="37"/>
        <v>1860000000</v>
      </c>
      <c r="S50" s="33">
        <f t="shared" si="38"/>
        <v>1420000000</v>
      </c>
      <c r="T50" s="33">
        <f t="shared" si="39"/>
        <v>1220000000</v>
      </c>
      <c r="U50" s="3">
        <f>(((O50/0.05)*10^L50)+((P50/0.05)*10^M50)+((Q50/0.05)*10^N50))/3</f>
        <v>1500000000</v>
      </c>
      <c r="V50" s="114"/>
      <c r="W50" s="104"/>
      <c r="X50" s="104"/>
      <c r="Y50" s="106"/>
      <c r="Z50" s="104"/>
      <c r="AA50" s="104"/>
      <c r="AB50" s="106"/>
      <c r="AC50" s="106"/>
    </row>
    <row r="51" spans="1:31" x14ac:dyDescent="0.25">
      <c r="A51" s="105"/>
      <c r="B51" s="78" t="s">
        <v>45</v>
      </c>
      <c r="C51" s="85">
        <f>234166666.666665/2</f>
        <v>117083333.33333249</v>
      </c>
      <c r="D51" s="117"/>
      <c r="E51" s="1">
        <v>10</v>
      </c>
      <c r="F51" s="26">
        <v>5</v>
      </c>
      <c r="G51" s="81">
        <f t="shared" ref="G51" si="57">G48</f>
        <v>4000000</v>
      </c>
      <c r="H51" s="81">
        <f>H48/2</f>
        <v>234166.66666666497</v>
      </c>
      <c r="I51" s="88">
        <f>H51/G51</f>
        <v>5.8541666666666242E-2</v>
      </c>
      <c r="J51" s="91">
        <v>10</v>
      </c>
      <c r="K51" s="36" t="s">
        <v>3</v>
      </c>
      <c r="L51" s="36">
        <v>7</v>
      </c>
      <c r="M51" s="36">
        <v>7</v>
      </c>
      <c r="N51" s="36">
        <v>7</v>
      </c>
      <c r="O51" s="36">
        <v>9</v>
      </c>
      <c r="P51" s="36">
        <v>11</v>
      </c>
      <c r="Q51" s="36">
        <v>21</v>
      </c>
      <c r="R51" s="32">
        <f t="shared" si="37"/>
        <v>1800000000</v>
      </c>
      <c r="S51" s="32">
        <f t="shared" si="38"/>
        <v>2200000000</v>
      </c>
      <c r="T51" s="32">
        <f t="shared" si="39"/>
        <v>4200000000</v>
      </c>
      <c r="U51" s="6">
        <f>SUM(R51:T51)/3</f>
        <v>2733333333.3333335</v>
      </c>
      <c r="V51" s="108">
        <v>250</v>
      </c>
      <c r="W51" s="111">
        <v>6</v>
      </c>
      <c r="X51" s="111">
        <v>22</v>
      </c>
      <c r="Y51" s="107">
        <v>28</v>
      </c>
      <c r="Z51" s="103">
        <f t="shared" ref="Z51:AB51" si="58">W51*4</f>
        <v>24</v>
      </c>
      <c r="AA51" s="103">
        <f t="shared" si="58"/>
        <v>88</v>
      </c>
      <c r="AB51" s="105">
        <f t="shared" si="58"/>
        <v>112</v>
      </c>
      <c r="AC51" s="107">
        <f t="shared" ref="AC51" si="59">((Y51+W51+X51)/3)*(1000/V51)</f>
        <v>74.666666666666671</v>
      </c>
    </row>
    <row r="52" spans="1:31" x14ac:dyDescent="0.25">
      <c r="A52" s="105"/>
      <c r="B52" s="79"/>
      <c r="C52" s="86"/>
      <c r="D52" s="117"/>
      <c r="F52" s="7"/>
      <c r="G52" s="82"/>
      <c r="H52" s="82"/>
      <c r="I52" s="89"/>
      <c r="J52" s="92"/>
      <c r="K52" s="18" t="s">
        <v>4</v>
      </c>
      <c r="L52" s="18">
        <v>6</v>
      </c>
      <c r="M52" s="18">
        <v>6</v>
      </c>
      <c r="N52" s="18">
        <v>6</v>
      </c>
      <c r="O52" s="18">
        <v>17</v>
      </c>
      <c r="P52" s="18">
        <v>22</v>
      </c>
      <c r="Q52" s="18">
        <v>36</v>
      </c>
      <c r="R52" s="32">
        <f t="shared" si="37"/>
        <v>340000000</v>
      </c>
      <c r="S52" s="32">
        <f t="shared" si="38"/>
        <v>440000000</v>
      </c>
      <c r="T52" s="32">
        <f t="shared" si="39"/>
        <v>720000000</v>
      </c>
      <c r="U52" s="6">
        <f>SUM(R52:T52)/3</f>
        <v>500000000</v>
      </c>
      <c r="V52" s="109"/>
      <c r="W52" s="103"/>
      <c r="X52" s="103"/>
      <c r="Y52" s="105"/>
      <c r="Z52" s="103"/>
      <c r="AA52" s="103"/>
      <c r="AB52" s="105"/>
      <c r="AC52" s="105"/>
      <c r="AD52" s="52" t="s">
        <v>64</v>
      </c>
      <c r="AE52">
        <v>1.5</v>
      </c>
    </row>
    <row r="53" spans="1:31" x14ac:dyDescent="0.25">
      <c r="A53" s="105"/>
      <c r="B53" s="80"/>
      <c r="C53" s="101"/>
      <c r="D53" s="117"/>
      <c r="E53" s="2"/>
      <c r="F53" s="5"/>
      <c r="G53" s="83"/>
      <c r="H53" s="83"/>
      <c r="I53" s="102"/>
      <c r="J53" s="97"/>
      <c r="K53" s="39" t="s">
        <v>5</v>
      </c>
      <c r="L53" s="39">
        <v>6</v>
      </c>
      <c r="M53" s="39">
        <v>6</v>
      </c>
      <c r="N53" s="39">
        <v>6</v>
      </c>
      <c r="O53" s="39">
        <v>66</v>
      </c>
      <c r="P53" s="39">
        <v>86</v>
      </c>
      <c r="Q53" s="39">
        <v>122</v>
      </c>
      <c r="R53" s="33">
        <f t="shared" si="37"/>
        <v>1320000000</v>
      </c>
      <c r="S53" s="33">
        <f t="shared" si="38"/>
        <v>1720000000</v>
      </c>
      <c r="T53" s="33">
        <f t="shared" si="39"/>
        <v>2440000000</v>
      </c>
      <c r="U53" s="3">
        <f>(((O53/0.05)*10^L53)+((P53/0.05)*10^M53)+((Q53/0.05)*10^N53))/3</f>
        <v>1826666666.6666667</v>
      </c>
      <c r="V53" s="114"/>
      <c r="W53" s="104"/>
      <c r="X53" s="104"/>
      <c r="Y53" s="106"/>
      <c r="Z53" s="104"/>
      <c r="AA53" s="104"/>
      <c r="AB53" s="106"/>
      <c r="AC53" s="106"/>
    </row>
    <row r="54" spans="1:31" x14ac:dyDescent="0.25">
      <c r="A54" s="105"/>
      <c r="B54" s="78" t="s">
        <v>46</v>
      </c>
      <c r="C54" s="85">
        <f>117083333.333332/2</f>
        <v>58541666.666666001</v>
      </c>
      <c r="D54" s="117"/>
      <c r="E54" s="1">
        <v>10</v>
      </c>
      <c r="F54" s="26">
        <v>5</v>
      </c>
      <c r="G54" s="81">
        <f t="shared" ref="G54" si="60">G51</f>
        <v>4000000</v>
      </c>
      <c r="H54" s="81">
        <f>H51/2</f>
        <v>117083.33333333248</v>
      </c>
      <c r="I54" s="94">
        <f t="shared" ref="I54" si="61">H54/G54</f>
        <v>2.9270833333333121E-2</v>
      </c>
      <c r="J54" s="91">
        <v>10</v>
      </c>
      <c r="K54" s="36" t="s">
        <v>3</v>
      </c>
      <c r="L54" s="36">
        <v>7</v>
      </c>
      <c r="M54" s="36">
        <v>7</v>
      </c>
      <c r="N54" s="36">
        <v>7</v>
      </c>
      <c r="O54" s="36">
        <v>9</v>
      </c>
      <c r="P54" s="36">
        <v>9</v>
      </c>
      <c r="Q54" s="36">
        <v>13</v>
      </c>
      <c r="R54" s="32">
        <f t="shared" si="37"/>
        <v>1800000000</v>
      </c>
      <c r="S54" s="32">
        <f t="shared" si="38"/>
        <v>1800000000</v>
      </c>
      <c r="T54" s="32">
        <f t="shared" si="39"/>
        <v>2600000000</v>
      </c>
      <c r="U54" s="6">
        <f>(((O54/0.05)*10^L54)+((P54/0.05)*10^M54)+((Q54/0.05)*10^N54))/3</f>
        <v>2066666666.6666667</v>
      </c>
      <c r="V54" s="109">
        <v>250</v>
      </c>
      <c r="W54" s="111">
        <v>5</v>
      </c>
      <c r="X54" s="111">
        <v>10</v>
      </c>
      <c r="Y54" s="107">
        <v>8</v>
      </c>
      <c r="Z54" s="103">
        <f t="shared" ref="Z54:AB54" si="62">W54*4</f>
        <v>20</v>
      </c>
      <c r="AA54" s="103">
        <f t="shared" si="62"/>
        <v>40</v>
      </c>
      <c r="AB54" s="105">
        <f t="shared" si="62"/>
        <v>32</v>
      </c>
      <c r="AC54" s="107">
        <f t="shared" ref="AC54" si="63">((Y54+W54+X54)/3)*(1000/V54)</f>
        <v>30.666666666666668</v>
      </c>
    </row>
    <row r="55" spans="1:31" x14ac:dyDescent="0.25">
      <c r="A55" s="105"/>
      <c r="B55" s="79"/>
      <c r="C55" s="86"/>
      <c r="D55" s="117"/>
      <c r="F55" s="7"/>
      <c r="G55" s="82"/>
      <c r="H55" s="82"/>
      <c r="I55" s="95"/>
      <c r="J55" s="92"/>
      <c r="K55" s="18" t="s">
        <v>4</v>
      </c>
      <c r="L55" s="18">
        <v>6</v>
      </c>
      <c r="M55" s="18">
        <v>6</v>
      </c>
      <c r="N55" s="18">
        <v>6</v>
      </c>
      <c r="O55" s="18">
        <v>20</v>
      </c>
      <c r="P55" s="18">
        <v>20</v>
      </c>
      <c r="Q55" s="18">
        <v>11</v>
      </c>
      <c r="R55" s="32">
        <f t="shared" si="37"/>
        <v>400000000</v>
      </c>
      <c r="S55" s="32">
        <f t="shared" si="38"/>
        <v>400000000</v>
      </c>
      <c r="T55" s="32">
        <f t="shared" si="39"/>
        <v>220000000</v>
      </c>
      <c r="U55" s="6">
        <f>SUM(R55:T55)/3</f>
        <v>340000000</v>
      </c>
      <c r="V55" s="109"/>
      <c r="W55" s="103"/>
      <c r="X55" s="103"/>
      <c r="Y55" s="105"/>
      <c r="Z55" s="103"/>
      <c r="AA55" s="103"/>
      <c r="AB55" s="105"/>
      <c r="AC55" s="105"/>
      <c r="AD55" s="52" t="s">
        <v>64</v>
      </c>
      <c r="AE55">
        <v>1.5</v>
      </c>
    </row>
    <row r="56" spans="1:31" x14ac:dyDescent="0.25">
      <c r="A56" s="105"/>
      <c r="B56" s="80"/>
      <c r="C56" s="101"/>
      <c r="D56" s="117"/>
      <c r="E56" s="2"/>
      <c r="F56" s="5"/>
      <c r="G56" s="83"/>
      <c r="H56" s="83"/>
      <c r="I56" s="96"/>
      <c r="J56" s="97"/>
      <c r="K56" s="39" t="s">
        <v>5</v>
      </c>
      <c r="L56" s="39">
        <v>6</v>
      </c>
      <c r="M56" s="39">
        <v>6</v>
      </c>
      <c r="N56" s="39">
        <v>6</v>
      </c>
      <c r="O56" s="39">
        <v>77</v>
      </c>
      <c r="P56" s="39">
        <v>83</v>
      </c>
      <c r="Q56" s="39">
        <v>62</v>
      </c>
      <c r="R56" s="33">
        <f t="shared" si="37"/>
        <v>1540000000</v>
      </c>
      <c r="S56" s="33">
        <f t="shared" si="38"/>
        <v>1660000000</v>
      </c>
      <c r="T56" s="33">
        <f t="shared" si="39"/>
        <v>1240000000</v>
      </c>
      <c r="U56" s="3">
        <f t="shared" ref="U56:U68" si="64">(((O56/0.05)*10^L56)+((P56/0.05)*10^M56)+((Q56/0.05)*10^N56))/3</f>
        <v>1480000000</v>
      </c>
      <c r="V56" s="114"/>
      <c r="W56" s="104"/>
      <c r="X56" s="104"/>
      <c r="Y56" s="106"/>
      <c r="Z56" s="104"/>
      <c r="AA56" s="104"/>
      <c r="AB56" s="106"/>
      <c r="AC56" s="106"/>
    </row>
    <row r="57" spans="1:31" x14ac:dyDescent="0.25">
      <c r="A57" s="105"/>
      <c r="B57" s="78" t="s">
        <v>21</v>
      </c>
      <c r="C57" s="85">
        <f>C54/2</f>
        <v>29270833.333333001</v>
      </c>
      <c r="D57" s="117"/>
      <c r="E57" s="1">
        <v>10</v>
      </c>
      <c r="F57" s="26">
        <v>5</v>
      </c>
      <c r="G57" s="81">
        <f t="shared" ref="G57" si="65">G54</f>
        <v>4000000</v>
      </c>
      <c r="H57" s="81">
        <f>H54/2</f>
        <v>58541.666666666242</v>
      </c>
      <c r="I57" s="88">
        <f t="shared" ref="I57" si="66">H57/G57</f>
        <v>1.4635416666666561E-2</v>
      </c>
      <c r="J57" s="91">
        <v>10</v>
      </c>
      <c r="K57" s="36" t="s">
        <v>3</v>
      </c>
      <c r="L57" s="36">
        <v>7</v>
      </c>
      <c r="M57" s="36">
        <v>7</v>
      </c>
      <c r="N57" s="36">
        <v>7</v>
      </c>
      <c r="O57" s="36">
        <v>7</v>
      </c>
      <c r="P57" s="36">
        <v>12</v>
      </c>
      <c r="Q57" s="36">
        <v>14</v>
      </c>
      <c r="R57" s="32">
        <f t="shared" si="37"/>
        <v>1400000000</v>
      </c>
      <c r="S57" s="32">
        <f t="shared" si="38"/>
        <v>2400000000</v>
      </c>
      <c r="T57" s="32">
        <f t="shared" si="39"/>
        <v>2800000000</v>
      </c>
      <c r="U57" s="6">
        <f t="shared" si="64"/>
        <v>2200000000</v>
      </c>
      <c r="V57" s="108">
        <v>250</v>
      </c>
      <c r="W57" s="111">
        <v>1</v>
      </c>
      <c r="X57" s="111">
        <v>5</v>
      </c>
      <c r="Y57" s="107">
        <v>8</v>
      </c>
      <c r="Z57" s="103">
        <f t="shared" ref="Z57:AB57" si="67">W57*4</f>
        <v>4</v>
      </c>
      <c r="AA57" s="103">
        <f t="shared" si="67"/>
        <v>20</v>
      </c>
      <c r="AB57" s="105">
        <f t="shared" si="67"/>
        <v>32</v>
      </c>
      <c r="AC57" s="107">
        <f>((Y57+W57)/2)*(1000/V57)</f>
        <v>18</v>
      </c>
    </row>
    <row r="58" spans="1:31" x14ac:dyDescent="0.25">
      <c r="A58" s="105"/>
      <c r="B58" s="79"/>
      <c r="C58" s="86"/>
      <c r="D58" s="117"/>
      <c r="F58" s="7"/>
      <c r="G58" s="82"/>
      <c r="H58" s="82"/>
      <c r="I58" s="89"/>
      <c r="J58" s="92"/>
      <c r="K58" s="18" t="s">
        <v>4</v>
      </c>
      <c r="L58" s="18">
        <v>6</v>
      </c>
      <c r="M58" s="18">
        <v>6</v>
      </c>
      <c r="N58" s="18">
        <v>6</v>
      </c>
      <c r="O58" s="18">
        <v>14</v>
      </c>
      <c r="P58" s="18">
        <v>19</v>
      </c>
      <c r="Q58" s="18">
        <v>18</v>
      </c>
      <c r="R58" s="32">
        <f t="shared" si="37"/>
        <v>280000000</v>
      </c>
      <c r="S58" s="32">
        <f t="shared" si="38"/>
        <v>380000000</v>
      </c>
      <c r="T58" s="32">
        <f t="shared" si="39"/>
        <v>360000000</v>
      </c>
      <c r="U58" s="6">
        <f t="shared" si="64"/>
        <v>340000000</v>
      </c>
      <c r="V58" s="109"/>
      <c r="W58" s="103"/>
      <c r="X58" s="103"/>
      <c r="Y58" s="105"/>
      <c r="Z58" s="103"/>
      <c r="AA58" s="103"/>
      <c r="AB58" s="105"/>
      <c r="AC58" s="105"/>
      <c r="AD58" s="52" t="s">
        <v>64</v>
      </c>
      <c r="AE58">
        <v>1.5</v>
      </c>
    </row>
    <row r="59" spans="1:31" x14ac:dyDescent="0.25">
      <c r="A59" s="105"/>
      <c r="B59" s="80"/>
      <c r="C59" s="101"/>
      <c r="D59" s="117"/>
      <c r="E59" s="2"/>
      <c r="F59" s="5"/>
      <c r="G59" s="83"/>
      <c r="H59" s="83"/>
      <c r="I59" s="102"/>
      <c r="J59" s="97"/>
      <c r="K59" s="39" t="s">
        <v>5</v>
      </c>
      <c r="L59" s="39">
        <v>6</v>
      </c>
      <c r="M59" s="39">
        <v>6</v>
      </c>
      <c r="N59" s="39">
        <v>6</v>
      </c>
      <c r="O59" s="39">
        <v>61</v>
      </c>
      <c r="P59" s="39">
        <v>69</v>
      </c>
      <c r="Q59" s="39">
        <v>70</v>
      </c>
      <c r="R59" s="33">
        <f t="shared" si="37"/>
        <v>1220000000</v>
      </c>
      <c r="S59" s="33">
        <f t="shared" si="38"/>
        <v>1380000000</v>
      </c>
      <c r="T59" s="33">
        <f t="shared" si="39"/>
        <v>1400000000</v>
      </c>
      <c r="U59" s="3">
        <f t="shared" si="64"/>
        <v>1333333333.3333333</v>
      </c>
      <c r="V59" s="114"/>
      <c r="W59" s="104"/>
      <c r="X59" s="104"/>
      <c r="Y59" s="106"/>
      <c r="Z59" s="104"/>
      <c r="AA59" s="104"/>
      <c r="AB59" s="106"/>
      <c r="AC59" s="106"/>
    </row>
    <row r="60" spans="1:31" x14ac:dyDescent="0.25">
      <c r="A60" s="105"/>
      <c r="B60" s="78" t="s">
        <v>47</v>
      </c>
      <c r="C60" s="85" t="e">
        <f>#REF!/2</f>
        <v>#REF!</v>
      </c>
      <c r="D60" s="117"/>
      <c r="E60" s="1">
        <v>10</v>
      </c>
      <c r="F60" s="26">
        <v>5</v>
      </c>
      <c r="G60" s="81">
        <f>G57</f>
        <v>4000000</v>
      </c>
      <c r="H60" s="81">
        <f>H57/2</f>
        <v>29270.833333333121</v>
      </c>
      <c r="I60" s="88">
        <f>H60/G60</f>
        <v>7.3177083333332803E-3</v>
      </c>
      <c r="J60" s="91">
        <v>10</v>
      </c>
      <c r="K60" s="36" t="s">
        <v>3</v>
      </c>
      <c r="L60" s="36">
        <v>7</v>
      </c>
      <c r="M60" s="36">
        <v>7</v>
      </c>
      <c r="N60" s="36">
        <v>7</v>
      </c>
      <c r="O60" s="36">
        <v>7</v>
      </c>
      <c r="P60" s="36">
        <v>10</v>
      </c>
      <c r="Q60" s="36">
        <v>11</v>
      </c>
      <c r="R60" s="32">
        <f t="shared" si="37"/>
        <v>1400000000</v>
      </c>
      <c r="S60" s="32">
        <f t="shared" si="38"/>
        <v>2000000000</v>
      </c>
      <c r="T60" s="32">
        <f t="shared" si="39"/>
        <v>2200000000</v>
      </c>
      <c r="U60" s="6">
        <f t="shared" si="64"/>
        <v>1866666666.6666667</v>
      </c>
      <c r="V60" s="108">
        <v>250</v>
      </c>
      <c r="W60" s="111">
        <v>0</v>
      </c>
      <c r="X60" s="111">
        <v>0</v>
      </c>
      <c r="Y60" s="107">
        <v>2</v>
      </c>
      <c r="Z60" s="103">
        <f t="shared" ref="Z60:AB60" si="68">W60*4</f>
        <v>0</v>
      </c>
      <c r="AA60" s="103">
        <f t="shared" si="68"/>
        <v>0</v>
      </c>
      <c r="AB60" s="105">
        <f t="shared" si="68"/>
        <v>8</v>
      </c>
      <c r="AC60" s="107">
        <f t="shared" ref="AC60" si="69">((Y60+W60+X60)/3)*(1000/V60)</f>
        <v>2.6666666666666665</v>
      </c>
    </row>
    <row r="61" spans="1:31" x14ac:dyDescent="0.25">
      <c r="A61" s="105"/>
      <c r="B61" s="79"/>
      <c r="C61" s="86"/>
      <c r="D61" s="117"/>
      <c r="F61" s="7"/>
      <c r="G61" s="82"/>
      <c r="H61" s="82"/>
      <c r="I61" s="89"/>
      <c r="J61" s="92"/>
      <c r="K61" s="18" t="s">
        <v>4</v>
      </c>
      <c r="L61" s="18">
        <v>6</v>
      </c>
      <c r="M61" s="18">
        <v>6</v>
      </c>
      <c r="N61" s="18">
        <v>6</v>
      </c>
      <c r="O61" s="18">
        <v>20</v>
      </c>
      <c r="P61" s="18">
        <v>22</v>
      </c>
      <c r="Q61" s="18">
        <v>16</v>
      </c>
      <c r="R61" s="32">
        <f t="shared" si="37"/>
        <v>400000000</v>
      </c>
      <c r="S61" s="32">
        <f t="shared" si="38"/>
        <v>440000000</v>
      </c>
      <c r="T61" s="32">
        <f t="shared" si="39"/>
        <v>320000000</v>
      </c>
      <c r="U61" s="6">
        <f t="shared" si="64"/>
        <v>386666666.66666669</v>
      </c>
      <c r="V61" s="109"/>
      <c r="W61" s="103"/>
      <c r="X61" s="103"/>
      <c r="Y61" s="105"/>
      <c r="Z61" s="103"/>
      <c r="AA61" s="103"/>
      <c r="AB61" s="105"/>
      <c r="AC61" s="105"/>
      <c r="AD61" s="52" t="s">
        <v>64</v>
      </c>
      <c r="AE61">
        <v>1.5</v>
      </c>
    </row>
    <row r="62" spans="1:31" x14ac:dyDescent="0.25">
      <c r="A62" s="105"/>
      <c r="B62" s="80"/>
      <c r="C62" s="101"/>
      <c r="D62" s="117"/>
      <c r="E62" s="2"/>
      <c r="F62" s="5"/>
      <c r="G62" s="83"/>
      <c r="H62" s="83"/>
      <c r="I62" s="102"/>
      <c r="J62" s="97"/>
      <c r="K62" s="39" t="s">
        <v>5</v>
      </c>
      <c r="L62" s="39">
        <v>6</v>
      </c>
      <c r="M62" s="39">
        <v>6</v>
      </c>
      <c r="N62" s="39">
        <v>6</v>
      </c>
      <c r="O62" s="39">
        <v>86</v>
      </c>
      <c r="P62" s="39">
        <v>93</v>
      </c>
      <c r="Q62" s="39">
        <v>81</v>
      </c>
      <c r="R62" s="33">
        <f t="shared" si="37"/>
        <v>1720000000</v>
      </c>
      <c r="S62" s="33">
        <f t="shared" si="38"/>
        <v>1860000000</v>
      </c>
      <c r="T62" s="33">
        <f t="shared" si="39"/>
        <v>1620000000</v>
      </c>
      <c r="U62" s="3">
        <f t="shared" si="64"/>
        <v>1733333333.3333333</v>
      </c>
      <c r="V62" s="114"/>
      <c r="W62" s="104"/>
      <c r="X62" s="104"/>
      <c r="Y62" s="106"/>
      <c r="Z62" s="104"/>
      <c r="AA62" s="104"/>
      <c r="AB62" s="106"/>
      <c r="AC62" s="106"/>
    </row>
    <row r="63" spans="1:31" x14ac:dyDescent="0.25">
      <c r="A63" s="105"/>
      <c r="B63" s="78" t="s">
        <v>48</v>
      </c>
      <c r="C63" s="85" t="e">
        <f t="shared" ref="C63" si="70">C60/2</f>
        <v>#REF!</v>
      </c>
      <c r="D63" s="117"/>
      <c r="E63" s="1">
        <v>10</v>
      </c>
      <c r="F63" s="26">
        <v>5</v>
      </c>
      <c r="G63" s="81">
        <f t="shared" ref="G63" si="71">G60</f>
        <v>4000000</v>
      </c>
      <c r="H63" s="81">
        <f>H60/2</f>
        <v>14635.416666666561</v>
      </c>
      <c r="I63" s="88">
        <f t="shared" ref="I63" si="72">H63/G63</f>
        <v>3.6588541666666401E-3</v>
      </c>
      <c r="J63" s="91">
        <v>10</v>
      </c>
      <c r="K63" s="36" t="s">
        <v>3</v>
      </c>
      <c r="L63" s="36">
        <v>7</v>
      </c>
      <c r="M63" s="36">
        <v>7</v>
      </c>
      <c r="N63" s="36">
        <v>6</v>
      </c>
      <c r="O63" s="36">
        <v>9</v>
      </c>
      <c r="P63" s="36">
        <v>7</v>
      </c>
      <c r="Q63" s="36">
        <v>94</v>
      </c>
      <c r="R63" s="32">
        <f t="shared" ref="R63:R68" si="73">(O63/0.05)*10^L63</f>
        <v>1800000000</v>
      </c>
      <c r="S63" s="32">
        <f t="shared" ref="S63:S65" si="74">(P63/0.05)*10^M63</f>
        <v>1400000000</v>
      </c>
      <c r="T63" s="32">
        <f t="shared" ref="T63:T68" si="75">(Q63/0.05)*10^N63</f>
        <v>1880000000</v>
      </c>
      <c r="U63" s="6">
        <f t="shared" si="64"/>
        <v>1693333333.3333333</v>
      </c>
      <c r="V63" s="109">
        <v>250</v>
      </c>
      <c r="W63" s="111">
        <v>0</v>
      </c>
      <c r="X63" s="111">
        <v>2</v>
      </c>
      <c r="Y63" s="107">
        <v>2</v>
      </c>
      <c r="Z63" s="103">
        <f t="shared" ref="Z63:AB63" si="76">W63*4</f>
        <v>0</v>
      </c>
      <c r="AA63" s="103">
        <f t="shared" si="76"/>
        <v>8</v>
      </c>
      <c r="AB63" s="105">
        <f t="shared" si="76"/>
        <v>8</v>
      </c>
      <c r="AC63" s="107">
        <f t="shared" ref="AC63" si="77">((Y63+W63+X63)/3)*(1000/V63)</f>
        <v>5.333333333333333</v>
      </c>
    </row>
    <row r="64" spans="1:31" x14ac:dyDescent="0.25">
      <c r="A64" s="105"/>
      <c r="B64" s="79"/>
      <c r="C64" s="86"/>
      <c r="D64" s="117"/>
      <c r="F64" s="7"/>
      <c r="G64" s="82"/>
      <c r="H64" s="82"/>
      <c r="I64" s="89"/>
      <c r="J64" s="92"/>
      <c r="K64" s="18" t="s">
        <v>4</v>
      </c>
      <c r="L64" s="18">
        <v>6</v>
      </c>
      <c r="M64" s="18">
        <v>6</v>
      </c>
      <c r="N64" s="18">
        <v>6</v>
      </c>
      <c r="O64" s="18">
        <v>23</v>
      </c>
      <c r="P64" s="18">
        <v>16</v>
      </c>
      <c r="Q64" s="18">
        <v>19</v>
      </c>
      <c r="R64" s="32">
        <f t="shared" si="73"/>
        <v>460000000</v>
      </c>
      <c r="S64" s="32">
        <f t="shared" si="74"/>
        <v>320000000</v>
      </c>
      <c r="T64" s="32">
        <f t="shared" si="75"/>
        <v>380000000</v>
      </c>
      <c r="U64" s="6">
        <f t="shared" si="64"/>
        <v>386666666.66666669</v>
      </c>
      <c r="V64" s="109"/>
      <c r="W64" s="103"/>
      <c r="X64" s="103"/>
      <c r="Y64" s="105"/>
      <c r="Z64" s="103"/>
      <c r="AA64" s="103"/>
      <c r="AB64" s="105"/>
      <c r="AC64" s="105"/>
      <c r="AD64" s="52" t="s">
        <v>64</v>
      </c>
      <c r="AE64">
        <v>1.5</v>
      </c>
    </row>
    <row r="65" spans="1:34" x14ac:dyDescent="0.25">
      <c r="A65" s="105"/>
      <c r="B65" s="80"/>
      <c r="C65" s="101"/>
      <c r="D65" s="117"/>
      <c r="E65" s="2"/>
      <c r="F65" s="5"/>
      <c r="G65" s="83"/>
      <c r="H65" s="83"/>
      <c r="I65" s="102"/>
      <c r="J65" s="97"/>
      <c r="K65" s="39" t="s">
        <v>5</v>
      </c>
      <c r="L65" s="39">
        <v>6</v>
      </c>
      <c r="M65" s="39">
        <v>6</v>
      </c>
      <c r="N65" s="39">
        <v>6</v>
      </c>
      <c r="O65" s="39">
        <v>68</v>
      </c>
      <c r="P65" s="39">
        <v>69</v>
      </c>
      <c r="Q65" s="39">
        <v>71</v>
      </c>
      <c r="R65" s="33">
        <f t="shared" si="73"/>
        <v>1360000000</v>
      </c>
      <c r="S65" s="33">
        <f t="shared" si="74"/>
        <v>1380000000</v>
      </c>
      <c r="T65" s="33">
        <f t="shared" si="75"/>
        <v>1420000000</v>
      </c>
      <c r="U65" s="3">
        <f t="shared" si="64"/>
        <v>1386666666.6666667</v>
      </c>
      <c r="V65" s="114"/>
      <c r="W65" s="104"/>
      <c r="X65" s="104"/>
      <c r="Y65" s="106"/>
      <c r="Z65" s="104"/>
      <c r="AA65" s="104"/>
      <c r="AB65" s="106"/>
      <c r="AC65" s="106"/>
    </row>
    <row r="66" spans="1:34" x14ac:dyDescent="0.25">
      <c r="A66" s="105"/>
      <c r="B66" s="78" t="s">
        <v>49</v>
      </c>
      <c r="C66" s="81" t="e">
        <f t="shared" ref="C66" si="78">C63/2</f>
        <v>#REF!</v>
      </c>
      <c r="D66" s="117"/>
      <c r="E66" s="1">
        <v>10</v>
      </c>
      <c r="F66" s="26">
        <v>5</v>
      </c>
      <c r="G66" s="81">
        <f>G63</f>
        <v>4000000</v>
      </c>
      <c r="H66" s="85">
        <f>H63/2</f>
        <v>7317.7083333332803</v>
      </c>
      <c r="I66" s="88">
        <f t="shared" ref="I66" si="79">H66/G66</f>
        <v>1.8294270833333201E-3</v>
      </c>
      <c r="J66" s="91">
        <v>10</v>
      </c>
      <c r="K66" s="36" t="s">
        <v>3</v>
      </c>
      <c r="L66" s="36">
        <v>7</v>
      </c>
      <c r="M66" s="36">
        <v>7</v>
      </c>
      <c r="N66" s="36">
        <v>7</v>
      </c>
      <c r="O66" s="36">
        <v>8</v>
      </c>
      <c r="P66" s="36">
        <v>15</v>
      </c>
      <c r="Q66" s="36">
        <v>10</v>
      </c>
      <c r="R66" s="34">
        <f t="shared" si="73"/>
        <v>1600000000</v>
      </c>
      <c r="S66" s="34">
        <f>(P66/0.05)*10^M66</f>
        <v>3000000000</v>
      </c>
      <c r="T66" s="34">
        <f t="shared" si="75"/>
        <v>2000000000</v>
      </c>
      <c r="U66" s="13">
        <f t="shared" si="64"/>
        <v>2200000000</v>
      </c>
      <c r="V66" s="108">
        <v>250</v>
      </c>
      <c r="W66" s="111">
        <v>0</v>
      </c>
      <c r="X66" s="111">
        <v>3</v>
      </c>
      <c r="Y66" s="107">
        <v>0</v>
      </c>
      <c r="Z66" s="111">
        <f t="shared" ref="Z66:AB66" si="80">W66*4</f>
        <v>0</v>
      </c>
      <c r="AA66" s="111">
        <f t="shared" si="80"/>
        <v>12</v>
      </c>
      <c r="AB66" s="107">
        <f t="shared" si="80"/>
        <v>0</v>
      </c>
      <c r="AC66" s="107">
        <f t="shared" ref="AC66" si="81">((Y66+W66+X66)/3)*(1000/V66)</f>
        <v>4</v>
      </c>
    </row>
    <row r="67" spans="1:34" x14ac:dyDescent="0.25">
      <c r="A67" s="105"/>
      <c r="B67" s="79"/>
      <c r="C67" s="82"/>
      <c r="D67" s="117"/>
      <c r="F67" s="7"/>
      <c r="G67" s="82"/>
      <c r="H67" s="86"/>
      <c r="I67" s="89"/>
      <c r="J67" s="92"/>
      <c r="K67" s="18" t="s">
        <v>4</v>
      </c>
      <c r="L67" s="18">
        <v>6</v>
      </c>
      <c r="M67" s="18">
        <v>6</v>
      </c>
      <c r="N67" s="18">
        <v>6</v>
      </c>
      <c r="O67" s="18">
        <v>15</v>
      </c>
      <c r="P67" s="18">
        <v>31</v>
      </c>
      <c r="Q67" s="18">
        <v>28</v>
      </c>
      <c r="R67" s="32">
        <f t="shared" si="73"/>
        <v>300000000</v>
      </c>
      <c r="S67" s="32">
        <f>(P67/0.05)*10^M67</f>
        <v>620000000</v>
      </c>
      <c r="T67" s="32">
        <f t="shared" si="75"/>
        <v>560000000</v>
      </c>
      <c r="U67" s="6">
        <f t="shared" si="64"/>
        <v>493333333.33333331</v>
      </c>
      <c r="V67" s="109"/>
      <c r="W67" s="103"/>
      <c r="X67" s="103"/>
      <c r="Y67" s="105"/>
      <c r="Z67" s="103"/>
      <c r="AA67" s="103"/>
      <c r="AB67" s="105"/>
      <c r="AC67" s="105"/>
      <c r="AD67" s="52" t="s">
        <v>64</v>
      </c>
      <c r="AE67">
        <v>1.5</v>
      </c>
    </row>
    <row r="68" spans="1:34" ht="15.75" thickBot="1" x14ac:dyDescent="0.3">
      <c r="A68" s="106"/>
      <c r="B68" s="80"/>
      <c r="C68" s="83"/>
      <c r="D68" s="118"/>
      <c r="E68" s="2"/>
      <c r="F68" s="5"/>
      <c r="G68" s="84"/>
      <c r="H68" s="87"/>
      <c r="I68" s="90"/>
      <c r="J68" s="93"/>
      <c r="K68" s="37" t="s">
        <v>5</v>
      </c>
      <c r="L68" s="37">
        <v>6</v>
      </c>
      <c r="M68" s="37">
        <v>6</v>
      </c>
      <c r="N68" s="37">
        <v>7</v>
      </c>
      <c r="O68" s="37">
        <v>60</v>
      </c>
      <c r="P68" s="37">
        <v>118</v>
      </c>
      <c r="Q68" s="37">
        <v>13</v>
      </c>
      <c r="R68" s="50">
        <f t="shared" si="73"/>
        <v>1200000000</v>
      </c>
      <c r="S68" s="50">
        <f>(P68/0.05)*10^M68</f>
        <v>2360000000</v>
      </c>
      <c r="T68" s="50">
        <f t="shared" si="75"/>
        <v>2600000000</v>
      </c>
      <c r="U68" s="51">
        <f t="shared" si="64"/>
        <v>2053333333.3333333</v>
      </c>
      <c r="V68" s="110"/>
      <c r="W68" s="112"/>
      <c r="X68" s="112"/>
      <c r="Y68" s="113"/>
      <c r="Z68" s="112"/>
      <c r="AA68" s="112"/>
      <c r="AB68" s="113"/>
      <c r="AC68" s="113"/>
    </row>
    <row r="69" spans="1:34" x14ac:dyDescent="0.25">
      <c r="I69"/>
      <c r="J69"/>
    </row>
    <row r="70" spans="1:34" x14ac:dyDescent="0.25">
      <c r="I70"/>
      <c r="J70"/>
      <c r="AF70">
        <f>SUM(AE4:AE69)</f>
        <v>42</v>
      </c>
      <c r="AG70">
        <f>AF70*3</f>
        <v>126</v>
      </c>
    </row>
    <row r="71" spans="1:34" x14ac:dyDescent="0.25">
      <c r="I71"/>
      <c r="J71"/>
    </row>
    <row r="72" spans="1:34" x14ac:dyDescent="0.25">
      <c r="I72"/>
      <c r="J72"/>
      <c r="AG72">
        <v>126</v>
      </c>
      <c r="AH72" t="s">
        <v>69</v>
      </c>
    </row>
    <row r="73" spans="1:34" x14ac:dyDescent="0.25">
      <c r="I73"/>
      <c r="J73"/>
      <c r="AG73">
        <f>3*11*2</f>
        <v>66</v>
      </c>
      <c r="AH73" t="s">
        <v>68</v>
      </c>
    </row>
    <row r="75" spans="1:34" x14ac:dyDescent="0.25">
      <c r="AG75">
        <f>AG72+AG73</f>
        <v>192</v>
      </c>
      <c r="AH75" t="s">
        <v>70</v>
      </c>
    </row>
    <row r="76" spans="1:34" x14ac:dyDescent="0.25">
      <c r="AG76">
        <v>2880</v>
      </c>
      <c r="AH76" t="s">
        <v>57</v>
      </c>
    </row>
    <row r="79" spans="1:34" x14ac:dyDescent="0.25">
      <c r="AG79">
        <f>AG76/4</f>
        <v>720</v>
      </c>
      <c r="AH79" t="s">
        <v>71</v>
      </c>
    </row>
  </sheetData>
  <mergeCells count="330">
    <mergeCell ref="X42:X44"/>
    <mergeCell ref="Y42:Y44"/>
    <mergeCell ref="Z42:Z44"/>
    <mergeCell ref="AA42:AA44"/>
    <mergeCell ref="AB42:AB44"/>
    <mergeCell ref="AC42:AC44"/>
    <mergeCell ref="B45:B47"/>
    <mergeCell ref="C45:C47"/>
    <mergeCell ref="G45:G47"/>
    <mergeCell ref="H45:H47"/>
    <mergeCell ref="I45:I47"/>
    <mergeCell ref="J45:J47"/>
    <mergeCell ref="V45:V47"/>
    <mergeCell ref="W45:W47"/>
    <mergeCell ref="X45:X47"/>
    <mergeCell ref="Y45:Y47"/>
    <mergeCell ref="Z45:Z47"/>
    <mergeCell ref="AA45:AA47"/>
    <mergeCell ref="AB45:AB47"/>
    <mergeCell ref="AC45:AC47"/>
    <mergeCell ref="D36:D68"/>
    <mergeCell ref="X36:X38"/>
    <mergeCell ref="Y36:Y38"/>
    <mergeCell ref="Z36:Z38"/>
    <mergeCell ref="AB36:AB38"/>
    <mergeCell ref="AC36:AC38"/>
    <mergeCell ref="B39:B41"/>
    <mergeCell ref="C39:C41"/>
    <mergeCell ref="G39:G41"/>
    <mergeCell ref="H39:H41"/>
    <mergeCell ref="I39:I41"/>
    <mergeCell ref="J39:J41"/>
    <mergeCell ref="V39:V41"/>
    <mergeCell ref="W39:W41"/>
    <mergeCell ref="X39:X41"/>
    <mergeCell ref="Y39:Y41"/>
    <mergeCell ref="Z39:Z41"/>
    <mergeCell ref="AA39:AA41"/>
    <mergeCell ref="AB39:AB41"/>
    <mergeCell ref="AC39:AC41"/>
    <mergeCell ref="AA36:AA38"/>
    <mergeCell ref="Y6:Y8"/>
    <mergeCell ref="Z6:Z8"/>
    <mergeCell ref="AA6:AA8"/>
    <mergeCell ref="J9:J11"/>
    <mergeCell ref="V9:V11"/>
    <mergeCell ref="W9:W11"/>
    <mergeCell ref="X9:X11"/>
    <mergeCell ref="Y9:Y11"/>
    <mergeCell ref="Z9:Z11"/>
    <mergeCell ref="AA9:AA11"/>
    <mergeCell ref="J27:J29"/>
    <mergeCell ref="J30:J32"/>
    <mergeCell ref="V27:V29"/>
    <mergeCell ref="W27:W29"/>
    <mergeCell ref="V30:V32"/>
    <mergeCell ref="B12:B14"/>
    <mergeCell ref="C12:C14"/>
    <mergeCell ref="G12:G14"/>
    <mergeCell ref="I9:I11"/>
    <mergeCell ref="G27:G29"/>
    <mergeCell ref="H27:H29"/>
    <mergeCell ref="I27:I29"/>
    <mergeCell ref="J6:J8"/>
    <mergeCell ref="V6:V8"/>
    <mergeCell ref="H12:H14"/>
    <mergeCell ref="I12:I14"/>
    <mergeCell ref="J12:J14"/>
    <mergeCell ref="V12:V14"/>
    <mergeCell ref="H18:H20"/>
    <mergeCell ref="I18:I20"/>
    <mergeCell ref="G30:G32"/>
    <mergeCell ref="J33:J35"/>
    <mergeCell ref="H30:H32"/>
    <mergeCell ref="I30:I32"/>
    <mergeCell ref="AB6:AB8"/>
    <mergeCell ref="AC6:AC8"/>
    <mergeCell ref="B3:B5"/>
    <mergeCell ref="C3:C5"/>
    <mergeCell ref="G3:G5"/>
    <mergeCell ref="H3:H5"/>
    <mergeCell ref="I3:I5"/>
    <mergeCell ref="J3:J5"/>
    <mergeCell ref="V3:V5"/>
    <mergeCell ref="W3:W5"/>
    <mergeCell ref="X3:X5"/>
    <mergeCell ref="Y3:Y5"/>
    <mergeCell ref="Z3:Z5"/>
    <mergeCell ref="AA3:AA5"/>
    <mergeCell ref="AB3:AB5"/>
    <mergeCell ref="AC3:AC5"/>
    <mergeCell ref="B6:B8"/>
    <mergeCell ref="C6:C8"/>
    <mergeCell ref="G6:G8"/>
    <mergeCell ref="H6:H8"/>
    <mergeCell ref="V33:V35"/>
    <mergeCell ref="W33:W35"/>
    <mergeCell ref="V48:V50"/>
    <mergeCell ref="W48:W50"/>
    <mergeCell ref="G63:G65"/>
    <mergeCell ref="H63:H65"/>
    <mergeCell ref="I63:I65"/>
    <mergeCell ref="J63:J65"/>
    <mergeCell ref="V63:V65"/>
    <mergeCell ref="W63:W65"/>
    <mergeCell ref="W36:W38"/>
    <mergeCell ref="W42:W44"/>
    <mergeCell ref="J36:J38"/>
    <mergeCell ref="V36:V38"/>
    <mergeCell ref="J42:J44"/>
    <mergeCell ref="V42:V44"/>
    <mergeCell ref="G33:G35"/>
    <mergeCell ref="H33:H35"/>
    <mergeCell ref="I33:I35"/>
    <mergeCell ref="G36:G38"/>
    <mergeCell ref="H36:H38"/>
    <mergeCell ref="I36:I38"/>
    <mergeCell ref="G42:G44"/>
    <mergeCell ref="H42:H44"/>
    <mergeCell ref="K1:K2"/>
    <mergeCell ref="F1:F2"/>
    <mergeCell ref="E1:E2"/>
    <mergeCell ref="D1:D2"/>
    <mergeCell ref="C1:C2"/>
    <mergeCell ref="I1:I2"/>
    <mergeCell ref="G1:G2"/>
    <mergeCell ref="H1:H2"/>
    <mergeCell ref="J1:J2"/>
    <mergeCell ref="A1:A2"/>
    <mergeCell ref="B1:B2"/>
    <mergeCell ref="J15:J17"/>
    <mergeCell ref="J18:J20"/>
    <mergeCell ref="J21:J23"/>
    <mergeCell ref="J24:J26"/>
    <mergeCell ref="H24:H26"/>
    <mergeCell ref="I24:I26"/>
    <mergeCell ref="G15:G17"/>
    <mergeCell ref="H15:H17"/>
    <mergeCell ref="I15:I17"/>
    <mergeCell ref="G18:G20"/>
    <mergeCell ref="B9:B11"/>
    <mergeCell ref="C9:C11"/>
    <mergeCell ref="G9:G11"/>
    <mergeCell ref="H9:H11"/>
    <mergeCell ref="I6:I8"/>
    <mergeCell ref="A3:A68"/>
    <mergeCell ref="D3:D35"/>
    <mergeCell ref="B36:B38"/>
    <mergeCell ref="C36:C38"/>
    <mergeCell ref="B42:B44"/>
    <mergeCell ref="C42:C44"/>
    <mergeCell ref="I42:I44"/>
    <mergeCell ref="W30:W32"/>
    <mergeCell ref="G21:G23"/>
    <mergeCell ref="H21:H23"/>
    <mergeCell ref="I21:I23"/>
    <mergeCell ref="G24:G26"/>
    <mergeCell ref="B15:B17"/>
    <mergeCell ref="B54:B56"/>
    <mergeCell ref="C54:C56"/>
    <mergeCell ref="B63:B65"/>
    <mergeCell ref="C63:C65"/>
    <mergeCell ref="B24:B26"/>
    <mergeCell ref="B21:B23"/>
    <mergeCell ref="B48:B50"/>
    <mergeCell ref="C48:C50"/>
    <mergeCell ref="B33:B35"/>
    <mergeCell ref="B30:B32"/>
    <mergeCell ref="B60:B62"/>
    <mergeCell ref="C60:C62"/>
    <mergeCell ref="V18:V20"/>
    <mergeCell ref="W18:W20"/>
    <mergeCell ref="V24:V26"/>
    <mergeCell ref="W24:W26"/>
    <mergeCell ref="V54:V56"/>
    <mergeCell ref="W54:W56"/>
    <mergeCell ref="U1:U2"/>
    <mergeCell ref="V1:V2"/>
    <mergeCell ref="W1:Y1"/>
    <mergeCell ref="Z1:AB1"/>
    <mergeCell ref="AC1:AC2"/>
    <mergeCell ref="V15:V17"/>
    <mergeCell ref="W15:W17"/>
    <mergeCell ref="X15:X17"/>
    <mergeCell ref="Y15:Y17"/>
    <mergeCell ref="Z15:Z17"/>
    <mergeCell ref="AA15:AA17"/>
    <mergeCell ref="AB15:AB17"/>
    <mergeCell ref="AC15:AC17"/>
    <mergeCell ref="W12:W14"/>
    <mergeCell ref="X12:X14"/>
    <mergeCell ref="W6:W8"/>
    <mergeCell ref="X6:X8"/>
    <mergeCell ref="Y12:Y14"/>
    <mergeCell ref="Z12:Z14"/>
    <mergeCell ref="AA12:AA14"/>
    <mergeCell ref="AB12:AB14"/>
    <mergeCell ref="AC12:AC14"/>
    <mergeCell ref="AC9:AC11"/>
    <mergeCell ref="AB9:AB11"/>
    <mergeCell ref="X18:X20"/>
    <mergeCell ref="Y18:Y20"/>
    <mergeCell ref="Z18:Z20"/>
    <mergeCell ref="AA18:AA20"/>
    <mergeCell ref="AB18:AB20"/>
    <mergeCell ref="AC18:AC20"/>
    <mergeCell ref="V21:V23"/>
    <mergeCell ref="W21:W23"/>
    <mergeCell ref="X21:X23"/>
    <mergeCell ref="Y21:Y23"/>
    <mergeCell ref="Z21:Z23"/>
    <mergeCell ref="AA21:AA23"/>
    <mergeCell ref="AB21:AB23"/>
    <mergeCell ref="AC21:AC23"/>
    <mergeCell ref="X24:X26"/>
    <mergeCell ref="Y24:Y26"/>
    <mergeCell ref="Z24:Z26"/>
    <mergeCell ref="AA24:AA26"/>
    <mergeCell ref="AB24:AB26"/>
    <mergeCell ref="AC24:AC26"/>
    <mergeCell ref="X27:X29"/>
    <mergeCell ref="Y27:Y29"/>
    <mergeCell ref="Z27:Z29"/>
    <mergeCell ref="AA27:AA29"/>
    <mergeCell ref="AB27:AB29"/>
    <mergeCell ref="AC27:AC29"/>
    <mergeCell ref="X30:X32"/>
    <mergeCell ref="Y30:Y32"/>
    <mergeCell ref="Z30:Z32"/>
    <mergeCell ref="AA30:AA32"/>
    <mergeCell ref="AB30:AB32"/>
    <mergeCell ref="AC30:AC32"/>
    <mergeCell ref="X33:X35"/>
    <mergeCell ref="Y33:Y35"/>
    <mergeCell ref="Z33:Z35"/>
    <mergeCell ref="AA33:AA35"/>
    <mergeCell ref="AB33:AB35"/>
    <mergeCell ref="AC33:AC35"/>
    <mergeCell ref="X48:X50"/>
    <mergeCell ref="Y48:Y50"/>
    <mergeCell ref="Z48:Z50"/>
    <mergeCell ref="AA48:AA50"/>
    <mergeCell ref="AB48:AB50"/>
    <mergeCell ref="AC48:AC50"/>
    <mergeCell ref="B51:B53"/>
    <mergeCell ref="C51:C53"/>
    <mergeCell ref="G51:G53"/>
    <mergeCell ref="H51:H53"/>
    <mergeCell ref="I51:I53"/>
    <mergeCell ref="J51:J53"/>
    <mergeCell ref="V51:V53"/>
    <mergeCell ref="W51:W53"/>
    <mergeCell ref="X51:X53"/>
    <mergeCell ref="Y51:Y53"/>
    <mergeCell ref="Z51:Z53"/>
    <mergeCell ref="AA51:AA53"/>
    <mergeCell ref="AB51:AB53"/>
    <mergeCell ref="AC51:AC53"/>
    <mergeCell ref="H48:H50"/>
    <mergeCell ref="G48:G50"/>
    <mergeCell ref="J48:J50"/>
    <mergeCell ref="I48:I50"/>
    <mergeCell ref="X54:X56"/>
    <mergeCell ref="Y54:Y56"/>
    <mergeCell ref="Z54:Z56"/>
    <mergeCell ref="AA54:AA56"/>
    <mergeCell ref="AB54:AB56"/>
    <mergeCell ref="AC54:AC56"/>
    <mergeCell ref="B57:B59"/>
    <mergeCell ref="C57:C59"/>
    <mergeCell ref="G57:G59"/>
    <mergeCell ref="H57:H59"/>
    <mergeCell ref="I57:I59"/>
    <mergeCell ref="J57:J59"/>
    <mergeCell ref="V57:V59"/>
    <mergeCell ref="W57:W59"/>
    <mergeCell ref="X57:X59"/>
    <mergeCell ref="Y57:Y59"/>
    <mergeCell ref="Z57:Z59"/>
    <mergeCell ref="AA57:AA59"/>
    <mergeCell ref="AB57:AB59"/>
    <mergeCell ref="AC57:AC59"/>
    <mergeCell ref="G54:G56"/>
    <mergeCell ref="H54:H56"/>
    <mergeCell ref="AA60:AA62"/>
    <mergeCell ref="AB60:AB62"/>
    <mergeCell ref="AC60:AC62"/>
    <mergeCell ref="V66:V68"/>
    <mergeCell ref="X63:X65"/>
    <mergeCell ref="Y63:Y65"/>
    <mergeCell ref="Z63:Z65"/>
    <mergeCell ref="AA63:AA65"/>
    <mergeCell ref="AB63:AB65"/>
    <mergeCell ref="AC63:AC65"/>
    <mergeCell ref="X66:X68"/>
    <mergeCell ref="Y66:Y68"/>
    <mergeCell ref="Z66:Z68"/>
    <mergeCell ref="AA66:AA68"/>
    <mergeCell ref="AB66:AB68"/>
    <mergeCell ref="AC66:AC68"/>
    <mergeCell ref="W66:W68"/>
    <mergeCell ref="V60:V62"/>
    <mergeCell ref="W60:W62"/>
    <mergeCell ref="X60:X62"/>
    <mergeCell ref="Y60:Y62"/>
    <mergeCell ref="Z60:Z62"/>
    <mergeCell ref="O1:Q1"/>
    <mergeCell ref="L1:N1"/>
    <mergeCell ref="R1:T1"/>
    <mergeCell ref="B66:B68"/>
    <mergeCell ref="C66:C68"/>
    <mergeCell ref="G66:G68"/>
    <mergeCell ref="H66:H68"/>
    <mergeCell ref="I66:I68"/>
    <mergeCell ref="J66:J68"/>
    <mergeCell ref="I54:I56"/>
    <mergeCell ref="J54:J56"/>
    <mergeCell ref="B27:B29"/>
    <mergeCell ref="C15:C17"/>
    <mergeCell ref="C18:C20"/>
    <mergeCell ref="C33:C35"/>
    <mergeCell ref="C30:C32"/>
    <mergeCell ref="C27:C29"/>
    <mergeCell ref="C24:C26"/>
    <mergeCell ref="C21:C23"/>
    <mergeCell ref="G60:G62"/>
    <mergeCell ref="H60:H62"/>
    <mergeCell ref="I60:I62"/>
    <mergeCell ref="J60:J62"/>
    <mergeCell ref="B18:B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workbookViewId="0">
      <selection activeCell="G11" sqref="G11"/>
    </sheetView>
  </sheetViews>
  <sheetFormatPr defaultRowHeight="15" x14ac:dyDescent="0.25"/>
  <cols>
    <col min="1" max="1" width="24.42578125" bestFit="1" customWidth="1"/>
    <col min="2" max="5" width="9.42578125" customWidth="1"/>
    <col min="6" max="10" width="8.7109375" customWidth="1"/>
    <col min="11" max="11" width="12.5703125" bestFit="1" customWidth="1"/>
    <col min="13" max="13" width="20" customWidth="1"/>
    <col min="16" max="16" width="14.7109375" bestFit="1" customWidth="1"/>
  </cols>
  <sheetData>
    <row r="1" spans="1:16" x14ac:dyDescent="0.25">
      <c r="A1" s="157" t="s">
        <v>25</v>
      </c>
      <c r="B1" s="76" t="s">
        <v>8</v>
      </c>
      <c r="C1" s="77"/>
      <c r="D1" s="156"/>
      <c r="E1" s="76" t="s">
        <v>26</v>
      </c>
      <c r="F1" s="77"/>
      <c r="G1" s="156"/>
      <c r="H1" s="143" t="s">
        <v>28</v>
      </c>
      <c r="I1" s="143"/>
      <c r="J1" s="136"/>
      <c r="K1" s="138" t="s">
        <v>27</v>
      </c>
      <c r="P1" s="52"/>
    </row>
    <row r="2" spans="1:16" x14ac:dyDescent="0.25">
      <c r="A2" s="158"/>
      <c r="B2" s="15">
        <v>1</v>
      </c>
      <c r="C2" s="16">
        <v>2</v>
      </c>
      <c r="D2" s="17">
        <v>3</v>
      </c>
      <c r="E2" s="25">
        <v>1</v>
      </c>
      <c r="F2" s="1">
        <v>2</v>
      </c>
      <c r="G2" s="26">
        <v>3</v>
      </c>
      <c r="H2">
        <v>1</v>
      </c>
      <c r="I2">
        <v>2</v>
      </c>
      <c r="J2">
        <v>3</v>
      </c>
      <c r="K2" s="141"/>
      <c r="O2" s="52"/>
      <c r="P2" s="20" t="s">
        <v>73</v>
      </c>
    </row>
    <row r="3" spans="1:16" x14ac:dyDescent="0.25">
      <c r="A3" s="27" t="s">
        <v>61</v>
      </c>
      <c r="B3" s="21">
        <v>8</v>
      </c>
      <c r="C3" s="22">
        <v>8</v>
      </c>
      <c r="D3" s="22">
        <v>8</v>
      </c>
      <c r="E3" s="1">
        <v>8</v>
      </c>
      <c r="F3" s="1">
        <v>2</v>
      </c>
      <c r="G3" s="22">
        <v>0</v>
      </c>
      <c r="H3" s="29">
        <f t="shared" ref="H3:H6" si="0">E3*10^(1+B3)</f>
        <v>8000000000</v>
      </c>
      <c r="I3" s="29">
        <f t="shared" ref="I3:I6" si="1">F3*10^(1+C3)</f>
        <v>2000000000</v>
      </c>
      <c r="J3" s="29">
        <f t="shared" ref="J3:J8" si="2">G3*10^(1+D3)</f>
        <v>0</v>
      </c>
      <c r="K3" s="13">
        <f>SUM(H3:J3)/3</f>
        <v>3333333333.3333335</v>
      </c>
      <c r="M3" s="20" t="s">
        <v>56</v>
      </c>
      <c r="O3" s="9">
        <v>2</v>
      </c>
      <c r="P3" s="60" cm="1">
        <f t="array" ref="P3">SUM(O3:O13*2*3)</f>
        <v>150</v>
      </c>
    </row>
    <row r="4" spans="1:16" x14ac:dyDescent="0.25">
      <c r="A4" s="27" t="s">
        <v>60</v>
      </c>
      <c r="B4" s="23">
        <v>7</v>
      </c>
      <c r="C4" s="44">
        <v>7</v>
      </c>
      <c r="D4" s="44">
        <v>7</v>
      </c>
      <c r="E4" s="23">
        <v>0</v>
      </c>
      <c r="F4" s="44">
        <v>0</v>
      </c>
      <c r="G4" s="7">
        <v>1</v>
      </c>
      <c r="H4" s="4">
        <f t="shared" si="0"/>
        <v>0</v>
      </c>
      <c r="I4" s="4">
        <f t="shared" si="1"/>
        <v>0</v>
      </c>
      <c r="J4" s="4">
        <f t="shared" si="2"/>
        <v>100000000</v>
      </c>
      <c r="K4" s="6">
        <f>SUM(H4:J4)/3</f>
        <v>33333333.333333332</v>
      </c>
      <c r="M4" s="20" t="s">
        <v>62</v>
      </c>
      <c r="O4" s="9">
        <v>2</v>
      </c>
      <c r="P4" s="60"/>
    </row>
    <row r="5" spans="1:16" x14ac:dyDescent="0.25">
      <c r="A5" s="27" t="s">
        <v>59</v>
      </c>
      <c r="B5" s="23">
        <v>6</v>
      </c>
      <c r="C5" s="44">
        <v>6</v>
      </c>
      <c r="D5" s="44">
        <v>6</v>
      </c>
      <c r="E5" s="23">
        <v>0</v>
      </c>
      <c r="F5" s="59">
        <v>0</v>
      </c>
      <c r="G5" s="7">
        <v>0</v>
      </c>
      <c r="H5" s="4">
        <f t="shared" si="0"/>
        <v>0</v>
      </c>
      <c r="I5" s="4">
        <f t="shared" si="1"/>
        <v>0</v>
      </c>
      <c r="J5" s="4">
        <f t="shared" si="2"/>
        <v>0</v>
      </c>
      <c r="K5" s="6">
        <f>SUM(H5:J5)/3</f>
        <v>0</v>
      </c>
      <c r="M5" s="20" t="s">
        <v>63</v>
      </c>
      <c r="O5" s="9">
        <v>2</v>
      </c>
      <c r="P5" s="60" t="s">
        <v>74</v>
      </c>
    </row>
    <row r="6" spans="1:16" x14ac:dyDescent="0.25">
      <c r="A6" s="27" t="s">
        <v>58</v>
      </c>
      <c r="B6" s="23">
        <v>4</v>
      </c>
      <c r="C6" s="44">
        <v>4</v>
      </c>
      <c r="D6" s="55">
        <v>4</v>
      </c>
      <c r="E6" s="23">
        <v>9</v>
      </c>
      <c r="F6" s="44">
        <v>9</v>
      </c>
      <c r="G6" s="7">
        <v>15</v>
      </c>
      <c r="H6" s="57">
        <f t="shared" si="0"/>
        <v>900000</v>
      </c>
      <c r="I6" s="56">
        <f t="shared" si="1"/>
        <v>900000</v>
      </c>
      <c r="J6" s="58">
        <f t="shared" si="2"/>
        <v>1500000</v>
      </c>
      <c r="K6" s="6">
        <f t="shared" ref="K6" si="3">SUM(H6:J6)/3</f>
        <v>1100000</v>
      </c>
      <c r="M6" s="20" t="s">
        <v>72</v>
      </c>
      <c r="O6" s="9">
        <v>3</v>
      </c>
      <c r="P6" s="60">
        <f>P3*15</f>
        <v>2250</v>
      </c>
    </row>
    <row r="7" spans="1:16" x14ac:dyDescent="0.25">
      <c r="A7" s="27" t="s">
        <v>29</v>
      </c>
      <c r="B7" s="23">
        <v>4</v>
      </c>
      <c r="C7" s="54">
        <v>4</v>
      </c>
      <c r="D7" s="54">
        <v>5</v>
      </c>
      <c r="E7" s="23">
        <v>3</v>
      </c>
      <c r="F7" s="54">
        <v>2</v>
      </c>
      <c r="G7" s="7">
        <v>1</v>
      </c>
      <c r="H7" s="56">
        <f t="shared" ref="H7:I8" si="4">E7*10^(1+B7)</f>
        <v>300000</v>
      </c>
      <c r="I7" s="56">
        <f t="shared" si="4"/>
        <v>200000</v>
      </c>
      <c r="J7" s="58">
        <f t="shared" si="2"/>
        <v>1000000</v>
      </c>
      <c r="K7" s="6">
        <f>SUM(H7:J7)/3</f>
        <v>500000</v>
      </c>
      <c r="M7" s="20" t="s">
        <v>72</v>
      </c>
      <c r="O7" s="9">
        <v>3</v>
      </c>
      <c r="P7" s="60"/>
    </row>
    <row r="8" spans="1:16" x14ac:dyDescent="0.25">
      <c r="A8" s="27" t="s">
        <v>30</v>
      </c>
      <c r="B8" s="23">
        <v>4</v>
      </c>
      <c r="C8" s="44">
        <v>4</v>
      </c>
      <c r="D8" s="44">
        <v>4</v>
      </c>
      <c r="E8" s="23">
        <v>1</v>
      </c>
      <c r="F8" s="44">
        <v>3</v>
      </c>
      <c r="G8" s="7">
        <v>1</v>
      </c>
      <c r="H8" s="4">
        <f t="shared" si="4"/>
        <v>100000</v>
      </c>
      <c r="I8" s="4">
        <f t="shared" si="4"/>
        <v>300000</v>
      </c>
      <c r="J8" s="58">
        <f t="shared" si="2"/>
        <v>100000</v>
      </c>
      <c r="K8" s="6">
        <f>SUM(H8:J8)/1</f>
        <v>500000</v>
      </c>
      <c r="M8" s="20" t="s">
        <v>72</v>
      </c>
      <c r="O8" s="9">
        <v>3</v>
      </c>
      <c r="P8" s="60" t="s">
        <v>75</v>
      </c>
    </row>
    <row r="9" spans="1:16" x14ac:dyDescent="0.25">
      <c r="A9" s="27" t="s">
        <v>31</v>
      </c>
      <c r="B9" s="23">
        <v>3</v>
      </c>
      <c r="C9" s="44">
        <v>3</v>
      </c>
      <c r="D9" s="44">
        <v>3</v>
      </c>
      <c r="E9" s="23">
        <v>6</v>
      </c>
      <c r="F9" s="44">
        <v>12</v>
      </c>
      <c r="G9" s="7">
        <v>6</v>
      </c>
      <c r="H9" s="4">
        <f t="shared" ref="H9" si="5">E9*10^(1+B9)</f>
        <v>60000</v>
      </c>
      <c r="I9" s="4">
        <f t="shared" ref="I9" si="6">F9*10^(1+C9)</f>
        <v>120000</v>
      </c>
      <c r="J9" s="4">
        <f t="shared" ref="J9" si="7">G9*10^(1+D9)</f>
        <v>60000</v>
      </c>
      <c r="K9" s="6">
        <f>SUM(H9:J9)/3</f>
        <v>80000</v>
      </c>
      <c r="M9" s="20" t="s">
        <v>52</v>
      </c>
      <c r="O9" s="9">
        <v>2</v>
      </c>
      <c r="P9" s="60">
        <f>P3*7</f>
        <v>1050</v>
      </c>
    </row>
    <row r="10" spans="1:16" x14ac:dyDescent="0.25">
      <c r="A10" s="27" t="s">
        <v>32</v>
      </c>
      <c r="B10" s="23">
        <v>3</v>
      </c>
      <c r="C10" s="44">
        <v>3</v>
      </c>
      <c r="D10" s="44">
        <v>3</v>
      </c>
      <c r="E10" s="23">
        <v>1</v>
      </c>
      <c r="F10" s="44">
        <v>18</v>
      </c>
      <c r="G10" s="7">
        <v>3</v>
      </c>
      <c r="H10" s="4">
        <f t="shared" ref="H10:J24" si="8">E10*10^(1+B10)</f>
        <v>10000</v>
      </c>
      <c r="I10" s="4">
        <f t="shared" si="8"/>
        <v>180000</v>
      </c>
      <c r="J10" s="4">
        <f>G10*10^(1+D10)</f>
        <v>30000</v>
      </c>
      <c r="K10" s="6">
        <f t="shared" ref="K10" si="9">SUM(H10:J10)/3</f>
        <v>73333.333333333328</v>
      </c>
      <c r="M10" s="20" t="s">
        <v>52</v>
      </c>
      <c r="O10" s="9">
        <v>2</v>
      </c>
      <c r="P10" s="20"/>
    </row>
    <row r="11" spans="1:16" x14ac:dyDescent="0.25">
      <c r="A11" s="27" t="s">
        <v>33</v>
      </c>
      <c r="B11" s="23">
        <v>3</v>
      </c>
      <c r="C11" s="44">
        <v>3</v>
      </c>
      <c r="D11" s="44">
        <v>3</v>
      </c>
      <c r="E11" s="23">
        <v>0</v>
      </c>
      <c r="F11" s="44">
        <v>20</v>
      </c>
      <c r="G11" s="7">
        <v>0</v>
      </c>
      <c r="H11" s="4">
        <f>E11*10^(1+B11)</f>
        <v>0</v>
      </c>
      <c r="I11" s="4">
        <f>F11*10^(1+C11)</f>
        <v>200000</v>
      </c>
      <c r="J11" s="58">
        <f>G11*10^(1+D11)</f>
        <v>0</v>
      </c>
      <c r="K11" s="6">
        <f t="shared" ref="K11:K16" si="10">SUM(H11:J11)/3</f>
        <v>66666.666666666672</v>
      </c>
      <c r="M11" s="20" t="s">
        <v>52</v>
      </c>
      <c r="O11" s="9">
        <v>2</v>
      </c>
      <c r="P11" s="20"/>
    </row>
    <row r="12" spans="1:16" x14ac:dyDescent="0.25">
      <c r="A12" s="31" t="s">
        <v>34</v>
      </c>
      <c r="B12" s="23">
        <v>3</v>
      </c>
      <c r="C12" s="44">
        <v>3</v>
      </c>
      <c r="D12" s="44">
        <v>3</v>
      </c>
      <c r="E12" s="23">
        <v>1</v>
      </c>
      <c r="F12" s="44">
        <v>0</v>
      </c>
      <c r="G12" s="7">
        <v>1</v>
      </c>
      <c r="H12" s="4">
        <f>E12*10^(1+B11)</f>
        <v>10000</v>
      </c>
      <c r="I12" s="4">
        <f>F12*10^(1+C13)</f>
        <v>0</v>
      </c>
      <c r="J12" s="58">
        <f t="shared" si="8"/>
        <v>10000</v>
      </c>
      <c r="K12" s="6">
        <f t="shared" si="10"/>
        <v>6666.666666666667</v>
      </c>
      <c r="M12" s="20" t="s">
        <v>52</v>
      </c>
      <c r="O12" s="9">
        <v>2</v>
      </c>
      <c r="P12" s="20"/>
    </row>
    <row r="13" spans="1:16" x14ac:dyDescent="0.25">
      <c r="A13" s="28" t="s">
        <v>35</v>
      </c>
      <c r="B13" s="23">
        <v>2</v>
      </c>
      <c r="C13" s="44">
        <v>2</v>
      </c>
      <c r="D13" s="19">
        <v>2</v>
      </c>
      <c r="E13" s="24">
        <v>86</v>
      </c>
      <c r="F13" s="2">
        <v>1</v>
      </c>
      <c r="G13" s="5">
        <v>2</v>
      </c>
      <c r="H13" s="30">
        <f>E13*10^(1+B13)</f>
        <v>86000</v>
      </c>
      <c r="I13" s="30">
        <f>F13*10^(1+C13)</f>
        <v>1000</v>
      </c>
      <c r="J13" s="58">
        <f>G13*10^(1+D13)</f>
        <v>2000</v>
      </c>
      <c r="K13" s="3">
        <f t="shared" si="10"/>
        <v>29666.666666666668</v>
      </c>
      <c r="M13" s="20" t="s">
        <v>51</v>
      </c>
      <c r="O13" s="9">
        <v>2</v>
      </c>
      <c r="P13" s="20"/>
    </row>
    <row r="14" spans="1:16" x14ac:dyDescent="0.25">
      <c r="A14" s="27" t="s">
        <v>61</v>
      </c>
      <c r="B14" s="21">
        <v>8</v>
      </c>
      <c r="C14" s="22">
        <v>8</v>
      </c>
      <c r="D14" s="22">
        <v>8</v>
      </c>
      <c r="E14" s="21">
        <v>1</v>
      </c>
      <c r="F14" s="1">
        <v>0</v>
      </c>
      <c r="G14" s="26">
        <f>89*4</f>
        <v>356</v>
      </c>
      <c r="H14" s="29">
        <f t="shared" si="8"/>
        <v>1000000000</v>
      </c>
      <c r="I14" s="29">
        <f t="shared" si="8"/>
        <v>0</v>
      </c>
      <c r="J14" s="29">
        <f t="shared" si="8"/>
        <v>356000000000</v>
      </c>
      <c r="K14" s="13">
        <f t="shared" si="10"/>
        <v>119000000000</v>
      </c>
      <c r="M14" s="68"/>
      <c r="N14" s="68"/>
      <c r="O14" s="68"/>
      <c r="P14" s="68"/>
    </row>
    <row r="15" spans="1:16" ht="14.45" customHeight="1" x14ac:dyDescent="0.25">
      <c r="A15" s="27" t="s">
        <v>60</v>
      </c>
      <c r="B15" s="23">
        <v>7</v>
      </c>
      <c r="C15" s="44">
        <v>7</v>
      </c>
      <c r="D15" s="44">
        <v>7</v>
      </c>
      <c r="E15" s="23">
        <v>1</v>
      </c>
      <c r="F15" s="44">
        <v>1</v>
      </c>
      <c r="G15" s="7">
        <v>2</v>
      </c>
      <c r="H15" s="4">
        <f t="shared" si="8"/>
        <v>100000000</v>
      </c>
      <c r="I15" s="4">
        <f t="shared" si="8"/>
        <v>100000000</v>
      </c>
      <c r="J15" s="4">
        <f t="shared" si="8"/>
        <v>200000000</v>
      </c>
      <c r="K15" s="6">
        <f t="shared" si="10"/>
        <v>133333333.33333333</v>
      </c>
      <c r="M15" s="68"/>
      <c r="N15" s="68"/>
      <c r="O15" s="68"/>
      <c r="P15" s="68"/>
    </row>
    <row r="16" spans="1:16" x14ac:dyDescent="0.25">
      <c r="A16" s="27" t="s">
        <v>59</v>
      </c>
      <c r="B16" s="23">
        <v>6</v>
      </c>
      <c r="C16" s="44">
        <v>6</v>
      </c>
      <c r="D16" s="44">
        <v>6</v>
      </c>
      <c r="E16" s="23">
        <v>2</v>
      </c>
      <c r="F16" s="44">
        <v>1</v>
      </c>
      <c r="G16" s="7">
        <v>0</v>
      </c>
      <c r="H16" s="4">
        <f t="shared" si="8"/>
        <v>20000000</v>
      </c>
      <c r="I16" s="4">
        <f t="shared" si="8"/>
        <v>10000000</v>
      </c>
      <c r="J16" s="4">
        <f t="shared" si="8"/>
        <v>0</v>
      </c>
      <c r="K16" s="6">
        <f t="shared" si="10"/>
        <v>10000000</v>
      </c>
      <c r="M16" s="68"/>
      <c r="N16" s="68"/>
      <c r="O16" s="68"/>
      <c r="P16" s="68"/>
    </row>
    <row r="17" spans="1:16" x14ac:dyDescent="0.25">
      <c r="A17" s="27" t="s">
        <v>58</v>
      </c>
      <c r="B17" s="23">
        <v>4</v>
      </c>
      <c r="C17" s="44">
        <v>4</v>
      </c>
      <c r="D17" s="55">
        <v>4</v>
      </c>
      <c r="E17" s="23">
        <v>207</v>
      </c>
      <c r="F17" s="44">
        <v>135</v>
      </c>
      <c r="G17" s="7">
        <v>85</v>
      </c>
      <c r="H17" s="4">
        <f t="shared" si="8"/>
        <v>20700000</v>
      </c>
      <c r="I17" s="4">
        <f t="shared" si="8"/>
        <v>13500000</v>
      </c>
      <c r="J17" s="4">
        <f t="shared" si="8"/>
        <v>8500000</v>
      </c>
      <c r="K17" s="6">
        <f t="shared" ref="K17" si="11">SUM(H17:J17)/3</f>
        <v>14233333.333333334</v>
      </c>
      <c r="M17" s="68"/>
      <c r="N17" s="68"/>
      <c r="O17" s="68"/>
      <c r="P17" s="68"/>
    </row>
    <row r="18" spans="1:16" x14ac:dyDescent="0.25">
      <c r="A18" s="27" t="s">
        <v>36</v>
      </c>
      <c r="B18" s="23">
        <v>4</v>
      </c>
      <c r="C18" s="44">
        <v>4</v>
      </c>
      <c r="D18" s="44">
        <v>4</v>
      </c>
      <c r="E18" s="23">
        <v>194</v>
      </c>
      <c r="F18" s="44">
        <v>3</v>
      </c>
      <c r="G18" s="7">
        <v>4</v>
      </c>
      <c r="H18" s="4">
        <f t="shared" si="8"/>
        <v>19400000</v>
      </c>
      <c r="I18" s="4">
        <f t="shared" si="8"/>
        <v>300000</v>
      </c>
      <c r="J18" s="4">
        <f t="shared" si="8"/>
        <v>400000</v>
      </c>
      <c r="K18" s="6">
        <f>SUM(H18:J18)/3</f>
        <v>6700000</v>
      </c>
      <c r="M18" s="68"/>
      <c r="N18" s="68"/>
      <c r="O18" s="68"/>
      <c r="P18" s="68"/>
    </row>
    <row r="19" spans="1:16" x14ac:dyDescent="0.25">
      <c r="A19" s="27" t="s">
        <v>37</v>
      </c>
      <c r="B19" s="23">
        <v>4</v>
      </c>
      <c r="C19" s="44">
        <v>4</v>
      </c>
      <c r="D19" s="44">
        <v>4</v>
      </c>
      <c r="E19" s="23">
        <v>1</v>
      </c>
      <c r="F19" s="44">
        <v>2</v>
      </c>
      <c r="G19" s="7">
        <v>3</v>
      </c>
      <c r="H19" s="4">
        <f t="shared" si="8"/>
        <v>100000</v>
      </c>
      <c r="I19" s="4">
        <f t="shared" si="8"/>
        <v>200000</v>
      </c>
      <c r="J19" s="4">
        <f t="shared" si="8"/>
        <v>300000</v>
      </c>
      <c r="K19" s="6">
        <f>SUM(H19:J19)/3</f>
        <v>200000</v>
      </c>
      <c r="M19" s="68"/>
      <c r="N19" s="68"/>
      <c r="O19" s="68"/>
      <c r="P19" s="68"/>
    </row>
    <row r="20" spans="1:16" x14ac:dyDescent="0.25">
      <c r="A20" s="27" t="s">
        <v>38</v>
      </c>
      <c r="B20" s="23">
        <v>3</v>
      </c>
      <c r="C20" s="44">
        <v>3</v>
      </c>
      <c r="D20" s="44">
        <v>3</v>
      </c>
      <c r="E20" s="23">
        <f>4*99</f>
        <v>396</v>
      </c>
      <c r="F20" s="54">
        <v>2</v>
      </c>
      <c r="G20" s="7">
        <v>8</v>
      </c>
      <c r="H20" s="58">
        <f t="shared" si="8"/>
        <v>3960000</v>
      </c>
      <c r="I20" s="58">
        <f>F20*10^(1+C20)</f>
        <v>20000</v>
      </c>
      <c r="J20" s="58">
        <f>G20*10^(1+D20)</f>
        <v>80000</v>
      </c>
      <c r="K20" s="6">
        <f>SUM(H20:J20)/3</f>
        <v>1353333.3333333333</v>
      </c>
      <c r="M20" s="68"/>
      <c r="N20" s="68"/>
      <c r="O20" s="68"/>
      <c r="P20" s="68"/>
    </row>
    <row r="21" spans="1:16" x14ac:dyDescent="0.25">
      <c r="A21" s="27" t="s">
        <v>39</v>
      </c>
      <c r="B21" s="23">
        <v>3</v>
      </c>
      <c r="C21" s="44">
        <v>3</v>
      </c>
      <c r="D21" s="44">
        <v>3</v>
      </c>
      <c r="E21" s="23">
        <v>21</v>
      </c>
      <c r="F21" s="44">
        <v>83</v>
      </c>
      <c r="G21" s="7">
        <v>99</v>
      </c>
      <c r="H21" s="4">
        <f t="shared" si="8"/>
        <v>210000</v>
      </c>
      <c r="I21" s="4">
        <f t="shared" si="8"/>
        <v>830000</v>
      </c>
      <c r="J21" s="4">
        <f>G21*10^(1+D21)</f>
        <v>990000</v>
      </c>
      <c r="K21" s="6">
        <f t="shared" ref="K21" si="12">SUM(H21:J21)/3</f>
        <v>676666.66666666663</v>
      </c>
      <c r="M21" s="68"/>
      <c r="N21" s="68"/>
      <c r="O21" s="68"/>
      <c r="P21" s="68"/>
    </row>
    <row r="22" spans="1:16" x14ac:dyDescent="0.25">
      <c r="A22" s="27" t="s">
        <v>40</v>
      </c>
      <c r="B22" s="23">
        <v>3</v>
      </c>
      <c r="C22" s="44">
        <v>3</v>
      </c>
      <c r="D22" s="44">
        <v>3</v>
      </c>
      <c r="E22" s="23">
        <v>0</v>
      </c>
      <c r="F22" s="44">
        <v>1</v>
      </c>
      <c r="G22" s="7">
        <v>139</v>
      </c>
      <c r="H22" s="4">
        <f t="shared" si="8"/>
        <v>0</v>
      </c>
      <c r="I22" s="4">
        <f t="shared" si="8"/>
        <v>10000</v>
      </c>
      <c r="J22" s="4">
        <f t="shared" si="8"/>
        <v>1390000</v>
      </c>
      <c r="K22" s="6">
        <f>SUM(H22:J22)/3</f>
        <v>466666.66666666669</v>
      </c>
      <c r="M22" s="68"/>
      <c r="N22" s="68"/>
      <c r="O22" s="68"/>
      <c r="P22" s="68"/>
    </row>
    <row r="23" spans="1:16" x14ac:dyDescent="0.25">
      <c r="A23" s="27" t="s">
        <v>41</v>
      </c>
      <c r="B23" s="23">
        <v>3</v>
      </c>
      <c r="C23" s="44">
        <v>3</v>
      </c>
      <c r="D23" s="44">
        <v>3</v>
      </c>
      <c r="E23" s="23">
        <v>0</v>
      </c>
      <c r="F23" s="44">
        <v>3</v>
      </c>
      <c r="G23" s="7">
        <v>32</v>
      </c>
      <c r="H23" s="4">
        <f t="shared" si="8"/>
        <v>0</v>
      </c>
      <c r="I23" s="4">
        <f t="shared" si="8"/>
        <v>30000</v>
      </c>
      <c r="J23" s="4">
        <f t="shared" si="8"/>
        <v>320000</v>
      </c>
      <c r="K23" s="6">
        <f>SUM(H23:J23)/3</f>
        <v>116666.66666666667</v>
      </c>
      <c r="M23" s="68"/>
      <c r="N23" s="68"/>
      <c r="O23" s="68"/>
      <c r="P23" s="68"/>
    </row>
    <row r="24" spans="1:16" x14ac:dyDescent="0.25">
      <c r="A24" s="28" t="s">
        <v>42</v>
      </c>
      <c r="B24" s="24">
        <v>2</v>
      </c>
      <c r="C24" s="19">
        <v>3</v>
      </c>
      <c r="D24" s="19" t="s">
        <v>76</v>
      </c>
      <c r="E24" s="24">
        <v>2</v>
      </c>
      <c r="F24" s="2">
        <v>46</v>
      </c>
      <c r="G24" s="5"/>
      <c r="H24" s="30">
        <f t="shared" si="8"/>
        <v>2000</v>
      </c>
      <c r="I24" s="30">
        <f t="shared" si="8"/>
        <v>460000</v>
      </c>
      <c r="J24" s="30" t="e">
        <f t="shared" si="8"/>
        <v>#VALUE!</v>
      </c>
      <c r="K24" s="3">
        <f>SUM(H24:I24)/2</f>
        <v>231000</v>
      </c>
      <c r="M24" s="68"/>
      <c r="N24" s="68"/>
      <c r="O24" s="68"/>
      <c r="P24" s="68"/>
    </row>
    <row r="25" spans="1:16" x14ac:dyDescent="0.25">
      <c r="O25" s="52"/>
    </row>
    <row r="58" spans="2:2" x14ac:dyDescent="0.25">
      <c r="B58">
        <v>9</v>
      </c>
    </row>
    <row r="59" spans="2:2" x14ac:dyDescent="0.25">
      <c r="B59">
        <v>8</v>
      </c>
    </row>
  </sheetData>
  <mergeCells count="5">
    <mergeCell ref="B1:D1"/>
    <mergeCell ref="A1:A2"/>
    <mergeCell ref="E1:G1"/>
    <mergeCell ref="K1:K2"/>
    <mergeCell ref="H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CFU assay</vt:lpstr>
      <vt:lpstr>PFU 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Quentin Leclerc</cp:lastModifiedBy>
  <dcterms:created xsi:type="dcterms:W3CDTF">2020-10-29T13:19:36Z</dcterms:created>
  <dcterms:modified xsi:type="dcterms:W3CDTF">2021-05-25T14:10:12Z</dcterms:modified>
</cp:coreProperties>
</file>