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295" tabRatio="929" activeTab="9"/>
  </bookViews>
  <sheets>
    <sheet name="基础数据" sheetId="23" r:id="rId1"/>
    <sheet name="投资估算表" sheetId="1" r:id="rId2"/>
    <sheet name="资金使用计划表" sheetId="29" r:id="rId3"/>
    <sheet name="固定资产折旧摊销计算表" sheetId="18" r:id="rId4"/>
    <sheet name="总成本" sheetId="21" r:id="rId5"/>
    <sheet name="借款还本付息及还款计划表" sheetId="17" r:id="rId6"/>
    <sheet name="销售收入及增值税估算表" sheetId="20" r:id="rId7"/>
    <sheet name="利润及利润分配表" sheetId="24" r:id="rId8"/>
    <sheet name="项目投资现金流量表" sheetId="25" r:id="rId9"/>
    <sheet name="资本金现金流量表 " sheetId="27" r:id="rId10"/>
    <sheet name="财务计划现金流量表" sheetId="31" r:id="rId11"/>
    <sheet name="利息及偿债备付率" sheetId="26" r:id="rId12"/>
    <sheet name="敏感性分析" sheetId="30" state="hidden" r:id="rId13"/>
  </sheets>
  <externalReferences>
    <externalReference r:id="rId14"/>
  </externalReferences>
  <calcPr calcId="144525"/>
</workbook>
</file>

<file path=xl/sharedStrings.xml><?xml version="1.0" encoding="utf-8"?>
<sst xmlns="http://schemas.openxmlformats.org/spreadsheetml/2006/main" count="316" uniqueCount="214">
  <si>
    <t>基本参数表</t>
  </si>
  <si>
    <t>序号</t>
  </si>
  <si>
    <t>参数名称</t>
  </si>
  <si>
    <t>计算数据</t>
  </si>
  <si>
    <t>补充数据及说明</t>
  </si>
  <si>
    <t>建设期(年)</t>
  </si>
  <si>
    <t>经营期(年)</t>
  </si>
  <si>
    <t>调
整
投
资</t>
  </si>
  <si>
    <t>项目总投资（万元）</t>
  </si>
  <si>
    <t>固定资产投资（万元）</t>
  </si>
  <si>
    <t>建设投资</t>
  </si>
  <si>
    <t>建安工程费（万元）</t>
  </si>
  <si>
    <t>工程其他费用</t>
  </si>
  <si>
    <t>工程预备费</t>
  </si>
  <si>
    <t>专项费用</t>
  </si>
  <si>
    <t>建设期利息（万元）</t>
  </si>
  <si>
    <t>流动资金</t>
  </si>
  <si>
    <t>项目资本金（万元）</t>
  </si>
  <si>
    <t>银行贷款（万元）</t>
  </si>
  <si>
    <t>投资年度安排比例</t>
  </si>
  <si>
    <t>税费</t>
  </si>
  <si>
    <t>使用者付费税率</t>
  </si>
  <si>
    <t>可行性缺口补贴税率</t>
  </si>
  <si>
    <t>运维增值税税率</t>
  </si>
  <si>
    <t>建安增值税税率</t>
  </si>
  <si>
    <t>设备增值税税率</t>
  </si>
  <si>
    <t>增值税附加</t>
  </si>
  <si>
    <t>城市维护建设税</t>
  </si>
  <si>
    <t>教育费附加</t>
  </si>
  <si>
    <t>地方教育发展费</t>
  </si>
  <si>
    <t>企业所得税率</t>
  </si>
  <si>
    <t>法定盈余公积金计提比率</t>
  </si>
  <si>
    <t>成本</t>
  </si>
  <si>
    <t>建投投资贷款利率</t>
  </si>
  <si>
    <t>流动资金贷款利率</t>
  </si>
  <si>
    <t>折现率</t>
  </si>
  <si>
    <t>合理利润率</t>
  </si>
  <si>
    <t>运维绩效服务费</t>
  </si>
  <si>
    <t>施工利润</t>
  </si>
  <si>
    <t>下浮后施工利润率</t>
  </si>
  <si>
    <t>施工利润反补比例</t>
  </si>
  <si>
    <t>施工利润反补所得税后金额</t>
  </si>
  <si>
    <t>施工利润留存</t>
  </si>
  <si>
    <t>指标</t>
  </si>
  <si>
    <t>投资收益率</t>
  </si>
  <si>
    <t>综合收益率</t>
  </si>
  <si>
    <t>投资估算表</t>
  </si>
  <si>
    <t>项目名称</t>
  </si>
  <si>
    <t>合计</t>
  </si>
  <si>
    <t>投资比例</t>
  </si>
  <si>
    <t>工程费用</t>
  </si>
  <si>
    <t>工程建设其他费</t>
  </si>
  <si>
    <t>预备费</t>
  </si>
  <si>
    <t>建设期利息</t>
  </si>
  <si>
    <t>总投资</t>
  </si>
  <si>
    <t>项目总投资使用计划与资金筹措表</t>
  </si>
  <si>
    <t>单位：万元</t>
  </si>
  <si>
    <t xml:space="preserve"> 项 目 名 称</t>
  </si>
  <si>
    <t>建设期</t>
  </si>
  <si>
    <t>资金筹措</t>
  </si>
  <si>
    <t>项目资本金</t>
  </si>
  <si>
    <t>2.1.1</t>
  </si>
  <si>
    <t>用于建设投资</t>
  </si>
  <si>
    <t>2.1.2</t>
  </si>
  <si>
    <t>用于建设期利息</t>
  </si>
  <si>
    <t>2.1.3</t>
  </si>
  <si>
    <t>用于流动资金</t>
  </si>
  <si>
    <t>银行借款</t>
  </si>
  <si>
    <t>2.2.1</t>
  </si>
  <si>
    <t>2.2.2</t>
  </si>
  <si>
    <t>2.2.3</t>
  </si>
  <si>
    <t>其他资金</t>
  </si>
  <si>
    <t>固定资产折旧费估算表（折旧年限为25年，净残值5%；）</t>
  </si>
  <si>
    <t>项目</t>
  </si>
  <si>
    <t>运营期</t>
  </si>
  <si>
    <t>固定资产</t>
  </si>
  <si>
    <t>原值</t>
  </si>
  <si>
    <t>当期折旧费</t>
  </si>
  <si>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净</t>
    </r>
    <r>
      <rPr>
        <sz val="11"/>
        <color rgb="FF000000"/>
        <rFont val="Times New Roman"/>
        <charset val="134"/>
      </rPr>
      <t xml:space="preserve">  </t>
    </r>
    <r>
      <rPr>
        <sz val="11"/>
        <color rgb="FF000000"/>
        <rFont val="宋体"/>
        <charset val="134"/>
      </rPr>
      <t>值</t>
    </r>
  </si>
  <si>
    <r>
      <rPr>
        <b/>
        <sz val="11"/>
        <color indexed="8"/>
        <rFont val="宋体"/>
        <charset val="134"/>
      </rPr>
      <t>合</t>
    </r>
    <r>
      <rPr>
        <b/>
        <sz val="11"/>
        <color indexed="8"/>
        <rFont val="Times New Roman"/>
        <charset val="134"/>
      </rPr>
      <t xml:space="preserve"> </t>
    </r>
    <r>
      <rPr>
        <b/>
        <sz val="11"/>
        <color indexed="8"/>
        <rFont val="宋体"/>
        <charset val="134"/>
      </rPr>
      <t>计</t>
    </r>
  </si>
  <si>
    <r>
      <rPr>
        <sz val="11"/>
        <color indexed="8"/>
        <rFont val="宋体"/>
        <charset val="134"/>
      </rPr>
      <t>原</t>
    </r>
    <r>
      <rPr>
        <sz val="11"/>
        <color indexed="8"/>
        <rFont val="Times New Roman"/>
        <charset val="134"/>
      </rPr>
      <t xml:space="preserve"> </t>
    </r>
    <r>
      <rPr>
        <sz val="11"/>
        <color indexed="8"/>
        <rFont val="宋体"/>
        <charset val="134"/>
      </rPr>
      <t>值</t>
    </r>
  </si>
  <si>
    <t>当期折旧摊销费</t>
  </si>
  <si>
    <r>
      <rPr>
        <sz val="11"/>
        <color indexed="8"/>
        <rFont val="宋体"/>
        <charset val="134"/>
      </rPr>
      <t>净</t>
    </r>
    <r>
      <rPr>
        <sz val="11"/>
        <color indexed="8"/>
        <rFont val="Times New Roman"/>
        <charset val="134"/>
      </rPr>
      <t xml:space="preserve"> </t>
    </r>
    <r>
      <rPr>
        <sz val="11"/>
        <color indexed="8"/>
        <rFont val="宋体"/>
        <charset val="134"/>
      </rPr>
      <t>值</t>
    </r>
  </si>
  <si>
    <t>总成本费用表</t>
  </si>
  <si>
    <r>
      <rPr>
        <sz val="11"/>
        <color indexed="8"/>
        <rFont val="宋体"/>
        <charset val="134"/>
      </rPr>
      <t>项</t>
    </r>
    <r>
      <rPr>
        <sz val="11"/>
        <color indexed="8"/>
        <rFont val="Times New Roman"/>
        <charset val="134"/>
      </rPr>
      <t xml:space="preserve">    </t>
    </r>
    <r>
      <rPr>
        <sz val="11"/>
        <color indexed="8"/>
        <rFont val="宋体"/>
        <charset val="134"/>
      </rPr>
      <t>目</t>
    </r>
  </si>
  <si>
    <t>运营维护成本</t>
  </si>
  <si>
    <t>固定资产折旧</t>
  </si>
  <si>
    <t>财务费用</t>
  </si>
  <si>
    <r>
      <rPr>
        <sz val="11"/>
        <color rgb="FF000000"/>
        <rFont val="宋体"/>
        <charset val="134"/>
      </rPr>
      <t>总成本费用（</t>
    </r>
    <r>
      <rPr>
        <sz val="11"/>
        <color rgb="FF000000"/>
        <rFont val="Times New Roman"/>
        <charset val="134"/>
      </rPr>
      <t>1+2+3</t>
    </r>
    <r>
      <rPr>
        <sz val="11"/>
        <color rgb="FF000000"/>
        <rFont val="宋体"/>
        <charset val="134"/>
      </rPr>
      <t>）</t>
    </r>
  </si>
  <si>
    <t>固定成本</t>
  </si>
  <si>
    <t>可变成本</t>
  </si>
  <si>
    <t>借款还本付息及还款计划表</t>
  </si>
  <si>
    <t xml:space="preserve"> 单位：万元</t>
  </si>
  <si>
    <r>
      <rPr>
        <sz val="10"/>
        <color rgb="FF000000"/>
        <rFont val="宋体"/>
        <charset val="134"/>
      </rPr>
      <t>项</t>
    </r>
    <r>
      <rPr>
        <sz val="10"/>
        <color rgb="FF000000"/>
        <rFont val="Times New Roman"/>
        <charset val="134"/>
      </rPr>
      <t xml:space="preserve">    </t>
    </r>
    <r>
      <rPr>
        <sz val="10"/>
        <color rgb="FF000000"/>
        <rFont val="宋体"/>
        <charset val="134"/>
      </rPr>
      <t>目</t>
    </r>
  </si>
  <si>
    <t>计算期</t>
  </si>
  <si>
    <t>期初借款本息累计</t>
  </si>
  <si>
    <t>本年借款</t>
  </si>
  <si>
    <t>当期应计利息</t>
  </si>
  <si>
    <t>当期还本付息</t>
  </si>
  <si>
    <t>还本</t>
  </si>
  <si>
    <t>付息</t>
  </si>
  <si>
    <t>期末借款本息累计</t>
  </si>
  <si>
    <t>贷款利率6.00%；流动资金利率为4%。</t>
  </si>
  <si>
    <t>销售收入和增值税金及附加表</t>
  </si>
  <si>
    <r>
      <rPr>
        <sz val="11"/>
        <rFont val="宋体"/>
        <charset val="134"/>
      </rPr>
      <t>序号</t>
    </r>
  </si>
  <si>
    <r>
      <rPr>
        <sz val="11"/>
        <rFont val="宋体"/>
        <charset val="134"/>
      </rPr>
      <t>项目</t>
    </r>
  </si>
  <si>
    <r>
      <rPr>
        <sz val="11"/>
        <rFont val="宋体"/>
        <charset val="134"/>
      </rPr>
      <t>税率</t>
    </r>
  </si>
  <si>
    <r>
      <rPr>
        <sz val="11"/>
        <rFont val="宋体"/>
        <charset val="134"/>
      </rPr>
      <t>运营期</t>
    </r>
  </si>
  <si>
    <t>一</t>
  </si>
  <si>
    <t>项目经营收入</t>
  </si>
  <si>
    <t>入廊费收入</t>
  </si>
  <si>
    <t>DN600供水管</t>
  </si>
  <si>
    <t>管廊长度（米）</t>
  </si>
  <si>
    <t>收费单价（元/米）</t>
  </si>
  <si>
    <t>生产能力</t>
  </si>
  <si>
    <t>通信管（12孔）</t>
  </si>
  <si>
    <t>10kv电力电缆（40孔）</t>
  </si>
  <si>
    <t>110KV电力电缆（20线）</t>
  </si>
  <si>
    <t>日常运营维护费收入</t>
  </si>
  <si>
    <t>管廊长度（公里）</t>
  </si>
  <si>
    <t>收费单价（万元/公里）</t>
  </si>
  <si>
    <t>项目可行性缺口补助</t>
  </si>
  <si>
    <t>二</t>
  </si>
  <si>
    <r>
      <rPr>
        <b/>
        <sz val="11"/>
        <rFont val="宋体"/>
        <charset val="134"/>
      </rPr>
      <t>增值税金及附加</t>
    </r>
  </si>
  <si>
    <r>
      <rPr>
        <sz val="11"/>
        <rFont val="宋体"/>
        <charset val="134"/>
      </rPr>
      <t>增值税</t>
    </r>
  </si>
  <si>
    <r>
      <rPr>
        <sz val="11"/>
        <rFont val="Times New Roman"/>
        <charset val="134"/>
      </rPr>
      <t xml:space="preserve">   </t>
    </r>
    <r>
      <rPr>
        <sz val="11"/>
        <rFont val="宋体"/>
        <charset val="134"/>
      </rPr>
      <t>销项税额</t>
    </r>
  </si>
  <si>
    <r>
      <rPr>
        <sz val="11"/>
        <rFont val="Times New Roman"/>
        <charset val="134"/>
      </rPr>
      <t xml:space="preserve">   </t>
    </r>
    <r>
      <rPr>
        <sz val="11"/>
        <rFont val="宋体"/>
        <charset val="134"/>
      </rPr>
      <t>进项税额</t>
    </r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</si>
  <si>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城市维护建设税
（按增值税的</t>
    </r>
    <r>
      <rPr>
        <sz val="11"/>
        <rFont val="Times New Roman"/>
        <charset val="134"/>
      </rPr>
      <t>7%</t>
    </r>
    <r>
      <rPr>
        <sz val="11"/>
        <rFont val="宋体"/>
        <charset val="134"/>
      </rPr>
      <t>计取）</t>
    </r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</si>
  <si>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教育费及地方教育费附加
（按增值税的</t>
    </r>
    <r>
      <rPr>
        <sz val="11"/>
        <rFont val="Times New Roman"/>
        <charset val="134"/>
      </rPr>
      <t>5%</t>
    </r>
    <r>
      <rPr>
        <sz val="11"/>
        <rFont val="宋体"/>
        <charset val="134"/>
      </rPr>
      <t>计取）</t>
    </r>
  </si>
  <si>
    <t>附表6 利润与利润分配表(3)</t>
  </si>
  <si>
    <t>营业收入</t>
  </si>
  <si>
    <t>增值税金及附加</t>
  </si>
  <si>
    <t>总成本费用</t>
  </si>
  <si>
    <t>利润总额(1-2-3)</t>
  </si>
  <si>
    <t>弥补以前年度亏损</t>
  </si>
  <si>
    <t>应纳税所得额</t>
  </si>
  <si>
    <t>所得税(20%)</t>
  </si>
  <si>
    <t>净利润</t>
  </si>
  <si>
    <t>期初未分配利润</t>
  </si>
  <si>
    <t>可供分配的利润</t>
  </si>
  <si>
    <t>提取法定盈余公积金和公益金(7%+5%)</t>
  </si>
  <si>
    <t>可供投资者分配的利润</t>
  </si>
  <si>
    <t>未分配利润</t>
  </si>
  <si>
    <t>息税前利润</t>
  </si>
  <si>
    <t>息税折旧摊销前利润</t>
  </si>
  <si>
    <t>总投资收益率</t>
  </si>
  <si>
    <t>项目资本金利润率</t>
  </si>
  <si>
    <t>项目投资现金流量表</t>
  </si>
  <si>
    <r>
      <rPr>
        <sz val="10"/>
        <color indexed="8"/>
        <rFont val="Times New Roman"/>
        <charset val="134"/>
      </rPr>
      <t xml:space="preserve">项    </t>
    </r>
    <r>
      <rPr>
        <sz val="10"/>
        <color indexed="8"/>
        <rFont val="宋体"/>
        <charset val="134"/>
      </rPr>
      <t>目</t>
    </r>
  </si>
  <si>
    <t>现金流入</t>
  </si>
  <si>
    <t>经营收入</t>
  </si>
  <si>
    <t>回收流动资金</t>
  </si>
  <si>
    <t>残值回收</t>
  </si>
  <si>
    <t>流入小计</t>
  </si>
  <si>
    <t>现金流出</t>
  </si>
  <si>
    <t>运营成本</t>
  </si>
  <si>
    <t>流出小计</t>
  </si>
  <si>
    <t>净现金流量</t>
  </si>
  <si>
    <t>税前现金流量</t>
  </si>
  <si>
    <t>税前累计现金流量</t>
  </si>
  <si>
    <t>调整所得税</t>
  </si>
  <si>
    <t>税后现金流量</t>
  </si>
  <si>
    <t>税后累计现金流量</t>
  </si>
  <si>
    <r>
      <rPr>
        <sz val="10"/>
        <color theme="1"/>
        <rFont val="宋体"/>
        <charset val="134"/>
      </rPr>
      <t>现值系数（</t>
    </r>
    <r>
      <rPr>
        <sz val="10"/>
        <color theme="1"/>
        <rFont val="Times New Roman"/>
        <charset val="134"/>
      </rPr>
      <t>i=6</t>
    </r>
    <r>
      <rPr>
        <sz val="10"/>
        <color rgb="FF000000"/>
        <rFont val="Times New Roman"/>
        <charset val="134"/>
      </rPr>
      <t>%</t>
    </r>
    <r>
      <rPr>
        <sz val="10"/>
        <color rgb="FF000000"/>
        <rFont val="宋体"/>
        <charset val="134"/>
      </rPr>
      <t>）</t>
    </r>
  </si>
  <si>
    <t>税前净现值</t>
  </si>
  <si>
    <t>税前累计净现值</t>
  </si>
  <si>
    <t>税后净现值</t>
  </si>
  <si>
    <t>税后累计净现值</t>
  </si>
  <si>
    <t>计算指标</t>
  </si>
  <si>
    <t>税前</t>
  </si>
  <si>
    <t>IRR=</t>
  </si>
  <si>
    <t>税后</t>
  </si>
  <si>
    <t>NPV=</t>
  </si>
  <si>
    <t>静态投资回收期Pt=</t>
  </si>
  <si>
    <t>动态投资回收期Pt'=</t>
  </si>
  <si>
    <r>
      <rPr>
        <sz val="10"/>
        <rFont val="宋体"/>
        <charset val="134"/>
      </rPr>
      <t>现值系数（</t>
    </r>
    <r>
      <rPr>
        <sz val="10"/>
        <rFont val="Times New Roman"/>
        <charset val="134"/>
      </rPr>
      <t>i=6%</t>
    </r>
    <r>
      <rPr>
        <sz val="10"/>
        <rFont val="宋体"/>
        <charset val="134"/>
      </rPr>
      <t>）</t>
    </r>
  </si>
  <si>
    <t>资本金现金流量表</t>
  </si>
  <si>
    <t>借款本金偿还</t>
  </si>
  <si>
    <t>借款利息支付</t>
  </si>
  <si>
    <t>所得税</t>
  </si>
  <si>
    <r>
      <rPr>
        <sz val="10"/>
        <color theme="1"/>
        <rFont val="宋体"/>
        <charset val="134"/>
      </rPr>
      <t>现值系数（</t>
    </r>
    <r>
      <rPr>
        <sz val="10"/>
        <color theme="1"/>
        <rFont val="Times New Roman"/>
        <charset val="134"/>
      </rPr>
      <t>i=6.5</t>
    </r>
    <r>
      <rPr>
        <sz val="10"/>
        <color rgb="FF000000"/>
        <rFont val="Times New Roman"/>
        <charset val="134"/>
      </rPr>
      <t>%</t>
    </r>
    <r>
      <rPr>
        <sz val="10"/>
        <color rgb="FF000000"/>
        <rFont val="宋体"/>
        <charset val="134"/>
      </rPr>
      <t>）</t>
    </r>
  </si>
  <si>
    <t>财务计划现金流量表</t>
  </si>
  <si>
    <r>
      <rPr>
        <sz val="9"/>
        <rFont val="Times New Roman"/>
        <charset val="134"/>
      </rPr>
      <t xml:space="preserve">                                                                     </t>
    </r>
    <r>
      <rPr>
        <sz val="9"/>
        <rFont val="宋体"/>
        <charset val="134"/>
      </rPr>
      <t>项目</t>
    </r>
  </si>
  <si>
    <t>经营活动净现金流量</t>
  </si>
  <si>
    <t>1.1.1</t>
  </si>
  <si>
    <t>1.2.1</t>
  </si>
  <si>
    <t>经营成本</t>
  </si>
  <si>
    <t>1.2.2</t>
  </si>
  <si>
    <t>1.2.3</t>
  </si>
  <si>
    <t>投资活动净现金流量</t>
  </si>
  <si>
    <t>筹资活动净现金流量</t>
  </si>
  <si>
    <t>3.1.1</t>
  </si>
  <si>
    <t>项目资本金投入</t>
  </si>
  <si>
    <t>3.1.2</t>
  </si>
  <si>
    <t>建设投资借款</t>
  </si>
  <si>
    <t>3.2.1</t>
  </si>
  <si>
    <t>各种利息支出</t>
  </si>
  <si>
    <t>3.2.2</t>
  </si>
  <si>
    <t>偿还债务本金</t>
  </si>
  <si>
    <t>净现金流量1+2+3</t>
  </si>
  <si>
    <t>累计盈余资金</t>
  </si>
  <si>
    <t>利息及偿债备付率</t>
  </si>
  <si>
    <t>项    目</t>
  </si>
  <si>
    <t>利息备付率</t>
  </si>
  <si>
    <t>偿债备付率</t>
  </si>
  <si>
    <t>分析因素</t>
  </si>
  <si>
    <t>变动率</t>
  </si>
  <si>
    <t>内部收益率（IRR）</t>
  </si>
  <si>
    <t>财务净现值（ＮＰＶ）（万元）</t>
  </si>
  <si>
    <t>动态投资回收期（年）</t>
  </si>
  <si>
    <t>敏感度系数</t>
  </si>
  <si>
    <t>基准指标</t>
  </si>
  <si>
    <t>BEP=</t>
  </si>
  <si>
    <t>BEP=年平均固定成本/（年平均收入-年平均可变成本-年平均增值税金及附加）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</si>
</sst>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0_);[Red]\(0.00\)"/>
    <numFmt numFmtId="179" formatCode="0_);[Red]\(0\)"/>
    <numFmt numFmtId="180" formatCode="0_);\(0\)"/>
    <numFmt numFmtId="181" formatCode="0.00_);\(0.00\)"/>
  </numFmts>
  <fonts count="77">
    <font>
      <sz val="11"/>
      <color theme="1"/>
      <name val="宋体"/>
      <charset val="134"/>
      <scheme val="minor"/>
    </font>
    <font>
      <b/>
      <sz val="11"/>
      <color rgb="FF000000"/>
      <name val="仿宋"/>
      <charset val="134"/>
    </font>
    <font>
      <sz val="11"/>
      <color rgb="FF000000"/>
      <name val="仿宋"/>
      <charset val="134"/>
    </font>
    <font>
      <sz val="14"/>
      <color theme="1"/>
      <name val="黑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9"/>
      <name val="Times New Roman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0"/>
      <color indexed="8"/>
      <name val="Times New Roman"/>
      <charset val="134"/>
    </font>
    <font>
      <sz val="14"/>
      <color rgb="FF000000"/>
      <name val="黑体"/>
      <charset val="134"/>
    </font>
    <font>
      <sz val="10"/>
      <color indexed="8"/>
      <name val="宋体"/>
      <charset val="134"/>
    </font>
    <font>
      <sz val="10"/>
      <color theme="1"/>
      <name val="Times New Roman"/>
      <charset val="134"/>
    </font>
    <font>
      <sz val="10"/>
      <name val="宋体"/>
      <charset val="134"/>
    </font>
    <font>
      <sz val="10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b/>
      <sz val="10"/>
      <color rgb="FF000000"/>
      <name val="Times New Roman"/>
      <charset val="134"/>
    </font>
    <font>
      <sz val="10"/>
      <color theme="1"/>
      <name val="宋体"/>
      <charset val="134"/>
    </font>
    <font>
      <sz val="12"/>
      <color indexed="8"/>
      <name val="宋体"/>
      <charset val="134"/>
    </font>
    <font>
      <b/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1"/>
      <name val="Times New Roman"/>
      <charset val="134"/>
    </font>
    <font>
      <sz val="12"/>
      <color indexed="8"/>
      <name val="Times New Roman"/>
      <charset val="134"/>
    </font>
    <font>
      <b/>
      <sz val="11"/>
      <color indexed="8"/>
      <name val="宋体"/>
      <charset val="134"/>
    </font>
    <font>
      <sz val="14"/>
      <name val="黑体"/>
      <charset val="134"/>
    </font>
    <font>
      <sz val="11"/>
      <name val="宋体"/>
      <charset val="134"/>
    </font>
    <font>
      <b/>
      <sz val="11"/>
      <name val="Times New Roman"/>
      <charset val="134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Times New Roman"/>
      <charset val="134"/>
    </font>
    <font>
      <b/>
      <sz val="10"/>
      <color theme="1"/>
      <name val="宋体"/>
      <charset val="134"/>
      <scheme val="minor"/>
    </font>
    <font>
      <sz val="8"/>
      <color indexed="8"/>
      <name val="宋体"/>
      <charset val="134"/>
    </font>
    <font>
      <sz val="11"/>
      <color theme="1"/>
      <name val="宋体"/>
      <charset val="134"/>
    </font>
    <font>
      <sz val="12"/>
      <color theme="1"/>
      <name val="Times New Roman"/>
      <charset val="134"/>
    </font>
    <font>
      <sz val="12"/>
      <color rgb="FF000000"/>
      <name val="宋体"/>
      <charset val="134"/>
    </font>
    <font>
      <b/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b/>
      <sz val="12"/>
      <color rgb="FF000000"/>
      <name val="仿宋"/>
      <charset val="134"/>
    </font>
    <font>
      <b/>
      <sz val="12"/>
      <color rgb="FF000000"/>
      <name val="Times New Roman"/>
      <charset val="134"/>
    </font>
    <font>
      <sz val="12"/>
      <color rgb="FF000000"/>
      <name val="仿宋"/>
      <charset val="134"/>
    </font>
    <font>
      <sz val="12"/>
      <color rgb="FF000000"/>
      <name val="Times New Roman"/>
      <charset val="134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color theme="1"/>
      <name val="仿宋"/>
      <charset val="134"/>
    </font>
    <font>
      <b/>
      <sz val="14"/>
      <color theme="1"/>
      <name val="宋体"/>
      <charset val="134"/>
      <scheme val="minor"/>
    </font>
    <font>
      <sz val="14"/>
      <color theme="1"/>
      <name val="仿宋"/>
      <charset val="134"/>
    </font>
    <font>
      <sz val="14"/>
      <color theme="1"/>
      <name val="宋体"/>
      <charset val="134"/>
      <scheme val="minor"/>
    </font>
    <font>
      <b/>
      <sz val="12"/>
      <color theme="1"/>
      <name val="仿宋"/>
      <charset val="134"/>
    </font>
    <font>
      <sz val="12"/>
      <color theme="1"/>
      <name val="仿宋"/>
      <charset val="134"/>
    </font>
    <font>
      <b/>
      <sz val="11"/>
      <color theme="1"/>
      <name val="楷体"/>
      <charset val="134"/>
    </font>
    <font>
      <sz val="14"/>
      <color theme="1"/>
      <name val="楷体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60" fillId="1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0" fillId="17" borderId="25" applyNumberFormat="0" applyFont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2" fillId="0" borderId="24" applyNumberFormat="0" applyFill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65" fillId="0" borderId="27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76" fillId="30" borderId="29" applyNumberFormat="0" applyAlignment="0" applyProtection="0">
      <alignment vertical="center"/>
    </xf>
    <xf numFmtId="0" fontId="70" fillId="30" borderId="23" applyNumberFormat="0" applyAlignment="0" applyProtection="0">
      <alignment vertical="center"/>
    </xf>
    <xf numFmtId="0" fontId="64" fillId="22" borderId="26" applyNumberFormat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75" fillId="0" borderId="0">
      <alignment vertical="center"/>
    </xf>
  </cellStyleXfs>
  <cellXfs count="225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11" applyNumberFormat="1" applyFont="1">
      <alignment vertical="center"/>
    </xf>
    <xf numFmtId="177" fontId="0" fillId="0" borderId="0" xfId="0" applyNumberFormat="1" applyFont="1" applyBorder="1" applyAlignment="1">
      <alignment horizontal="center" vertical="center"/>
    </xf>
    <xf numFmtId="177" fontId="0" fillId="0" borderId="7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10" fontId="2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77" fontId="0" fillId="0" borderId="8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 vertical="center"/>
    </xf>
    <xf numFmtId="0" fontId="0" fillId="0" borderId="0" xfId="49">
      <alignment vertical="center"/>
    </xf>
    <xf numFmtId="0" fontId="10" fillId="0" borderId="0" xfId="49" applyNumberFormat="1" applyFont="1" applyFill="1" applyBorder="1" applyAlignment="1"/>
    <xf numFmtId="0" fontId="11" fillId="0" borderId="0" xfId="49" applyNumberFormat="1" applyFont="1" applyFill="1" applyAlignment="1">
      <alignment horizontal="center" vertical="center"/>
    </xf>
    <xf numFmtId="0" fontId="10" fillId="0" borderId="8" xfId="49" applyNumberFormat="1" applyFont="1" applyFill="1" applyBorder="1" applyAlignment="1">
      <alignment horizontal="right" vertical="center"/>
    </xf>
    <xf numFmtId="0" fontId="10" fillId="0" borderId="8" xfId="49" applyNumberFormat="1" applyFont="1" applyFill="1" applyBorder="1" applyAlignment="1">
      <alignment horizontal="center" vertical="center" wrapText="1"/>
    </xf>
    <xf numFmtId="0" fontId="12" fillId="0" borderId="8" xfId="49" applyNumberFormat="1" applyFont="1" applyFill="1" applyBorder="1" applyAlignment="1">
      <alignment horizontal="center" vertical="center" wrapText="1"/>
    </xf>
    <xf numFmtId="0" fontId="13" fillId="0" borderId="8" xfId="49" applyNumberFormat="1" applyFont="1" applyFill="1" applyBorder="1" applyAlignment="1">
      <alignment horizontal="center" vertical="center"/>
    </xf>
    <xf numFmtId="0" fontId="13" fillId="0" borderId="8" xfId="49" applyNumberFormat="1" applyFont="1" applyFill="1" applyBorder="1" applyAlignment="1">
      <alignment vertical="center"/>
    </xf>
    <xf numFmtId="178" fontId="13" fillId="0" borderId="8" xfId="49" applyNumberFormat="1" applyFont="1" applyFill="1" applyBorder="1" applyAlignment="1">
      <alignment horizontal="center" vertical="center"/>
    </xf>
    <xf numFmtId="178" fontId="13" fillId="0" borderId="8" xfId="49" applyNumberFormat="1" applyFont="1" applyFill="1" applyBorder="1" applyAlignment="1">
      <alignment horizontal="center" vertical="center" wrapText="1"/>
    </xf>
    <xf numFmtId="178" fontId="13" fillId="0" borderId="8" xfId="49" applyNumberFormat="1" applyFont="1" applyFill="1" applyBorder="1" applyAlignment="1">
      <alignment vertical="center"/>
    </xf>
    <xf numFmtId="177" fontId="13" fillId="0" borderId="8" xfId="49" applyNumberFormat="1" applyFont="1" applyFill="1" applyBorder="1" applyAlignment="1">
      <alignment horizontal="center" vertical="center"/>
    </xf>
    <xf numFmtId="178" fontId="13" fillId="0" borderId="9" xfId="49" applyNumberFormat="1" applyFont="1" applyFill="1" applyBorder="1" applyAlignment="1">
      <alignment horizontal="center" vertical="center"/>
    </xf>
    <xf numFmtId="177" fontId="13" fillId="0" borderId="8" xfId="49" applyNumberFormat="1" applyFont="1" applyFill="1" applyBorder="1" applyAlignment="1">
      <alignment vertical="center"/>
    </xf>
    <xf numFmtId="0" fontId="13" fillId="0" borderId="8" xfId="49" applyNumberFormat="1" applyFont="1" applyFill="1" applyBorder="1" applyAlignment="1">
      <alignment horizontal="center" vertical="center" wrapText="1"/>
    </xf>
    <xf numFmtId="177" fontId="13" fillId="0" borderId="8" xfId="49" applyNumberFormat="1" applyFont="1" applyFill="1" applyBorder="1" applyAlignment="1">
      <alignment horizontal="center" vertical="center" wrapText="1"/>
    </xf>
    <xf numFmtId="0" fontId="13" fillId="0" borderId="8" xfId="49" applyNumberFormat="1" applyFont="1" applyFill="1" applyBorder="1" applyAlignment="1">
      <alignment horizontal="right" vertical="center"/>
    </xf>
    <xf numFmtId="0" fontId="10" fillId="0" borderId="8" xfId="49" applyNumberFormat="1" applyFont="1" applyFill="1" applyBorder="1" applyAlignment="1"/>
    <xf numFmtId="0" fontId="14" fillId="0" borderId="8" xfId="49" applyNumberFormat="1" applyFont="1" applyFill="1" applyBorder="1" applyAlignment="1">
      <alignment horizontal="center" vertical="center"/>
    </xf>
    <xf numFmtId="0" fontId="15" fillId="0" borderId="8" xfId="49" applyNumberFormat="1" applyFont="1" applyFill="1" applyBorder="1" applyAlignment="1">
      <alignment horizontal="center" vertical="center"/>
    </xf>
    <xf numFmtId="0" fontId="11" fillId="0" borderId="0" xfId="49" applyNumberFormat="1" applyFont="1" applyFill="1" applyBorder="1" applyAlignment="1">
      <alignment horizontal="center" vertical="center"/>
    </xf>
    <xf numFmtId="10" fontId="13" fillId="0" borderId="8" xfId="49" applyNumberFormat="1" applyFont="1" applyFill="1" applyBorder="1" applyAlignment="1">
      <alignment horizontal="center" vertical="center"/>
    </xf>
    <xf numFmtId="178" fontId="10" fillId="0" borderId="8" xfId="49" applyNumberFormat="1" applyFont="1" applyFill="1" applyBorder="1" applyAlignment="1"/>
    <xf numFmtId="0" fontId="16" fillId="0" borderId="0" xfId="49" applyFont="1">
      <alignment vertical="center"/>
    </xf>
    <xf numFmtId="0" fontId="17" fillId="0" borderId="0" xfId="49" applyFont="1">
      <alignment vertical="center"/>
    </xf>
    <xf numFmtId="0" fontId="10" fillId="0" borderId="10" xfId="49" applyNumberFormat="1" applyFont="1" applyFill="1" applyBorder="1" applyAlignment="1"/>
    <xf numFmtId="0" fontId="18" fillId="0" borderId="0" xfId="49" applyNumberFormat="1" applyFont="1" applyFill="1" applyAlignment="1">
      <alignment horizontal="center" vertical="center"/>
    </xf>
    <xf numFmtId="0" fontId="19" fillId="0" borderId="0" xfId="49" applyNumberFormat="1" applyFont="1" applyFill="1" applyAlignment="1">
      <alignment horizontal="center" vertical="center"/>
    </xf>
    <xf numFmtId="0" fontId="13" fillId="2" borderId="8" xfId="49" applyNumberFormat="1" applyFont="1" applyFill="1" applyBorder="1" applyAlignment="1">
      <alignment horizontal="center" vertical="center"/>
    </xf>
    <xf numFmtId="0" fontId="13" fillId="2" borderId="8" xfId="49" applyNumberFormat="1" applyFont="1" applyFill="1" applyBorder="1" applyAlignment="1">
      <alignment vertical="center"/>
    </xf>
    <xf numFmtId="178" fontId="13" fillId="2" borderId="8" xfId="49" applyNumberFormat="1" applyFont="1" applyFill="1" applyBorder="1" applyAlignment="1">
      <alignment vertical="center"/>
    </xf>
    <xf numFmtId="178" fontId="13" fillId="2" borderId="8" xfId="49" applyNumberFormat="1" applyFont="1" applyFill="1" applyBorder="1" applyAlignment="1">
      <alignment horizontal="center" vertical="center"/>
    </xf>
    <xf numFmtId="177" fontId="15" fillId="0" borderId="8" xfId="49" applyNumberFormat="1" applyFont="1" applyFill="1" applyBorder="1" applyAlignment="1">
      <alignment horizontal="center" vertical="center"/>
    </xf>
    <xf numFmtId="178" fontId="20" fillId="0" borderId="8" xfId="49" applyNumberFormat="1" applyFont="1" applyFill="1" applyBorder="1" applyAlignment="1">
      <alignment horizontal="center" vertical="center"/>
    </xf>
    <xf numFmtId="0" fontId="13" fillId="0" borderId="8" xfId="49" applyFont="1" applyBorder="1" applyAlignment="1">
      <alignment horizontal="center" vertical="center"/>
    </xf>
    <xf numFmtId="177" fontId="13" fillId="0" borderId="8" xfId="49" applyNumberFormat="1" applyFont="1" applyBorder="1" applyAlignment="1">
      <alignment horizontal="center" vertical="center"/>
    </xf>
    <xf numFmtId="178" fontId="10" fillId="0" borderId="0" xfId="49" applyNumberFormat="1" applyFont="1" applyFill="1" applyBorder="1" applyAlignment="1"/>
    <xf numFmtId="0" fontId="21" fillId="0" borderId="0" xfId="49" applyFont="1" applyFill="1" applyBorder="1" applyAlignment="1"/>
    <xf numFmtId="0" fontId="22" fillId="3" borderId="8" xfId="49" applyFont="1" applyFill="1" applyBorder="1" applyAlignment="1">
      <alignment horizontal="center" vertical="center"/>
    </xf>
    <xf numFmtId="0" fontId="21" fillId="0" borderId="11" xfId="49" applyFont="1" applyFill="1" applyBorder="1" applyAlignment="1">
      <alignment horizontal="right" vertical="center"/>
    </xf>
    <xf numFmtId="0" fontId="21" fillId="0" borderId="12" xfId="49" applyFont="1" applyFill="1" applyBorder="1" applyAlignment="1">
      <alignment horizontal="right" vertical="center"/>
    </xf>
    <xf numFmtId="0" fontId="23" fillId="0" borderId="8" xfId="49" applyFont="1" applyFill="1" applyBorder="1" applyAlignment="1">
      <alignment horizontal="center" vertical="center" wrapText="1"/>
    </xf>
    <xf numFmtId="0" fontId="24" fillId="0" borderId="8" xfId="49" applyFont="1" applyFill="1" applyBorder="1" applyAlignment="1">
      <alignment horizontal="center" vertical="center" wrapText="1"/>
    </xf>
    <xf numFmtId="0" fontId="23" fillId="0" borderId="8" xfId="49" applyFont="1" applyFill="1" applyBorder="1" applyAlignment="1">
      <alignment horizontal="justify" vertical="center" wrapText="1"/>
    </xf>
    <xf numFmtId="177" fontId="24" fillId="0" borderId="8" xfId="49" applyNumberFormat="1" applyFont="1" applyFill="1" applyBorder="1" applyAlignment="1">
      <alignment horizontal="center" vertical="center" wrapText="1"/>
    </xf>
    <xf numFmtId="177" fontId="25" fillId="0" borderId="8" xfId="49" applyNumberFormat="1" applyFont="1" applyFill="1" applyBorder="1" applyAlignment="1">
      <alignment horizontal="center" vertical="center" wrapText="1"/>
    </xf>
    <xf numFmtId="178" fontId="25" fillId="0" borderId="8" xfId="49" applyNumberFormat="1" applyFont="1" applyFill="1" applyBorder="1" applyAlignment="1">
      <alignment horizontal="center" vertical="center" wrapText="1"/>
    </xf>
    <xf numFmtId="0" fontId="23" fillId="4" borderId="8" xfId="49" applyFont="1" applyFill="1" applyBorder="1" applyAlignment="1">
      <alignment horizontal="justify" vertical="center" wrapText="1"/>
    </xf>
    <xf numFmtId="178" fontId="24" fillId="0" borderId="8" xfId="49" applyNumberFormat="1" applyFont="1" applyFill="1" applyBorder="1" applyAlignment="1">
      <alignment horizontal="center" vertical="center" wrapText="1"/>
    </xf>
    <xf numFmtId="177" fontId="21" fillId="0" borderId="0" xfId="49" applyNumberFormat="1" applyFont="1" applyFill="1" applyBorder="1" applyAlignment="1"/>
    <xf numFmtId="178" fontId="21" fillId="0" borderId="8" xfId="49" applyNumberFormat="1" applyFont="1" applyFill="1" applyBorder="1" applyAlignment="1">
      <alignment horizontal="center" vertical="center" wrapText="1"/>
    </xf>
    <xf numFmtId="10" fontId="26" fillId="0" borderId="8" xfId="49" applyNumberFormat="1" applyFont="1" applyFill="1" applyBorder="1" applyAlignment="1">
      <alignment horizontal="center" vertical="center" wrapText="1"/>
    </xf>
    <xf numFmtId="0" fontId="27" fillId="0" borderId="0" xfId="49" applyFont="1" applyFill="1" applyBorder="1" applyAlignment="1">
      <alignment horizontal="center"/>
    </xf>
    <xf numFmtId="179" fontId="23" fillId="0" borderId="0" xfId="49" applyNumberFormat="1" applyFont="1" applyFill="1" applyBorder="1" applyAlignment="1">
      <alignment horizontal="center"/>
    </xf>
    <xf numFmtId="9" fontId="23" fillId="0" borderId="0" xfId="49" applyNumberFormat="1" applyFont="1" applyFill="1" applyBorder="1" applyAlignment="1">
      <alignment horizontal="center"/>
    </xf>
    <xf numFmtId="0" fontId="23" fillId="0" borderId="0" xfId="49" applyFont="1" applyFill="1" applyBorder="1" applyAlignment="1">
      <alignment horizontal="center"/>
    </xf>
    <xf numFmtId="0" fontId="28" fillId="0" borderId="0" xfId="49" applyFont="1" applyFill="1" applyAlignment="1">
      <alignment horizontal="center" vertical="center"/>
    </xf>
    <xf numFmtId="0" fontId="29" fillId="0" borderId="12" xfId="49" applyFont="1" applyFill="1" applyBorder="1" applyAlignment="1">
      <alignment horizontal="right" vertical="center"/>
    </xf>
    <xf numFmtId="0" fontId="25" fillId="0" borderId="13" xfId="49" applyFont="1" applyFill="1" applyBorder="1" applyAlignment="1">
      <alignment horizontal="center" vertical="center" wrapText="1"/>
    </xf>
    <xf numFmtId="0" fontId="25" fillId="0" borderId="8" xfId="49" applyFont="1" applyFill="1" applyBorder="1" applyAlignment="1">
      <alignment horizontal="center" vertical="center" wrapText="1"/>
    </xf>
    <xf numFmtId="0" fontId="25" fillId="0" borderId="14" xfId="49" applyFont="1" applyFill="1" applyBorder="1" applyAlignment="1">
      <alignment horizontal="center" vertical="center" wrapText="1"/>
    </xf>
    <xf numFmtId="0" fontId="5" fillId="0" borderId="8" xfId="49" applyFont="1" applyFill="1" applyBorder="1" applyAlignment="1">
      <alignment horizontal="center" vertical="center" wrapText="1"/>
    </xf>
    <xf numFmtId="0" fontId="30" fillId="0" borderId="8" xfId="49" applyFont="1" applyFill="1" applyBorder="1" applyAlignment="1">
      <alignment horizontal="center" vertical="center" wrapText="1"/>
    </xf>
    <xf numFmtId="178" fontId="30" fillId="0" borderId="8" xfId="49" applyNumberFormat="1" applyFont="1" applyFill="1" applyBorder="1" applyAlignment="1">
      <alignment horizontal="center" vertical="center" wrapText="1"/>
    </xf>
    <xf numFmtId="0" fontId="29" fillId="0" borderId="8" xfId="49" applyFont="1" applyFill="1" applyBorder="1" applyAlignment="1">
      <alignment horizontal="center" vertical="center" wrapText="1"/>
    </xf>
    <xf numFmtId="179" fontId="25" fillId="0" borderId="8" xfId="49" applyNumberFormat="1" applyFont="1" applyFill="1" applyBorder="1" applyAlignment="1">
      <alignment horizontal="center" vertical="center" wrapText="1"/>
    </xf>
    <xf numFmtId="179" fontId="29" fillId="0" borderId="8" xfId="49" applyNumberFormat="1" applyFont="1" applyFill="1" applyBorder="1" applyAlignment="1">
      <alignment horizontal="center" vertical="center" wrapText="1"/>
    </xf>
    <xf numFmtId="9" fontId="25" fillId="0" borderId="8" xfId="49" applyNumberFormat="1" applyFont="1" applyFill="1" applyBorder="1" applyAlignment="1">
      <alignment horizontal="center" vertical="center" wrapText="1"/>
    </xf>
    <xf numFmtId="9" fontId="29" fillId="0" borderId="8" xfId="49" applyNumberFormat="1" applyFont="1" applyFill="1" applyBorder="1" applyAlignment="1">
      <alignment horizontal="center" vertical="center" wrapText="1"/>
    </xf>
    <xf numFmtId="179" fontId="25" fillId="4" borderId="8" xfId="49" applyNumberFormat="1" applyFont="1" applyFill="1" applyBorder="1" applyAlignment="1">
      <alignment horizontal="center" vertical="center" wrapText="1"/>
    </xf>
    <xf numFmtId="9" fontId="30" fillId="0" borderId="8" xfId="11" applyFont="1" applyFill="1" applyBorder="1" applyAlignment="1">
      <alignment horizontal="center"/>
    </xf>
    <xf numFmtId="177" fontId="30" fillId="0" borderId="8" xfId="49" applyNumberFormat="1" applyFont="1" applyFill="1" applyBorder="1" applyAlignment="1">
      <alignment horizontal="center" vertical="center" wrapText="1"/>
    </xf>
    <xf numFmtId="0" fontId="25" fillId="0" borderId="8" xfId="49" applyFont="1" applyBorder="1" applyAlignment="1">
      <alignment horizontal="center" vertical="center" wrapText="1"/>
    </xf>
    <xf numFmtId="0" fontId="25" fillId="0" borderId="8" xfId="49" applyFont="1" applyBorder="1" applyAlignment="1">
      <alignment horizontal="center"/>
    </xf>
    <xf numFmtId="177" fontId="25" fillId="0" borderId="8" xfId="49" applyNumberFormat="1" applyFont="1" applyBorder="1" applyAlignment="1">
      <alignment horizontal="center" vertical="center" wrapText="1"/>
    </xf>
    <xf numFmtId="9" fontId="25" fillId="0" borderId="8" xfId="49" applyNumberFormat="1" applyFont="1" applyBorder="1" applyAlignment="1">
      <alignment horizontal="center" vertical="center"/>
    </xf>
    <xf numFmtId="0" fontId="23" fillId="0" borderId="8" xfId="49" applyFont="1" applyFill="1" applyBorder="1" applyAlignment="1">
      <alignment horizontal="center"/>
    </xf>
    <xf numFmtId="178" fontId="27" fillId="0" borderId="8" xfId="49" applyNumberFormat="1" applyFont="1" applyFill="1" applyBorder="1" applyAlignment="1">
      <alignment horizontal="center"/>
    </xf>
    <xf numFmtId="179" fontId="23" fillId="0" borderId="8" xfId="49" applyNumberFormat="1" applyFont="1" applyFill="1" applyBorder="1" applyAlignment="1">
      <alignment horizontal="center"/>
    </xf>
    <xf numFmtId="9" fontId="23" fillId="0" borderId="8" xfId="49" applyNumberFormat="1" applyFont="1" applyFill="1" applyBorder="1" applyAlignment="1">
      <alignment horizontal="center"/>
    </xf>
    <xf numFmtId="178" fontId="23" fillId="0" borderId="8" xfId="49" applyNumberFormat="1" applyFont="1" applyFill="1" applyBorder="1" applyAlignment="1">
      <alignment horizontal="center" vertical="center"/>
    </xf>
    <xf numFmtId="0" fontId="3" fillId="5" borderId="0" xfId="49" applyFont="1" applyFill="1">
      <alignment vertical="center"/>
    </xf>
    <xf numFmtId="0" fontId="31" fillId="5" borderId="0" xfId="49" applyFont="1" applyFill="1">
      <alignment vertical="center"/>
    </xf>
    <xf numFmtId="0" fontId="11" fillId="5" borderId="15" xfId="49" applyFont="1" applyFill="1" applyBorder="1" applyAlignment="1">
      <alignment horizontal="center" vertical="center" wrapText="1"/>
    </xf>
    <xf numFmtId="0" fontId="11" fillId="5" borderId="0" xfId="49" applyFont="1" applyFill="1" applyAlignment="1">
      <alignment horizontal="center" vertical="center" wrapText="1"/>
    </xf>
    <xf numFmtId="0" fontId="32" fillId="5" borderId="15" xfId="49" applyFont="1" applyFill="1" applyBorder="1" applyAlignment="1">
      <alignment horizontal="right" vertical="center" wrapText="1"/>
    </xf>
    <xf numFmtId="0" fontId="32" fillId="5" borderId="0" xfId="49" applyFont="1" applyFill="1" applyBorder="1" applyAlignment="1">
      <alignment horizontal="right" vertical="center" wrapText="1"/>
    </xf>
    <xf numFmtId="0" fontId="33" fillId="5" borderId="8" xfId="49" applyFont="1" applyFill="1" applyBorder="1" applyAlignment="1">
      <alignment horizontal="center" vertical="center" wrapText="1"/>
    </xf>
    <xf numFmtId="0" fontId="32" fillId="5" borderId="8" xfId="49" applyFont="1" applyFill="1" applyBorder="1" applyAlignment="1">
      <alignment horizontal="center" vertical="center" wrapText="1"/>
    </xf>
    <xf numFmtId="0" fontId="34" fillId="5" borderId="8" xfId="49" applyFont="1" applyFill="1" applyBorder="1" applyAlignment="1">
      <alignment horizontal="center" vertical="center" wrapText="1"/>
    </xf>
    <xf numFmtId="177" fontId="33" fillId="5" borderId="8" xfId="49" applyNumberFormat="1" applyFont="1" applyFill="1" applyBorder="1" applyAlignment="1">
      <alignment horizontal="left" vertical="center" wrapText="1"/>
    </xf>
    <xf numFmtId="177" fontId="34" fillId="5" borderId="8" xfId="49" applyNumberFormat="1" applyFont="1" applyFill="1" applyBorder="1" applyAlignment="1">
      <alignment horizontal="center" vertical="center" wrapText="1"/>
    </xf>
    <xf numFmtId="0" fontId="35" fillId="5" borderId="16" xfId="49" applyFont="1" applyFill="1" applyBorder="1" applyAlignment="1">
      <alignment horizontal="left" vertical="center"/>
    </xf>
    <xf numFmtId="0" fontId="35" fillId="5" borderId="17" xfId="49" applyFont="1" applyFill="1" applyBorder="1" applyAlignment="1">
      <alignment horizontal="left" vertical="center"/>
    </xf>
    <xf numFmtId="0" fontId="36" fillId="0" borderId="0" xfId="49" applyFont="1" applyAlignment="1"/>
    <xf numFmtId="0" fontId="36" fillId="0" borderId="0" xfId="49" applyFont="1" applyFill="1" applyBorder="1" applyAlignment="1"/>
    <xf numFmtId="0" fontId="11" fillId="5" borderId="15" xfId="49" applyFont="1" applyFill="1" applyBorder="1" applyAlignment="1">
      <alignment horizontal="center" vertical="center"/>
    </xf>
    <xf numFmtId="0" fontId="11" fillId="5" borderId="0" xfId="49" applyFont="1" applyFill="1" applyAlignment="1">
      <alignment horizontal="center" vertical="center"/>
    </xf>
    <xf numFmtId="0" fontId="23" fillId="5" borderId="8" xfId="49" applyFont="1" applyFill="1" applyBorder="1" applyAlignment="1">
      <alignment horizontal="right" vertical="center"/>
    </xf>
    <xf numFmtId="0" fontId="23" fillId="5" borderId="8" xfId="49" applyFont="1" applyFill="1" applyBorder="1" applyAlignment="1">
      <alignment horizontal="center" vertical="center" wrapText="1"/>
    </xf>
    <xf numFmtId="0" fontId="24" fillId="5" borderId="8" xfId="49" applyFont="1" applyFill="1" applyBorder="1" applyAlignment="1">
      <alignment horizontal="center" vertical="center" wrapText="1"/>
    </xf>
    <xf numFmtId="0" fontId="16" fillId="5" borderId="8" xfId="49" applyFont="1" applyFill="1" applyBorder="1" applyAlignment="1">
      <alignment horizontal="center" vertical="center" wrapText="1"/>
    </xf>
    <xf numFmtId="178" fontId="16" fillId="5" borderId="8" xfId="49" applyNumberFormat="1" applyFont="1" applyFill="1" applyBorder="1" applyAlignment="1">
      <alignment horizontal="center" vertical="center" wrapText="1"/>
    </xf>
    <xf numFmtId="0" fontId="37" fillId="5" borderId="8" xfId="49" applyFont="1" applyFill="1" applyBorder="1" applyAlignment="1">
      <alignment horizontal="center" vertical="center" wrapText="1"/>
    </xf>
    <xf numFmtId="178" fontId="36" fillId="0" borderId="0" xfId="49" applyNumberFormat="1" applyFont="1" applyFill="1" applyBorder="1" applyAlignment="1"/>
    <xf numFmtId="0" fontId="38" fillId="0" borderId="0" xfId="49" applyFont="1" applyAlignment="1">
      <alignment horizontal="center" vertical="center"/>
    </xf>
    <xf numFmtId="0" fontId="22" fillId="0" borderId="0" xfId="49" applyFont="1" applyFill="1" applyBorder="1" applyAlignment="1">
      <alignment horizontal="center" vertical="center"/>
    </xf>
    <xf numFmtId="0" fontId="21" fillId="0" borderId="15" xfId="49" applyFont="1" applyFill="1" applyBorder="1" applyAlignment="1">
      <alignment horizontal="right" vertical="center"/>
    </xf>
    <xf numFmtId="0" fontId="21" fillId="0" borderId="0" xfId="49" applyFont="1" applyFill="1" applyBorder="1" applyAlignment="1">
      <alignment horizontal="right" vertical="center"/>
    </xf>
    <xf numFmtId="0" fontId="39" fillId="0" borderId="8" xfId="49" applyFont="1" applyFill="1" applyBorder="1" applyAlignment="1">
      <alignment horizontal="center" vertical="center" wrapText="1"/>
    </xf>
    <xf numFmtId="0" fontId="40" fillId="0" borderId="8" xfId="49" applyFont="1" applyFill="1" applyBorder="1" applyAlignment="1">
      <alignment horizontal="center" vertical="center" wrapText="1"/>
    </xf>
    <xf numFmtId="0" fontId="27" fillId="0" borderId="8" xfId="49" applyFont="1" applyFill="1" applyBorder="1" applyAlignment="1">
      <alignment horizontal="center" vertical="center" wrapText="1"/>
    </xf>
    <xf numFmtId="0" fontId="24" fillId="0" borderId="8" xfId="49" applyFont="1" applyFill="1" applyBorder="1" applyAlignment="1">
      <alignment vertical="center" wrapText="1"/>
    </xf>
    <xf numFmtId="0" fontId="41" fillId="0" borderId="8" xfId="49" applyFont="1" applyFill="1" applyBorder="1" applyAlignment="1">
      <alignment horizontal="center" vertical="center" wrapText="1"/>
    </xf>
    <xf numFmtId="178" fontId="24" fillId="0" borderId="8" xfId="49" applyNumberFormat="1" applyFont="1" applyFill="1" applyBorder="1" applyAlignment="1">
      <alignment vertical="center" wrapText="1"/>
    </xf>
    <xf numFmtId="0" fontId="24" fillId="0" borderId="8" xfId="49" applyFont="1" applyFill="1" applyBorder="1" applyAlignment="1">
      <alignment horizontal="center" vertical="center"/>
    </xf>
    <xf numFmtId="0" fontId="22" fillId="0" borderId="0" xfId="49" applyFont="1" applyFill="1" applyBorder="1" applyAlignment="1">
      <alignment vertical="center"/>
    </xf>
    <xf numFmtId="178" fontId="0" fillId="0" borderId="0" xfId="0" applyNumberFormat="1">
      <alignment vertical="center"/>
    </xf>
    <xf numFmtId="0" fontId="37" fillId="0" borderId="0" xfId="0" applyFont="1" applyAlignment="1">
      <alignment horizontal="center" vertical="center"/>
    </xf>
    <xf numFmtId="0" fontId="42" fillId="0" borderId="5" xfId="0" applyFont="1" applyBorder="1" applyAlignment="1">
      <alignment horizontal="center" vertical="center" wrapText="1"/>
    </xf>
    <xf numFmtId="178" fontId="42" fillId="0" borderId="5" xfId="0" applyNumberFormat="1" applyFont="1" applyBorder="1" applyAlignment="1">
      <alignment horizontal="center" vertical="center" wrapText="1"/>
    </xf>
    <xf numFmtId="178" fontId="0" fillId="0" borderId="18" xfId="0" applyNumberFormat="1" applyFont="1" applyBorder="1" applyAlignment="1">
      <alignment horizontal="center" vertical="center"/>
    </xf>
    <xf numFmtId="178" fontId="0" fillId="0" borderId="2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178" fontId="42" fillId="0" borderId="3" xfId="0" applyNumberFormat="1" applyFont="1" applyBorder="1" applyAlignment="1">
      <alignment horizontal="center" vertical="center" wrapText="1"/>
    </xf>
    <xf numFmtId="0" fontId="42" fillId="0" borderId="2" xfId="0" applyNumberFormat="1" applyFont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4" xfId="0" applyFont="1" applyFill="1" applyBorder="1" applyAlignment="1">
      <alignment horizontal="left" vertical="center" wrapText="1"/>
    </xf>
    <xf numFmtId="178" fontId="43" fillId="4" borderId="4" xfId="0" applyNumberFormat="1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left" vertical="center" wrapText="1"/>
    </xf>
    <xf numFmtId="178" fontId="45" fillId="0" borderId="4" xfId="0" applyNumberFormat="1" applyFont="1" applyBorder="1" applyAlignment="1">
      <alignment horizontal="center" vertical="center" wrapText="1"/>
    </xf>
    <xf numFmtId="0" fontId="42" fillId="0" borderId="4" xfId="0" applyFont="1" applyBorder="1" applyAlignment="1">
      <alignment horizontal="left" vertical="center" wrapText="1"/>
    </xf>
    <xf numFmtId="178" fontId="43" fillId="0" borderId="4" xfId="0" applyNumberFormat="1" applyFont="1" applyBorder="1" applyAlignment="1">
      <alignment horizontal="center" vertical="center" wrapText="1"/>
    </xf>
    <xf numFmtId="178" fontId="44" fillId="0" borderId="4" xfId="0" applyNumberFormat="1" applyFont="1" applyBorder="1" applyAlignment="1">
      <alignment horizontal="center" vertical="center" wrapText="1"/>
    </xf>
    <xf numFmtId="0" fontId="46" fillId="5" borderId="0" xfId="0" applyFont="1" applyFill="1">
      <alignment vertical="center"/>
    </xf>
    <xf numFmtId="0" fontId="0" fillId="5" borderId="0" xfId="0" applyFill="1">
      <alignment vertical="center"/>
    </xf>
    <xf numFmtId="10" fontId="0" fillId="5" borderId="0" xfId="0" applyNumberFormat="1" applyFill="1">
      <alignment vertical="center"/>
    </xf>
    <xf numFmtId="0" fontId="47" fillId="5" borderId="19" xfId="0" applyFont="1" applyFill="1" applyBorder="1" applyAlignment="1">
      <alignment horizontal="center" vertical="center"/>
    </xf>
    <xf numFmtId="0" fontId="47" fillId="5" borderId="20" xfId="0" applyFont="1" applyFill="1" applyBorder="1" applyAlignment="1">
      <alignment horizontal="center" vertical="center"/>
    </xf>
    <xf numFmtId="0" fontId="47" fillId="5" borderId="21" xfId="0" applyFont="1" applyFill="1" applyBorder="1" applyAlignment="1">
      <alignment horizontal="center" vertical="center"/>
    </xf>
    <xf numFmtId="0" fontId="48" fillId="5" borderId="13" xfId="0" applyFont="1" applyFill="1" applyBorder="1" applyAlignment="1">
      <alignment horizontal="center" vertical="center"/>
    </xf>
    <xf numFmtId="0" fontId="48" fillId="5" borderId="8" xfId="0" applyFont="1" applyFill="1" applyBorder="1" applyAlignment="1">
      <alignment horizontal="center" vertical="center"/>
    </xf>
    <xf numFmtId="10" fontId="49" fillId="5" borderId="13" xfId="0" applyNumberFormat="1" applyFont="1" applyFill="1" applyBorder="1" applyAlignment="1">
      <alignment horizontal="center" vertical="center"/>
    </xf>
    <xf numFmtId="0" fontId="50" fillId="5" borderId="8" xfId="0" applyFont="1" applyFill="1" applyBorder="1" applyAlignment="1">
      <alignment horizontal="center" vertical="center"/>
    </xf>
    <xf numFmtId="178" fontId="50" fillId="5" borderId="8" xfId="0" applyNumberFormat="1" applyFont="1" applyFill="1" applyBorder="1" applyAlignment="1">
      <alignment horizontal="center" vertical="center"/>
    </xf>
    <xf numFmtId="10" fontId="51" fillId="5" borderId="8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78" fontId="48" fillId="5" borderId="8" xfId="0" applyNumberFormat="1" applyFont="1" applyFill="1" applyBorder="1" applyAlignment="1">
      <alignment horizontal="center" vertical="center"/>
    </xf>
    <xf numFmtId="10" fontId="49" fillId="5" borderId="8" xfId="0" applyNumberFormat="1" applyFont="1" applyFill="1" applyBorder="1" applyAlignment="1">
      <alignment horizontal="center" vertical="center"/>
    </xf>
    <xf numFmtId="0" fontId="52" fillId="5" borderId="0" xfId="0" applyFont="1" applyFill="1" applyAlignment="1">
      <alignment horizontal="center" vertical="center"/>
    </xf>
    <xf numFmtId="0" fontId="53" fillId="5" borderId="0" xfId="0" applyFon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50" fillId="5" borderId="0" xfId="0" applyFont="1" applyFill="1" applyAlignment="1">
      <alignment horizontal="center" vertical="center"/>
    </xf>
    <xf numFmtId="0" fontId="46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center" vertical="center"/>
    </xf>
    <xf numFmtId="0" fontId="54" fillId="5" borderId="0" xfId="0" applyFont="1" applyFill="1" applyBorder="1" applyAlignment="1">
      <alignment horizontal="center"/>
    </xf>
    <xf numFmtId="0" fontId="54" fillId="5" borderId="0" xfId="0" applyFont="1" applyFill="1" applyBorder="1" applyAlignment="1">
      <alignment vertical="center" wrapText="1"/>
    </xf>
    <xf numFmtId="2" fontId="55" fillId="5" borderId="0" xfId="0" applyNumberFormat="1" applyFont="1" applyFill="1" applyBorder="1" applyAlignment="1"/>
    <xf numFmtId="0" fontId="31" fillId="0" borderId="0" xfId="49" applyFont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left" vertical="center"/>
    </xf>
    <xf numFmtId="180" fontId="14" fillId="4" borderId="8" xfId="0" applyNumberFormat="1" applyFont="1" applyFill="1" applyBorder="1" applyAlignment="1">
      <alignment horizontal="center" vertical="center"/>
    </xf>
    <xf numFmtId="177" fontId="14" fillId="4" borderId="8" xfId="0" applyNumberFormat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/>
    </xf>
    <xf numFmtId="181" fontId="14" fillId="4" borderId="8" xfId="0" applyNumberFormat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vertical="center" wrapText="1"/>
    </xf>
    <xf numFmtId="9" fontId="14" fillId="4" borderId="8" xfId="0" applyNumberFormat="1" applyFont="1" applyFill="1" applyBorder="1" applyAlignment="1">
      <alignment horizontal="center" vertical="center"/>
    </xf>
    <xf numFmtId="9" fontId="14" fillId="4" borderId="8" xfId="11" applyFont="1" applyFill="1" applyBorder="1" applyAlignment="1">
      <alignment horizontal="center" vertical="center"/>
    </xf>
    <xf numFmtId="9" fontId="14" fillId="4" borderId="8" xfId="11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vertical="center"/>
    </xf>
    <xf numFmtId="10" fontId="56" fillId="0" borderId="8" xfId="11" applyNumberFormat="1" applyFont="1" applyFill="1" applyBorder="1" applyAlignment="1">
      <alignment horizontal="center" vertical="center"/>
    </xf>
    <xf numFmtId="177" fontId="14" fillId="0" borderId="8" xfId="0" applyNumberFormat="1" applyFont="1" applyFill="1" applyBorder="1" applyAlignment="1">
      <alignment horizontal="center" vertical="center"/>
    </xf>
    <xf numFmtId="10" fontId="14" fillId="0" borderId="8" xfId="11" applyNumberFormat="1" applyFont="1" applyFill="1" applyBorder="1" applyAlignment="1">
      <alignment horizontal="center" vertical="center"/>
    </xf>
    <xf numFmtId="9" fontId="14" fillId="0" borderId="8" xfId="11" applyNumberFormat="1" applyFont="1" applyFill="1" applyBorder="1" applyAlignment="1">
      <alignment horizontal="center" vertical="center"/>
    </xf>
    <xf numFmtId="178" fontId="12" fillId="4" borderId="8" xfId="0" applyNumberFormat="1" applyFont="1" applyFill="1" applyBorder="1" applyAlignment="1">
      <alignment horizontal="left" vertical="center"/>
    </xf>
    <xf numFmtId="10" fontId="14" fillId="4" borderId="8" xfId="11" applyNumberFormat="1" applyFont="1" applyFill="1" applyBorder="1" applyAlignment="1">
      <alignment horizontal="center" vertical="center"/>
    </xf>
    <xf numFmtId="0" fontId="14" fillId="4" borderId="8" xfId="50" applyFont="1" applyFill="1" applyBorder="1" applyAlignment="1">
      <alignment vertical="center"/>
    </xf>
    <xf numFmtId="0" fontId="14" fillId="0" borderId="8" xfId="50" applyFont="1" applyFill="1" applyBorder="1" applyAlignment="1">
      <alignment vertical="center"/>
    </xf>
    <xf numFmtId="9" fontId="14" fillId="0" borderId="8" xfId="11" applyFont="1" applyFill="1" applyBorder="1" applyAlignment="1">
      <alignment horizontal="center" vertical="center"/>
    </xf>
    <xf numFmtId="10" fontId="14" fillId="0" borderId="8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181" fontId="14" fillId="0" borderId="8" xfId="50" applyNumberFormat="1" applyFont="1" applyFill="1" applyBorder="1" applyAlignment="1">
      <alignment horizontal="center" vertical="center"/>
    </xf>
    <xf numFmtId="181" fontId="14" fillId="0" borderId="8" xfId="0" applyNumberFormat="1" applyFont="1" applyFill="1" applyBorder="1" applyAlignment="1">
      <alignment horizontal="center" vertical="center"/>
    </xf>
    <xf numFmtId="177" fontId="14" fillId="0" borderId="8" xfId="0" applyNumberFormat="1" applyFont="1" applyFill="1" applyBorder="1" applyAlignment="1">
      <alignment horizontal="center" vertical="center" wrapText="1"/>
    </xf>
    <xf numFmtId="176" fontId="14" fillId="0" borderId="8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基本参数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敏感性分析!$A$3</c:f>
              <c:strCache>
                <c:ptCount val="1"/>
                <c:pt idx="0">
                  <c:v>建设投资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敏感性分析!$B$3:$B$6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f>敏感性分析!$D$3:$D$6</c:f>
              <c:numCache>
                <c:formatCode>0.00_ </c:formatCode>
                <c:ptCount val="4"/>
                <c:pt idx="0">
                  <c:v>5034.43055589517</c:v>
                </c:pt>
                <c:pt idx="1">
                  <c:v>4640.98181134885</c:v>
                </c:pt>
                <c:pt idx="2">
                  <c:v>3854.08432225622</c:v>
                </c:pt>
                <c:pt idx="3">
                  <c:v>3460.63557770991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敏感性分析!$A$7</c:f>
              <c:strCache>
                <c:ptCount val="1"/>
                <c:pt idx="0">
                  <c:v>经营收入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敏感性分析!$B$3:$B$6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f>敏感性分析!$D$7:$D$10</c:f>
              <c:numCache>
                <c:formatCode>0.00_ </c:formatCode>
                <c:ptCount val="4"/>
                <c:pt idx="0">
                  <c:v>1638.28787105874</c:v>
                </c:pt>
                <c:pt idx="1">
                  <c:v>2942.91046893064</c:v>
                </c:pt>
                <c:pt idx="2">
                  <c:v>5552.15566467444</c:v>
                </c:pt>
                <c:pt idx="3">
                  <c:v>6856.77826254633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敏感性分析!$A$11</c:f>
              <c:strCache>
                <c:ptCount val="1"/>
                <c:pt idx="0">
                  <c:v>运营成本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敏感性分析!$B$3:$B$6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f>敏感性分析!$D$11:$D$14</c:f>
              <c:numCache>
                <c:formatCode>0.00_ </c:formatCode>
                <c:ptCount val="4"/>
                <c:pt idx="0">
                  <c:v>5068.65352416474</c:v>
                </c:pt>
                <c:pt idx="1">
                  <c:v>4658.09329548364</c:v>
                </c:pt>
                <c:pt idx="2">
                  <c:v>3836.97283812144</c:v>
                </c:pt>
                <c:pt idx="3">
                  <c:v>3426.41260944033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628336"/>
        <c:axId val="2142085120"/>
      </c:lineChart>
      <c:catAx>
        <c:axId val="886283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2085120"/>
        <c:crosses val="autoZero"/>
        <c:auto val="1"/>
        <c:lblAlgn val="ctr"/>
        <c:lblOffset val="100"/>
        <c:noMultiLvlLbl val="0"/>
      </c:catAx>
      <c:valAx>
        <c:axId val="21420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350520</xdr:colOff>
      <xdr:row>2</xdr:row>
      <xdr:rowOff>3810</xdr:rowOff>
    </xdr:from>
    <xdr:to>
      <xdr:col>16</xdr:col>
      <xdr:colOff>45720</xdr:colOff>
      <xdr:row>16</xdr:row>
      <xdr:rowOff>80010</xdr:rowOff>
    </xdr:to>
    <xdr:graphicFrame>
      <xdr:nvGraphicFramePr>
        <xdr:cNvPr id="2" name="图表 1"/>
        <xdr:cNvGraphicFramePr/>
      </xdr:nvGraphicFramePr>
      <xdr:xfrm>
        <a:off x="6332220" y="754380"/>
        <a:ext cx="463296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1649;&#24266;&#39033;&#30446;&#32463;&#27982;&#35780;&#2021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制要求"/>
      <sheetName val="基本参数"/>
      <sheetName val="建设期利息"/>
      <sheetName val="资金筹措"/>
      <sheetName val="收入税金"/>
      <sheetName val="折旧摊销"/>
      <sheetName val="经营成本"/>
      <sheetName val="总成本"/>
      <sheetName val="还本付息"/>
      <sheetName val="利润分配"/>
      <sheetName val="财务计划"/>
      <sheetName val="全投资"/>
      <sheetName val="资本金"/>
      <sheetName val="社会资本"/>
      <sheetName val="综合收益"/>
      <sheetName val="Sheet1"/>
      <sheetName val="综合收益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B40" sqref="B40"/>
    </sheetView>
  </sheetViews>
  <sheetFormatPr defaultColWidth="8.88888888888889" defaultRowHeight="12" outlineLevelCol="5"/>
  <cols>
    <col min="1" max="2" width="8.88888888888889" style="194"/>
    <col min="3" max="3" width="20.3333333333333" style="194" customWidth="1"/>
    <col min="4" max="4" width="19.7777777777778" style="194" customWidth="1"/>
    <col min="5" max="16384" width="8.88888888888889" style="194"/>
  </cols>
  <sheetData>
    <row r="1" ht="17.4" spans="1:6">
      <c r="A1" s="195" t="s">
        <v>0</v>
      </c>
      <c r="B1" s="195"/>
      <c r="C1" s="195"/>
      <c r="D1" s="195"/>
      <c r="E1" s="195"/>
      <c r="F1" s="195"/>
    </row>
    <row r="2" spans="1:6">
      <c r="A2" s="196" t="s">
        <v>1</v>
      </c>
      <c r="B2" s="196"/>
      <c r="C2" s="196" t="s">
        <v>2</v>
      </c>
      <c r="D2" s="196" t="s">
        <v>3</v>
      </c>
      <c r="E2" s="196" t="s">
        <v>4</v>
      </c>
      <c r="F2" s="196"/>
    </row>
    <row r="3" spans="1:6">
      <c r="A3" s="197">
        <v>1</v>
      </c>
      <c r="B3" s="197"/>
      <c r="C3" s="198" t="s">
        <v>5</v>
      </c>
      <c r="D3" s="199">
        <v>2</v>
      </c>
      <c r="E3" s="200"/>
      <c r="F3" s="200"/>
    </row>
    <row r="4" spans="1:6">
      <c r="A4" s="197">
        <v>2</v>
      </c>
      <c r="B4" s="197"/>
      <c r="C4" s="198" t="s">
        <v>6</v>
      </c>
      <c r="D4" s="199">
        <v>25</v>
      </c>
      <c r="E4" s="200"/>
      <c r="F4" s="200"/>
    </row>
    <row r="5" spans="1:6">
      <c r="A5" s="201" t="s">
        <v>7</v>
      </c>
      <c r="B5" s="197">
        <v>3</v>
      </c>
      <c r="C5" s="202" t="s">
        <v>8</v>
      </c>
      <c r="D5" s="203">
        <f>D6+D13</f>
        <v>103530.93</v>
      </c>
      <c r="E5" s="200"/>
      <c r="F5" s="200"/>
    </row>
    <row r="6" spans="1:6">
      <c r="A6" s="201"/>
      <c r="B6" s="197">
        <v>4</v>
      </c>
      <c r="C6" s="202" t="s">
        <v>9</v>
      </c>
      <c r="D6" s="203">
        <f>D7+D12</f>
        <v>103330.93</v>
      </c>
      <c r="E6" s="200"/>
      <c r="F6" s="200"/>
    </row>
    <row r="7" spans="1:6">
      <c r="A7" s="201"/>
      <c r="B7" s="197">
        <v>5</v>
      </c>
      <c r="C7" s="202" t="s">
        <v>10</v>
      </c>
      <c r="D7" s="203">
        <f>SUM(D8:D11)</f>
        <v>98815.76</v>
      </c>
      <c r="E7" s="200"/>
      <c r="F7" s="200"/>
    </row>
    <row r="8" spans="1:6">
      <c r="A8" s="201"/>
      <c r="B8" s="197">
        <v>6</v>
      </c>
      <c r="C8" s="202" t="s">
        <v>11</v>
      </c>
      <c r="D8" s="203">
        <v>80512.56</v>
      </c>
      <c r="E8" s="200"/>
      <c r="F8" s="200"/>
    </row>
    <row r="9" spans="1:6">
      <c r="A9" s="204"/>
      <c r="B9" s="197">
        <v>7</v>
      </c>
      <c r="C9" s="202" t="s">
        <v>12</v>
      </c>
      <c r="D9" s="203">
        <v>9047.22</v>
      </c>
      <c r="E9" s="197"/>
      <c r="F9" s="197"/>
    </row>
    <row r="10" spans="1:6">
      <c r="A10" s="204"/>
      <c r="B10" s="197">
        <v>8</v>
      </c>
      <c r="C10" s="202" t="s">
        <v>13</v>
      </c>
      <c r="D10" s="203">
        <v>8955.98</v>
      </c>
      <c r="E10" s="197"/>
      <c r="F10" s="197"/>
    </row>
    <row r="11" spans="1:6">
      <c r="A11" s="204"/>
      <c r="B11" s="197">
        <v>9</v>
      </c>
      <c r="C11" s="202" t="s">
        <v>14</v>
      </c>
      <c r="D11" s="203">
        <v>300</v>
      </c>
      <c r="E11" s="197"/>
      <c r="F11" s="197"/>
    </row>
    <row r="12" spans="1:6">
      <c r="A12" s="204"/>
      <c r="B12" s="197">
        <v>10</v>
      </c>
      <c r="C12" s="202" t="s">
        <v>15</v>
      </c>
      <c r="D12" s="203">
        <v>4515.17</v>
      </c>
      <c r="E12" s="197"/>
      <c r="F12" s="197"/>
    </row>
    <row r="13" spans="1:6">
      <c r="A13" s="201"/>
      <c r="B13" s="197">
        <v>11</v>
      </c>
      <c r="C13" s="202" t="s">
        <v>16</v>
      </c>
      <c r="D13" s="203">
        <v>200</v>
      </c>
      <c r="E13" s="200"/>
      <c r="F13" s="200"/>
    </row>
    <row r="14" spans="1:6">
      <c r="A14" s="201"/>
      <c r="B14" s="197">
        <v>12</v>
      </c>
      <c r="C14" s="202" t="s">
        <v>17</v>
      </c>
      <c r="D14" s="203">
        <f>D6*20%</f>
        <v>20666.186</v>
      </c>
      <c r="E14" s="205">
        <v>0.2</v>
      </c>
      <c r="F14" s="205"/>
    </row>
    <row r="15" spans="1:6">
      <c r="A15" s="201"/>
      <c r="B15" s="197">
        <v>13</v>
      </c>
      <c r="C15" s="202" t="s">
        <v>18</v>
      </c>
      <c r="D15" s="203">
        <f>SUM(D8:D11)*80%+D12</f>
        <v>83567.778</v>
      </c>
      <c r="E15" s="200">
        <v>0.8</v>
      </c>
      <c r="F15" s="200"/>
    </row>
    <row r="16" spans="1:6">
      <c r="A16" s="201"/>
      <c r="B16" s="197">
        <v>14</v>
      </c>
      <c r="C16" s="202" t="s">
        <v>19</v>
      </c>
      <c r="D16" s="206">
        <f>SUM(E16:F16)</f>
        <v>1</v>
      </c>
      <c r="E16" s="207">
        <v>0.6</v>
      </c>
      <c r="F16" s="207">
        <v>0.4</v>
      </c>
    </row>
    <row r="17" spans="1:6">
      <c r="A17" s="208" t="s">
        <v>20</v>
      </c>
      <c r="B17" s="196">
        <v>15</v>
      </c>
      <c r="C17" s="209" t="s">
        <v>21</v>
      </c>
      <c r="D17" s="210"/>
      <c r="E17" s="211"/>
      <c r="F17" s="211"/>
    </row>
    <row r="18" spans="1:6">
      <c r="A18" s="208"/>
      <c r="B18" s="196">
        <v>16</v>
      </c>
      <c r="C18" s="209" t="s">
        <v>22</v>
      </c>
      <c r="D18" s="210"/>
      <c r="E18" s="211"/>
      <c r="F18" s="211"/>
    </row>
    <row r="19" spans="1:6">
      <c r="A19" s="208"/>
      <c r="B19" s="196">
        <v>17</v>
      </c>
      <c r="C19" s="209" t="s">
        <v>23</v>
      </c>
      <c r="D19" s="212">
        <v>0.11</v>
      </c>
      <c r="E19" s="211"/>
      <c r="F19" s="211"/>
    </row>
    <row r="20" spans="1:6">
      <c r="A20" s="208"/>
      <c r="B20" s="196">
        <v>18</v>
      </c>
      <c r="C20" s="209" t="s">
        <v>24</v>
      </c>
      <c r="D20" s="212">
        <v>0</v>
      </c>
      <c r="E20" s="211"/>
      <c r="F20" s="211"/>
    </row>
    <row r="21" spans="1:6">
      <c r="A21" s="208"/>
      <c r="B21" s="196">
        <v>19</v>
      </c>
      <c r="C21" s="209" t="s">
        <v>25</v>
      </c>
      <c r="D21" s="213">
        <v>0</v>
      </c>
      <c r="E21" s="211"/>
      <c r="F21" s="211"/>
    </row>
    <row r="22" spans="1:6">
      <c r="A22" s="208"/>
      <c r="B22" s="196">
        <v>20</v>
      </c>
      <c r="C22" s="209" t="s">
        <v>26</v>
      </c>
      <c r="D22" s="212">
        <v>0</v>
      </c>
      <c r="E22" s="211"/>
      <c r="F22" s="211"/>
    </row>
    <row r="23" spans="1:6">
      <c r="A23" s="208"/>
      <c r="B23" s="197">
        <v>21</v>
      </c>
      <c r="C23" s="214" t="s">
        <v>27</v>
      </c>
      <c r="D23" s="215">
        <v>0.07</v>
      </c>
      <c r="E23" s="211"/>
      <c r="F23" s="211"/>
    </row>
    <row r="24" spans="1:6">
      <c r="A24" s="208"/>
      <c r="B24" s="197">
        <v>22</v>
      </c>
      <c r="C24" s="214" t="s">
        <v>28</v>
      </c>
      <c r="D24" s="215">
        <v>0.03</v>
      </c>
      <c r="E24" s="211"/>
      <c r="F24" s="211"/>
    </row>
    <row r="25" spans="1:6">
      <c r="A25" s="208"/>
      <c r="B25" s="197">
        <v>23</v>
      </c>
      <c r="C25" s="214" t="s">
        <v>29</v>
      </c>
      <c r="D25" s="215">
        <v>0.02</v>
      </c>
      <c r="E25" s="211"/>
      <c r="F25" s="211"/>
    </row>
    <row r="26" spans="1:6">
      <c r="A26" s="208"/>
      <c r="B26" s="197">
        <v>24</v>
      </c>
      <c r="C26" s="216" t="s">
        <v>30</v>
      </c>
      <c r="D26" s="207">
        <v>0.2</v>
      </c>
      <c r="E26" s="211"/>
      <c r="F26" s="211"/>
    </row>
    <row r="27" spans="1:6">
      <c r="A27" s="208"/>
      <c r="B27" s="196">
        <v>25</v>
      </c>
      <c r="C27" s="217" t="s">
        <v>31</v>
      </c>
      <c r="D27" s="213">
        <v>0.07</v>
      </c>
      <c r="E27" s="211"/>
      <c r="F27" s="211"/>
    </row>
    <row r="28" spans="1:6">
      <c r="A28" s="208" t="s">
        <v>32</v>
      </c>
      <c r="B28" s="196">
        <v>26</v>
      </c>
      <c r="C28" s="209" t="s">
        <v>33</v>
      </c>
      <c r="D28" s="212">
        <v>0.06</v>
      </c>
      <c r="E28" s="213"/>
      <c r="F28" s="218"/>
    </row>
    <row r="29" spans="1:6">
      <c r="A29" s="208"/>
      <c r="B29" s="196">
        <v>27</v>
      </c>
      <c r="C29" s="209" t="s">
        <v>34</v>
      </c>
      <c r="D29" s="212">
        <v>0.04</v>
      </c>
      <c r="E29" s="218"/>
      <c r="F29" s="218"/>
    </row>
    <row r="30" spans="1:6">
      <c r="A30" s="208"/>
      <c r="B30" s="196">
        <v>28</v>
      </c>
      <c r="C30" s="217" t="s">
        <v>35</v>
      </c>
      <c r="D30" s="212"/>
      <c r="E30" s="219"/>
      <c r="F30" s="220"/>
    </row>
    <row r="31" spans="1:6">
      <c r="A31" s="208"/>
      <c r="B31" s="196">
        <v>29</v>
      </c>
      <c r="C31" s="209" t="s">
        <v>36</v>
      </c>
      <c r="D31" s="212"/>
      <c r="E31" s="219"/>
      <c r="F31" s="220"/>
    </row>
    <row r="32" spans="1:6">
      <c r="A32" s="208"/>
      <c r="B32" s="196">
        <v>30</v>
      </c>
      <c r="C32" s="217" t="s">
        <v>37</v>
      </c>
      <c r="D32" s="221"/>
      <c r="E32" s="196"/>
      <c r="F32" s="196"/>
    </row>
    <row r="33" spans="1:6">
      <c r="A33" s="208" t="s">
        <v>38</v>
      </c>
      <c r="B33" s="196">
        <v>31</v>
      </c>
      <c r="C33" s="209" t="s">
        <v>39</v>
      </c>
      <c r="D33" s="212"/>
      <c r="E33" s="211"/>
      <c r="F33" s="211"/>
    </row>
    <row r="34" spans="1:6">
      <c r="A34" s="208"/>
      <c r="B34" s="196">
        <v>32</v>
      </c>
      <c r="C34" s="209" t="s">
        <v>40</v>
      </c>
      <c r="D34" s="212"/>
      <c r="E34" s="211"/>
      <c r="F34" s="211"/>
    </row>
    <row r="35" spans="1:6">
      <c r="A35" s="208"/>
      <c r="B35" s="196">
        <v>33</v>
      </c>
      <c r="C35" s="209" t="s">
        <v>41</v>
      </c>
      <c r="D35" s="222">
        <f>D8*D34*75%</f>
        <v>0</v>
      </c>
      <c r="E35" s="211"/>
      <c r="F35" s="211"/>
    </row>
    <row r="36" spans="1:6">
      <c r="A36" s="208"/>
      <c r="B36" s="196">
        <v>34</v>
      </c>
      <c r="C36" s="209" t="s">
        <v>42</v>
      </c>
      <c r="D36" s="212">
        <f>D33-D34</f>
        <v>0</v>
      </c>
      <c r="E36" s="211"/>
      <c r="F36" s="211"/>
    </row>
    <row r="37" spans="1:6">
      <c r="A37" s="208" t="s">
        <v>43</v>
      </c>
      <c r="B37" s="196">
        <v>35</v>
      </c>
      <c r="C37" s="217" t="s">
        <v>44</v>
      </c>
      <c r="D37" s="212">
        <f>[1]社会资本!Q26</f>
        <v>0</v>
      </c>
      <c r="E37" s="223"/>
      <c r="F37" s="223"/>
    </row>
    <row r="38" spans="1:6">
      <c r="A38" s="208"/>
      <c r="B38" s="196">
        <v>36</v>
      </c>
      <c r="C38" s="217" t="s">
        <v>45</v>
      </c>
      <c r="D38" s="212">
        <f>[1]综合收益!Q27</f>
        <v>0</v>
      </c>
      <c r="E38" s="224"/>
      <c r="F38" s="224"/>
    </row>
  </sheetData>
  <mergeCells count="43">
    <mergeCell ref="A1:F1"/>
    <mergeCell ref="A2:B2"/>
    <mergeCell ref="E2:F2"/>
    <mergeCell ref="A3:B3"/>
    <mergeCell ref="E3:F3"/>
    <mergeCell ref="A4:B4"/>
    <mergeCell ref="E4:F4"/>
    <mergeCell ref="E5:F5"/>
    <mergeCell ref="E6:F6"/>
    <mergeCell ref="E8:F8"/>
    <mergeCell ref="E9:F9"/>
    <mergeCell ref="E10:F10"/>
    <mergeCell ref="E13:F13"/>
    <mergeCell ref="E14:F14"/>
    <mergeCell ref="E15:F15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A5:A16"/>
    <mergeCell ref="A17:A27"/>
    <mergeCell ref="A28:A29"/>
    <mergeCell ref="A30:A32"/>
    <mergeCell ref="A33:A36"/>
    <mergeCell ref="A37:A38"/>
  </mergeCells>
  <pageMargins left="0.699305555555556" right="0.699305555555556" top="0.75" bottom="0.75" header="0.3" footer="0.3"/>
  <pageSetup paperSize="9" orientation="portrait"/>
  <headerFooter/>
  <ignoredErrors>
    <ignoredError sqref="D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0"/>
  <sheetViews>
    <sheetView tabSelected="1" workbookViewId="0">
      <pane ySplit="4" topLeftCell="A14" activePane="bottomLeft" state="frozen"/>
      <selection/>
      <selection pane="bottomLeft" activeCell="H36" sqref="H36"/>
    </sheetView>
  </sheetViews>
  <sheetFormatPr defaultColWidth="9" defaultRowHeight="13.2"/>
  <cols>
    <col min="1" max="1" width="5.77777777777778" style="36" customWidth="1"/>
    <col min="2" max="2" width="16.7777777777778" style="36" customWidth="1"/>
    <col min="3" max="3" width="11.3333333333333" style="36" customWidth="1"/>
    <col min="4" max="4" width="10.6666666666667" style="36" customWidth="1"/>
    <col min="5" max="5" width="11.6666666666667" style="36" customWidth="1"/>
    <col min="6" max="12" width="12.7777777777778" style="36" customWidth="1"/>
    <col min="13" max="13" width="11.6666666666667" style="36" customWidth="1"/>
    <col min="14" max="26" width="9" style="36"/>
    <col min="27" max="30" width="11.1111111111111" style="36" customWidth="1"/>
    <col min="31" max="16384" width="9" style="36"/>
  </cols>
  <sheetData>
    <row r="1" ht="17.4" spans="1:30">
      <c r="A1" s="37" t="s">
        <v>176</v>
      </c>
      <c r="B1" s="37"/>
      <c r="C1" s="37"/>
      <c r="D1" s="37"/>
      <c r="E1" s="37"/>
      <c r="F1" s="37"/>
      <c r="G1" s="37"/>
      <c r="H1" s="37"/>
      <c r="I1" s="37"/>
      <c r="J1" s="37"/>
      <c r="K1" s="55"/>
      <c r="L1" s="55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0">
      <c r="A2" s="38" t="s">
        <v>56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>
      <c r="A3" s="39" t="s">
        <v>1</v>
      </c>
      <c r="B3" s="39" t="s">
        <v>148</v>
      </c>
      <c r="C3" s="39" t="s">
        <v>48</v>
      </c>
      <c r="D3" s="39" t="s">
        <v>58</v>
      </c>
      <c r="E3" s="39"/>
      <c r="F3" s="40" t="s">
        <v>74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1:30">
      <c r="A4" s="39"/>
      <c r="B4" s="39"/>
      <c r="C4" s="39"/>
      <c r="D4" s="39">
        <v>1</v>
      </c>
      <c r="E4" s="39">
        <v>2</v>
      </c>
      <c r="F4" s="39">
        <v>3</v>
      </c>
      <c r="G4" s="39">
        <v>4</v>
      </c>
      <c r="H4" s="39">
        <v>5</v>
      </c>
      <c r="I4" s="39">
        <v>6</v>
      </c>
      <c r="J4" s="39">
        <v>7</v>
      </c>
      <c r="K4" s="39">
        <v>8</v>
      </c>
      <c r="L4" s="39">
        <v>9</v>
      </c>
      <c r="M4" s="39">
        <v>10</v>
      </c>
      <c r="N4" s="39">
        <v>11</v>
      </c>
      <c r="O4" s="39">
        <v>12</v>
      </c>
      <c r="P4" s="39">
        <v>13</v>
      </c>
      <c r="Q4" s="39">
        <v>14</v>
      </c>
      <c r="R4" s="39">
        <v>15</v>
      </c>
      <c r="S4" s="39">
        <v>16</v>
      </c>
      <c r="T4" s="39">
        <v>17</v>
      </c>
      <c r="U4" s="39">
        <v>18</v>
      </c>
      <c r="V4" s="39">
        <v>19</v>
      </c>
      <c r="W4" s="39">
        <v>20</v>
      </c>
      <c r="X4" s="39">
        <v>21</v>
      </c>
      <c r="Y4" s="39">
        <v>22</v>
      </c>
      <c r="Z4" s="39">
        <v>23</v>
      </c>
      <c r="AA4" s="39">
        <v>24</v>
      </c>
      <c r="AB4" s="39">
        <v>25</v>
      </c>
      <c r="AC4" s="39">
        <v>26</v>
      </c>
      <c r="AD4" s="39">
        <v>27</v>
      </c>
    </row>
    <row r="5" spans="1:30">
      <c r="A5" s="41">
        <v>1</v>
      </c>
      <c r="B5" s="42" t="s">
        <v>149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>
      <c r="A6" s="41">
        <v>1.1</v>
      </c>
      <c r="B6" s="43" t="s">
        <v>150</v>
      </c>
      <c r="C6" s="43">
        <f>SUM(D6:AD6)</f>
        <v>213682.727087249</v>
      </c>
      <c r="D6" s="43"/>
      <c r="E6" s="43"/>
      <c r="F6" s="43">
        <f>项目投资现金流量表!F6</f>
        <v>8448.88488736466</v>
      </c>
      <c r="G6" s="43">
        <f>项目投资现金流量表!G6</f>
        <v>8455.88488736466</v>
      </c>
      <c r="H6" s="43">
        <f>项目投资现金流量表!H6</f>
        <v>8463.02488736466</v>
      </c>
      <c r="I6" s="43">
        <f>项目投资现金流量表!I6</f>
        <v>8470.30768736466</v>
      </c>
      <c r="J6" s="43">
        <f>项目投资现金流量表!J6</f>
        <v>8477.73614336466</v>
      </c>
      <c r="K6" s="43">
        <f>项目投资现金流量表!K6</f>
        <v>8485.31316848466</v>
      </c>
      <c r="L6" s="43">
        <f>项目投资现金流量表!L6</f>
        <v>8493.04173410706</v>
      </c>
      <c r="M6" s="43">
        <f>项目投资现金流量表!M6</f>
        <v>8500.92487104191</v>
      </c>
      <c r="N6" s="43">
        <f>项目投资现金流量表!N6</f>
        <v>8508.96567071545</v>
      </c>
      <c r="O6" s="43">
        <f>项目投资现金流量表!O6</f>
        <v>8517.16728638247</v>
      </c>
      <c r="P6" s="43">
        <f>项目投资现金流量表!P6</f>
        <v>8525.53293436282</v>
      </c>
      <c r="Q6" s="43">
        <f>项目投资现金流量表!Q6</f>
        <v>8534.06589530279</v>
      </c>
      <c r="R6" s="43">
        <f>项目投资现金流量表!R6</f>
        <v>8542.76951546155</v>
      </c>
      <c r="S6" s="43">
        <f>项目投资现金流量表!S6</f>
        <v>8551.64720802349</v>
      </c>
      <c r="T6" s="43">
        <f>项目投资现金流量表!T6</f>
        <v>8560.70245443666</v>
      </c>
      <c r="U6" s="43">
        <f>项目投资现金流量表!U6</f>
        <v>8569.9388057781</v>
      </c>
      <c r="V6" s="43">
        <f>项目投资现金流量表!V6</f>
        <v>8579.35988414637</v>
      </c>
      <c r="W6" s="43">
        <f>项目投资现金流量表!W6</f>
        <v>8588.96938408201</v>
      </c>
      <c r="X6" s="43">
        <f>项目投资现金流量表!X6</f>
        <v>8598.77107401635</v>
      </c>
      <c r="Y6" s="43">
        <f>项目投资现金流量表!Y6</f>
        <v>8608.76879774939</v>
      </c>
      <c r="Z6" s="43">
        <f>项目投资现金流量表!Z6</f>
        <v>8618.96647595708</v>
      </c>
      <c r="AA6" s="43">
        <f>项目投资现金流量表!AA6</f>
        <v>8629.36810772893</v>
      </c>
      <c r="AB6" s="43">
        <f>项目投资现金流量表!AB6</f>
        <v>8639.97777213622</v>
      </c>
      <c r="AC6" s="43">
        <f>项目投资现金流量表!AC6</f>
        <v>8650.79962983165</v>
      </c>
      <c r="AD6" s="43">
        <f>项目投资现金流量表!AD6</f>
        <v>8661.83792468099</v>
      </c>
    </row>
    <row r="7" spans="1:30">
      <c r="A7" s="41">
        <v>1.2</v>
      </c>
      <c r="B7" s="44" t="s">
        <v>151</v>
      </c>
      <c r="C7" s="43">
        <f t="shared" ref="C7:C19" si="0">SUM(D7:AD7)</f>
        <v>200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>
        <f>项目投资现金流量表!AD7</f>
        <v>200</v>
      </c>
    </row>
    <row r="8" spans="1:30">
      <c r="A8" s="41">
        <v>1.3</v>
      </c>
      <c r="B8" s="43" t="s">
        <v>152</v>
      </c>
      <c r="C8" s="43">
        <f t="shared" si="0"/>
        <v>5166.54650000007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>
        <f>项目投资现金流量表!AD8</f>
        <v>5166.54650000007</v>
      </c>
    </row>
    <row r="9" spans="1:30">
      <c r="A9" s="41"/>
      <c r="B9" s="43" t="s">
        <v>153</v>
      </c>
      <c r="C9" s="43">
        <f t="shared" si="0"/>
        <v>219049.273587249</v>
      </c>
      <c r="D9" s="43">
        <f t="shared" ref="D9:M9" si="1">SUM(D6:D8)</f>
        <v>0</v>
      </c>
      <c r="E9" s="43">
        <f t="shared" si="1"/>
        <v>0</v>
      </c>
      <c r="F9" s="43">
        <f t="shared" si="1"/>
        <v>8448.88488736466</v>
      </c>
      <c r="G9" s="43">
        <f t="shared" si="1"/>
        <v>8455.88488736466</v>
      </c>
      <c r="H9" s="43">
        <f t="shared" si="1"/>
        <v>8463.02488736466</v>
      </c>
      <c r="I9" s="43">
        <f t="shared" si="1"/>
        <v>8470.30768736466</v>
      </c>
      <c r="J9" s="43">
        <f t="shared" si="1"/>
        <v>8477.73614336466</v>
      </c>
      <c r="K9" s="43">
        <f t="shared" si="1"/>
        <v>8485.31316848466</v>
      </c>
      <c r="L9" s="43">
        <f t="shared" si="1"/>
        <v>8493.04173410706</v>
      </c>
      <c r="M9" s="43">
        <f t="shared" si="1"/>
        <v>8500.92487104191</v>
      </c>
      <c r="N9" s="43">
        <f t="shared" ref="N9:AD9" si="2">SUM(N6:N8)</f>
        <v>8508.96567071545</v>
      </c>
      <c r="O9" s="43">
        <f t="shared" si="2"/>
        <v>8517.16728638247</v>
      </c>
      <c r="P9" s="43">
        <f t="shared" si="2"/>
        <v>8525.53293436282</v>
      </c>
      <c r="Q9" s="43">
        <f t="shared" si="2"/>
        <v>8534.06589530279</v>
      </c>
      <c r="R9" s="43">
        <f t="shared" si="2"/>
        <v>8542.76951546155</v>
      </c>
      <c r="S9" s="43">
        <f t="shared" si="2"/>
        <v>8551.64720802349</v>
      </c>
      <c r="T9" s="43">
        <f t="shared" si="2"/>
        <v>8560.70245443666</v>
      </c>
      <c r="U9" s="43">
        <f t="shared" si="2"/>
        <v>8569.9388057781</v>
      </c>
      <c r="V9" s="43">
        <f t="shared" si="2"/>
        <v>8579.35988414637</v>
      </c>
      <c r="W9" s="43">
        <f t="shared" si="2"/>
        <v>8588.96938408201</v>
      </c>
      <c r="X9" s="43">
        <f t="shared" si="2"/>
        <v>8598.77107401635</v>
      </c>
      <c r="Y9" s="43">
        <f t="shared" si="2"/>
        <v>8608.76879774939</v>
      </c>
      <c r="Z9" s="43">
        <f t="shared" si="2"/>
        <v>8618.96647595708</v>
      </c>
      <c r="AA9" s="43">
        <f t="shared" si="2"/>
        <v>8629.36810772893</v>
      </c>
      <c r="AB9" s="43">
        <f t="shared" si="2"/>
        <v>8639.97777213622</v>
      </c>
      <c r="AC9" s="43">
        <f t="shared" si="2"/>
        <v>8650.79962983165</v>
      </c>
      <c r="AD9" s="43">
        <f t="shared" si="2"/>
        <v>14028.3844246811</v>
      </c>
    </row>
    <row r="10" spans="1:30">
      <c r="A10" s="41">
        <v>2</v>
      </c>
      <c r="B10" s="45" t="s">
        <v>154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>
      <c r="A11" s="41">
        <v>2.1</v>
      </c>
      <c r="B11" s="43" t="s">
        <v>60</v>
      </c>
      <c r="C11" s="43">
        <f t="shared" si="0"/>
        <v>19813.152</v>
      </c>
      <c r="D11" s="43">
        <f>资金使用计划表!D10</f>
        <v>11857.8912</v>
      </c>
      <c r="E11" s="43">
        <f>资金使用计划表!E10</f>
        <v>7955.2608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  <row r="12" spans="1:30">
      <c r="A12" s="41">
        <v>2.2</v>
      </c>
      <c r="B12" s="43" t="s">
        <v>16</v>
      </c>
      <c r="C12" s="43">
        <f t="shared" si="0"/>
        <v>200</v>
      </c>
      <c r="D12" s="43"/>
      <c r="E12" s="43"/>
      <c r="F12" s="43">
        <f>项目投资现金流量表!F12</f>
        <v>200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</row>
    <row r="13" spans="1:30">
      <c r="A13" s="41">
        <v>2.3</v>
      </c>
      <c r="B13" s="43" t="s">
        <v>177</v>
      </c>
      <c r="C13" s="43">
        <f t="shared" si="0"/>
        <v>52862.3688</v>
      </c>
      <c r="D13" s="43"/>
      <c r="E13" s="43"/>
      <c r="F13" s="43">
        <f>借款还本付息及还款计划表!E11</f>
        <v>5294.33688</v>
      </c>
      <c r="G13" s="43">
        <f>借款还本付息及还款计划表!F11</f>
        <v>5007.16125473684</v>
      </c>
      <c r="H13" s="43">
        <f>借款还本付息及还款计划表!G11</f>
        <v>4728.98562947368</v>
      </c>
      <c r="I13" s="43">
        <f>借款还本付息及还款计划表!H11</f>
        <v>4450.81000421053</v>
      </c>
      <c r="J13" s="43">
        <f>借款还本付息及还款计划表!I11</f>
        <v>4172.63437894737</v>
      </c>
      <c r="K13" s="43">
        <f>借款还本付息及还款计划表!J11</f>
        <v>3894.45875368421</v>
      </c>
      <c r="L13" s="43">
        <f>借款还本付息及还款计划表!K11</f>
        <v>3616.28312842105</v>
      </c>
      <c r="M13" s="43">
        <f>借款还本付息及还款计划表!L11</f>
        <v>3338.10750315789</v>
      </c>
      <c r="N13" s="43">
        <f>借款还本付息及还款计划表!M11</f>
        <v>3059.93187789474</v>
      </c>
      <c r="O13" s="43">
        <f>借款还本付息及还款计划表!N11</f>
        <v>2781.75625263158</v>
      </c>
      <c r="P13" s="43">
        <f>借款还本付息及还款计划表!O11</f>
        <v>2503.58062736842</v>
      </c>
      <c r="Q13" s="43">
        <f>借款还本付息及还款计划表!P11</f>
        <v>2225.40500210526</v>
      </c>
      <c r="R13" s="43">
        <f>借款还本付息及还款计划表!Q11</f>
        <v>1947.2293768421</v>
      </c>
      <c r="S13" s="43">
        <f>借款还本付息及还款计划表!R11</f>
        <v>1669.05375157895</v>
      </c>
      <c r="T13" s="43">
        <f>借款还本付息及还款计划表!S11</f>
        <v>1390.87812631579</v>
      </c>
      <c r="U13" s="43">
        <f>借款还本付息及还款计划表!T11</f>
        <v>1112.70250105263</v>
      </c>
      <c r="V13" s="43">
        <f>借款还本付息及还款计划表!U11</f>
        <v>834.526875789472</v>
      </c>
      <c r="W13" s="43">
        <f>借款还本付息及还款计划表!V11</f>
        <v>556.351250526314</v>
      </c>
      <c r="X13" s="43">
        <f>借款还本付息及还款计划表!W11</f>
        <v>278.175625263157</v>
      </c>
      <c r="Y13" s="43">
        <f>借款还本付息及还款计划表!X11</f>
        <v>0</v>
      </c>
      <c r="Z13" s="43">
        <f>借款还本付息及还款计划表!Y11</f>
        <v>0</v>
      </c>
      <c r="AA13" s="43">
        <f>借款还本付息及还款计划表!Z11</f>
        <v>0</v>
      </c>
      <c r="AB13" s="43">
        <f>借款还本付息及还款计划表!AA11</f>
        <v>0</v>
      </c>
      <c r="AC13" s="43">
        <f>借款还本付息及还款计划表!AB11</f>
        <v>0</v>
      </c>
      <c r="AD13" s="43">
        <f>借款还本付息及还款计划表!AC11</f>
        <v>0</v>
      </c>
    </row>
    <row r="14" spans="1:30">
      <c r="A14" s="41">
        <v>2.4</v>
      </c>
      <c r="B14" s="43" t="s">
        <v>178</v>
      </c>
      <c r="C14" s="43">
        <f t="shared" si="0"/>
        <v>88088.948</v>
      </c>
      <c r="D14" s="43"/>
      <c r="E14" s="43"/>
      <c r="F14" s="43">
        <f>借款还本付息及还款计划表!E10</f>
        <v>4636.26042105263</v>
      </c>
      <c r="G14" s="43">
        <f>借款还本付息及还款计划表!F10</f>
        <v>4636.26042105263</v>
      </c>
      <c r="H14" s="43">
        <f>借款还本付息及还款计划表!G10</f>
        <v>4636.26042105263</v>
      </c>
      <c r="I14" s="43">
        <f>借款还本付息及还款计划表!H10</f>
        <v>4636.26042105263</v>
      </c>
      <c r="J14" s="43">
        <f>借款还本付息及还款计划表!I10</f>
        <v>4636.26042105263</v>
      </c>
      <c r="K14" s="43">
        <f>借款还本付息及还款计划表!J10</f>
        <v>4636.26042105263</v>
      </c>
      <c r="L14" s="43">
        <f>借款还本付息及还款计划表!K10</f>
        <v>4636.26042105263</v>
      </c>
      <c r="M14" s="43">
        <f>借款还本付息及还款计划表!L10</f>
        <v>4636.26042105263</v>
      </c>
      <c r="N14" s="43">
        <f>借款还本付息及还款计划表!M10</f>
        <v>4636.26042105263</v>
      </c>
      <c r="O14" s="43">
        <f>借款还本付息及还款计划表!N10</f>
        <v>4636.26042105263</v>
      </c>
      <c r="P14" s="43">
        <f>借款还本付息及还款计划表!O10</f>
        <v>4636.26042105263</v>
      </c>
      <c r="Q14" s="43">
        <f>借款还本付息及还款计划表!P10</f>
        <v>4636.26042105263</v>
      </c>
      <c r="R14" s="43">
        <f>借款还本付息及还款计划表!Q10</f>
        <v>4636.26042105263</v>
      </c>
      <c r="S14" s="43">
        <f>借款还本付息及还款计划表!R10</f>
        <v>4636.26042105263</v>
      </c>
      <c r="T14" s="43">
        <f>借款还本付息及还款计划表!S10</f>
        <v>4636.26042105263</v>
      </c>
      <c r="U14" s="43">
        <f>借款还本付息及还款计划表!T10</f>
        <v>4636.26042105263</v>
      </c>
      <c r="V14" s="43">
        <f>借款还本付息及还款计划表!U10</f>
        <v>4636.26042105263</v>
      </c>
      <c r="W14" s="43">
        <f>借款还本付息及还款计划表!V10</f>
        <v>4636.26042105263</v>
      </c>
      <c r="X14" s="43">
        <f>借款还本付息及还款计划表!W10</f>
        <v>4636.26042105263</v>
      </c>
      <c r="Y14" s="43">
        <f>借款还本付息及还款计划表!X10</f>
        <v>0</v>
      </c>
      <c r="Z14" s="43">
        <f>借款还本付息及还款计划表!Y10</f>
        <v>0</v>
      </c>
      <c r="AA14" s="43">
        <f>借款还本付息及还款计划表!Z10</f>
        <v>0</v>
      </c>
      <c r="AB14" s="43">
        <f>借款还本付息及还款计划表!AA10</f>
        <v>0</v>
      </c>
      <c r="AC14" s="43">
        <f>借款还本付息及还款计划表!AB10</f>
        <v>0</v>
      </c>
      <c r="AD14" s="43">
        <f>借款还本付息及还款计划表!AC10</f>
        <v>0</v>
      </c>
    </row>
    <row r="15" spans="1:30">
      <c r="A15" s="41">
        <v>2.5</v>
      </c>
      <c r="B15" s="43" t="s">
        <v>155</v>
      </c>
      <c r="C15" s="43">
        <f t="shared" si="0"/>
        <v>11210.6049031328</v>
      </c>
      <c r="D15" s="43"/>
      <c r="E15" s="43"/>
      <c r="F15" s="43">
        <f>总成本!D5</f>
        <v>350</v>
      </c>
      <c r="G15" s="43">
        <f>总成本!E5</f>
        <v>357</v>
      </c>
      <c r="H15" s="43">
        <f>总成本!F5</f>
        <v>364.14</v>
      </c>
      <c r="I15" s="43">
        <f>总成本!G5</f>
        <v>371.4228</v>
      </c>
      <c r="J15" s="43">
        <f>总成本!H5</f>
        <v>378.851256</v>
      </c>
      <c r="K15" s="43">
        <f>总成本!I5</f>
        <v>386.42828112</v>
      </c>
      <c r="L15" s="43">
        <f>总成本!J5</f>
        <v>394.1568467424</v>
      </c>
      <c r="M15" s="43">
        <f>总成本!K5</f>
        <v>402.039983677248</v>
      </c>
      <c r="N15" s="43">
        <f>总成本!L5</f>
        <v>410.080783350793</v>
      </c>
      <c r="O15" s="43">
        <f>总成本!M5</f>
        <v>418.282399017809</v>
      </c>
      <c r="P15" s="43">
        <f>总成本!N5</f>
        <v>426.648046998165</v>
      </c>
      <c r="Q15" s="43">
        <f>总成本!O5</f>
        <v>435.181007938128</v>
      </c>
      <c r="R15" s="43">
        <f>总成本!P5</f>
        <v>443.884628096891</v>
      </c>
      <c r="S15" s="43">
        <f>总成本!Q5</f>
        <v>452.762320658829</v>
      </c>
      <c r="T15" s="43">
        <f>总成本!R5</f>
        <v>461.817567072005</v>
      </c>
      <c r="U15" s="43">
        <f>总成本!S5</f>
        <v>471.053918413445</v>
      </c>
      <c r="V15" s="43">
        <f>总成本!T5</f>
        <v>480.474996781714</v>
      </c>
      <c r="W15" s="43">
        <f>总成本!U5</f>
        <v>490.084496717349</v>
      </c>
      <c r="X15" s="43">
        <f>总成本!V5</f>
        <v>499.886186651696</v>
      </c>
      <c r="Y15" s="43">
        <f>总成本!W5</f>
        <v>509.88391038473</v>
      </c>
      <c r="Z15" s="43">
        <f>总成本!X5</f>
        <v>520.081588592424</v>
      </c>
      <c r="AA15" s="43">
        <f>总成本!Y5</f>
        <v>530.483220364273</v>
      </c>
      <c r="AB15" s="43">
        <f>总成本!Z5</f>
        <v>541.092884771558</v>
      </c>
      <c r="AC15" s="43">
        <f>总成本!AA5</f>
        <v>551.914742466989</v>
      </c>
      <c r="AD15" s="43">
        <f>总成本!AB5</f>
        <v>562.953037316329</v>
      </c>
    </row>
    <row r="16" spans="1:30">
      <c r="A16" s="41">
        <v>2.6</v>
      </c>
      <c r="B16" s="44" t="s">
        <v>131</v>
      </c>
      <c r="C16" s="43">
        <f t="shared" si="0"/>
        <v>1152.6497842768</v>
      </c>
      <c r="D16" s="43"/>
      <c r="E16" s="43"/>
      <c r="F16" s="43">
        <f>销售收入及增值税估算表!D28</f>
        <v>96.7660243099099</v>
      </c>
      <c r="G16" s="43">
        <f>销售收入及增值税估算表!E28</f>
        <v>149.232845924324</v>
      </c>
      <c r="H16" s="43">
        <f>销售收入及增值税估算表!F28</f>
        <v>250.076554777946</v>
      </c>
      <c r="I16" s="43">
        <f>销售收入及增值税估算表!G28</f>
        <v>311.624136427762</v>
      </c>
      <c r="J16" s="43">
        <f>销售收入及增值税估算表!H28</f>
        <v>13.3788146897228</v>
      </c>
      <c r="K16" s="43">
        <f>销售收入及增值税估算表!I28</f>
        <v>13.6463909835173</v>
      </c>
      <c r="L16" s="43">
        <f>销售收入及增值税估算表!J28</f>
        <v>13.9193188031876</v>
      </c>
      <c r="M16" s="43">
        <f>销售收入及增值税估算表!K28</f>
        <v>14.1977051792514</v>
      </c>
      <c r="N16" s="43">
        <f>销售收入及增值税估算表!L28</f>
        <v>14.4816592828364</v>
      </c>
      <c r="O16" s="43">
        <f>销售收入及增值税估算表!M28</f>
        <v>14.7712924684931</v>
      </c>
      <c r="P16" s="43">
        <f>销售收入及增值税估算表!N28</f>
        <v>15.066718317863</v>
      </c>
      <c r="Q16" s="43">
        <f>销售收入及增值税估算表!O28</f>
        <v>15.3680526842202</v>
      </c>
      <c r="R16" s="43">
        <f>销售收入及增值税估算表!P28</f>
        <v>15.6754137379046</v>
      </c>
      <c r="S16" s="43">
        <f>销售收入及增值税估算表!Q28</f>
        <v>15.9889220126627</v>
      </c>
      <c r="T16" s="43">
        <f>销售收入及增值税估算表!R28</f>
        <v>16.308700452916</v>
      </c>
      <c r="U16" s="43">
        <f>销售收入及增值税估算表!S28</f>
        <v>16.6348744619743</v>
      </c>
      <c r="V16" s="43">
        <f>销售收入及增值税估算表!T28</f>
        <v>16.9675719512138</v>
      </c>
      <c r="W16" s="43">
        <f>销售收入及增值税估算表!U28</f>
        <v>17.3069233902381</v>
      </c>
      <c r="X16" s="43">
        <f>销售收入及增值税估算表!V28</f>
        <v>17.6530618580428</v>
      </c>
      <c r="Y16" s="43">
        <f>销售收入及增值税估算表!W28</f>
        <v>18.0061230952037</v>
      </c>
      <c r="Z16" s="43">
        <f>销售收入及增值税估算表!X28</f>
        <v>18.3662455571078</v>
      </c>
      <c r="AA16" s="43">
        <f>销售收入及增值税估算表!Y28</f>
        <v>18.7335704682499</v>
      </c>
      <c r="AB16" s="43">
        <f>销售收入及增值税估算表!Z28</f>
        <v>19.1082418776149</v>
      </c>
      <c r="AC16" s="43">
        <f>销售收入及增值税估算表!AA28</f>
        <v>19.4904067151672</v>
      </c>
      <c r="AD16" s="43">
        <f>销售收入及增值税估算表!AB28</f>
        <v>19.8802148494706</v>
      </c>
    </row>
    <row r="17" spans="1:30">
      <c r="A17" s="41">
        <v>2.7</v>
      </c>
      <c r="B17" s="43" t="s">
        <v>179</v>
      </c>
      <c r="C17" s="43">
        <f t="shared" si="0"/>
        <v>10778.4950480484</v>
      </c>
      <c r="D17" s="46"/>
      <c r="E17" s="46"/>
      <c r="F17" s="46">
        <f>利润及利润分配表!D11</f>
        <v>0</v>
      </c>
      <c r="G17" s="46">
        <f>利润及利润分配表!E11</f>
        <v>0</v>
      </c>
      <c r="H17" s="46">
        <f>利润及利润分配表!F11</f>
        <v>0</v>
      </c>
      <c r="I17" s="46">
        <f>利润及利润分配表!G11</f>
        <v>0</v>
      </c>
      <c r="J17" s="46">
        <f>利润及利润分配表!H11</f>
        <v>-2.74072925448636</v>
      </c>
      <c r="K17" s="46">
        <f>利润及利润分配表!I11</f>
        <v>52.8408805393865</v>
      </c>
      <c r="L17" s="46">
        <f>利润及利润分配表!J11</f>
        <v>108.421420028084</v>
      </c>
      <c r="M17" s="46">
        <f>利润及利润分配表!K11</f>
        <v>164.000867805504</v>
      </c>
      <c r="N17" s="46">
        <f>利润及利润分配表!L11</f>
        <v>219.579202037417</v>
      </c>
      <c r="O17" s="46">
        <f>利润及利润分配表!M11</f>
        <v>275.156400452918</v>
      </c>
      <c r="P17" s="46">
        <f>利润及利润分配表!N11</f>
        <v>330.732440335674</v>
      </c>
      <c r="Q17" s="46">
        <f>利润及利润分配表!O11</f>
        <v>386.307298515036</v>
      </c>
      <c r="R17" s="46">
        <f>利润及利润分配表!P11</f>
        <v>441.88095135693</v>
      </c>
      <c r="S17" s="46">
        <f>利润及利润分配表!Q11</f>
        <v>497.453374754611</v>
      </c>
      <c r="T17" s="46">
        <f>利润及利润分配表!R11</f>
        <v>553.02454411919</v>
      </c>
      <c r="U17" s="46">
        <f>利润及利润分配表!S11</f>
        <v>608.59443437001</v>
      </c>
      <c r="V17" s="46">
        <f>利润及利润分配表!T11</f>
        <v>664.163019924794</v>
      </c>
      <c r="W17" s="46">
        <f>利润及利润分配表!U11</f>
        <v>719.730274689621</v>
      </c>
      <c r="X17" s="46">
        <f>利润及利润分配表!V11</f>
        <v>775.296172048691</v>
      </c>
      <c r="Y17" s="46">
        <f>利润及利润分配表!W11</f>
        <v>830.860684853891</v>
      </c>
      <c r="Z17" s="46">
        <f>利润及利润分配表!X11</f>
        <v>830.78866036151</v>
      </c>
      <c r="AA17" s="46">
        <f>利润及利润分配表!Y11</f>
        <v>830.715195379282</v>
      </c>
      <c r="AB17" s="46">
        <f>利润及利润分配表!Z11</f>
        <v>830.640261097409</v>
      </c>
      <c r="AC17" s="46">
        <f>利润及利润分配表!AA11</f>
        <v>830.563828129898</v>
      </c>
      <c r="AD17" s="46">
        <f>利润及利润分配表!AB11</f>
        <v>830.485866503038</v>
      </c>
    </row>
    <row r="18" spans="1:30">
      <c r="A18" s="41"/>
      <c r="B18" s="43" t="s">
        <v>156</v>
      </c>
      <c r="C18" s="43">
        <f t="shared" si="0"/>
        <v>184106.218535458</v>
      </c>
      <c r="D18" s="46">
        <f t="shared" ref="D18:F18" si="3">SUM(D11:D17)</f>
        <v>11857.8912</v>
      </c>
      <c r="E18" s="46">
        <f t="shared" si="3"/>
        <v>7955.2608</v>
      </c>
      <c r="F18" s="46">
        <f t="shared" si="3"/>
        <v>10577.3633253625</v>
      </c>
      <c r="G18" s="46">
        <f t="shared" ref="G18:O18" si="4">SUM(G11:G17)</f>
        <v>10149.6545217138</v>
      </c>
      <c r="H18" s="46">
        <f t="shared" si="4"/>
        <v>9979.46260530426</v>
      </c>
      <c r="I18" s="46">
        <f t="shared" si="4"/>
        <v>9770.11736169092</v>
      </c>
      <c r="J18" s="46">
        <f t="shared" si="4"/>
        <v>9198.38414143524</v>
      </c>
      <c r="K18" s="46">
        <f t="shared" si="4"/>
        <v>8983.63472737974</v>
      </c>
      <c r="L18" s="46">
        <f t="shared" si="4"/>
        <v>8769.04113504736</v>
      </c>
      <c r="M18" s="46">
        <f t="shared" si="4"/>
        <v>8554.60648087253</v>
      </c>
      <c r="N18" s="46">
        <f t="shared" ref="N18:AD18" si="5">SUM(N11:N17)</f>
        <v>8340.33394361841</v>
      </c>
      <c r="O18" s="46">
        <f t="shared" si="5"/>
        <v>8126.22676562343</v>
      </c>
      <c r="P18" s="46">
        <f t="shared" si="5"/>
        <v>7912.28825407275</v>
      </c>
      <c r="Q18" s="46">
        <f t="shared" si="5"/>
        <v>7698.52178229528</v>
      </c>
      <c r="R18" s="46">
        <f t="shared" si="5"/>
        <v>7484.93079108646</v>
      </c>
      <c r="S18" s="46">
        <f t="shared" si="5"/>
        <v>7271.51879005768</v>
      </c>
      <c r="T18" s="46">
        <f t="shared" si="5"/>
        <v>7058.28935901253</v>
      </c>
      <c r="U18" s="46">
        <f t="shared" si="5"/>
        <v>6845.24614935069</v>
      </c>
      <c r="V18" s="46">
        <f t="shared" si="5"/>
        <v>6632.39288549982</v>
      </c>
      <c r="W18" s="46">
        <f t="shared" si="5"/>
        <v>6419.73336637615</v>
      </c>
      <c r="X18" s="46">
        <f t="shared" si="5"/>
        <v>6207.27146687422</v>
      </c>
      <c r="Y18" s="46">
        <f t="shared" si="5"/>
        <v>1358.75071833382</v>
      </c>
      <c r="Z18" s="46">
        <f t="shared" si="5"/>
        <v>1369.23649451104</v>
      </c>
      <c r="AA18" s="46">
        <f t="shared" si="5"/>
        <v>1379.9319862118</v>
      </c>
      <c r="AB18" s="46">
        <f t="shared" si="5"/>
        <v>1390.84138774658</v>
      </c>
      <c r="AC18" s="46">
        <f t="shared" si="5"/>
        <v>1401.96897731205</v>
      </c>
      <c r="AD18" s="46">
        <f t="shared" si="5"/>
        <v>1413.31911866884</v>
      </c>
    </row>
    <row r="19" spans="1:30">
      <c r="A19" s="41">
        <v>3</v>
      </c>
      <c r="B19" s="44" t="s">
        <v>161</v>
      </c>
      <c r="C19" s="43">
        <f t="shared" si="0"/>
        <v>34943.0550517913</v>
      </c>
      <c r="D19" s="46">
        <f t="shared" ref="D19:M19" si="6">D9-D18</f>
        <v>-11857.8912</v>
      </c>
      <c r="E19" s="46">
        <f t="shared" si="6"/>
        <v>-7955.2608</v>
      </c>
      <c r="F19" s="46">
        <f t="shared" si="6"/>
        <v>-2128.47843799788</v>
      </c>
      <c r="G19" s="46">
        <f t="shared" si="6"/>
        <v>-1693.76963434914</v>
      </c>
      <c r="H19" s="46">
        <f t="shared" si="6"/>
        <v>-1516.4377179396</v>
      </c>
      <c r="I19" s="46">
        <f t="shared" si="6"/>
        <v>-1299.80967432626</v>
      </c>
      <c r="J19" s="46">
        <f t="shared" si="6"/>
        <v>-720.647998070575</v>
      </c>
      <c r="K19" s="46">
        <f t="shared" si="6"/>
        <v>-498.321558895084</v>
      </c>
      <c r="L19" s="46">
        <f t="shared" si="6"/>
        <v>-275.999400940294</v>
      </c>
      <c r="M19" s="46">
        <f t="shared" si="6"/>
        <v>-53.6816098306172</v>
      </c>
      <c r="N19" s="46">
        <f t="shared" ref="N19:AD19" si="7">N9-N18</f>
        <v>168.631727097036</v>
      </c>
      <c r="O19" s="46">
        <f t="shared" si="7"/>
        <v>390.94052075904</v>
      </c>
      <c r="P19" s="46">
        <f t="shared" si="7"/>
        <v>613.244680290066</v>
      </c>
      <c r="Q19" s="46">
        <f t="shared" si="7"/>
        <v>835.544113007512</v>
      </c>
      <c r="R19" s="46">
        <f t="shared" si="7"/>
        <v>1057.83872437509</v>
      </c>
      <c r="S19" s="46">
        <f t="shared" si="7"/>
        <v>1280.12841796581</v>
      </c>
      <c r="T19" s="46">
        <f t="shared" si="7"/>
        <v>1502.41309542413</v>
      </c>
      <c r="U19" s="46">
        <f t="shared" si="7"/>
        <v>1724.69265642741</v>
      </c>
      <c r="V19" s="46">
        <f t="shared" si="7"/>
        <v>1946.96699864655</v>
      </c>
      <c r="W19" s="46">
        <f t="shared" si="7"/>
        <v>2169.23601770586</v>
      </c>
      <c r="X19" s="46">
        <f t="shared" si="7"/>
        <v>2391.49960714213</v>
      </c>
      <c r="Y19" s="46">
        <f t="shared" si="7"/>
        <v>7250.01807941556</v>
      </c>
      <c r="Z19" s="46">
        <f t="shared" si="7"/>
        <v>7249.72998144604</v>
      </c>
      <c r="AA19" s="46">
        <f t="shared" si="7"/>
        <v>7249.43612151713</v>
      </c>
      <c r="AB19" s="46">
        <f t="shared" si="7"/>
        <v>7249.13638438964</v>
      </c>
      <c r="AC19" s="46">
        <f t="shared" si="7"/>
        <v>7248.83065251959</v>
      </c>
      <c r="AD19" s="46">
        <f t="shared" si="7"/>
        <v>12615.0653060122</v>
      </c>
    </row>
    <row r="20" spans="1:30">
      <c r="A20" s="41">
        <v>4</v>
      </c>
      <c r="B20" s="44" t="s">
        <v>162</v>
      </c>
      <c r="C20" s="47"/>
      <c r="D20" s="46">
        <f>D19</f>
        <v>-11857.8912</v>
      </c>
      <c r="E20" s="46">
        <f t="shared" ref="E20:M20" si="8">D20+E19</f>
        <v>-19813.152</v>
      </c>
      <c r="F20" s="46">
        <f t="shared" si="8"/>
        <v>-21941.6304379979</v>
      </c>
      <c r="G20" s="46">
        <f t="shared" si="8"/>
        <v>-23635.400072347</v>
      </c>
      <c r="H20" s="46">
        <f t="shared" si="8"/>
        <v>-25151.8377902866</v>
      </c>
      <c r="I20" s="46">
        <f t="shared" si="8"/>
        <v>-26451.6474646129</v>
      </c>
      <c r="J20" s="46">
        <f t="shared" si="8"/>
        <v>-27172.2954626835</v>
      </c>
      <c r="K20" s="46">
        <f t="shared" si="8"/>
        <v>-27670.6170215785</v>
      </c>
      <c r="L20" s="46">
        <f t="shared" si="8"/>
        <v>-27946.6164225188</v>
      </c>
      <c r="M20" s="46">
        <f t="shared" si="8"/>
        <v>-28000.2980323494</v>
      </c>
      <c r="N20" s="46">
        <f t="shared" ref="N20" si="9">M20+N19</f>
        <v>-27831.6663052524</v>
      </c>
      <c r="O20" s="46">
        <f t="shared" ref="O20" si="10">N20+O19</f>
        <v>-27440.7257844934</v>
      </c>
      <c r="P20" s="46">
        <f t="shared" ref="P20" si="11">O20+P19</f>
        <v>-26827.4811042033</v>
      </c>
      <c r="Q20" s="46">
        <f t="shared" ref="Q20" si="12">P20+Q19</f>
        <v>-25991.9369911958</v>
      </c>
      <c r="R20" s="46">
        <f t="shared" ref="R20" si="13">Q20+R19</f>
        <v>-24934.0982668207</v>
      </c>
      <c r="S20" s="46">
        <f t="shared" ref="S20" si="14">R20+S19</f>
        <v>-23653.9698488549</v>
      </c>
      <c r="T20" s="46">
        <f t="shared" ref="T20" si="15">S20+T19</f>
        <v>-22151.5567534308</v>
      </c>
      <c r="U20" s="46">
        <f t="shared" ref="U20" si="16">T20+U19</f>
        <v>-20426.8640970034</v>
      </c>
      <c r="V20" s="46">
        <f t="shared" ref="V20" si="17">U20+V19</f>
        <v>-18479.8970983568</v>
      </c>
      <c r="W20" s="46">
        <f t="shared" ref="W20" si="18">V20+W19</f>
        <v>-16310.661080651</v>
      </c>
      <c r="X20" s="46">
        <f t="shared" ref="X20" si="19">W20+X19</f>
        <v>-13919.1614735088</v>
      </c>
      <c r="Y20" s="46">
        <f t="shared" ref="Y20" si="20">X20+Y19</f>
        <v>-6669.14339409327</v>
      </c>
      <c r="Z20" s="46">
        <f t="shared" ref="Z20" si="21">Y20+Z19</f>
        <v>580.586587352771</v>
      </c>
      <c r="AA20" s="46">
        <f t="shared" ref="AA20" si="22">Z20+AA19</f>
        <v>7830.0227088699</v>
      </c>
      <c r="AB20" s="46">
        <f t="shared" ref="AB20" si="23">AA20+AB19</f>
        <v>15079.1590932595</v>
      </c>
      <c r="AC20" s="46">
        <f t="shared" ref="AC20" si="24">AB20+AC19</f>
        <v>22327.9897457791</v>
      </c>
      <c r="AD20" s="46">
        <f t="shared" ref="AD20" si="25">AC20+AD19</f>
        <v>34943.0550517913</v>
      </c>
    </row>
    <row r="21" spans="1:30">
      <c r="A21" s="43" t="s">
        <v>180</v>
      </c>
      <c r="B21" s="43"/>
      <c r="C21" s="43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s="35" customFormat="1" ht="14.4" spans="1:30">
      <c r="A22" s="49">
        <v>5</v>
      </c>
      <c r="B22" s="44" t="s">
        <v>166</v>
      </c>
      <c r="C22" s="43">
        <f t="shared" ref="C22" si="26">SUM(D22:AD22)</f>
        <v>-7760.59515938473</v>
      </c>
      <c r="D22" s="50">
        <f t="shared" ref="D22:M22" si="27">D19*D29</f>
        <v>-11186.6898113207</v>
      </c>
      <c r="E22" s="50">
        <f t="shared" si="27"/>
        <v>-7080.15379138483</v>
      </c>
      <c r="F22" s="50">
        <f t="shared" si="27"/>
        <v>-1787.11154006149</v>
      </c>
      <c r="G22" s="50">
        <f t="shared" si="27"/>
        <v>-1341.62419435293</v>
      </c>
      <c r="H22" s="50">
        <f t="shared" si="27"/>
        <v>-1133.17047837272</v>
      </c>
      <c r="I22" s="50">
        <f t="shared" si="27"/>
        <v>-916.314530481759</v>
      </c>
      <c r="J22" s="50">
        <f t="shared" si="27"/>
        <v>-479.272077534532</v>
      </c>
      <c r="K22" s="50">
        <f t="shared" si="27"/>
        <v>-312.65311095712</v>
      </c>
      <c r="L22" s="50">
        <f t="shared" si="27"/>
        <v>-163.363621351768</v>
      </c>
      <c r="M22" s="50">
        <f t="shared" si="27"/>
        <v>-29.9755305458119</v>
      </c>
      <c r="N22" s="50">
        <f t="shared" ref="N22:AD22" si="28">N19*N29</f>
        <v>88.8330902199625</v>
      </c>
      <c r="O22" s="50">
        <f t="shared" si="28"/>
        <v>194.285461798081</v>
      </c>
      <c r="P22" s="50">
        <f t="shared" si="28"/>
        <v>287.51303630258</v>
      </c>
      <c r="Q22" s="50">
        <f t="shared" si="28"/>
        <v>369.561966964981</v>
      </c>
      <c r="R22" s="50">
        <f t="shared" si="28"/>
        <v>441.399139574777</v>
      </c>
      <c r="S22" s="50">
        <f t="shared" si="28"/>
        <v>503.917794407354</v>
      </c>
      <c r="T22" s="50">
        <f t="shared" si="28"/>
        <v>557.942765674635</v>
      </c>
      <c r="U22" s="50">
        <f t="shared" si="28"/>
        <v>604.235363785476</v>
      </c>
      <c r="V22" s="50">
        <f t="shared" si="28"/>
        <v>643.497924065357</v>
      </c>
      <c r="W22" s="50">
        <f t="shared" si="28"/>
        <v>676.378044052231</v>
      </c>
      <c r="X22" s="50">
        <f t="shared" si="28"/>
        <v>703.472530050123</v>
      </c>
      <c r="Y22" s="50">
        <f t="shared" si="28"/>
        <v>2011.91696971461</v>
      </c>
      <c r="Z22" s="50">
        <f t="shared" si="28"/>
        <v>1897.95945382987</v>
      </c>
      <c r="AA22" s="50">
        <f t="shared" si="28"/>
        <v>1790.4552095333</v>
      </c>
      <c r="AB22" s="50">
        <f t="shared" si="28"/>
        <v>1689.03884989874</v>
      </c>
      <c r="AC22" s="50">
        <f t="shared" si="28"/>
        <v>1593.36567433181</v>
      </c>
      <c r="AD22" s="50">
        <f t="shared" si="28"/>
        <v>2615.96025277505</v>
      </c>
    </row>
    <row r="23" s="35" customFormat="1" ht="14.4" spans="1:30">
      <c r="A23" s="49">
        <v>6</v>
      </c>
      <c r="B23" s="44" t="s">
        <v>167</v>
      </c>
      <c r="C23" s="47"/>
      <c r="D23" s="50">
        <f>D22</f>
        <v>-11186.6898113207</v>
      </c>
      <c r="E23" s="50">
        <f>D23+E22</f>
        <v>-18266.8436027056</v>
      </c>
      <c r="F23" s="50">
        <f t="shared" ref="F23:M23" si="29">E23+F22</f>
        <v>-20053.9551427671</v>
      </c>
      <c r="G23" s="50">
        <f t="shared" si="29"/>
        <v>-21395.57933712</v>
      </c>
      <c r="H23" s="50">
        <f t="shared" si="29"/>
        <v>-22528.7498154927</v>
      </c>
      <c r="I23" s="50">
        <f t="shared" si="29"/>
        <v>-23445.0643459745</v>
      </c>
      <c r="J23" s="50">
        <f t="shared" si="29"/>
        <v>-23924.336423509</v>
      </c>
      <c r="K23" s="50">
        <f t="shared" si="29"/>
        <v>-24236.9895344662</v>
      </c>
      <c r="L23" s="50">
        <f t="shared" si="29"/>
        <v>-24400.3531558179</v>
      </c>
      <c r="M23" s="50">
        <f t="shared" si="29"/>
        <v>-24430.3286863637</v>
      </c>
      <c r="N23" s="50">
        <f t="shared" ref="N23" si="30">M23+N22</f>
        <v>-24341.4955961438</v>
      </c>
      <c r="O23" s="50">
        <f t="shared" ref="O23" si="31">N23+O22</f>
        <v>-24147.2101343457</v>
      </c>
      <c r="P23" s="50">
        <f t="shared" ref="P23" si="32">O23+P22</f>
        <v>-23859.6970980431</v>
      </c>
      <c r="Q23" s="50">
        <f t="shared" ref="Q23" si="33">P23+Q22</f>
        <v>-23490.1351310781</v>
      </c>
      <c r="R23" s="50">
        <f t="shared" ref="R23" si="34">Q23+R22</f>
        <v>-23048.7359915034</v>
      </c>
      <c r="S23" s="50">
        <f t="shared" ref="S23" si="35">R23+S22</f>
        <v>-22544.818197096</v>
      </c>
      <c r="T23" s="50">
        <f t="shared" ref="T23" si="36">S23+T22</f>
        <v>-21986.8754314214</v>
      </c>
      <c r="U23" s="50">
        <f t="shared" ref="U23" si="37">T23+U22</f>
        <v>-21382.6400676359</v>
      </c>
      <c r="V23" s="50">
        <f t="shared" ref="V23" si="38">U23+V22</f>
        <v>-20739.1421435705</v>
      </c>
      <c r="W23" s="50">
        <f t="shared" ref="W23" si="39">V23+W22</f>
        <v>-20062.7640995183</v>
      </c>
      <c r="X23" s="50">
        <f t="shared" ref="X23" si="40">W23+X22</f>
        <v>-19359.2915694682</v>
      </c>
      <c r="Y23" s="50">
        <f t="shared" ref="Y23" si="41">X23+Y22</f>
        <v>-17347.3745997536</v>
      </c>
      <c r="Z23" s="50">
        <f t="shared" ref="Z23" si="42">Y23+Z22</f>
        <v>-15449.4151459237</v>
      </c>
      <c r="AA23" s="50">
        <f t="shared" ref="AA23" si="43">Z23+AA22</f>
        <v>-13658.9599363904</v>
      </c>
      <c r="AB23" s="50">
        <f t="shared" ref="AB23" si="44">AA23+AB22</f>
        <v>-11969.9210864917</v>
      </c>
      <c r="AC23" s="50">
        <f t="shared" ref="AC23" si="45">AB23+AC22</f>
        <v>-10376.5554121599</v>
      </c>
      <c r="AD23" s="50">
        <f t="shared" ref="AD23" si="46">AC23+AD22</f>
        <v>-7760.5951593848</v>
      </c>
    </row>
    <row r="24" spans="1:30">
      <c r="A24" s="41" t="s">
        <v>168</v>
      </c>
      <c r="B24" s="41"/>
      <c r="C24" s="41"/>
      <c r="D24" s="41"/>
      <c r="E24" s="41"/>
      <c r="F24" s="41" t="s">
        <v>171</v>
      </c>
      <c r="G24" s="38" t="s">
        <v>170</v>
      </c>
      <c r="H24" s="51"/>
      <c r="I24" s="56">
        <f>IRR(D19:AD19)</f>
        <v>0.0401735218507915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</row>
    <row r="25" spans="1:30">
      <c r="A25" s="41"/>
      <c r="B25" s="41"/>
      <c r="C25" s="41"/>
      <c r="D25" s="41"/>
      <c r="E25" s="41"/>
      <c r="F25" s="41"/>
      <c r="G25" s="38" t="s">
        <v>172</v>
      </c>
      <c r="H25" s="51"/>
      <c r="I25" s="46">
        <f>C22</f>
        <v>-7760.59515938473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 spans="1:30">
      <c r="A26" s="41"/>
      <c r="B26" s="41"/>
      <c r="C26" s="41"/>
      <c r="D26" s="41"/>
      <c r="E26" s="41"/>
      <c r="F26" s="41"/>
      <c r="G26" s="51" t="s">
        <v>173</v>
      </c>
      <c r="H26" s="51"/>
      <c r="I26" s="46">
        <f>23-1+(-Y20/Z19)</f>
        <v>22.9199161087601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</row>
    <row r="27" spans="1:30">
      <c r="A27" s="41"/>
      <c r="B27" s="41"/>
      <c r="C27" s="41"/>
      <c r="D27" s="41"/>
      <c r="E27" s="41"/>
      <c r="F27" s="41"/>
      <c r="G27" s="51" t="s">
        <v>174</v>
      </c>
      <c r="H27" s="51"/>
      <c r="I27" s="46">
        <f>27-1-(AC23/AD22)</f>
        <v>29.9666334383912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 spans="1:30">
      <c r="A28" s="52"/>
      <c r="B28" s="52"/>
      <c r="C28" s="52"/>
      <c r="D28" s="52"/>
      <c r="E28" s="52"/>
      <c r="F28" s="52"/>
      <c r="G28" s="52"/>
      <c r="H28" s="52"/>
      <c r="I28" s="57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 spans="1:30">
      <c r="A29" s="53" t="s">
        <v>175</v>
      </c>
      <c r="B29" s="54"/>
      <c r="C29" s="54"/>
      <c r="D29" s="54">
        <f>1/1.06</f>
        <v>0.943396226415094</v>
      </c>
      <c r="E29" s="54">
        <f>D29*$D$29</f>
        <v>0.88999644001424</v>
      </c>
      <c r="F29" s="54">
        <f t="shared" ref="F29:M29" si="47">E29*$D$29</f>
        <v>0.839619283032301</v>
      </c>
      <c r="G29" s="54">
        <f t="shared" si="47"/>
        <v>0.79209366323802</v>
      </c>
      <c r="H29" s="54">
        <f t="shared" si="47"/>
        <v>0.747258172866057</v>
      </c>
      <c r="I29" s="54">
        <f t="shared" si="47"/>
        <v>0.704960540439676</v>
      </c>
      <c r="J29" s="54">
        <f t="shared" si="47"/>
        <v>0.665057113622336</v>
      </c>
      <c r="K29" s="54">
        <f t="shared" si="47"/>
        <v>0.627412371341826</v>
      </c>
      <c r="L29" s="54">
        <f t="shared" si="47"/>
        <v>0.591898463530025</v>
      </c>
      <c r="M29" s="54">
        <f t="shared" si="47"/>
        <v>0.558394776915118</v>
      </c>
      <c r="N29" s="54">
        <f t="shared" ref="N29" si="48">M29*$D$29</f>
        <v>0.52678752539162</v>
      </c>
      <c r="O29" s="54">
        <f t="shared" ref="O29" si="49">N29*$D$29</f>
        <v>0.496969363577</v>
      </c>
      <c r="P29" s="54">
        <f t="shared" ref="P29" si="50">O29*$D$29</f>
        <v>0.468839022242453</v>
      </c>
      <c r="Q29" s="54">
        <f t="shared" ref="Q29" si="51">P29*$D$29</f>
        <v>0.442300964379673</v>
      </c>
      <c r="R29" s="54">
        <f t="shared" ref="R29" si="52">Q29*$D$29</f>
        <v>0.41726506073554</v>
      </c>
      <c r="S29" s="54">
        <f t="shared" ref="S29" si="53">R29*$D$29</f>
        <v>0.393646283712774</v>
      </c>
      <c r="T29" s="54">
        <f t="shared" ref="T29" si="54">S29*$D$29</f>
        <v>0.371364418596956</v>
      </c>
      <c r="U29" s="54">
        <f t="shared" ref="U29" si="55">T29*$D$29</f>
        <v>0.350343791129204</v>
      </c>
      <c r="V29" s="54">
        <f t="shared" ref="V29" si="56">U29*$D$29</f>
        <v>0.330513010499249</v>
      </c>
      <c r="W29" s="54">
        <f t="shared" ref="W29" si="57">V29*$D$29</f>
        <v>0.311804726886084</v>
      </c>
      <c r="X29" s="54">
        <f t="shared" ref="X29" si="58">W29*$D$29</f>
        <v>0.294155402722721</v>
      </c>
      <c r="Y29" s="54">
        <f t="shared" ref="Y29" si="59">X29*$D$29</f>
        <v>0.277505096908227</v>
      </c>
      <c r="Z29" s="54">
        <f t="shared" ref="Z29" si="60">Y29*$D$29</f>
        <v>0.261797261234176</v>
      </c>
      <c r="AA29" s="54">
        <f t="shared" ref="AA29" si="61">Z29*$D$29</f>
        <v>0.246978548334129</v>
      </c>
      <c r="AB29" s="54">
        <f t="shared" ref="AB29" si="62">AA29*$D$29</f>
        <v>0.232998630503895</v>
      </c>
      <c r="AC29" s="54">
        <f t="shared" ref="AC29" si="63">AB29*$D$29</f>
        <v>0.219810028777259</v>
      </c>
      <c r="AD29" s="54">
        <f t="shared" ref="AD29" si="64">AC29*$D$29</f>
        <v>0.20736795167666</v>
      </c>
    </row>
    <row r="30" spans="1:30">
      <c r="A30" s="52"/>
      <c r="B30" s="52"/>
      <c r="C30" s="38"/>
      <c r="D30" s="52">
        <v>1</v>
      </c>
      <c r="E30" s="52">
        <v>2</v>
      </c>
      <c r="F30" s="52">
        <v>3</v>
      </c>
      <c r="G30" s="52">
        <v>4</v>
      </c>
      <c r="H30" s="52">
        <v>5</v>
      </c>
      <c r="I30" s="52">
        <v>6</v>
      </c>
      <c r="J30" s="52">
        <v>7</v>
      </c>
      <c r="K30" s="52">
        <v>8</v>
      </c>
      <c r="L30" s="52">
        <v>9</v>
      </c>
      <c r="M30" s="52">
        <v>10</v>
      </c>
      <c r="N30" s="52">
        <v>11</v>
      </c>
      <c r="O30" s="52">
        <v>12</v>
      </c>
      <c r="P30" s="52">
        <v>13</v>
      </c>
      <c r="Q30" s="52">
        <v>14</v>
      </c>
      <c r="R30" s="52">
        <v>15</v>
      </c>
      <c r="S30" s="52">
        <v>16</v>
      </c>
      <c r="T30" s="52">
        <v>17</v>
      </c>
      <c r="U30" s="52">
        <v>18</v>
      </c>
      <c r="V30" s="52">
        <v>19</v>
      </c>
      <c r="W30" s="52">
        <v>20</v>
      </c>
      <c r="X30" s="52">
        <v>21</v>
      </c>
      <c r="Y30" s="52">
        <v>22</v>
      </c>
      <c r="Z30" s="52">
        <v>23</v>
      </c>
      <c r="AA30" s="52">
        <v>24</v>
      </c>
      <c r="AB30" s="52">
        <v>25</v>
      </c>
      <c r="AC30" s="52">
        <v>26</v>
      </c>
      <c r="AD30" s="52">
        <v>27</v>
      </c>
    </row>
  </sheetData>
  <mergeCells count="17">
    <mergeCell ref="A1:AD1"/>
    <mergeCell ref="A2:AD2"/>
    <mergeCell ref="D3:E3"/>
    <mergeCell ref="F3:AD3"/>
    <mergeCell ref="A21:B21"/>
    <mergeCell ref="G24:H24"/>
    <mergeCell ref="G25:H25"/>
    <mergeCell ref="G26:H26"/>
    <mergeCell ref="G27:H27"/>
    <mergeCell ref="A29:B29"/>
    <mergeCell ref="A3:A4"/>
    <mergeCell ref="B3:B4"/>
    <mergeCell ref="C3:C4"/>
    <mergeCell ref="F24:F27"/>
    <mergeCell ref="J24:AD27"/>
    <mergeCell ref="C24:E27"/>
    <mergeCell ref="A24:B27"/>
  </mergeCells>
  <pageMargins left="0.700694444444445" right="0.700694444444445" top="0.751388888888889" bottom="0.751388888888889" header="0.297916666666667" footer="0.297916666666667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zoomScale="85" zoomScaleNormal="85" workbookViewId="0">
      <selection activeCell="T53" sqref="T53"/>
    </sheetView>
  </sheetViews>
  <sheetFormatPr defaultColWidth="9" defaultRowHeight="14.4"/>
  <cols>
    <col min="1" max="1" width="8.88888888888889" style="27"/>
    <col min="2" max="2" width="17.5555555555556" style="27" customWidth="1"/>
    <col min="3" max="240" width="8.88888888888889" style="27"/>
    <col min="241" max="241" width="17.5555555555556" style="27" customWidth="1"/>
    <col min="242" max="496" width="8.88888888888889" style="27"/>
    <col min="497" max="497" width="17.5555555555556" style="27" customWidth="1"/>
    <col min="498" max="752" width="8.88888888888889" style="27"/>
    <col min="753" max="753" width="17.5555555555556" style="27" customWidth="1"/>
    <col min="754" max="1008" width="8.88888888888889" style="27"/>
    <col min="1009" max="1009" width="17.5555555555556" style="27" customWidth="1"/>
    <col min="1010" max="1264" width="8.88888888888889" style="27"/>
    <col min="1265" max="1265" width="17.5555555555556" style="27" customWidth="1"/>
    <col min="1266" max="1520" width="8.88888888888889" style="27"/>
    <col min="1521" max="1521" width="17.5555555555556" style="27" customWidth="1"/>
    <col min="1522" max="1776" width="8.88888888888889" style="27"/>
    <col min="1777" max="1777" width="17.5555555555556" style="27" customWidth="1"/>
    <col min="1778" max="2032" width="8.88888888888889" style="27"/>
    <col min="2033" max="2033" width="17.5555555555556" style="27" customWidth="1"/>
    <col min="2034" max="2288" width="8.88888888888889" style="27"/>
    <col min="2289" max="2289" width="17.5555555555556" style="27" customWidth="1"/>
    <col min="2290" max="2544" width="8.88888888888889" style="27"/>
    <col min="2545" max="2545" width="17.5555555555556" style="27" customWidth="1"/>
    <col min="2546" max="2800" width="8.88888888888889" style="27"/>
    <col min="2801" max="2801" width="17.5555555555556" style="27" customWidth="1"/>
    <col min="2802" max="3056" width="8.88888888888889" style="27"/>
    <col min="3057" max="3057" width="17.5555555555556" style="27" customWidth="1"/>
    <col min="3058" max="3312" width="8.88888888888889" style="27"/>
    <col min="3313" max="3313" width="17.5555555555556" style="27" customWidth="1"/>
    <col min="3314" max="3568" width="8.88888888888889" style="27"/>
    <col min="3569" max="3569" width="17.5555555555556" style="27" customWidth="1"/>
    <col min="3570" max="3824" width="8.88888888888889" style="27"/>
    <col min="3825" max="3825" width="17.5555555555556" style="27" customWidth="1"/>
    <col min="3826" max="4080" width="8.88888888888889" style="27"/>
    <col min="4081" max="4081" width="17.5555555555556" style="27" customWidth="1"/>
    <col min="4082" max="4336" width="8.88888888888889" style="27"/>
    <col min="4337" max="4337" width="17.5555555555556" style="27" customWidth="1"/>
    <col min="4338" max="4592" width="8.88888888888889" style="27"/>
    <col min="4593" max="4593" width="17.5555555555556" style="27" customWidth="1"/>
    <col min="4594" max="4848" width="8.88888888888889" style="27"/>
    <col min="4849" max="4849" width="17.5555555555556" style="27" customWidth="1"/>
    <col min="4850" max="5104" width="8.88888888888889" style="27"/>
    <col min="5105" max="5105" width="17.5555555555556" style="27" customWidth="1"/>
    <col min="5106" max="5360" width="8.88888888888889" style="27"/>
    <col min="5361" max="5361" width="17.5555555555556" style="27" customWidth="1"/>
    <col min="5362" max="5616" width="8.88888888888889" style="27"/>
    <col min="5617" max="5617" width="17.5555555555556" style="27" customWidth="1"/>
    <col min="5618" max="5872" width="8.88888888888889" style="27"/>
    <col min="5873" max="5873" width="17.5555555555556" style="27" customWidth="1"/>
    <col min="5874" max="6128" width="8.88888888888889" style="27"/>
    <col min="6129" max="6129" width="17.5555555555556" style="27" customWidth="1"/>
    <col min="6130" max="6384" width="8.88888888888889" style="27"/>
    <col min="6385" max="6385" width="17.5555555555556" style="27" customWidth="1"/>
    <col min="6386" max="6640" width="8.88888888888889" style="27"/>
    <col min="6641" max="6641" width="17.5555555555556" style="27" customWidth="1"/>
    <col min="6642" max="6896" width="8.88888888888889" style="27"/>
    <col min="6897" max="6897" width="17.5555555555556" style="27" customWidth="1"/>
    <col min="6898" max="7152" width="8.88888888888889" style="27"/>
    <col min="7153" max="7153" width="17.5555555555556" style="27" customWidth="1"/>
    <col min="7154" max="7408" width="8.88888888888889" style="27"/>
    <col min="7409" max="7409" width="17.5555555555556" style="27" customWidth="1"/>
    <col min="7410" max="7664" width="8.88888888888889" style="27"/>
    <col min="7665" max="7665" width="17.5555555555556" style="27" customWidth="1"/>
    <col min="7666" max="7920" width="8.88888888888889" style="27"/>
    <col min="7921" max="7921" width="17.5555555555556" style="27" customWidth="1"/>
    <col min="7922" max="8176" width="8.88888888888889" style="27"/>
    <col min="8177" max="8177" width="17.5555555555556" style="27" customWidth="1"/>
    <col min="8178" max="8432" width="8.88888888888889" style="27"/>
    <col min="8433" max="8433" width="17.5555555555556" style="27" customWidth="1"/>
    <col min="8434" max="8688" width="8.88888888888889" style="27"/>
    <col min="8689" max="8689" width="17.5555555555556" style="27" customWidth="1"/>
    <col min="8690" max="8944" width="8.88888888888889" style="27"/>
    <col min="8945" max="8945" width="17.5555555555556" style="27" customWidth="1"/>
    <col min="8946" max="9200" width="8.88888888888889" style="27"/>
    <col min="9201" max="9201" width="17.5555555555556" style="27" customWidth="1"/>
    <col min="9202" max="9456" width="8.88888888888889" style="27"/>
    <col min="9457" max="9457" width="17.5555555555556" style="27" customWidth="1"/>
    <col min="9458" max="9712" width="8.88888888888889" style="27"/>
    <col min="9713" max="9713" width="17.5555555555556" style="27" customWidth="1"/>
    <col min="9714" max="9968" width="8.88888888888889" style="27"/>
    <col min="9969" max="9969" width="17.5555555555556" style="27" customWidth="1"/>
    <col min="9970" max="10224" width="8.88888888888889" style="27"/>
    <col min="10225" max="10225" width="17.5555555555556" style="27" customWidth="1"/>
    <col min="10226" max="10480" width="8.88888888888889" style="27"/>
    <col min="10481" max="10481" width="17.5555555555556" style="27" customWidth="1"/>
    <col min="10482" max="10736" width="8.88888888888889" style="27"/>
    <col min="10737" max="10737" width="17.5555555555556" style="27" customWidth="1"/>
    <col min="10738" max="10992" width="8.88888888888889" style="27"/>
    <col min="10993" max="10993" width="17.5555555555556" style="27" customWidth="1"/>
    <col min="10994" max="11248" width="8.88888888888889" style="27"/>
    <col min="11249" max="11249" width="17.5555555555556" style="27" customWidth="1"/>
    <col min="11250" max="11504" width="8.88888888888889" style="27"/>
    <col min="11505" max="11505" width="17.5555555555556" style="27" customWidth="1"/>
    <col min="11506" max="11760" width="8.88888888888889" style="27"/>
    <col min="11761" max="11761" width="17.5555555555556" style="27" customWidth="1"/>
    <col min="11762" max="12016" width="8.88888888888889" style="27"/>
    <col min="12017" max="12017" width="17.5555555555556" style="27" customWidth="1"/>
    <col min="12018" max="12272" width="8.88888888888889" style="27"/>
    <col min="12273" max="12273" width="17.5555555555556" style="27" customWidth="1"/>
    <col min="12274" max="12528" width="8.88888888888889" style="27"/>
    <col min="12529" max="12529" width="17.5555555555556" style="27" customWidth="1"/>
    <col min="12530" max="12784" width="8.88888888888889" style="27"/>
    <col min="12785" max="12785" width="17.5555555555556" style="27" customWidth="1"/>
    <col min="12786" max="13040" width="8.88888888888889" style="27"/>
    <col min="13041" max="13041" width="17.5555555555556" style="27" customWidth="1"/>
    <col min="13042" max="13296" width="8.88888888888889" style="27"/>
    <col min="13297" max="13297" width="17.5555555555556" style="27" customWidth="1"/>
    <col min="13298" max="13552" width="8.88888888888889" style="27"/>
    <col min="13553" max="13553" width="17.5555555555556" style="27" customWidth="1"/>
    <col min="13554" max="13808" width="8.88888888888889" style="27"/>
    <col min="13809" max="13809" width="17.5555555555556" style="27" customWidth="1"/>
    <col min="13810" max="14064" width="8.88888888888889" style="27"/>
    <col min="14065" max="14065" width="17.5555555555556" style="27" customWidth="1"/>
    <col min="14066" max="14320" width="8.88888888888889" style="27"/>
    <col min="14321" max="14321" width="17.5555555555556" style="27" customWidth="1"/>
    <col min="14322" max="14576" width="8.88888888888889" style="27"/>
    <col min="14577" max="14577" width="17.5555555555556" style="27" customWidth="1"/>
    <col min="14578" max="14832" width="8.88888888888889" style="27"/>
    <col min="14833" max="14833" width="17.5555555555556" style="27" customWidth="1"/>
    <col min="14834" max="15088" width="8.88888888888889" style="27"/>
    <col min="15089" max="15089" width="17.5555555555556" style="27" customWidth="1"/>
    <col min="15090" max="15344" width="8.88888888888889" style="27"/>
    <col min="15345" max="15345" width="17.5555555555556" style="27" customWidth="1"/>
    <col min="15346" max="15600" width="8.88888888888889" style="27"/>
    <col min="15601" max="15601" width="17.5555555555556" style="27" customWidth="1"/>
    <col min="15602" max="15856" width="8.88888888888889" style="27"/>
    <col min="15857" max="15857" width="17.5555555555556" style="27" customWidth="1"/>
    <col min="15858" max="16112" width="8.88888888888889" style="27"/>
    <col min="16113" max="16113" width="17.5555555555556" style="27" customWidth="1"/>
    <col min="16114" max="16384" width="8.88888888888889" style="27"/>
  </cols>
  <sheetData>
    <row r="1" spans="1:30">
      <c r="A1" s="28" t="s">
        <v>181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0">
      <c r="A2" s="29" t="s">
        <v>1</v>
      </c>
      <c r="B2" s="30" t="s">
        <v>182</v>
      </c>
      <c r="C2" s="29" t="s">
        <v>48</v>
      </c>
      <c r="D2" s="29" t="s">
        <v>58</v>
      </c>
      <c r="E2" s="29"/>
      <c r="F2" s="29" t="s">
        <v>74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>
      <c r="A3" s="29"/>
      <c r="B3" s="30"/>
      <c r="C3" s="29"/>
      <c r="D3" s="29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29">
        <v>8</v>
      </c>
      <c r="L3" s="29">
        <v>9</v>
      </c>
      <c r="M3" s="29">
        <v>10</v>
      </c>
      <c r="N3" s="29">
        <v>11</v>
      </c>
      <c r="O3" s="29">
        <v>12</v>
      </c>
      <c r="P3" s="29">
        <v>13</v>
      </c>
      <c r="Q3" s="29">
        <v>14</v>
      </c>
      <c r="R3" s="29">
        <v>15</v>
      </c>
      <c r="S3" s="29">
        <v>16</v>
      </c>
      <c r="T3" s="29">
        <v>17</v>
      </c>
      <c r="U3" s="29">
        <v>18</v>
      </c>
      <c r="V3" s="29">
        <v>19</v>
      </c>
      <c r="W3" s="29">
        <v>20</v>
      </c>
      <c r="X3" s="29">
        <v>21</v>
      </c>
      <c r="Y3" s="29">
        <v>22</v>
      </c>
      <c r="Z3" s="29">
        <v>23</v>
      </c>
      <c r="AA3" s="29">
        <v>24</v>
      </c>
      <c r="AB3" s="29">
        <v>25</v>
      </c>
      <c r="AC3" s="29">
        <v>26</v>
      </c>
      <c r="AD3" s="29">
        <v>27</v>
      </c>
    </row>
    <row r="4" s="26" customFormat="1" ht="15.6" spans="1:30">
      <c r="A4" s="31">
        <v>1</v>
      </c>
      <c r="B4" s="31" t="s">
        <v>183</v>
      </c>
      <c r="C4" s="32">
        <f>C5-C7</f>
        <v>190540.977351791</v>
      </c>
      <c r="D4" s="32"/>
      <c r="E4" s="32"/>
      <c r="F4" s="32">
        <f t="shared" ref="F4:M4" si="0">F5-F7</f>
        <v>8002.11886305475</v>
      </c>
      <c r="G4" s="32">
        <f t="shared" si="0"/>
        <v>7949.65204144033</v>
      </c>
      <c r="H4" s="32">
        <f t="shared" si="0"/>
        <v>7848.80833258671</v>
      </c>
      <c r="I4" s="32">
        <f t="shared" si="0"/>
        <v>7787.2607509369</v>
      </c>
      <c r="J4" s="32">
        <f t="shared" si="0"/>
        <v>8088.24680192942</v>
      </c>
      <c r="K4" s="32">
        <f t="shared" si="0"/>
        <v>8032.39761584176</v>
      </c>
      <c r="L4" s="32">
        <f t="shared" si="0"/>
        <v>7976.54414853339</v>
      </c>
      <c r="M4" s="32">
        <f t="shared" si="0"/>
        <v>7920.68631437991</v>
      </c>
      <c r="N4" s="32">
        <f t="shared" ref="N4:AC4" si="1">N5-N7</f>
        <v>7864.8240260444</v>
      </c>
      <c r="O4" s="32">
        <f t="shared" si="1"/>
        <v>7808.95719444325</v>
      </c>
      <c r="P4" s="32">
        <f t="shared" si="1"/>
        <v>7753.08572871112</v>
      </c>
      <c r="Q4" s="32">
        <f t="shared" si="1"/>
        <v>7697.20953616541</v>
      </c>
      <c r="R4" s="32">
        <f t="shared" si="1"/>
        <v>7641.32852226983</v>
      </c>
      <c r="S4" s="32">
        <f t="shared" si="1"/>
        <v>7585.44259059739</v>
      </c>
      <c r="T4" s="32">
        <f t="shared" si="1"/>
        <v>7529.55164279255</v>
      </c>
      <c r="U4" s="32">
        <f t="shared" si="1"/>
        <v>7473.65557853267</v>
      </c>
      <c r="V4" s="32">
        <f t="shared" si="1"/>
        <v>7417.75429548865</v>
      </c>
      <c r="W4" s="32">
        <f t="shared" si="1"/>
        <v>7361.8476892848</v>
      </c>
      <c r="X4" s="32">
        <f t="shared" si="1"/>
        <v>7305.93565345792</v>
      </c>
      <c r="Y4" s="32">
        <f t="shared" si="1"/>
        <v>7250.01807941556</v>
      </c>
      <c r="Z4" s="32">
        <f t="shared" si="1"/>
        <v>7249.72998144604</v>
      </c>
      <c r="AA4" s="32">
        <f t="shared" si="1"/>
        <v>7249.43612151713</v>
      </c>
      <c r="AB4" s="32">
        <f t="shared" si="1"/>
        <v>7249.13638438964</v>
      </c>
      <c r="AC4" s="32">
        <f t="shared" si="1"/>
        <v>7248.83065251959</v>
      </c>
      <c r="AD4" s="32">
        <f t="shared" ref="AD4" si="2">AD5-AD7</f>
        <v>7248.51880601215</v>
      </c>
    </row>
    <row r="5" spans="1:30">
      <c r="A5" s="29">
        <v>1.1</v>
      </c>
      <c r="B5" s="29" t="s">
        <v>149</v>
      </c>
      <c r="C5" s="33">
        <f>C6</f>
        <v>213682.727087249</v>
      </c>
      <c r="D5" s="33"/>
      <c r="E5" s="33"/>
      <c r="F5" s="33">
        <f>F6</f>
        <v>8448.88488736466</v>
      </c>
      <c r="G5" s="33">
        <f t="shared" ref="G5:AD5" si="3">G6</f>
        <v>8455.88488736466</v>
      </c>
      <c r="H5" s="33">
        <f t="shared" si="3"/>
        <v>8463.02488736466</v>
      </c>
      <c r="I5" s="33">
        <f t="shared" si="3"/>
        <v>8470.30768736466</v>
      </c>
      <c r="J5" s="33">
        <f t="shared" si="3"/>
        <v>8477.73614336466</v>
      </c>
      <c r="K5" s="33">
        <f t="shared" si="3"/>
        <v>8485.31316848466</v>
      </c>
      <c r="L5" s="33">
        <f t="shared" si="3"/>
        <v>8493.04173410706</v>
      </c>
      <c r="M5" s="33">
        <f t="shared" si="3"/>
        <v>8500.92487104191</v>
      </c>
      <c r="N5" s="33">
        <f t="shared" si="3"/>
        <v>8508.96567071545</v>
      </c>
      <c r="O5" s="33">
        <f t="shared" si="3"/>
        <v>8517.16728638247</v>
      </c>
      <c r="P5" s="33">
        <f t="shared" si="3"/>
        <v>8525.53293436282</v>
      </c>
      <c r="Q5" s="33">
        <f t="shared" si="3"/>
        <v>8534.06589530279</v>
      </c>
      <c r="R5" s="33">
        <f t="shared" si="3"/>
        <v>8542.76951546155</v>
      </c>
      <c r="S5" s="33">
        <f t="shared" si="3"/>
        <v>8551.64720802349</v>
      </c>
      <c r="T5" s="33">
        <f t="shared" si="3"/>
        <v>8560.70245443666</v>
      </c>
      <c r="U5" s="33">
        <f t="shared" si="3"/>
        <v>8569.9388057781</v>
      </c>
      <c r="V5" s="33">
        <f t="shared" si="3"/>
        <v>8579.35988414637</v>
      </c>
      <c r="W5" s="33">
        <f t="shared" si="3"/>
        <v>8588.96938408201</v>
      </c>
      <c r="X5" s="33">
        <f t="shared" si="3"/>
        <v>8598.77107401635</v>
      </c>
      <c r="Y5" s="33">
        <f t="shared" si="3"/>
        <v>8608.76879774939</v>
      </c>
      <c r="Z5" s="33">
        <f t="shared" si="3"/>
        <v>8618.96647595708</v>
      </c>
      <c r="AA5" s="33">
        <f t="shared" si="3"/>
        <v>8629.36810772893</v>
      </c>
      <c r="AB5" s="33">
        <f t="shared" si="3"/>
        <v>8639.97777213622</v>
      </c>
      <c r="AC5" s="33">
        <f t="shared" si="3"/>
        <v>8650.79962983165</v>
      </c>
      <c r="AD5" s="33">
        <f t="shared" si="3"/>
        <v>8661.83792468099</v>
      </c>
    </row>
    <row r="6" spans="1:30">
      <c r="A6" s="29" t="s">
        <v>184</v>
      </c>
      <c r="B6" s="29" t="s">
        <v>130</v>
      </c>
      <c r="C6" s="33">
        <f t="shared" ref="C6:C10" si="4">SUM(D6:AD6)</f>
        <v>213682.727087249</v>
      </c>
      <c r="D6" s="33"/>
      <c r="E6" s="33"/>
      <c r="F6" s="33">
        <f>'资本金现金流量表 '!F6</f>
        <v>8448.88488736466</v>
      </c>
      <c r="G6" s="33">
        <f>'资本金现金流量表 '!G6</f>
        <v>8455.88488736466</v>
      </c>
      <c r="H6" s="33">
        <f>'资本金现金流量表 '!H6</f>
        <v>8463.02488736466</v>
      </c>
      <c r="I6" s="33">
        <f>'资本金现金流量表 '!I6</f>
        <v>8470.30768736466</v>
      </c>
      <c r="J6" s="33">
        <f>'资本金现金流量表 '!J6</f>
        <v>8477.73614336466</v>
      </c>
      <c r="K6" s="33">
        <f>'资本金现金流量表 '!K6</f>
        <v>8485.31316848466</v>
      </c>
      <c r="L6" s="33">
        <f>'资本金现金流量表 '!L6</f>
        <v>8493.04173410706</v>
      </c>
      <c r="M6" s="33">
        <f>'资本金现金流量表 '!M6</f>
        <v>8500.92487104191</v>
      </c>
      <c r="N6" s="33">
        <f>'资本金现金流量表 '!N6</f>
        <v>8508.96567071545</v>
      </c>
      <c r="O6" s="33">
        <f>'资本金现金流量表 '!O6</f>
        <v>8517.16728638247</v>
      </c>
      <c r="P6" s="33">
        <f>'资本金现金流量表 '!P6</f>
        <v>8525.53293436282</v>
      </c>
      <c r="Q6" s="33">
        <f>'资本金现金流量表 '!Q6</f>
        <v>8534.06589530279</v>
      </c>
      <c r="R6" s="33">
        <f>'资本金现金流量表 '!R6</f>
        <v>8542.76951546155</v>
      </c>
      <c r="S6" s="33">
        <f>'资本金现金流量表 '!S6</f>
        <v>8551.64720802349</v>
      </c>
      <c r="T6" s="33">
        <f>'资本金现金流量表 '!T6</f>
        <v>8560.70245443666</v>
      </c>
      <c r="U6" s="33">
        <f>'资本金现金流量表 '!U6</f>
        <v>8569.9388057781</v>
      </c>
      <c r="V6" s="33">
        <f>'资本金现金流量表 '!V6</f>
        <v>8579.35988414637</v>
      </c>
      <c r="W6" s="33">
        <f>'资本金现金流量表 '!W6</f>
        <v>8588.96938408201</v>
      </c>
      <c r="X6" s="33">
        <f>'资本金现金流量表 '!X6</f>
        <v>8598.77107401635</v>
      </c>
      <c r="Y6" s="33">
        <f>'资本金现金流量表 '!Y6</f>
        <v>8608.76879774939</v>
      </c>
      <c r="Z6" s="33">
        <f>'资本金现金流量表 '!Z6</f>
        <v>8618.96647595708</v>
      </c>
      <c r="AA6" s="33">
        <f>'资本金现金流量表 '!AA6</f>
        <v>8629.36810772893</v>
      </c>
      <c r="AB6" s="33">
        <f>'资本金现金流量表 '!AB6</f>
        <v>8639.97777213622</v>
      </c>
      <c r="AC6" s="33">
        <f>'资本金现金流量表 '!AC6</f>
        <v>8650.79962983165</v>
      </c>
      <c r="AD6" s="33">
        <f>'资本金现金流量表 '!AD6</f>
        <v>8661.83792468099</v>
      </c>
    </row>
    <row r="7" spans="1:30">
      <c r="A7" s="29">
        <v>1.2</v>
      </c>
      <c r="B7" s="29" t="s">
        <v>154</v>
      </c>
      <c r="C7" s="33">
        <f>C8+C9+C10</f>
        <v>23141.749735458</v>
      </c>
      <c r="D7" s="34"/>
      <c r="E7" s="34"/>
      <c r="F7" s="34">
        <f t="shared" ref="F7:M7" si="5">SUM(F8:F10)</f>
        <v>446.76602430991</v>
      </c>
      <c r="G7" s="34">
        <f t="shared" ref="G7:AD7" si="6">SUM(G8:G10)</f>
        <v>506.232845924324</v>
      </c>
      <c r="H7" s="34">
        <f t="shared" si="6"/>
        <v>614.216554777946</v>
      </c>
      <c r="I7" s="34">
        <f t="shared" si="6"/>
        <v>683.046936427762</v>
      </c>
      <c r="J7" s="34">
        <f t="shared" si="6"/>
        <v>389.489341435236</v>
      </c>
      <c r="K7" s="34">
        <f t="shared" si="6"/>
        <v>452.915552642904</v>
      </c>
      <c r="L7" s="34">
        <f t="shared" si="6"/>
        <v>516.497585573672</v>
      </c>
      <c r="M7" s="34">
        <f t="shared" si="6"/>
        <v>580.238556662003</v>
      </c>
      <c r="N7" s="34">
        <f t="shared" si="6"/>
        <v>644.141644671046</v>
      </c>
      <c r="O7" s="34">
        <f t="shared" si="6"/>
        <v>708.21009193922</v>
      </c>
      <c r="P7" s="34">
        <f t="shared" si="6"/>
        <v>772.447205651702</v>
      </c>
      <c r="Q7" s="34">
        <f t="shared" si="6"/>
        <v>836.856359137384</v>
      </c>
      <c r="R7" s="34">
        <f t="shared" si="6"/>
        <v>901.440993191726</v>
      </c>
      <c r="S7" s="34">
        <f t="shared" si="6"/>
        <v>966.204617426102</v>
      </c>
      <c r="T7" s="34">
        <f t="shared" si="6"/>
        <v>1031.15081164411</v>
      </c>
      <c r="U7" s="34">
        <f t="shared" si="6"/>
        <v>1096.28322724543</v>
      </c>
      <c r="V7" s="34">
        <f t="shared" si="6"/>
        <v>1161.60558865772</v>
      </c>
      <c r="W7" s="34">
        <f t="shared" si="6"/>
        <v>1227.12169479721</v>
      </c>
      <c r="X7" s="34">
        <f t="shared" si="6"/>
        <v>1292.83542055843</v>
      </c>
      <c r="Y7" s="34">
        <f t="shared" si="6"/>
        <v>1358.75071833382</v>
      </c>
      <c r="Z7" s="34">
        <f t="shared" si="6"/>
        <v>1369.23649451104</v>
      </c>
      <c r="AA7" s="34">
        <f t="shared" si="6"/>
        <v>1379.9319862118</v>
      </c>
      <c r="AB7" s="34">
        <f t="shared" si="6"/>
        <v>1390.84138774658</v>
      </c>
      <c r="AC7" s="34">
        <f t="shared" si="6"/>
        <v>1401.96897731205</v>
      </c>
      <c r="AD7" s="34">
        <f t="shared" si="6"/>
        <v>1413.31911866884</v>
      </c>
    </row>
    <row r="8" spans="1:30">
      <c r="A8" s="29" t="s">
        <v>185</v>
      </c>
      <c r="B8" s="29" t="s">
        <v>186</v>
      </c>
      <c r="C8" s="33">
        <f t="shared" si="4"/>
        <v>11210.6049031328</v>
      </c>
      <c r="D8" s="33"/>
      <c r="E8" s="33"/>
      <c r="F8" s="33">
        <f>'资本金现金流量表 '!F15</f>
        <v>350</v>
      </c>
      <c r="G8" s="33">
        <f>'资本金现金流量表 '!G15</f>
        <v>357</v>
      </c>
      <c r="H8" s="33">
        <f>'资本金现金流量表 '!H15</f>
        <v>364.14</v>
      </c>
      <c r="I8" s="33">
        <f>'资本金现金流量表 '!I15</f>
        <v>371.4228</v>
      </c>
      <c r="J8" s="33">
        <f>'资本金现金流量表 '!J15</f>
        <v>378.851256</v>
      </c>
      <c r="K8" s="33">
        <f>'资本金现金流量表 '!K15</f>
        <v>386.42828112</v>
      </c>
      <c r="L8" s="33">
        <f>'资本金现金流量表 '!L15</f>
        <v>394.1568467424</v>
      </c>
      <c r="M8" s="33">
        <f>'资本金现金流量表 '!M15</f>
        <v>402.039983677248</v>
      </c>
      <c r="N8" s="33">
        <f>'资本金现金流量表 '!N15</f>
        <v>410.080783350793</v>
      </c>
      <c r="O8" s="33">
        <f>'资本金现金流量表 '!O15</f>
        <v>418.282399017809</v>
      </c>
      <c r="P8" s="33">
        <f>'资本金现金流量表 '!P15</f>
        <v>426.648046998165</v>
      </c>
      <c r="Q8" s="33">
        <f>'资本金现金流量表 '!Q15</f>
        <v>435.181007938128</v>
      </c>
      <c r="R8" s="33">
        <f>'资本金现金流量表 '!R15</f>
        <v>443.884628096891</v>
      </c>
      <c r="S8" s="33">
        <f>'资本金现金流量表 '!S15</f>
        <v>452.762320658829</v>
      </c>
      <c r="T8" s="33">
        <f>'资本金现金流量表 '!T15</f>
        <v>461.817567072005</v>
      </c>
      <c r="U8" s="33">
        <f>'资本金现金流量表 '!U15</f>
        <v>471.053918413445</v>
      </c>
      <c r="V8" s="33">
        <f>'资本金现金流量表 '!V15</f>
        <v>480.474996781714</v>
      </c>
      <c r="W8" s="33">
        <f>'资本金现金流量表 '!W15</f>
        <v>490.084496717349</v>
      </c>
      <c r="X8" s="33">
        <f>'资本金现金流量表 '!X15</f>
        <v>499.886186651696</v>
      </c>
      <c r="Y8" s="33">
        <f>'资本金现金流量表 '!Y15</f>
        <v>509.88391038473</v>
      </c>
      <c r="Z8" s="33">
        <f>'资本金现金流量表 '!Z15</f>
        <v>520.081588592424</v>
      </c>
      <c r="AA8" s="33">
        <f>'资本金现金流量表 '!AA15</f>
        <v>530.483220364273</v>
      </c>
      <c r="AB8" s="33">
        <f>'资本金现金流量表 '!AB15</f>
        <v>541.092884771558</v>
      </c>
      <c r="AC8" s="33">
        <f>'资本金现金流量表 '!AC15</f>
        <v>551.914742466989</v>
      </c>
      <c r="AD8" s="33">
        <f>'资本金现金流量表 '!AD15</f>
        <v>562.953037316329</v>
      </c>
    </row>
    <row r="9" spans="1:30">
      <c r="A9" s="29" t="s">
        <v>187</v>
      </c>
      <c r="B9" s="29" t="s">
        <v>131</v>
      </c>
      <c r="C9" s="33">
        <f t="shared" si="4"/>
        <v>1152.6497842768</v>
      </c>
      <c r="D9" s="34"/>
      <c r="E9" s="34"/>
      <c r="F9" s="34">
        <f>销售收入及增值税估算表!D28</f>
        <v>96.7660243099099</v>
      </c>
      <c r="G9" s="34">
        <f>销售收入及增值税估算表!E28</f>
        <v>149.232845924324</v>
      </c>
      <c r="H9" s="34">
        <f>销售收入及增值税估算表!F28</f>
        <v>250.076554777946</v>
      </c>
      <c r="I9" s="34">
        <f>销售收入及增值税估算表!G28</f>
        <v>311.624136427762</v>
      </c>
      <c r="J9" s="34">
        <f>销售收入及增值税估算表!H28</f>
        <v>13.3788146897228</v>
      </c>
      <c r="K9" s="34">
        <f>销售收入及增值税估算表!I28</f>
        <v>13.6463909835173</v>
      </c>
      <c r="L9" s="34">
        <f>销售收入及增值税估算表!J28</f>
        <v>13.9193188031876</v>
      </c>
      <c r="M9" s="34">
        <f>销售收入及增值税估算表!K28</f>
        <v>14.1977051792514</v>
      </c>
      <c r="N9" s="34">
        <f>销售收入及增值税估算表!L28</f>
        <v>14.4816592828364</v>
      </c>
      <c r="O9" s="34">
        <f>销售收入及增值税估算表!M28</f>
        <v>14.7712924684931</v>
      </c>
      <c r="P9" s="34">
        <f>销售收入及增值税估算表!N28</f>
        <v>15.066718317863</v>
      </c>
      <c r="Q9" s="34">
        <f>销售收入及增值税估算表!O28</f>
        <v>15.3680526842202</v>
      </c>
      <c r="R9" s="34">
        <f>销售收入及增值税估算表!P28</f>
        <v>15.6754137379046</v>
      </c>
      <c r="S9" s="34">
        <f>销售收入及增值税估算表!Q28</f>
        <v>15.9889220126627</v>
      </c>
      <c r="T9" s="34">
        <f>销售收入及增值税估算表!R28</f>
        <v>16.308700452916</v>
      </c>
      <c r="U9" s="34">
        <f>销售收入及增值税估算表!S28</f>
        <v>16.6348744619743</v>
      </c>
      <c r="V9" s="34">
        <f>销售收入及增值税估算表!T28</f>
        <v>16.9675719512138</v>
      </c>
      <c r="W9" s="34">
        <f>销售收入及增值税估算表!U28</f>
        <v>17.3069233902381</v>
      </c>
      <c r="X9" s="34">
        <f>销售收入及增值税估算表!V28</f>
        <v>17.6530618580428</v>
      </c>
      <c r="Y9" s="34">
        <f>销售收入及增值税估算表!W28</f>
        <v>18.0061230952037</v>
      </c>
      <c r="Z9" s="34">
        <f>销售收入及增值税估算表!X28</f>
        <v>18.3662455571078</v>
      </c>
      <c r="AA9" s="34">
        <f>销售收入及增值税估算表!Y28</f>
        <v>18.7335704682499</v>
      </c>
      <c r="AB9" s="34">
        <f>销售收入及增值税估算表!Z28</f>
        <v>19.1082418776149</v>
      </c>
      <c r="AC9" s="34">
        <f>销售收入及增值税估算表!AA28</f>
        <v>19.4904067151672</v>
      </c>
      <c r="AD9" s="34">
        <f>销售收入及增值税估算表!AB28</f>
        <v>19.8802148494706</v>
      </c>
    </row>
    <row r="10" spans="1:30">
      <c r="A10" s="29" t="s">
        <v>188</v>
      </c>
      <c r="B10" s="29" t="s">
        <v>179</v>
      </c>
      <c r="C10" s="33">
        <f t="shared" si="4"/>
        <v>10778.4950480484</v>
      </c>
      <c r="D10" s="34"/>
      <c r="E10" s="34"/>
      <c r="F10" s="34">
        <f>'资本金现金流量表 '!F17</f>
        <v>0</v>
      </c>
      <c r="G10" s="34">
        <f>'资本金现金流量表 '!G17</f>
        <v>0</v>
      </c>
      <c r="H10" s="34">
        <f>'资本金现金流量表 '!H17</f>
        <v>0</v>
      </c>
      <c r="I10" s="34">
        <f>'资本金现金流量表 '!I17</f>
        <v>0</v>
      </c>
      <c r="J10" s="34">
        <f>'资本金现金流量表 '!J17</f>
        <v>-2.74072925448636</v>
      </c>
      <c r="K10" s="34">
        <f>'资本金现金流量表 '!K17</f>
        <v>52.8408805393865</v>
      </c>
      <c r="L10" s="34">
        <f>'资本金现金流量表 '!L17</f>
        <v>108.421420028084</v>
      </c>
      <c r="M10" s="34">
        <f>'资本金现金流量表 '!M17</f>
        <v>164.000867805504</v>
      </c>
      <c r="N10" s="34">
        <f>'资本金现金流量表 '!N17</f>
        <v>219.579202037417</v>
      </c>
      <c r="O10" s="34">
        <f>'资本金现金流量表 '!O17</f>
        <v>275.156400452918</v>
      </c>
      <c r="P10" s="34">
        <f>'资本金现金流量表 '!P17</f>
        <v>330.732440335674</v>
      </c>
      <c r="Q10" s="34">
        <f>'资本金现金流量表 '!Q17</f>
        <v>386.307298515036</v>
      </c>
      <c r="R10" s="34">
        <f>'资本金现金流量表 '!R17</f>
        <v>441.88095135693</v>
      </c>
      <c r="S10" s="34">
        <f>'资本金现金流量表 '!S17</f>
        <v>497.453374754611</v>
      </c>
      <c r="T10" s="34">
        <f>'资本金现金流量表 '!T17</f>
        <v>553.02454411919</v>
      </c>
      <c r="U10" s="34">
        <f>'资本金现金流量表 '!U17</f>
        <v>608.59443437001</v>
      </c>
      <c r="V10" s="34">
        <f>'资本金现金流量表 '!V17</f>
        <v>664.163019924794</v>
      </c>
      <c r="W10" s="34">
        <f>'资本金现金流量表 '!W17</f>
        <v>719.730274689621</v>
      </c>
      <c r="X10" s="34">
        <f>'资本金现金流量表 '!X17</f>
        <v>775.296172048691</v>
      </c>
      <c r="Y10" s="34">
        <f>'资本金现金流量表 '!Y17</f>
        <v>830.860684853891</v>
      </c>
      <c r="Z10" s="34">
        <f>'资本金现金流量表 '!Z17</f>
        <v>830.78866036151</v>
      </c>
      <c r="AA10" s="34">
        <f>'资本金现金流量表 '!AA17</f>
        <v>830.715195379282</v>
      </c>
      <c r="AB10" s="34">
        <f>'资本金现金流量表 '!AB17</f>
        <v>830.640261097409</v>
      </c>
      <c r="AC10" s="34">
        <f>'资本金现金流量表 '!AC17</f>
        <v>830.563828129898</v>
      </c>
      <c r="AD10" s="34">
        <f>'资本金现金流量表 '!AD17</f>
        <v>830.485866503038</v>
      </c>
    </row>
    <row r="11" s="26" customFormat="1" ht="15.6" spans="1:30">
      <c r="A11" s="31">
        <v>2</v>
      </c>
      <c r="B11" s="31" t="s">
        <v>189</v>
      </c>
      <c r="C11" s="32">
        <f>C12-C13</f>
        <v>-99015.76</v>
      </c>
      <c r="D11" s="32">
        <f>D12-D13</f>
        <v>-59289.456</v>
      </c>
      <c r="E11" s="32">
        <f>E12-E13</f>
        <v>-39526.304</v>
      </c>
      <c r="F11" s="32">
        <f>F12-F13</f>
        <v>-200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spans="1:30">
      <c r="A12" s="29">
        <v>2.1</v>
      </c>
      <c r="B12" s="29" t="s">
        <v>149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spans="1:30">
      <c r="A13" s="29">
        <v>2.2</v>
      </c>
      <c r="B13" s="29" t="s">
        <v>154</v>
      </c>
      <c r="C13" s="33">
        <f t="shared" ref="C13:C15" si="7">SUM(D13:AD13)</f>
        <v>99015.76</v>
      </c>
      <c r="D13" s="34">
        <f>D14+D15</f>
        <v>59289.456</v>
      </c>
      <c r="E13" s="34">
        <f>E14+E15</f>
        <v>39526.304</v>
      </c>
      <c r="F13" s="34">
        <f>F14+F15</f>
        <v>200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>
      <c r="A14" s="29" t="s">
        <v>68</v>
      </c>
      <c r="B14" s="29" t="s">
        <v>10</v>
      </c>
      <c r="C14" s="33">
        <f t="shared" si="7"/>
        <v>98815.76</v>
      </c>
      <c r="D14" s="33">
        <f>项目投资现金流量表!D11</f>
        <v>59289.456</v>
      </c>
      <c r="E14" s="33">
        <f>项目投资现金流量表!E11</f>
        <v>39526.304</v>
      </c>
      <c r="F14" s="3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1:30">
      <c r="A15" s="29" t="s">
        <v>69</v>
      </c>
      <c r="B15" s="29" t="s">
        <v>16</v>
      </c>
      <c r="C15" s="33">
        <f t="shared" si="7"/>
        <v>200</v>
      </c>
      <c r="D15" s="33"/>
      <c r="E15" s="33"/>
      <c r="F15" s="33">
        <f>投资估算表!C8</f>
        <v>200</v>
      </c>
      <c r="G15" s="33"/>
      <c r="H15" s="33"/>
      <c r="I15" s="33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="26" customFormat="1" ht="15.6" spans="1:30">
      <c r="A16" s="31">
        <v>3</v>
      </c>
      <c r="B16" s="31" t="s">
        <v>190</v>
      </c>
      <c r="C16" s="32">
        <f t="shared" ref="C16:M16" si="8">C17-C20</f>
        <v>31938.0690989474</v>
      </c>
      <c r="D16" s="32">
        <f t="shared" si="8"/>
        <v>61998.558</v>
      </c>
      <c r="E16" s="32">
        <f t="shared" si="8"/>
        <v>41532.372</v>
      </c>
      <c r="F16" s="32">
        <f t="shared" si="8"/>
        <v>-9930.59730105263</v>
      </c>
      <c r="G16" s="32">
        <f t="shared" si="8"/>
        <v>-9643.42167578947</v>
      </c>
      <c r="H16" s="32">
        <f t="shared" si="8"/>
        <v>-9365.24605052632</v>
      </c>
      <c r="I16" s="32">
        <f t="shared" si="8"/>
        <v>-9087.07042526316</v>
      </c>
      <c r="J16" s="32">
        <f t="shared" si="8"/>
        <v>-8808.8948</v>
      </c>
      <c r="K16" s="32">
        <f t="shared" si="8"/>
        <v>-8530.71917473684</v>
      </c>
      <c r="L16" s="32">
        <f t="shared" si="8"/>
        <v>-8252.54354947368</v>
      </c>
      <c r="M16" s="32">
        <f t="shared" si="8"/>
        <v>-7974.36792421053</v>
      </c>
      <c r="N16" s="32">
        <f t="shared" ref="N16:AC16" si="9">N17-N20</f>
        <v>-7696.19229894737</v>
      </c>
      <c r="O16" s="32">
        <f t="shared" si="9"/>
        <v>-7418.01667368421</v>
      </c>
      <c r="P16" s="32">
        <f t="shared" si="9"/>
        <v>-7139.84104842105</v>
      </c>
      <c r="Q16" s="32">
        <f t="shared" si="9"/>
        <v>-6861.66542315789</v>
      </c>
      <c r="R16" s="32">
        <f t="shared" si="9"/>
        <v>-6583.48979789474</v>
      </c>
      <c r="S16" s="32">
        <f t="shared" si="9"/>
        <v>-6305.31417263158</v>
      </c>
      <c r="T16" s="32">
        <f t="shared" si="9"/>
        <v>-6027.13854736842</v>
      </c>
      <c r="U16" s="32">
        <f t="shared" si="9"/>
        <v>-5748.96292210526</v>
      </c>
      <c r="V16" s="32">
        <f t="shared" si="9"/>
        <v>-5470.7872968421</v>
      </c>
      <c r="W16" s="32">
        <f t="shared" si="9"/>
        <v>-5192.61167157895</v>
      </c>
      <c r="X16" s="32">
        <f t="shared" si="9"/>
        <v>-4914.43604631579</v>
      </c>
      <c r="Y16" s="32">
        <f t="shared" si="9"/>
        <v>0</v>
      </c>
      <c r="Z16" s="32">
        <f t="shared" si="9"/>
        <v>0</v>
      </c>
      <c r="AA16" s="32">
        <f t="shared" si="9"/>
        <v>0</v>
      </c>
      <c r="AB16" s="32">
        <f t="shared" si="9"/>
        <v>0</v>
      </c>
      <c r="AC16" s="32">
        <f t="shared" si="9"/>
        <v>0</v>
      </c>
      <c r="AD16" s="32">
        <f t="shared" ref="AD16" si="10">AD17-AD20</f>
        <v>0</v>
      </c>
    </row>
    <row r="17" spans="1:30">
      <c r="A17" s="29">
        <v>3.1</v>
      </c>
      <c r="B17" s="29" t="s">
        <v>149</v>
      </c>
      <c r="C17" s="33">
        <f t="shared" ref="C17:C23" si="11">SUM(D17:M17)</f>
        <v>103530.93</v>
      </c>
      <c r="D17" s="34">
        <f>SUM(D18:D19)</f>
        <v>61998.558</v>
      </c>
      <c r="E17" s="34">
        <f>SUM(E18:E19)</f>
        <v>41532.372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>
      <c r="A18" s="29" t="s">
        <v>191</v>
      </c>
      <c r="B18" s="29" t="s">
        <v>192</v>
      </c>
      <c r="C18" s="33">
        <f t="shared" ref="C18:C19" si="12">SUM(D18:AD18)</f>
        <v>19813.152</v>
      </c>
      <c r="D18" s="34">
        <f>'资本金现金流量表 '!D11</f>
        <v>11857.8912</v>
      </c>
      <c r="E18" s="34">
        <f>'资本金现金流量表 '!E11</f>
        <v>7955.2608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>
      <c r="A19" s="29" t="s">
        <v>193</v>
      </c>
      <c r="B19" s="29" t="s">
        <v>194</v>
      </c>
      <c r="C19" s="33">
        <f t="shared" si="12"/>
        <v>83717.778</v>
      </c>
      <c r="D19" s="34">
        <f>资金使用计划表!D14</f>
        <v>50140.6668</v>
      </c>
      <c r="E19" s="34">
        <f>资金使用计划表!E14</f>
        <v>33577.1112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>
      <c r="A20" s="29">
        <v>3.2</v>
      </c>
      <c r="B20" s="29" t="s">
        <v>154</v>
      </c>
      <c r="C20" s="33">
        <f t="shared" si="11"/>
        <v>71592.8609010526</v>
      </c>
      <c r="D20" s="34"/>
      <c r="E20" s="34"/>
      <c r="F20" s="34">
        <f>SUM(F21:F22)</f>
        <v>9930.59730105263</v>
      </c>
      <c r="G20" s="34">
        <f>SUM(G21:G22)</f>
        <v>9643.42167578947</v>
      </c>
      <c r="H20" s="34">
        <f t="shared" ref="H20:AD20" si="13">SUM(H21:H22)</f>
        <v>9365.24605052632</v>
      </c>
      <c r="I20" s="34">
        <f t="shared" si="13"/>
        <v>9087.07042526316</v>
      </c>
      <c r="J20" s="34">
        <f t="shared" si="13"/>
        <v>8808.8948</v>
      </c>
      <c r="K20" s="34">
        <f t="shared" si="13"/>
        <v>8530.71917473684</v>
      </c>
      <c r="L20" s="34">
        <f t="shared" si="13"/>
        <v>8252.54354947368</v>
      </c>
      <c r="M20" s="34">
        <f t="shared" si="13"/>
        <v>7974.36792421053</v>
      </c>
      <c r="N20" s="34">
        <f t="shared" si="13"/>
        <v>7696.19229894737</v>
      </c>
      <c r="O20" s="34">
        <f t="shared" si="13"/>
        <v>7418.01667368421</v>
      </c>
      <c r="P20" s="34">
        <f t="shared" si="13"/>
        <v>7139.84104842105</v>
      </c>
      <c r="Q20" s="34">
        <f t="shared" si="13"/>
        <v>6861.66542315789</v>
      </c>
      <c r="R20" s="34">
        <f t="shared" si="13"/>
        <v>6583.48979789474</v>
      </c>
      <c r="S20" s="34">
        <f t="shared" si="13"/>
        <v>6305.31417263158</v>
      </c>
      <c r="T20" s="34">
        <f t="shared" si="13"/>
        <v>6027.13854736842</v>
      </c>
      <c r="U20" s="34">
        <f t="shared" si="13"/>
        <v>5748.96292210526</v>
      </c>
      <c r="V20" s="34">
        <f t="shared" si="13"/>
        <v>5470.7872968421</v>
      </c>
      <c r="W20" s="34">
        <f t="shared" si="13"/>
        <v>5192.61167157895</v>
      </c>
      <c r="X20" s="34">
        <f t="shared" si="13"/>
        <v>4914.43604631579</v>
      </c>
      <c r="Y20" s="34">
        <f t="shared" si="13"/>
        <v>0</v>
      </c>
      <c r="Z20" s="34">
        <f t="shared" si="13"/>
        <v>0</v>
      </c>
      <c r="AA20" s="34">
        <f t="shared" si="13"/>
        <v>0</v>
      </c>
      <c r="AB20" s="34">
        <f t="shared" si="13"/>
        <v>0</v>
      </c>
      <c r="AC20" s="34">
        <f t="shared" si="13"/>
        <v>0</v>
      </c>
      <c r="AD20" s="34">
        <f t="shared" si="13"/>
        <v>0</v>
      </c>
    </row>
    <row r="21" spans="1:30">
      <c r="A21" s="29" t="s">
        <v>195</v>
      </c>
      <c r="B21" s="29" t="s">
        <v>196</v>
      </c>
      <c r="C21" s="33">
        <f t="shared" ref="C21:C23" si="14">SUM(D21:AD21)</f>
        <v>52862.3688</v>
      </c>
      <c r="D21" s="34"/>
      <c r="E21" s="34"/>
      <c r="F21" s="34">
        <f>借款还本付息及还款计划表!E11</f>
        <v>5294.33688</v>
      </c>
      <c r="G21" s="34">
        <f>借款还本付息及还款计划表!F11</f>
        <v>5007.16125473684</v>
      </c>
      <c r="H21" s="34">
        <f>借款还本付息及还款计划表!G11</f>
        <v>4728.98562947368</v>
      </c>
      <c r="I21" s="34">
        <f>借款还本付息及还款计划表!H11</f>
        <v>4450.81000421053</v>
      </c>
      <c r="J21" s="34">
        <f>借款还本付息及还款计划表!I11</f>
        <v>4172.63437894737</v>
      </c>
      <c r="K21" s="34">
        <f>借款还本付息及还款计划表!J11</f>
        <v>3894.45875368421</v>
      </c>
      <c r="L21" s="34">
        <f>借款还本付息及还款计划表!K11</f>
        <v>3616.28312842105</v>
      </c>
      <c r="M21" s="34">
        <f>借款还本付息及还款计划表!L11</f>
        <v>3338.10750315789</v>
      </c>
      <c r="N21" s="34">
        <f>借款还本付息及还款计划表!M11</f>
        <v>3059.93187789474</v>
      </c>
      <c r="O21" s="34">
        <f>借款还本付息及还款计划表!N11</f>
        <v>2781.75625263158</v>
      </c>
      <c r="P21" s="34">
        <f>借款还本付息及还款计划表!O11</f>
        <v>2503.58062736842</v>
      </c>
      <c r="Q21" s="34">
        <f>借款还本付息及还款计划表!P11</f>
        <v>2225.40500210526</v>
      </c>
      <c r="R21" s="34">
        <f>借款还本付息及还款计划表!Q11</f>
        <v>1947.2293768421</v>
      </c>
      <c r="S21" s="34">
        <f>借款还本付息及还款计划表!R11</f>
        <v>1669.05375157895</v>
      </c>
      <c r="T21" s="34">
        <f>借款还本付息及还款计划表!S11</f>
        <v>1390.87812631579</v>
      </c>
      <c r="U21" s="34">
        <f>借款还本付息及还款计划表!T11</f>
        <v>1112.70250105263</v>
      </c>
      <c r="V21" s="34">
        <f>借款还本付息及还款计划表!U11</f>
        <v>834.526875789472</v>
      </c>
      <c r="W21" s="34">
        <f>借款还本付息及还款计划表!V11</f>
        <v>556.351250526314</v>
      </c>
      <c r="X21" s="34">
        <f>借款还本付息及还款计划表!W11</f>
        <v>278.175625263157</v>
      </c>
      <c r="Y21" s="34">
        <f>借款还本付息及还款计划表!X11</f>
        <v>0</v>
      </c>
      <c r="Z21" s="34">
        <f>借款还本付息及还款计划表!Y11</f>
        <v>0</v>
      </c>
      <c r="AA21" s="34">
        <f>借款还本付息及还款计划表!Z11</f>
        <v>0</v>
      </c>
      <c r="AB21" s="34">
        <f>借款还本付息及还款计划表!AA11</f>
        <v>0</v>
      </c>
      <c r="AC21" s="34">
        <f>借款还本付息及还款计划表!AB11</f>
        <v>0</v>
      </c>
      <c r="AD21" s="34">
        <f>借款还本付息及还款计划表!AC11</f>
        <v>0</v>
      </c>
    </row>
    <row r="22" spans="1:30">
      <c r="A22" s="29" t="s">
        <v>197</v>
      </c>
      <c r="B22" s="29" t="s">
        <v>198</v>
      </c>
      <c r="C22" s="33">
        <f t="shared" si="14"/>
        <v>88088.948</v>
      </c>
      <c r="D22" s="34"/>
      <c r="E22" s="34"/>
      <c r="F22" s="34">
        <f>借款还本付息及还款计划表!E10</f>
        <v>4636.26042105263</v>
      </c>
      <c r="G22" s="34">
        <f>借款还本付息及还款计划表!F10</f>
        <v>4636.26042105263</v>
      </c>
      <c r="H22" s="34">
        <f>借款还本付息及还款计划表!G10</f>
        <v>4636.26042105263</v>
      </c>
      <c r="I22" s="34">
        <f>借款还本付息及还款计划表!H10</f>
        <v>4636.26042105263</v>
      </c>
      <c r="J22" s="34">
        <f>借款还本付息及还款计划表!I10</f>
        <v>4636.26042105263</v>
      </c>
      <c r="K22" s="34">
        <f>借款还本付息及还款计划表!J10</f>
        <v>4636.26042105263</v>
      </c>
      <c r="L22" s="34">
        <f>借款还本付息及还款计划表!K10</f>
        <v>4636.26042105263</v>
      </c>
      <c r="M22" s="34">
        <f>借款还本付息及还款计划表!L10</f>
        <v>4636.26042105263</v>
      </c>
      <c r="N22" s="34">
        <f>借款还本付息及还款计划表!M10</f>
        <v>4636.26042105263</v>
      </c>
      <c r="O22" s="34">
        <f>借款还本付息及还款计划表!N10</f>
        <v>4636.26042105263</v>
      </c>
      <c r="P22" s="34">
        <f>借款还本付息及还款计划表!O10</f>
        <v>4636.26042105263</v>
      </c>
      <c r="Q22" s="34">
        <f>借款还本付息及还款计划表!P10</f>
        <v>4636.26042105263</v>
      </c>
      <c r="R22" s="34">
        <f>借款还本付息及还款计划表!Q10</f>
        <v>4636.26042105263</v>
      </c>
      <c r="S22" s="34">
        <f>借款还本付息及还款计划表!R10</f>
        <v>4636.26042105263</v>
      </c>
      <c r="T22" s="34">
        <f>借款还本付息及还款计划表!S10</f>
        <v>4636.26042105263</v>
      </c>
      <c r="U22" s="34">
        <f>借款还本付息及还款计划表!T10</f>
        <v>4636.26042105263</v>
      </c>
      <c r="V22" s="34">
        <f>借款还本付息及还款计划表!U10</f>
        <v>4636.26042105263</v>
      </c>
      <c r="W22" s="34">
        <f>借款还本付息及还款计划表!V10</f>
        <v>4636.26042105263</v>
      </c>
      <c r="X22" s="34">
        <f>借款还本付息及还款计划表!W10</f>
        <v>4636.26042105263</v>
      </c>
      <c r="Y22" s="34">
        <f>借款还本付息及还款计划表!X10</f>
        <v>0</v>
      </c>
      <c r="Z22" s="34">
        <f>借款还本付息及还款计划表!Y10</f>
        <v>0</v>
      </c>
      <c r="AA22" s="34">
        <f>借款还本付息及还款计划表!Z10</f>
        <v>0</v>
      </c>
      <c r="AB22" s="34">
        <f>借款还本付息及还款计划表!AA10</f>
        <v>0</v>
      </c>
      <c r="AC22" s="34">
        <f>借款还本付息及还款计划表!AB10</f>
        <v>0</v>
      </c>
      <c r="AD22" s="34">
        <f>借款还本付息及还款计划表!AC10</f>
        <v>0</v>
      </c>
    </row>
    <row r="23" spans="1:30">
      <c r="A23" s="29">
        <v>4</v>
      </c>
      <c r="B23" s="29" t="s">
        <v>199</v>
      </c>
      <c r="C23" s="33">
        <f t="shared" si="14"/>
        <v>49389.6605517913</v>
      </c>
      <c r="D23" s="34"/>
      <c r="E23" s="34"/>
      <c r="F23" s="34">
        <f>F4+F11+F16</f>
        <v>-2128.47843799788</v>
      </c>
      <c r="G23" s="34">
        <f>G4+G11+G16</f>
        <v>-1693.76963434914</v>
      </c>
      <c r="H23" s="34">
        <f t="shared" ref="H23:AD23" si="15">H4+H11+H16</f>
        <v>-1516.43771793961</v>
      </c>
      <c r="I23" s="34">
        <f t="shared" si="15"/>
        <v>-1299.80967432626</v>
      </c>
      <c r="J23" s="34">
        <f t="shared" si="15"/>
        <v>-720.647998070576</v>
      </c>
      <c r="K23" s="34">
        <f t="shared" si="15"/>
        <v>-498.321558895086</v>
      </c>
      <c r="L23" s="34">
        <f t="shared" si="15"/>
        <v>-275.999400940294</v>
      </c>
      <c r="M23" s="34">
        <f t="shared" si="15"/>
        <v>-53.6816098306181</v>
      </c>
      <c r="N23" s="34">
        <f t="shared" si="15"/>
        <v>168.631727097036</v>
      </c>
      <c r="O23" s="34">
        <f t="shared" si="15"/>
        <v>390.940520759041</v>
      </c>
      <c r="P23" s="34">
        <f t="shared" si="15"/>
        <v>613.244680290066</v>
      </c>
      <c r="Q23" s="34">
        <f t="shared" si="15"/>
        <v>835.544113007512</v>
      </c>
      <c r="R23" s="34">
        <f t="shared" si="15"/>
        <v>1057.83872437509</v>
      </c>
      <c r="S23" s="34">
        <f t="shared" si="15"/>
        <v>1280.12841796581</v>
      </c>
      <c r="T23" s="34">
        <f t="shared" si="15"/>
        <v>1502.41309542413</v>
      </c>
      <c r="U23" s="34">
        <f t="shared" si="15"/>
        <v>1724.69265642741</v>
      </c>
      <c r="V23" s="34">
        <f t="shared" si="15"/>
        <v>1946.96699864655</v>
      </c>
      <c r="W23" s="34">
        <f t="shared" si="15"/>
        <v>2169.23601770586</v>
      </c>
      <c r="X23" s="34">
        <f t="shared" si="15"/>
        <v>2391.49960714213</v>
      </c>
      <c r="Y23" s="34">
        <f t="shared" si="15"/>
        <v>7250.01807941556</v>
      </c>
      <c r="Z23" s="34">
        <f t="shared" si="15"/>
        <v>7249.72998144604</v>
      </c>
      <c r="AA23" s="34">
        <f t="shared" si="15"/>
        <v>7249.43612151713</v>
      </c>
      <c r="AB23" s="34">
        <f t="shared" si="15"/>
        <v>7249.13638438964</v>
      </c>
      <c r="AC23" s="34">
        <f t="shared" si="15"/>
        <v>7248.83065251959</v>
      </c>
      <c r="AD23" s="34">
        <f t="shared" si="15"/>
        <v>7248.51880601215</v>
      </c>
    </row>
    <row r="24" spans="1:30">
      <c r="A24" s="29">
        <v>5</v>
      </c>
      <c r="B24" s="29" t="s">
        <v>200</v>
      </c>
      <c r="C24" s="34"/>
      <c r="D24" s="34"/>
      <c r="E24" s="34"/>
      <c r="F24" s="34">
        <f>E24+F23</f>
        <v>-2128.47843799788</v>
      </c>
      <c r="G24" s="34">
        <f t="shared" ref="G24:M24" si="16">F24+G23</f>
        <v>-3822.24807234703</v>
      </c>
      <c r="H24" s="34">
        <f t="shared" ref="H24" si="17">G24+H23</f>
        <v>-5338.68579028663</v>
      </c>
      <c r="I24" s="34">
        <f t="shared" ref="I24" si="18">H24+I23</f>
        <v>-6638.49546461289</v>
      </c>
      <c r="J24" s="34">
        <f t="shared" ref="J24" si="19">I24+J23</f>
        <v>-7359.14346268347</v>
      </c>
      <c r="K24" s="34">
        <f t="shared" ref="K24" si="20">J24+K23</f>
        <v>-7857.46502157855</v>
      </c>
      <c r="L24" s="34">
        <f t="shared" ref="L24" si="21">K24+L23</f>
        <v>-8133.46442251885</v>
      </c>
      <c r="M24" s="34">
        <f t="shared" ref="M24" si="22">L24+M23</f>
        <v>-8187.14603234946</v>
      </c>
      <c r="N24" s="34">
        <f t="shared" ref="N24" si="23">M24+N23</f>
        <v>-8018.51430525243</v>
      </c>
      <c r="O24" s="34">
        <f t="shared" ref="O24" si="24">N24+O23</f>
        <v>-7627.57378449339</v>
      </c>
      <c r="P24" s="34">
        <f t="shared" ref="P24" si="25">O24+P23</f>
        <v>-7014.32910420332</v>
      </c>
      <c r="Q24" s="34">
        <f t="shared" ref="Q24" si="26">P24+Q23</f>
        <v>-6178.78499119581</v>
      </c>
      <c r="R24" s="34">
        <f t="shared" ref="R24" si="27">Q24+R23</f>
        <v>-5120.94626682072</v>
      </c>
      <c r="S24" s="34">
        <f t="shared" ref="S24" si="28">R24+S23</f>
        <v>-3840.81784885491</v>
      </c>
      <c r="T24" s="34">
        <f t="shared" ref="T24" si="29">S24+T23</f>
        <v>-2338.40475343078</v>
      </c>
      <c r="U24" s="34">
        <f t="shared" ref="U24" si="30">T24+U23</f>
        <v>-613.712097003372</v>
      </c>
      <c r="V24" s="34">
        <f t="shared" ref="V24" si="31">U24+V23</f>
        <v>1333.25490164317</v>
      </c>
      <c r="W24" s="34">
        <f t="shared" ref="W24" si="32">V24+W23</f>
        <v>3502.49091934903</v>
      </c>
      <c r="X24" s="34">
        <f t="shared" ref="X24" si="33">W24+X23</f>
        <v>5893.99052649116</v>
      </c>
      <c r="Y24" s="34">
        <f t="shared" ref="Y24" si="34">X24+Y23</f>
        <v>13144.0086059067</v>
      </c>
      <c r="Z24" s="34">
        <f t="shared" ref="Z24" si="35">Y24+Z23</f>
        <v>20393.7385873528</v>
      </c>
      <c r="AA24" s="34">
        <f t="shared" ref="AA24" si="36">Z24+AA23</f>
        <v>27643.1747088699</v>
      </c>
      <c r="AB24" s="34">
        <f t="shared" ref="AB24" si="37">AA24+AB23</f>
        <v>34892.3110932595</v>
      </c>
      <c r="AC24" s="34">
        <f t="shared" ref="AC24" si="38">AB24+AC23</f>
        <v>42141.1417457791</v>
      </c>
      <c r="AD24" s="34">
        <f t="shared" ref="AD24" si="39">AC24+AD23</f>
        <v>49389.6605517913</v>
      </c>
    </row>
  </sheetData>
  <mergeCells count="6">
    <mergeCell ref="A1:AD1"/>
    <mergeCell ref="D2:E2"/>
    <mergeCell ref="F2:AD2"/>
    <mergeCell ref="A2:A3"/>
    <mergeCell ref="B2:B3"/>
    <mergeCell ref="C2:C3"/>
  </mergeCells>
  <pageMargins left="0.7" right="0.7" top="0.75" bottom="0.75" header="0.3" footer="0.3"/>
  <pageSetup paperSize="9" orientation="portrait" horizontalDpi="1200" verticalDpi="12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workbookViewId="0">
      <selection activeCell="E20" sqref="E20"/>
    </sheetView>
  </sheetViews>
  <sheetFormatPr defaultColWidth="9" defaultRowHeight="14.4" outlineLevelRow="6"/>
  <cols>
    <col min="2" max="2" width="13.8888888888889" customWidth="1"/>
  </cols>
  <sheetData>
    <row r="1" spans="1:23">
      <c r="A1" s="19" t="s">
        <v>201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>
      <c r="A3" s="20" t="s">
        <v>1</v>
      </c>
      <c r="B3" s="20" t="s">
        <v>202</v>
      </c>
      <c r="C3" s="20" t="s">
        <v>94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>
      <c r="A4" s="20"/>
      <c r="B4" s="20"/>
      <c r="C4" s="20" t="s">
        <v>58</v>
      </c>
      <c r="D4" s="20"/>
      <c r="E4" s="20" t="s">
        <v>74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>
      <c r="A5" s="20"/>
      <c r="B5" s="20"/>
      <c r="C5" s="20">
        <v>1</v>
      </c>
      <c r="D5" s="20">
        <v>2</v>
      </c>
      <c r="E5" s="20">
        <v>3</v>
      </c>
      <c r="F5" s="20">
        <v>4</v>
      </c>
      <c r="G5" s="20">
        <v>5</v>
      </c>
      <c r="H5" s="20">
        <v>6</v>
      </c>
      <c r="I5" s="20">
        <v>7</v>
      </c>
      <c r="J5" s="20">
        <v>8</v>
      </c>
      <c r="K5" s="20">
        <v>9</v>
      </c>
      <c r="L5" s="20">
        <v>10</v>
      </c>
      <c r="M5" s="20">
        <v>11</v>
      </c>
      <c r="N5" s="20">
        <v>12</v>
      </c>
      <c r="O5" s="20">
        <v>13</v>
      </c>
      <c r="P5" s="20">
        <v>14</v>
      </c>
      <c r="Q5" s="20">
        <v>15</v>
      </c>
      <c r="R5" s="20">
        <v>16</v>
      </c>
      <c r="S5" s="20">
        <v>17</v>
      </c>
      <c r="T5" s="20">
        <v>18</v>
      </c>
      <c r="U5" s="20">
        <v>19</v>
      </c>
      <c r="V5" s="20">
        <v>20</v>
      </c>
      <c r="W5" s="20">
        <v>21</v>
      </c>
    </row>
    <row r="6" s="1" customFormat="1" spans="1:23">
      <c r="A6" s="21">
        <v>1</v>
      </c>
      <c r="B6" s="22" t="s">
        <v>203</v>
      </c>
      <c r="C6" s="23"/>
      <c r="D6" s="23"/>
      <c r="E6" s="24">
        <f>利润及利润分配表!D18/借款还本付息及还款计划表!E11</f>
        <v>0.769793010046378</v>
      </c>
      <c r="F6" s="24">
        <f>利润及利润分配表!E18/借款还本付息及还款计划表!F11</f>
        <v>0.803464577385929</v>
      </c>
      <c r="G6" s="24">
        <f>利润及利润分配表!F18/借款还本付息及还款计划表!G11</f>
        <v>0.829402603412699</v>
      </c>
      <c r="H6" s="24">
        <f>利润及利润分配表!G18/借款还本付息及还款计划表!H11</f>
        <v>0.867411865993974</v>
      </c>
      <c r="I6" s="24">
        <f>利润及利润分配表!H18/借款还本付息及还款计划表!I11</f>
        <v>0.996715828652141</v>
      </c>
      <c r="J6" s="24">
        <f>利润及利润分配表!I18/借款还本付息及还款计划表!J11</f>
        <v>1.06784110948588</v>
      </c>
      <c r="K6" s="24">
        <f>利润及利润分配表!J18/借款还本付息及还款计划表!K11</f>
        <v>1.14990726137561</v>
      </c>
      <c r="L6" s="24">
        <f>利润及利润分配表!K18/借款还本付息及还款计划表!L11</f>
        <v>1.2456494700221</v>
      </c>
      <c r="M6" s="24">
        <f>利润及利润分配表!L18/借款还本付息及还款计划表!M11</f>
        <v>1.35879753340864</v>
      </c>
      <c r="N6" s="24">
        <f>利润及利润分配表!M18/借款还本付息及还款计划表!N11</f>
        <v>1.49457316792695</v>
      </c>
      <c r="O6" s="24">
        <f>利润及利润分配表!N18/借款还本付息及还款计划表!O11</f>
        <v>1.66051885191993</v>
      </c>
      <c r="P6" s="24">
        <f>利润及利润分配表!O18/借款还本付息及还款计划表!P11</f>
        <v>1.8679483018812</v>
      </c>
      <c r="Q6" s="24">
        <f>利润及利润分配表!P18/借款还本付息及还款计划表!Q11</f>
        <v>2.13464021396787</v>
      </c>
      <c r="R6" s="24">
        <f>利润及利润分配表!Q18/借款还本付息及还款计划表!R11</f>
        <v>2.49022574702586</v>
      </c>
      <c r="S6" s="24">
        <f>利润及利润分配表!R18/借款还本付息及还款计划表!S11</f>
        <v>2.98804098524456</v>
      </c>
      <c r="T6" s="24">
        <f>利润及利润分配表!S18/借款还本付息及还款计划表!T11</f>
        <v>3.73475809479296</v>
      </c>
      <c r="U6" s="24">
        <f>利润及利润分配表!T18/借款还本付息及还款计划表!U11</f>
        <v>4.97927879372661</v>
      </c>
      <c r="V6" s="24">
        <f>利润及利润分配表!U18/借款还本付息及还款计划表!V11</f>
        <v>7.46830823161401</v>
      </c>
      <c r="W6" s="24">
        <f>利润及利润分配表!V18/借款还本付息及还款计划表!W11</f>
        <v>14.9353721469171</v>
      </c>
    </row>
    <row r="7" spans="1:23">
      <c r="A7" s="20">
        <v>2</v>
      </c>
      <c r="B7" s="25" t="s">
        <v>204</v>
      </c>
      <c r="C7" s="23"/>
      <c r="D7" s="23"/>
      <c r="E7" s="24">
        <f>(利润及利润分配表!D19-利润及利润分配表!D11)/借款还本付息及还款计划表!E9</f>
        <v>0.805804386228262</v>
      </c>
      <c r="F7" s="24">
        <f>(利润及利润分配表!E19-利润及利润分配表!E11)/借款还本付息及还款计划表!F9</f>
        <v>0.824360098386917</v>
      </c>
      <c r="G7" s="24">
        <f>(利润及利润分配表!F19-利润及利润分配表!F11)/借款还本付息及还款计划表!G9</f>
        <v>0.838078176509374</v>
      </c>
      <c r="H7" s="24">
        <f>(利润及利润分配表!G19-利润及利润分配表!G11)/借款还本付息及还款计划表!H9</f>
        <v>0.856960536950101</v>
      </c>
      <c r="I7" s="24">
        <f>(利润及利润分配表!H19-利润及利润分配表!H11)/借款还本付息及还款计划表!I9</f>
        <v>0.918190872472381</v>
      </c>
      <c r="J7" s="24">
        <f>(利润及利润分配表!I19-利润及利润分配表!I11)/借款还本付息及还款计划表!J9</f>
        <v>0.941585047088312</v>
      </c>
      <c r="K7" s="24">
        <f>(利润及利润分配表!J19-利润及利润分配表!J11)/借款还本付息及还款计划表!K9</f>
        <v>0.96655583829571</v>
      </c>
      <c r="L7" s="24">
        <f>(利润及利润分配表!K19-利润及利润分配表!K11)/借款还本付息及还款计划表!L9</f>
        <v>0.993268230116692</v>
      </c>
      <c r="M7" s="24">
        <f>(利润及利润分配表!L19-利润及利润分配表!L11)/借款还本付息及还款计划表!M9</f>
        <v>1.0219110594625</v>
      </c>
      <c r="N7" s="24">
        <f>(利润及利润分配表!M19-利润及利润分配表!M11)/借款还本付息及还款计划表!N9</f>
        <v>1.05270148854557</v>
      </c>
      <c r="O7" s="24">
        <f>(利润及利润分配表!N19-利润及利润分配表!N11)/借款还本付息及还款计划表!O9</f>
        <v>1.08589052279052</v>
      </c>
      <c r="P7" s="24">
        <f>(利润及利润分配表!O19-利润及利润分配表!O11)/借款还本付息及还款计划表!P9</f>
        <v>1.12176987093943</v>
      </c>
      <c r="Q7" s="24">
        <f>(利润及利润分配表!P19-利润及利润分配表!P11)/借款还本付息及还款计划表!Q9</f>
        <v>1.16068054433886</v>
      </c>
      <c r="R7" s="24">
        <f>(利润及利润分配表!Q19-利润及利润分配表!Q11)/借款还本付息及还款计划表!R9</f>
        <v>1.20302373250841</v>
      </c>
      <c r="S7" s="24">
        <f>(利润及利润分配表!R19-利润及利润分配表!R11)/借款还本付息及还款计划表!S9</f>
        <v>1.24927469040514</v>
      </c>
      <c r="T7" s="24">
        <f>(利润及利润分配表!S19-利润及利润分配表!S11)/借款还本付息及还款计划表!T9</f>
        <v>1.30000065747438</v>
      </c>
      <c r="U7" s="24">
        <f>(利润及利润分配表!T19-利润及利润分配表!T11)/借款还本付息及还款计划表!U9</f>
        <v>1.35588424352933</v>
      </c>
      <c r="V7" s="24">
        <f>(利润及利润分配表!U19-利润及利润分配表!U11)/借款还本付息及还款计划表!V9</f>
        <v>1.41775433152047</v>
      </c>
      <c r="W7" s="24">
        <f>(利润及利润分配表!V19-利润及利润分配表!V11)/借款还本付息及还款计划表!W9</f>
        <v>1.48662747558491</v>
      </c>
    </row>
  </sheetData>
  <mergeCells count="6">
    <mergeCell ref="C3:W3"/>
    <mergeCell ref="C4:D4"/>
    <mergeCell ref="E4:W4"/>
    <mergeCell ref="A3:A5"/>
    <mergeCell ref="B3:B5"/>
    <mergeCell ref="A1:W2"/>
  </mergeCells>
  <pageMargins left="0.7" right="0.7" top="0.75" bottom="0.75" header="0.3" footer="0.3"/>
  <pageSetup paperSize="9" orientation="portrait" horizontalDpi="1200" verticalDpi="12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D2" sqref="D2"/>
    </sheetView>
  </sheetViews>
  <sheetFormatPr defaultColWidth="9" defaultRowHeight="14.4"/>
  <cols>
    <col min="1" max="1" width="10.7777777777778" customWidth="1"/>
    <col min="3" max="3" width="12.1111111111111" customWidth="1"/>
    <col min="4" max="4" width="12.8888888888889" style="1" customWidth="1"/>
    <col min="5" max="5" width="10.3333333333333" style="1" customWidth="1"/>
    <col min="6" max="6" width="11.4444444444444" style="1" customWidth="1"/>
    <col min="8" max="8" width="11.6666666666667" customWidth="1"/>
  </cols>
  <sheetData>
    <row r="1" ht="43.95" spans="1:6">
      <c r="A1" s="2" t="s">
        <v>205</v>
      </c>
      <c r="B1" s="3" t="s">
        <v>206</v>
      </c>
      <c r="C1" s="3" t="s">
        <v>207</v>
      </c>
      <c r="D1" s="4" t="s">
        <v>208</v>
      </c>
      <c r="E1" s="4" t="s">
        <v>209</v>
      </c>
      <c r="F1" s="4" t="s">
        <v>210</v>
      </c>
    </row>
    <row r="2" ht="15.15" spans="1:6">
      <c r="A2" s="5" t="s">
        <v>211</v>
      </c>
      <c r="B2" s="6">
        <v>0</v>
      </c>
      <c r="C2" s="7">
        <f>项目投资现金流量表!F27</f>
        <v>0.0613146914584577</v>
      </c>
      <c r="D2" s="8">
        <f>项目投资现金流量表!F28</f>
        <v>1238.69448059731</v>
      </c>
      <c r="E2" s="8">
        <f>项目投资现金流量表!F30</f>
        <v>23.3445079978363</v>
      </c>
      <c r="F2" s="8"/>
    </row>
    <row r="3" ht="15.15" spans="1:14">
      <c r="A3" s="9" t="s">
        <v>10</v>
      </c>
      <c r="B3" s="10">
        <v>-0.2</v>
      </c>
      <c r="C3" s="7">
        <v>0.441404431761925</v>
      </c>
      <c r="D3" s="8">
        <v>5034.43055589517</v>
      </c>
      <c r="E3" s="8">
        <v>4.55753980090963</v>
      </c>
      <c r="F3" s="8">
        <f>((D3-$D$2)/$D$2)/(B3-$B$2)</f>
        <v>-15.3215184807617</v>
      </c>
      <c r="H3" s="11"/>
      <c r="I3" s="11"/>
      <c r="J3" s="11"/>
      <c r="K3" s="11"/>
      <c r="L3" s="11"/>
      <c r="M3" s="11"/>
      <c r="N3" s="11"/>
    </row>
    <row r="4" ht="15.15" spans="1:14">
      <c r="A4" s="12"/>
      <c r="B4" s="10">
        <v>-0.1</v>
      </c>
      <c r="C4" s="7">
        <v>0.397911149336576</v>
      </c>
      <c r="D4" s="8">
        <v>4640.98181134885</v>
      </c>
      <c r="E4" s="8">
        <v>4.90891850913144</v>
      </c>
      <c r="F4" s="8">
        <f t="shared" ref="F4:F14" si="0">((D4-$D$2)/$D$2)/(B4-$B$2)</f>
        <v>-27.4667190662779</v>
      </c>
      <c r="H4" s="11"/>
      <c r="I4" s="17"/>
      <c r="J4" s="18"/>
      <c r="K4" s="18"/>
      <c r="L4" s="18"/>
      <c r="M4" s="18"/>
      <c r="N4" s="18"/>
    </row>
    <row r="5" ht="15.15" spans="1:14">
      <c r="A5" s="12"/>
      <c r="B5" s="10">
        <v>0.1</v>
      </c>
      <c r="C5" s="7">
        <v>0.329397790273651</v>
      </c>
      <c r="D5" s="8">
        <v>3854.08432225622</v>
      </c>
      <c r="E5" s="8">
        <v>5.61167592557506</v>
      </c>
      <c r="F5" s="8">
        <f t="shared" si="0"/>
        <v>21.1140832757867</v>
      </c>
      <c r="H5" s="11"/>
      <c r="I5" s="17"/>
      <c r="J5" s="18"/>
      <c r="K5" s="18"/>
      <c r="L5" s="18"/>
      <c r="M5" s="18"/>
      <c r="N5" s="18"/>
    </row>
    <row r="6" ht="15.15" spans="1:14">
      <c r="A6" s="5"/>
      <c r="B6" s="10">
        <v>0.2</v>
      </c>
      <c r="C6" s="7">
        <v>0.301693418840944</v>
      </c>
      <c r="D6" s="8">
        <v>3460.63557770991</v>
      </c>
      <c r="E6" s="8">
        <v>5.96305463379687</v>
      </c>
      <c r="F6" s="8">
        <f t="shared" si="0"/>
        <v>8.96888269027061</v>
      </c>
      <c r="H6" s="11"/>
      <c r="I6" s="17"/>
      <c r="J6" s="18"/>
      <c r="K6" s="18"/>
      <c r="L6" s="18"/>
      <c r="M6" s="18"/>
      <c r="N6" s="18"/>
    </row>
    <row r="7" ht="15.15" spans="1:14">
      <c r="A7" s="9" t="s">
        <v>150</v>
      </c>
      <c r="B7" s="10">
        <v>-0.2</v>
      </c>
      <c r="C7" s="7">
        <v>0.238819002135434</v>
      </c>
      <c r="D7" s="8">
        <v>1638.28787105874</v>
      </c>
      <c r="E7" s="8">
        <v>7.02543563851671</v>
      </c>
      <c r="F7" s="8">
        <f t="shared" si="0"/>
        <v>-1.61296185912098</v>
      </c>
      <c r="H7" s="11"/>
      <c r="I7" s="11"/>
      <c r="J7" s="11"/>
      <c r="K7" s="11"/>
      <c r="L7" s="11"/>
      <c r="M7" s="11"/>
      <c r="N7" s="11"/>
    </row>
    <row r="8" ht="15.15" spans="1:6">
      <c r="A8" s="12"/>
      <c r="B8" s="10">
        <v>-0.1</v>
      </c>
      <c r="C8" s="7">
        <v>0.302276557892126</v>
      </c>
      <c r="D8" s="8">
        <v>2942.91046893064</v>
      </c>
      <c r="E8" s="8">
        <v>5.98166657212097</v>
      </c>
      <c r="F8" s="8">
        <f t="shared" si="0"/>
        <v>-13.7581624446372</v>
      </c>
    </row>
    <row r="9" ht="15.15" spans="1:6">
      <c r="A9" s="12"/>
      <c r="B9" s="10">
        <v>0.1</v>
      </c>
      <c r="C9" s="7">
        <v>0.416319155128847</v>
      </c>
      <c r="D9" s="8">
        <v>5552.15566467444</v>
      </c>
      <c r="E9" s="8">
        <v>4.73193638560031</v>
      </c>
      <c r="F9" s="8">
        <f t="shared" si="0"/>
        <v>34.8226398974275</v>
      </c>
    </row>
    <row r="10" ht="15.15" spans="1:6">
      <c r="A10" s="5"/>
      <c r="B10" s="10">
        <v>0.2</v>
      </c>
      <c r="C10" s="7">
        <v>0.468616783338284</v>
      </c>
      <c r="D10" s="8">
        <v>6856.77826254633</v>
      </c>
      <c r="E10" s="8">
        <v>4.32826247579496</v>
      </c>
      <c r="F10" s="8">
        <f t="shared" si="0"/>
        <v>22.6774393119113</v>
      </c>
    </row>
    <row r="11" ht="15.15" spans="1:6">
      <c r="A11" s="9" t="s">
        <v>155</v>
      </c>
      <c r="B11" s="10">
        <v>-0.2</v>
      </c>
      <c r="C11" s="7">
        <v>0.397045633987189</v>
      </c>
      <c r="D11" s="8">
        <v>5068.65352416474</v>
      </c>
      <c r="E11" s="8">
        <v>4.89681251516416</v>
      </c>
      <c r="F11" s="8">
        <f t="shared" si="0"/>
        <v>-15.4596597609791</v>
      </c>
    </row>
    <row r="12" ht="15.15" spans="1:6">
      <c r="A12" s="12"/>
      <c r="B12" s="10">
        <v>-0.1</v>
      </c>
      <c r="C12" s="7">
        <v>0.379218615817874</v>
      </c>
      <c r="D12" s="8">
        <v>4658.09329548364</v>
      </c>
      <c r="E12" s="8">
        <v>5.07044316412575</v>
      </c>
      <c r="F12" s="8">
        <f t="shared" si="0"/>
        <v>-27.6048603464952</v>
      </c>
    </row>
    <row r="13" ht="15.15" spans="1:6">
      <c r="A13" s="12"/>
      <c r="B13" s="10">
        <v>0.1</v>
      </c>
      <c r="C13" s="7">
        <v>0.342678338113093</v>
      </c>
      <c r="D13" s="8">
        <v>3836.97283812144</v>
      </c>
      <c r="E13" s="8">
        <v>5.46875988981163</v>
      </c>
      <c r="F13" s="8">
        <f t="shared" si="0"/>
        <v>20.9759419955695</v>
      </c>
    </row>
    <row r="14" ht="15.15" spans="1:6">
      <c r="A14" s="5"/>
      <c r="B14" s="10">
        <v>0.2</v>
      </c>
      <c r="C14" s="7">
        <v>0.32392317913596</v>
      </c>
      <c r="D14" s="8">
        <v>3426.41260944033</v>
      </c>
      <c r="E14" s="8">
        <v>5.69870806769375</v>
      </c>
      <c r="F14" s="8">
        <f t="shared" si="0"/>
        <v>8.83074141005324</v>
      </c>
    </row>
    <row r="16" spans="1:8">
      <c r="A16" s="13" t="s">
        <v>212</v>
      </c>
      <c r="B16" s="14">
        <f>总成本!C9/(销售收入及增值税估算表!AC6-总成本!C10-销售收入及增值税估算表!AC28)</f>
        <v>18.6859906031891</v>
      </c>
      <c r="C16" s="15" t="s">
        <v>213</v>
      </c>
      <c r="D16" s="15"/>
      <c r="E16" s="15"/>
      <c r="F16" s="15"/>
      <c r="G16" s="15"/>
      <c r="H16" s="16"/>
    </row>
  </sheetData>
  <mergeCells count="4">
    <mergeCell ref="C16:H16"/>
    <mergeCell ref="A3:A6"/>
    <mergeCell ref="A7:A10"/>
    <mergeCell ref="A11:A14"/>
  </mergeCells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zoomScale="85" zoomScaleNormal="85" workbookViewId="0">
      <pane ySplit="2" topLeftCell="A3" activePane="bottomLeft" state="frozen"/>
      <selection/>
      <selection pane="bottomLeft" activeCell="B11" sqref="B11"/>
    </sheetView>
  </sheetViews>
  <sheetFormatPr defaultColWidth="9" defaultRowHeight="14.4" outlineLevelCol="6"/>
  <cols>
    <col min="1" max="1" width="9" style="170"/>
    <col min="2" max="2" width="61.7777777777778" style="170" customWidth="1"/>
    <col min="3" max="3" width="16.3333333333333" style="171" customWidth="1"/>
    <col min="4" max="4" width="14" style="172" customWidth="1"/>
    <col min="5" max="16384" width="9" style="171"/>
  </cols>
  <sheetData>
    <row r="1" ht="36" customHeight="1" spans="1:4">
      <c r="A1" s="173" t="s">
        <v>46</v>
      </c>
      <c r="B1" s="174"/>
      <c r="C1" s="174"/>
      <c r="D1" s="175"/>
    </row>
    <row r="2" ht="30.75" customHeight="1" spans="1:4">
      <c r="A2" s="176" t="s">
        <v>1</v>
      </c>
      <c r="B2" s="176" t="s">
        <v>47</v>
      </c>
      <c r="C2" s="177" t="s">
        <v>48</v>
      </c>
      <c r="D2" s="178" t="s">
        <v>49</v>
      </c>
    </row>
    <row r="3" ht="17.4" spans="1:7">
      <c r="A3" s="177">
        <v>1</v>
      </c>
      <c r="B3" s="179" t="s">
        <v>50</v>
      </c>
      <c r="C3" s="180">
        <v>80512.56</v>
      </c>
      <c r="D3" s="181">
        <f>C3/$C$9</f>
        <v>0.777666732057753</v>
      </c>
      <c r="E3" s="182"/>
      <c r="F3" s="182"/>
      <c r="G3" s="182"/>
    </row>
    <row r="4" ht="17.4" spans="1:7">
      <c r="A4" s="177">
        <v>2</v>
      </c>
      <c r="B4" s="179" t="s">
        <v>51</v>
      </c>
      <c r="C4" s="180">
        <v>9047.22</v>
      </c>
      <c r="D4" s="181">
        <f t="shared" ref="D4:D9" si="0">C4/$C$9</f>
        <v>0.0873866389493459</v>
      </c>
      <c r="E4" s="182"/>
      <c r="F4" s="182"/>
      <c r="G4" s="182"/>
    </row>
    <row r="5" ht="17.4" spans="1:7">
      <c r="A5" s="177">
        <v>3</v>
      </c>
      <c r="B5" s="179" t="s">
        <v>52</v>
      </c>
      <c r="C5" s="180">
        <v>8955.98</v>
      </c>
      <c r="D5" s="181">
        <f t="shared" si="0"/>
        <v>0.0865053564186084</v>
      </c>
      <c r="E5" s="182"/>
      <c r="F5" s="182"/>
      <c r="G5" s="182"/>
    </row>
    <row r="6" ht="17.4" spans="1:7">
      <c r="A6" s="177">
        <v>4</v>
      </c>
      <c r="B6" s="179" t="s">
        <v>14</v>
      </c>
      <c r="C6" s="180">
        <v>300</v>
      </c>
      <c r="D6" s="181">
        <f t="shared" si="0"/>
        <v>0.00289768477883856</v>
      </c>
      <c r="E6" s="182"/>
      <c r="F6" s="182"/>
      <c r="G6" s="182"/>
    </row>
    <row r="7" ht="17.4" spans="1:7">
      <c r="A7" s="177">
        <v>5</v>
      </c>
      <c r="B7" s="179" t="s">
        <v>53</v>
      </c>
      <c r="C7" s="180">
        <v>4515.17</v>
      </c>
      <c r="D7" s="181">
        <f t="shared" si="0"/>
        <v>0.0436117979428949</v>
      </c>
      <c r="E7" s="182"/>
      <c r="F7" s="182"/>
      <c r="G7" s="182"/>
    </row>
    <row r="8" ht="17.4" spans="1:7">
      <c r="A8" s="177">
        <v>6</v>
      </c>
      <c r="B8" s="179" t="s">
        <v>16</v>
      </c>
      <c r="C8" s="180">
        <v>200</v>
      </c>
      <c r="D8" s="181">
        <f t="shared" si="0"/>
        <v>0.00193178985255904</v>
      </c>
      <c r="E8" s="182"/>
      <c r="F8" s="182"/>
      <c r="G8" s="182"/>
    </row>
    <row r="9" ht="17.4" spans="1:7">
      <c r="A9" s="177">
        <v>7</v>
      </c>
      <c r="B9" s="177" t="s">
        <v>54</v>
      </c>
      <c r="C9" s="183">
        <f>SUM(C3:C8)</f>
        <v>103530.93</v>
      </c>
      <c r="D9" s="184">
        <f t="shared" si="0"/>
        <v>1</v>
      </c>
      <c r="E9" s="182"/>
      <c r="F9" s="182"/>
      <c r="G9" s="182"/>
    </row>
    <row r="10" ht="15.6" spans="1:7">
      <c r="A10" s="185"/>
      <c r="B10" s="185"/>
      <c r="C10" s="186"/>
      <c r="D10" s="187"/>
      <c r="E10" s="182"/>
      <c r="F10" s="182"/>
      <c r="G10" s="182"/>
    </row>
    <row r="11" ht="17.4" spans="1:7">
      <c r="A11" s="185"/>
      <c r="B11" s="185"/>
      <c r="C11" s="188"/>
      <c r="D11" s="187"/>
      <c r="E11" s="182"/>
      <c r="F11" s="182"/>
      <c r="G11" s="182"/>
    </row>
    <row r="12" ht="17.4" spans="1:7">
      <c r="A12" s="189"/>
      <c r="B12" s="189"/>
      <c r="C12" s="190"/>
      <c r="D12" s="187"/>
      <c r="E12" s="182"/>
      <c r="F12" s="182"/>
      <c r="G12" s="182"/>
    </row>
    <row r="13" ht="17.4" spans="1:7">
      <c r="A13" s="189"/>
      <c r="B13" s="189"/>
      <c r="C13" s="190"/>
      <c r="D13" s="187"/>
      <c r="E13" s="182"/>
      <c r="F13" s="182"/>
      <c r="G13" s="182"/>
    </row>
    <row r="14" spans="1:7">
      <c r="A14" s="189"/>
      <c r="B14" s="191"/>
      <c r="D14" s="187"/>
      <c r="E14" s="182"/>
      <c r="F14" s="182"/>
      <c r="G14" s="182"/>
    </row>
    <row r="15" spans="1:7">
      <c r="A15" s="189"/>
      <c r="B15" s="191"/>
      <c r="D15" s="187"/>
      <c r="E15" s="182"/>
      <c r="F15" s="182"/>
      <c r="G15" s="182"/>
    </row>
    <row r="16" spans="1:7">
      <c r="A16" s="189"/>
      <c r="B16" s="191"/>
      <c r="D16" s="187"/>
      <c r="E16" s="182"/>
      <c r="F16" s="182"/>
      <c r="G16" s="182"/>
    </row>
    <row r="17" spans="1:7">
      <c r="A17" s="189"/>
      <c r="B17" s="192"/>
      <c r="D17" s="187"/>
      <c r="E17" s="182"/>
      <c r="F17" s="182"/>
      <c r="G17" s="182"/>
    </row>
    <row r="18" ht="17.4" spans="1:7">
      <c r="A18" s="189"/>
      <c r="B18" s="192"/>
      <c r="C18" s="193"/>
      <c r="D18" s="187"/>
      <c r="E18" s="182"/>
      <c r="F18" s="182"/>
      <c r="G18" s="182"/>
    </row>
    <row r="19" spans="1:7">
      <c r="A19" s="189"/>
      <c r="B19" s="189"/>
      <c r="C19" s="182"/>
      <c r="D19" s="187"/>
      <c r="E19" s="182"/>
      <c r="F19" s="182"/>
      <c r="G19" s="182"/>
    </row>
    <row r="20" spans="1:7">
      <c r="A20" s="189"/>
      <c r="B20" s="189"/>
      <c r="C20" s="182"/>
      <c r="D20" s="187"/>
      <c r="E20" s="182"/>
      <c r="F20" s="182"/>
      <c r="G20" s="182"/>
    </row>
    <row r="21" spans="1:7">
      <c r="A21" s="189"/>
      <c r="B21" s="189"/>
      <c r="C21" s="182"/>
      <c r="D21" s="187"/>
      <c r="E21" s="182"/>
      <c r="F21" s="182"/>
      <c r="G21" s="182"/>
    </row>
    <row r="22" spans="1:7">
      <c r="A22" s="189"/>
      <c r="B22" s="189"/>
      <c r="C22" s="182"/>
      <c r="D22" s="187"/>
      <c r="E22" s="182"/>
      <c r="F22" s="182"/>
      <c r="G22" s="182"/>
    </row>
    <row r="23" spans="1:7">
      <c r="A23" s="189"/>
      <c r="B23" s="189"/>
      <c r="C23" s="182"/>
      <c r="D23" s="187"/>
      <c r="E23" s="182"/>
      <c r="F23" s="182"/>
      <c r="G23" s="182"/>
    </row>
    <row r="24" spans="1:7">
      <c r="A24" s="189"/>
      <c r="B24" s="189"/>
      <c r="C24" s="182"/>
      <c r="D24" s="187"/>
      <c r="E24" s="182"/>
      <c r="F24" s="182"/>
      <c r="G24" s="182"/>
    </row>
    <row r="25" spans="1:7">
      <c r="A25" s="189"/>
      <c r="B25" s="189"/>
      <c r="C25" s="182"/>
      <c r="D25" s="187"/>
      <c r="E25" s="182"/>
      <c r="F25" s="182"/>
      <c r="G25" s="182"/>
    </row>
    <row r="26" spans="1:7">
      <c r="A26" s="189"/>
      <c r="B26" s="189"/>
      <c r="C26" s="182"/>
      <c r="D26" s="187"/>
      <c r="E26" s="182"/>
      <c r="F26" s="182"/>
      <c r="G26" s="182"/>
    </row>
    <row r="27" spans="1:7">
      <c r="A27" s="189"/>
      <c r="B27" s="189"/>
      <c r="C27" s="182"/>
      <c r="D27" s="187"/>
      <c r="E27" s="182"/>
      <c r="F27" s="182"/>
      <c r="G27" s="182"/>
    </row>
    <row r="28" spans="1:7">
      <c r="A28" s="189"/>
      <c r="B28" s="189"/>
      <c r="C28" s="182"/>
      <c r="D28" s="187"/>
      <c r="E28" s="182"/>
      <c r="F28" s="182"/>
      <c r="G28" s="182"/>
    </row>
    <row r="29" spans="1:7">
      <c r="A29" s="189"/>
      <c r="B29" s="189"/>
      <c r="C29" s="182"/>
      <c r="D29" s="187"/>
      <c r="E29" s="182"/>
      <c r="F29" s="182"/>
      <c r="G29" s="182"/>
    </row>
    <row r="30" spans="1:7">
      <c r="A30" s="189"/>
      <c r="B30" s="189"/>
      <c r="C30" s="182"/>
      <c r="D30" s="187"/>
      <c r="E30" s="182"/>
      <c r="F30" s="182"/>
      <c r="G30" s="182"/>
    </row>
    <row r="31" spans="1:7">
      <c r="A31" s="189"/>
      <c r="B31" s="189"/>
      <c r="C31" s="182"/>
      <c r="D31" s="187"/>
      <c r="E31" s="182"/>
      <c r="F31" s="182"/>
      <c r="G31" s="182"/>
    </row>
    <row r="32" spans="1:7">
      <c r="A32" s="189"/>
      <c r="B32" s="189"/>
      <c r="C32" s="182"/>
      <c r="D32" s="187"/>
      <c r="E32" s="182"/>
      <c r="F32" s="182"/>
      <c r="G32" s="182"/>
    </row>
    <row r="33" spans="1:7">
      <c r="A33" s="189"/>
      <c r="B33" s="189"/>
      <c r="C33" s="182"/>
      <c r="D33" s="187"/>
      <c r="E33" s="182"/>
      <c r="F33" s="182"/>
      <c r="G33" s="182"/>
    </row>
    <row r="34" spans="1:7">
      <c r="A34" s="189"/>
      <c r="B34" s="189"/>
      <c r="C34" s="182"/>
      <c r="D34" s="187"/>
      <c r="E34" s="182"/>
      <c r="F34" s="182"/>
      <c r="G34" s="182"/>
    </row>
    <row r="35" spans="1:7">
      <c r="A35" s="189"/>
      <c r="B35" s="189"/>
      <c r="C35" s="182"/>
      <c r="D35" s="187"/>
      <c r="E35" s="182"/>
      <c r="F35" s="182"/>
      <c r="G35" s="182"/>
    </row>
    <row r="36" spans="1:7">
      <c r="A36" s="189"/>
      <c r="B36" s="189"/>
      <c r="C36" s="182"/>
      <c r="D36" s="187"/>
      <c r="E36" s="182"/>
      <c r="F36" s="182"/>
      <c r="G36" s="182"/>
    </row>
    <row r="37" spans="1:7">
      <c r="A37" s="189"/>
      <c r="B37" s="189"/>
      <c r="C37" s="182"/>
      <c r="D37" s="187"/>
      <c r="E37" s="182"/>
      <c r="F37" s="182"/>
      <c r="G37" s="182"/>
    </row>
    <row r="38" spans="1:7">
      <c r="A38" s="189"/>
      <c r="B38" s="189"/>
      <c r="C38" s="182"/>
      <c r="D38" s="187"/>
      <c r="E38" s="182"/>
      <c r="F38" s="182"/>
      <c r="G38" s="182"/>
    </row>
    <row r="39" spans="1:7">
      <c r="A39" s="189"/>
      <c r="B39" s="189"/>
      <c r="C39" s="182"/>
      <c r="D39" s="187"/>
      <c r="E39" s="182"/>
      <c r="F39" s="182"/>
      <c r="G39" s="182"/>
    </row>
    <row r="40" spans="1:7">
      <c r="A40" s="189"/>
      <c r="B40" s="189"/>
      <c r="C40" s="182"/>
      <c r="D40" s="187"/>
      <c r="E40" s="182"/>
      <c r="F40" s="182"/>
      <c r="G40" s="182"/>
    </row>
    <row r="41" spans="1:7">
      <c r="A41" s="189"/>
      <c r="B41" s="189"/>
      <c r="C41" s="182"/>
      <c r="D41" s="187"/>
      <c r="E41" s="182"/>
      <c r="F41" s="182"/>
      <c r="G41" s="182"/>
    </row>
    <row r="42" spans="1:7">
      <c r="A42" s="189"/>
      <c r="B42" s="189"/>
      <c r="C42" s="182"/>
      <c r="D42" s="187"/>
      <c r="E42" s="182"/>
      <c r="F42" s="182"/>
      <c r="G42" s="182"/>
    </row>
    <row r="43" spans="1:7">
      <c r="A43" s="189"/>
      <c r="B43" s="189"/>
      <c r="C43" s="182"/>
      <c r="D43" s="187"/>
      <c r="E43" s="182"/>
      <c r="F43" s="182"/>
      <c r="G43" s="182"/>
    </row>
    <row r="44" spans="1:7">
      <c r="A44" s="189"/>
      <c r="B44" s="189"/>
      <c r="C44" s="182"/>
      <c r="D44" s="187"/>
      <c r="E44" s="182"/>
      <c r="F44" s="182"/>
      <c r="G44" s="182"/>
    </row>
    <row r="45" spans="1:7">
      <c r="A45" s="189"/>
      <c r="B45" s="189"/>
      <c r="C45" s="182"/>
      <c r="D45" s="187"/>
      <c r="E45" s="182"/>
      <c r="F45" s="182"/>
      <c r="G45" s="182"/>
    </row>
    <row r="46" spans="1:7">
      <c r="A46" s="189"/>
      <c r="B46" s="189"/>
      <c r="C46" s="182"/>
      <c r="D46" s="187"/>
      <c r="E46" s="182"/>
      <c r="F46" s="182"/>
      <c r="G46" s="182"/>
    </row>
    <row r="47" spans="1:7">
      <c r="A47" s="189"/>
      <c r="B47" s="189"/>
      <c r="C47" s="182"/>
      <c r="D47" s="187"/>
      <c r="E47" s="182"/>
      <c r="F47" s="182"/>
      <c r="G47" s="182"/>
    </row>
    <row r="48" spans="1:7">
      <c r="A48" s="189"/>
      <c r="B48" s="189"/>
      <c r="C48" s="182"/>
      <c r="D48" s="187"/>
      <c r="E48" s="182"/>
      <c r="F48" s="182"/>
      <c r="G48" s="182"/>
    </row>
    <row r="49" spans="1:7">
      <c r="A49" s="189"/>
      <c r="B49" s="189"/>
      <c r="C49" s="182"/>
      <c r="D49" s="187"/>
      <c r="E49" s="182"/>
      <c r="F49" s="182"/>
      <c r="G49" s="182"/>
    </row>
    <row r="50" spans="1:7">
      <c r="A50" s="189"/>
      <c r="B50" s="189"/>
      <c r="C50" s="182"/>
      <c r="D50" s="187"/>
      <c r="E50" s="182"/>
      <c r="F50" s="182"/>
      <c r="G50" s="182"/>
    </row>
    <row r="51" spans="1:7">
      <c r="A51" s="189"/>
      <c r="B51" s="189"/>
      <c r="C51" s="182"/>
      <c r="D51" s="187"/>
      <c r="E51" s="182"/>
      <c r="F51" s="182"/>
      <c r="G51" s="182"/>
    </row>
    <row r="52" spans="1:7">
      <c r="A52" s="189"/>
      <c r="B52" s="189"/>
      <c r="C52" s="182"/>
      <c r="D52" s="187"/>
      <c r="E52" s="182"/>
      <c r="F52" s="182"/>
      <c r="G52" s="182"/>
    </row>
    <row r="53" spans="1:7">
      <c r="A53" s="189"/>
      <c r="B53" s="189"/>
      <c r="C53" s="182"/>
      <c r="D53" s="187"/>
      <c r="E53" s="182"/>
      <c r="F53" s="182"/>
      <c r="G53" s="182"/>
    </row>
    <row r="54" spans="1:7">
      <c r="A54" s="189"/>
      <c r="B54" s="189"/>
      <c r="C54" s="182"/>
      <c r="D54" s="187"/>
      <c r="E54" s="182"/>
      <c r="F54" s="182"/>
      <c r="G54" s="182"/>
    </row>
    <row r="55" spans="1:7">
      <c r="A55" s="189"/>
      <c r="B55" s="189"/>
      <c r="C55" s="182"/>
      <c r="D55" s="187"/>
      <c r="E55" s="182"/>
      <c r="F55" s="182"/>
      <c r="G55" s="182"/>
    </row>
    <row r="56" spans="1:7">
      <c r="A56" s="189"/>
      <c r="B56" s="189"/>
      <c r="C56" s="182"/>
      <c r="D56" s="187"/>
      <c r="E56" s="182"/>
      <c r="F56" s="182"/>
      <c r="G56" s="182"/>
    </row>
    <row r="57" spans="1:7">
      <c r="A57" s="189"/>
      <c r="B57" s="189"/>
      <c r="C57" s="182"/>
      <c r="D57" s="187"/>
      <c r="E57" s="182"/>
      <c r="F57" s="182"/>
      <c r="G57" s="182"/>
    </row>
    <row r="58" spans="1:7">
      <c r="A58" s="189"/>
      <c r="B58" s="189"/>
      <c r="C58" s="182"/>
      <c r="D58" s="187"/>
      <c r="E58" s="182"/>
      <c r="F58" s="182"/>
      <c r="G58" s="182"/>
    </row>
    <row r="59" spans="1:7">
      <c r="A59" s="189"/>
      <c r="B59" s="189"/>
      <c r="C59" s="182"/>
      <c r="D59" s="187"/>
      <c r="E59" s="182"/>
      <c r="F59" s="182"/>
      <c r="G59" s="182"/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C18" sqref="C18"/>
    </sheetView>
  </sheetViews>
  <sheetFormatPr defaultColWidth="9" defaultRowHeight="14.4" outlineLevelCol="4"/>
  <cols>
    <col min="1" max="1" width="12" customWidth="1"/>
    <col min="2" max="2" width="21.3333333333333" customWidth="1"/>
    <col min="3" max="3" width="11.7777777777778" style="152" customWidth="1"/>
    <col min="4" max="4" width="12.3333333333333" style="152" customWidth="1"/>
    <col min="5" max="5" width="12.8888888888889" style="152" customWidth="1"/>
  </cols>
  <sheetData>
    <row r="1" ht="32" customHeight="1" spans="1:5">
      <c r="A1" s="19" t="s">
        <v>55</v>
      </c>
      <c r="B1" s="19"/>
      <c r="C1" s="19"/>
      <c r="D1" s="19"/>
      <c r="E1" s="19"/>
    </row>
    <row r="2" ht="19" customHeight="1" spans="1:5">
      <c r="A2" s="19"/>
      <c r="B2" s="19"/>
      <c r="C2" s="19"/>
      <c r="D2" s="19"/>
      <c r="E2" s="153" t="s">
        <v>56</v>
      </c>
    </row>
    <row r="3" ht="15.15" spans="1:5">
      <c r="A3" s="154" t="s">
        <v>1</v>
      </c>
      <c r="B3" s="154" t="s">
        <v>57</v>
      </c>
      <c r="C3" s="155" t="s">
        <v>48</v>
      </c>
      <c r="D3" s="156" t="s">
        <v>58</v>
      </c>
      <c r="E3" s="157"/>
    </row>
    <row r="4" ht="16.35" spans="1:5">
      <c r="A4" s="158"/>
      <c r="B4" s="158"/>
      <c r="C4" s="159"/>
      <c r="D4" s="160">
        <v>1</v>
      </c>
      <c r="E4" s="160">
        <v>2</v>
      </c>
    </row>
    <row r="5" ht="16.35" spans="1:5">
      <c r="A5" s="161">
        <v>1</v>
      </c>
      <c r="B5" s="162" t="s">
        <v>54</v>
      </c>
      <c r="C5" s="163">
        <f>SUM(C6:C8)</f>
        <v>103530.93</v>
      </c>
      <c r="D5" s="163">
        <f>SUM(D6:D8)</f>
        <v>61998.558</v>
      </c>
      <c r="E5" s="163">
        <f>SUM(E6:E8)</f>
        <v>41532.372</v>
      </c>
    </row>
    <row r="6" ht="16.35" spans="1:5">
      <c r="A6" s="164">
        <v>1.1</v>
      </c>
      <c r="B6" s="165" t="s">
        <v>10</v>
      </c>
      <c r="C6" s="166">
        <v>98815.76</v>
      </c>
      <c r="D6" s="166">
        <f>C6*60%</f>
        <v>59289.456</v>
      </c>
      <c r="E6" s="166">
        <f>C6*40%</f>
        <v>39526.304</v>
      </c>
    </row>
    <row r="7" ht="16.35" spans="1:5">
      <c r="A7" s="164">
        <v>1.2</v>
      </c>
      <c r="B7" s="165" t="s">
        <v>53</v>
      </c>
      <c r="C7" s="166">
        <v>4515.17</v>
      </c>
      <c r="D7" s="166">
        <f>C7*60%</f>
        <v>2709.102</v>
      </c>
      <c r="E7" s="166">
        <f>C7*40%</f>
        <v>1806.068</v>
      </c>
    </row>
    <row r="8" ht="16.35" spans="1:5">
      <c r="A8" s="164">
        <v>1.3</v>
      </c>
      <c r="B8" s="165" t="s">
        <v>16</v>
      </c>
      <c r="C8" s="166">
        <f t="shared" ref="C6:C17" si="0">SUM(D8:E8)</f>
        <v>200</v>
      </c>
      <c r="D8" s="166">
        <v>0</v>
      </c>
      <c r="E8" s="166">
        <v>200</v>
      </c>
    </row>
    <row r="9" ht="16.35" spans="1:5">
      <c r="A9" s="161">
        <v>2</v>
      </c>
      <c r="B9" s="162" t="s">
        <v>59</v>
      </c>
      <c r="C9" s="163">
        <f>C10+C14</f>
        <v>103530.93</v>
      </c>
      <c r="D9" s="163">
        <f t="shared" ref="D9:E9" si="1">D10+D14</f>
        <v>61998.558</v>
      </c>
      <c r="E9" s="163">
        <f t="shared" si="1"/>
        <v>41532.372</v>
      </c>
    </row>
    <row r="10" ht="24" customHeight="1" spans="1:5">
      <c r="A10" s="158">
        <v>2.1</v>
      </c>
      <c r="B10" s="167" t="s">
        <v>60</v>
      </c>
      <c r="C10" s="168">
        <f>SUM(C11:C13)</f>
        <v>19813.152</v>
      </c>
      <c r="D10" s="168">
        <f>SUM(D11:D13)</f>
        <v>11857.8912</v>
      </c>
      <c r="E10" s="168">
        <f>SUM(E11:E13)</f>
        <v>7955.2608</v>
      </c>
    </row>
    <row r="11" ht="22.5" customHeight="1" spans="1:5">
      <c r="A11" s="164" t="s">
        <v>61</v>
      </c>
      <c r="B11" s="165" t="s">
        <v>62</v>
      </c>
      <c r="C11" s="166">
        <f t="shared" si="0"/>
        <v>15247.982</v>
      </c>
      <c r="D11" s="166">
        <f>D6-D15</f>
        <v>9148.78919999999</v>
      </c>
      <c r="E11" s="166">
        <f>E6-E15</f>
        <v>6099.1928</v>
      </c>
    </row>
    <row r="12" ht="15.75" customHeight="1" spans="1:5">
      <c r="A12" s="164" t="s">
        <v>63</v>
      </c>
      <c r="B12" s="165" t="s">
        <v>64</v>
      </c>
      <c r="C12" s="166">
        <f t="shared" si="0"/>
        <v>4515.17</v>
      </c>
      <c r="D12" s="166">
        <f>D7</f>
        <v>2709.102</v>
      </c>
      <c r="E12" s="166">
        <f>E7</f>
        <v>1806.068</v>
      </c>
    </row>
    <row r="13" ht="19.5" customHeight="1" spans="1:5">
      <c r="A13" s="164" t="s">
        <v>65</v>
      </c>
      <c r="B13" s="165" t="s">
        <v>66</v>
      </c>
      <c r="C13" s="166">
        <f t="shared" si="0"/>
        <v>50</v>
      </c>
      <c r="D13" s="166">
        <v>0</v>
      </c>
      <c r="E13" s="166">
        <f>E8*0.25</f>
        <v>50</v>
      </c>
    </row>
    <row r="14" ht="16.35" spans="1:5">
      <c r="A14" s="158">
        <v>2.2</v>
      </c>
      <c r="B14" s="167" t="s">
        <v>67</v>
      </c>
      <c r="C14" s="168">
        <f>SUM(C15:C17)</f>
        <v>83717.778</v>
      </c>
      <c r="D14" s="168">
        <f t="shared" ref="D14:E14" si="2">SUM(D15:D17)</f>
        <v>50140.6668</v>
      </c>
      <c r="E14" s="168">
        <f t="shared" si="2"/>
        <v>33577.1112</v>
      </c>
    </row>
    <row r="15" ht="20.25" customHeight="1" spans="1:5">
      <c r="A15" s="164" t="s">
        <v>68</v>
      </c>
      <c r="B15" s="165" t="s">
        <v>62</v>
      </c>
      <c r="C15" s="166">
        <f t="shared" si="0"/>
        <v>83567.778</v>
      </c>
      <c r="D15" s="166">
        <f>基础数据!D15*60%</f>
        <v>50140.6668</v>
      </c>
      <c r="E15" s="166">
        <f>基础数据!D15*40%</f>
        <v>33427.1112</v>
      </c>
    </row>
    <row r="16" ht="20.25" customHeight="1" spans="1:5">
      <c r="A16" s="164" t="s">
        <v>69</v>
      </c>
      <c r="B16" s="165" t="s">
        <v>64</v>
      </c>
      <c r="C16" s="166">
        <f t="shared" si="0"/>
        <v>0</v>
      </c>
      <c r="D16" s="166">
        <v>0</v>
      </c>
      <c r="E16" s="169">
        <v>0</v>
      </c>
    </row>
    <row r="17" ht="18" customHeight="1" spans="1:5">
      <c r="A17" s="164" t="s">
        <v>70</v>
      </c>
      <c r="B17" s="165" t="s">
        <v>66</v>
      </c>
      <c r="C17" s="166">
        <f t="shared" si="0"/>
        <v>150</v>
      </c>
      <c r="D17" s="166">
        <v>0</v>
      </c>
      <c r="E17" s="169">
        <f>E8*0.75</f>
        <v>150</v>
      </c>
    </row>
    <row r="18" ht="16.35" spans="1:5">
      <c r="A18" s="158">
        <v>2.3</v>
      </c>
      <c r="B18" s="167" t="s">
        <v>71</v>
      </c>
      <c r="C18" s="168">
        <v>0</v>
      </c>
      <c r="D18" s="168">
        <v>0</v>
      </c>
      <c r="E18" s="168">
        <v>0</v>
      </c>
    </row>
  </sheetData>
  <mergeCells count="5">
    <mergeCell ref="A1:E1"/>
    <mergeCell ref="D3:E3"/>
    <mergeCell ref="A3:A4"/>
    <mergeCell ref="B3:B4"/>
    <mergeCell ref="C3:C4"/>
  </mergeCells>
  <pageMargins left="0.7" right="0.7" top="0.75" bottom="0.75" header="0.3" footer="0.3"/>
  <headerFooter/>
  <ignoredErrors>
    <ignoredError sqref="C1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"/>
  <sheetViews>
    <sheetView workbookViewId="0">
      <selection activeCell="E14" sqref="E14"/>
    </sheetView>
  </sheetViews>
  <sheetFormatPr defaultColWidth="8.88888888888889" defaultRowHeight="15.6"/>
  <cols>
    <col min="1" max="1" width="5.66666666666667" style="140" customWidth="1"/>
    <col min="2" max="2" width="16.1111111111111" style="140" customWidth="1"/>
    <col min="3" max="20" width="10.3333333333333" style="140" customWidth="1"/>
    <col min="21" max="25" width="9.77777777777778" style="140"/>
    <col min="26" max="16384" width="8.88888888888889" style="140"/>
  </cols>
  <sheetData>
    <row r="1" ht="26.4" customHeight="1" spans="1:20">
      <c r="A1" s="141" t="s">
        <v>72</v>
      </c>
      <c r="B1" s="141"/>
      <c r="C1" s="141"/>
      <c r="D1" s="141"/>
      <c r="E1" s="141"/>
      <c r="F1" s="141"/>
      <c r="G1" s="141"/>
      <c r="H1" s="141"/>
      <c r="I1" s="141"/>
      <c r="J1" s="141"/>
      <c r="K1" s="151"/>
      <c r="L1" s="151"/>
      <c r="M1" s="151"/>
      <c r="N1" s="151"/>
      <c r="O1" s="151"/>
      <c r="P1" s="151"/>
      <c r="Q1" s="151"/>
      <c r="R1" s="151"/>
      <c r="S1" s="151"/>
      <c r="T1" s="151"/>
    </row>
    <row r="2" spans="1:27">
      <c r="A2" s="142" t="s">
        <v>56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</row>
    <row r="3" ht="13.65" customHeight="1" spans="1:27">
      <c r="A3" s="76" t="s">
        <v>1</v>
      </c>
      <c r="B3" s="76" t="s">
        <v>73</v>
      </c>
      <c r="C3" s="144" t="s">
        <v>74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</row>
    <row r="4" ht="14.4" spans="1:27">
      <c r="A4" s="77"/>
      <c r="B4" s="77"/>
      <c r="C4" s="77">
        <v>3</v>
      </c>
      <c r="D4" s="77">
        <v>4</v>
      </c>
      <c r="E4" s="77">
        <v>5</v>
      </c>
      <c r="F4" s="77">
        <v>6</v>
      </c>
      <c r="G4" s="77">
        <v>7</v>
      </c>
      <c r="H4" s="77">
        <v>8</v>
      </c>
      <c r="I4" s="77">
        <v>9</v>
      </c>
      <c r="J4" s="77">
        <v>10</v>
      </c>
      <c r="K4" s="77">
        <v>11</v>
      </c>
      <c r="L4" s="77">
        <v>12</v>
      </c>
      <c r="M4" s="77">
        <v>13</v>
      </c>
      <c r="N4" s="77">
        <v>14</v>
      </c>
      <c r="O4" s="77">
        <v>15</v>
      </c>
      <c r="P4" s="77">
        <v>16</v>
      </c>
      <c r="Q4" s="77">
        <v>17</v>
      </c>
      <c r="R4" s="77">
        <v>18</v>
      </c>
      <c r="S4" s="77">
        <v>19</v>
      </c>
      <c r="T4" s="77">
        <v>20</v>
      </c>
      <c r="U4" s="77">
        <v>21</v>
      </c>
      <c r="V4" s="77">
        <v>22</v>
      </c>
      <c r="W4" s="77">
        <v>23</v>
      </c>
      <c r="X4" s="77">
        <v>24</v>
      </c>
      <c r="Y4" s="77">
        <v>25</v>
      </c>
      <c r="Z4" s="77">
        <v>26</v>
      </c>
      <c r="AA4" s="77">
        <v>27</v>
      </c>
    </row>
    <row r="5" ht="14.4" spans="1:27">
      <c r="A5" s="145">
        <v>1</v>
      </c>
      <c r="B5" s="146" t="s">
        <v>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</row>
    <row r="6" ht="14.4" spans="1:27">
      <c r="A6" s="77">
        <v>1.1</v>
      </c>
      <c r="B6" s="76" t="s">
        <v>76</v>
      </c>
      <c r="C6" s="83">
        <f>SUM(投资估算表!C3:C7)</f>
        <v>103330.93</v>
      </c>
      <c r="D6" s="83">
        <f>C8</f>
        <v>99404.35466</v>
      </c>
      <c r="E6" s="83">
        <f>D8</f>
        <v>95477.77932</v>
      </c>
      <c r="F6" s="83">
        <f>E8</f>
        <v>91551.20398</v>
      </c>
      <c r="G6" s="83">
        <f t="shared" ref="G6:J6" si="0">F8</f>
        <v>87624.62864</v>
      </c>
      <c r="H6" s="83">
        <f t="shared" si="0"/>
        <v>83698.0533</v>
      </c>
      <c r="I6" s="83">
        <f t="shared" si="0"/>
        <v>79771.47796</v>
      </c>
      <c r="J6" s="83">
        <f t="shared" si="0"/>
        <v>75844.90262</v>
      </c>
      <c r="K6" s="83">
        <f t="shared" ref="K6" si="1">J8</f>
        <v>71918.32728</v>
      </c>
      <c r="L6" s="83">
        <f t="shared" ref="L6" si="2">K8</f>
        <v>67991.75194</v>
      </c>
      <c r="M6" s="83">
        <f t="shared" ref="M6" si="3">L8</f>
        <v>64065.1766</v>
      </c>
      <c r="N6" s="83">
        <f t="shared" ref="N6" si="4">M8</f>
        <v>60138.60126</v>
      </c>
      <c r="O6" s="83">
        <f t="shared" ref="O6" si="5">N8</f>
        <v>56212.02592</v>
      </c>
      <c r="P6" s="83">
        <f t="shared" ref="P6" si="6">O8</f>
        <v>52285.45058</v>
      </c>
      <c r="Q6" s="83">
        <f t="shared" ref="Q6" si="7">P8</f>
        <v>48358.8752400001</v>
      </c>
      <c r="R6" s="83">
        <f t="shared" ref="R6" si="8">Q8</f>
        <v>44432.2999000001</v>
      </c>
      <c r="S6" s="83">
        <f t="shared" ref="S6" si="9">R8</f>
        <v>40505.7245600001</v>
      </c>
      <c r="T6" s="83">
        <f t="shared" ref="T6" si="10">S8</f>
        <v>36579.1492200001</v>
      </c>
      <c r="U6" s="83">
        <f t="shared" ref="U6" si="11">T8</f>
        <v>32652.5738800001</v>
      </c>
      <c r="V6" s="83">
        <f t="shared" ref="V6" si="12">U8</f>
        <v>28725.9985400001</v>
      </c>
      <c r="W6" s="83">
        <f t="shared" ref="W6" si="13">V8</f>
        <v>24799.4232000001</v>
      </c>
      <c r="X6" s="83">
        <f t="shared" ref="X6" si="14">W8</f>
        <v>20872.8478600001</v>
      </c>
      <c r="Y6" s="83">
        <f t="shared" ref="Y6" si="15">X8</f>
        <v>16946.2725200001</v>
      </c>
      <c r="Z6" s="83">
        <f t="shared" ref="Z6" si="16">Y8</f>
        <v>13019.6971800001</v>
      </c>
      <c r="AA6" s="83">
        <f t="shared" ref="AA6" si="17">Z8</f>
        <v>9093.12184000007</v>
      </c>
    </row>
    <row r="7" ht="14.4" spans="1:27">
      <c r="A7" s="77">
        <v>1.2</v>
      </c>
      <c r="B7" s="76" t="s">
        <v>77</v>
      </c>
      <c r="C7" s="83">
        <f>(C6*95%)/25</f>
        <v>3926.57534</v>
      </c>
      <c r="D7" s="83">
        <f>C7</f>
        <v>3926.57534</v>
      </c>
      <c r="E7" s="83">
        <f t="shared" ref="E7:J7" si="18">D7</f>
        <v>3926.57534</v>
      </c>
      <c r="F7" s="83">
        <f t="shared" si="18"/>
        <v>3926.57534</v>
      </c>
      <c r="G7" s="83">
        <f t="shared" si="18"/>
        <v>3926.57534</v>
      </c>
      <c r="H7" s="83">
        <f t="shared" si="18"/>
        <v>3926.57534</v>
      </c>
      <c r="I7" s="83">
        <f t="shared" si="18"/>
        <v>3926.57534</v>
      </c>
      <c r="J7" s="83">
        <f t="shared" si="18"/>
        <v>3926.57534</v>
      </c>
      <c r="K7" s="83">
        <f t="shared" ref="K7" si="19">J7</f>
        <v>3926.57534</v>
      </c>
      <c r="L7" s="83">
        <f t="shared" ref="L7" si="20">K7</f>
        <v>3926.57534</v>
      </c>
      <c r="M7" s="83">
        <f t="shared" ref="M7" si="21">L7</f>
        <v>3926.57534</v>
      </c>
      <c r="N7" s="83">
        <f t="shared" ref="N7" si="22">M7</f>
        <v>3926.57534</v>
      </c>
      <c r="O7" s="83">
        <f t="shared" ref="O7" si="23">N7</f>
        <v>3926.57534</v>
      </c>
      <c r="P7" s="83">
        <f t="shared" ref="P7" si="24">O7</f>
        <v>3926.57534</v>
      </c>
      <c r="Q7" s="83">
        <f t="shared" ref="Q7" si="25">P7</f>
        <v>3926.57534</v>
      </c>
      <c r="R7" s="83">
        <f t="shared" ref="R7" si="26">Q7</f>
        <v>3926.57534</v>
      </c>
      <c r="S7" s="83">
        <f t="shared" ref="S7" si="27">R7</f>
        <v>3926.57534</v>
      </c>
      <c r="T7" s="83">
        <f t="shared" ref="T7" si="28">S7</f>
        <v>3926.57534</v>
      </c>
      <c r="U7" s="83">
        <f t="shared" ref="U7" si="29">T7</f>
        <v>3926.57534</v>
      </c>
      <c r="V7" s="83">
        <f t="shared" ref="V7" si="30">U7</f>
        <v>3926.57534</v>
      </c>
      <c r="W7" s="83">
        <f t="shared" ref="W7" si="31">V7</f>
        <v>3926.57534</v>
      </c>
      <c r="X7" s="83">
        <f t="shared" ref="X7" si="32">W7</f>
        <v>3926.57534</v>
      </c>
      <c r="Y7" s="83">
        <f t="shared" ref="Y7" si="33">X7</f>
        <v>3926.57534</v>
      </c>
      <c r="Z7" s="83">
        <f t="shared" ref="Z7" si="34">Y7</f>
        <v>3926.57534</v>
      </c>
      <c r="AA7" s="83">
        <f t="shared" ref="AA7" si="35">Z7</f>
        <v>3926.57534</v>
      </c>
    </row>
    <row r="8" ht="16.2" customHeight="1" spans="1:27">
      <c r="A8" s="77">
        <v>1.3</v>
      </c>
      <c r="B8" s="148" t="s">
        <v>78</v>
      </c>
      <c r="C8" s="83">
        <f>C6-C7</f>
        <v>99404.35466</v>
      </c>
      <c r="D8" s="83">
        <f>D6-D7</f>
        <v>95477.77932</v>
      </c>
      <c r="E8" s="83">
        <f>E6-E7</f>
        <v>91551.20398</v>
      </c>
      <c r="F8" s="83">
        <f>F6-F7</f>
        <v>87624.62864</v>
      </c>
      <c r="G8" s="83">
        <f t="shared" ref="G8:J8" si="36">G6-G7</f>
        <v>83698.0533</v>
      </c>
      <c r="H8" s="83">
        <f t="shared" si="36"/>
        <v>79771.47796</v>
      </c>
      <c r="I8" s="83">
        <f t="shared" si="36"/>
        <v>75844.90262</v>
      </c>
      <c r="J8" s="83">
        <f t="shared" si="36"/>
        <v>71918.32728</v>
      </c>
      <c r="K8" s="83">
        <f t="shared" ref="K8:V8" si="37">K6-K7</f>
        <v>67991.75194</v>
      </c>
      <c r="L8" s="83">
        <f t="shared" si="37"/>
        <v>64065.1766</v>
      </c>
      <c r="M8" s="83">
        <f t="shared" si="37"/>
        <v>60138.60126</v>
      </c>
      <c r="N8" s="83">
        <f t="shared" si="37"/>
        <v>56212.02592</v>
      </c>
      <c r="O8" s="83">
        <f t="shared" si="37"/>
        <v>52285.45058</v>
      </c>
      <c r="P8" s="83">
        <f t="shared" si="37"/>
        <v>48358.8752400001</v>
      </c>
      <c r="Q8" s="83">
        <f t="shared" si="37"/>
        <v>44432.2999000001</v>
      </c>
      <c r="R8" s="83">
        <f t="shared" si="37"/>
        <v>40505.7245600001</v>
      </c>
      <c r="S8" s="83">
        <f t="shared" si="37"/>
        <v>36579.1492200001</v>
      </c>
      <c r="T8" s="83">
        <f t="shared" si="37"/>
        <v>32652.5738800001</v>
      </c>
      <c r="U8" s="83">
        <f t="shared" si="37"/>
        <v>28725.9985400001</v>
      </c>
      <c r="V8" s="83">
        <f t="shared" si="37"/>
        <v>24799.4232000001</v>
      </c>
      <c r="W8" s="83">
        <f t="shared" ref="W8:AA8" si="38">W6-W7</f>
        <v>20872.8478600001</v>
      </c>
      <c r="X8" s="83">
        <f t="shared" si="38"/>
        <v>16946.2725200001</v>
      </c>
      <c r="Y8" s="83">
        <f t="shared" si="38"/>
        <v>13019.6971800001</v>
      </c>
      <c r="Z8" s="83">
        <f t="shared" si="38"/>
        <v>9093.12184000007</v>
      </c>
      <c r="AA8" s="83">
        <f t="shared" si="38"/>
        <v>5166.54650000007</v>
      </c>
    </row>
    <row r="9" ht="14.4" spans="1:27">
      <c r="A9" s="145">
        <v>2</v>
      </c>
      <c r="B9" s="146" t="s">
        <v>79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</row>
    <row r="10" ht="15" customHeight="1" spans="1:27">
      <c r="A10" s="150">
        <v>2.1</v>
      </c>
      <c r="B10" s="111" t="s">
        <v>80</v>
      </c>
      <c r="C10" s="83">
        <f>C6</f>
        <v>103330.93</v>
      </c>
      <c r="D10" s="83">
        <f t="shared" ref="D10:AA10" si="39">D6</f>
        <v>99404.35466</v>
      </c>
      <c r="E10" s="83">
        <f t="shared" si="39"/>
        <v>95477.77932</v>
      </c>
      <c r="F10" s="83">
        <f t="shared" si="39"/>
        <v>91551.20398</v>
      </c>
      <c r="G10" s="83">
        <f t="shared" si="39"/>
        <v>87624.62864</v>
      </c>
      <c r="H10" s="83">
        <f t="shared" si="39"/>
        <v>83698.0533</v>
      </c>
      <c r="I10" s="83">
        <f t="shared" si="39"/>
        <v>79771.47796</v>
      </c>
      <c r="J10" s="83">
        <f t="shared" si="39"/>
        <v>75844.90262</v>
      </c>
      <c r="K10" s="83">
        <f t="shared" si="39"/>
        <v>71918.32728</v>
      </c>
      <c r="L10" s="83">
        <f t="shared" si="39"/>
        <v>67991.75194</v>
      </c>
      <c r="M10" s="83">
        <f t="shared" si="39"/>
        <v>64065.1766</v>
      </c>
      <c r="N10" s="83">
        <f t="shared" si="39"/>
        <v>60138.60126</v>
      </c>
      <c r="O10" s="83">
        <f t="shared" si="39"/>
        <v>56212.02592</v>
      </c>
      <c r="P10" s="83">
        <f t="shared" si="39"/>
        <v>52285.45058</v>
      </c>
      <c r="Q10" s="83">
        <f t="shared" si="39"/>
        <v>48358.8752400001</v>
      </c>
      <c r="R10" s="83">
        <f t="shared" si="39"/>
        <v>44432.2999000001</v>
      </c>
      <c r="S10" s="83">
        <f t="shared" si="39"/>
        <v>40505.7245600001</v>
      </c>
      <c r="T10" s="83">
        <f t="shared" si="39"/>
        <v>36579.1492200001</v>
      </c>
      <c r="U10" s="83">
        <f t="shared" si="39"/>
        <v>32652.5738800001</v>
      </c>
      <c r="V10" s="83">
        <f t="shared" si="39"/>
        <v>28725.9985400001</v>
      </c>
      <c r="W10" s="83">
        <f t="shared" si="39"/>
        <v>24799.4232000001</v>
      </c>
      <c r="X10" s="83">
        <f t="shared" si="39"/>
        <v>20872.8478600001</v>
      </c>
      <c r="Y10" s="83">
        <f t="shared" si="39"/>
        <v>16946.2725200001</v>
      </c>
      <c r="Z10" s="83">
        <f t="shared" si="39"/>
        <v>13019.6971800001</v>
      </c>
      <c r="AA10" s="83">
        <f t="shared" si="39"/>
        <v>9093.12184000007</v>
      </c>
    </row>
    <row r="11" ht="16.35" customHeight="1" spans="1:27">
      <c r="A11" s="150">
        <v>2.2</v>
      </c>
      <c r="B11" s="111" t="s">
        <v>81</v>
      </c>
      <c r="C11" s="83">
        <f>C7</f>
        <v>3926.57534</v>
      </c>
      <c r="D11" s="83">
        <f t="shared" ref="D11:AA11" si="40">D7</f>
        <v>3926.57534</v>
      </c>
      <c r="E11" s="83">
        <f t="shared" si="40"/>
        <v>3926.57534</v>
      </c>
      <c r="F11" s="83">
        <f t="shared" si="40"/>
        <v>3926.57534</v>
      </c>
      <c r="G11" s="83">
        <f t="shared" si="40"/>
        <v>3926.57534</v>
      </c>
      <c r="H11" s="83">
        <f t="shared" si="40"/>
        <v>3926.57534</v>
      </c>
      <c r="I11" s="83">
        <f t="shared" si="40"/>
        <v>3926.57534</v>
      </c>
      <c r="J11" s="83">
        <f t="shared" si="40"/>
        <v>3926.57534</v>
      </c>
      <c r="K11" s="83">
        <f t="shared" si="40"/>
        <v>3926.57534</v>
      </c>
      <c r="L11" s="83">
        <f t="shared" si="40"/>
        <v>3926.57534</v>
      </c>
      <c r="M11" s="83">
        <f t="shared" si="40"/>
        <v>3926.57534</v>
      </c>
      <c r="N11" s="83">
        <f t="shared" si="40"/>
        <v>3926.57534</v>
      </c>
      <c r="O11" s="83">
        <f t="shared" si="40"/>
        <v>3926.57534</v>
      </c>
      <c r="P11" s="83">
        <f t="shared" si="40"/>
        <v>3926.57534</v>
      </c>
      <c r="Q11" s="83">
        <f t="shared" si="40"/>
        <v>3926.57534</v>
      </c>
      <c r="R11" s="83">
        <f t="shared" si="40"/>
        <v>3926.57534</v>
      </c>
      <c r="S11" s="83">
        <f t="shared" si="40"/>
        <v>3926.57534</v>
      </c>
      <c r="T11" s="83">
        <f t="shared" si="40"/>
        <v>3926.57534</v>
      </c>
      <c r="U11" s="83">
        <f t="shared" si="40"/>
        <v>3926.57534</v>
      </c>
      <c r="V11" s="83">
        <f t="shared" si="40"/>
        <v>3926.57534</v>
      </c>
      <c r="W11" s="83">
        <f t="shared" si="40"/>
        <v>3926.57534</v>
      </c>
      <c r="X11" s="83">
        <f t="shared" si="40"/>
        <v>3926.57534</v>
      </c>
      <c r="Y11" s="83">
        <f t="shared" si="40"/>
        <v>3926.57534</v>
      </c>
      <c r="Z11" s="83">
        <f t="shared" si="40"/>
        <v>3926.57534</v>
      </c>
      <c r="AA11" s="83">
        <f t="shared" si="40"/>
        <v>3926.57534</v>
      </c>
    </row>
    <row r="12" ht="14.4" spans="1:27">
      <c r="A12" s="150">
        <v>2.3</v>
      </c>
      <c r="B12" s="111" t="s">
        <v>82</v>
      </c>
      <c r="C12" s="83">
        <f>C8</f>
        <v>99404.35466</v>
      </c>
      <c r="D12" s="83">
        <f t="shared" ref="D12:AA12" si="41">D8</f>
        <v>95477.77932</v>
      </c>
      <c r="E12" s="83">
        <f t="shared" si="41"/>
        <v>91551.20398</v>
      </c>
      <c r="F12" s="83">
        <f t="shared" si="41"/>
        <v>87624.62864</v>
      </c>
      <c r="G12" s="83">
        <f t="shared" si="41"/>
        <v>83698.0533</v>
      </c>
      <c r="H12" s="83">
        <f t="shared" si="41"/>
        <v>79771.47796</v>
      </c>
      <c r="I12" s="83">
        <f t="shared" si="41"/>
        <v>75844.90262</v>
      </c>
      <c r="J12" s="83">
        <f t="shared" si="41"/>
        <v>71918.32728</v>
      </c>
      <c r="K12" s="83">
        <f t="shared" si="41"/>
        <v>67991.75194</v>
      </c>
      <c r="L12" s="83">
        <f t="shared" si="41"/>
        <v>64065.1766</v>
      </c>
      <c r="M12" s="83">
        <f t="shared" si="41"/>
        <v>60138.60126</v>
      </c>
      <c r="N12" s="83">
        <f t="shared" si="41"/>
        <v>56212.02592</v>
      </c>
      <c r="O12" s="83">
        <f t="shared" si="41"/>
        <v>52285.45058</v>
      </c>
      <c r="P12" s="83">
        <f t="shared" si="41"/>
        <v>48358.8752400001</v>
      </c>
      <c r="Q12" s="83">
        <f t="shared" si="41"/>
        <v>44432.2999000001</v>
      </c>
      <c r="R12" s="83">
        <f t="shared" si="41"/>
        <v>40505.7245600001</v>
      </c>
      <c r="S12" s="83">
        <f t="shared" si="41"/>
        <v>36579.1492200001</v>
      </c>
      <c r="T12" s="83">
        <f t="shared" si="41"/>
        <v>32652.5738800001</v>
      </c>
      <c r="U12" s="83">
        <f t="shared" si="41"/>
        <v>28725.9985400001</v>
      </c>
      <c r="V12" s="83">
        <f t="shared" si="41"/>
        <v>24799.4232000001</v>
      </c>
      <c r="W12" s="83">
        <f t="shared" si="41"/>
        <v>20872.8478600001</v>
      </c>
      <c r="X12" s="83">
        <f t="shared" si="41"/>
        <v>16946.2725200001</v>
      </c>
      <c r="Y12" s="83">
        <f t="shared" si="41"/>
        <v>13019.6971800001</v>
      </c>
      <c r="Z12" s="83">
        <f t="shared" si="41"/>
        <v>9093.12184000007</v>
      </c>
      <c r="AA12" s="83">
        <f t="shared" si="41"/>
        <v>5166.54650000007</v>
      </c>
    </row>
  </sheetData>
  <mergeCells count="5">
    <mergeCell ref="A1:J1"/>
    <mergeCell ref="A2:AA2"/>
    <mergeCell ref="C3:AA3"/>
    <mergeCell ref="A3:A4"/>
    <mergeCell ref="B3:B4"/>
  </mergeCells>
  <pageMargins left="0.699305555555556" right="0.699305555555556" top="0.75" bottom="0.75" header="0.3" footer="0.3"/>
  <pageSetup paperSize="9" orientation="landscape"/>
  <headerFooter/>
  <ignoredErrors>
    <ignoredError sqref="C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zoomScale="85" zoomScaleNormal="85" workbookViewId="0">
      <selection activeCell="C40" sqref="C40"/>
    </sheetView>
  </sheetViews>
  <sheetFormatPr defaultColWidth="9" defaultRowHeight="9.6"/>
  <cols>
    <col min="1" max="1" width="5.55555555555556" style="130" customWidth="1"/>
    <col min="2" max="2" width="16.1111111111111" style="130" customWidth="1"/>
    <col min="3" max="3" width="11.6666666666667" style="130" customWidth="1"/>
    <col min="4" max="11" width="8.66666666666667" style="130" customWidth="1"/>
    <col min="12" max="16384" width="9" style="130"/>
  </cols>
  <sheetData>
    <row r="1" ht="26" customHeight="1" spans="1:28">
      <c r="A1" s="131" t="s">
        <v>83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</row>
    <row r="2" ht="26" customHeight="1" spans="1:28">
      <c r="A2" s="133" t="s">
        <v>56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ht="26" customHeight="1" spans="1:28">
      <c r="A3" s="134" t="s">
        <v>1</v>
      </c>
      <c r="B3" s="134" t="s">
        <v>84</v>
      </c>
      <c r="C3" s="134" t="s">
        <v>48</v>
      </c>
      <c r="D3" s="134" t="s">
        <v>74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</row>
    <row r="4" ht="26" customHeight="1" spans="1:28">
      <c r="A4" s="135"/>
      <c r="B4" s="135"/>
      <c r="C4" s="135"/>
      <c r="D4" s="135">
        <v>3</v>
      </c>
      <c r="E4" s="135">
        <v>4</v>
      </c>
      <c r="F4" s="135">
        <v>5</v>
      </c>
      <c r="G4" s="135">
        <v>6</v>
      </c>
      <c r="H4" s="135">
        <v>7</v>
      </c>
      <c r="I4" s="135">
        <v>8</v>
      </c>
      <c r="J4" s="135">
        <v>9</v>
      </c>
      <c r="K4" s="135">
        <v>10</v>
      </c>
      <c r="L4" s="135">
        <v>11</v>
      </c>
      <c r="M4" s="135">
        <v>12</v>
      </c>
      <c r="N4" s="135">
        <v>13</v>
      </c>
      <c r="O4" s="135">
        <v>14</v>
      </c>
      <c r="P4" s="135">
        <v>15</v>
      </c>
      <c r="Q4" s="135">
        <v>16</v>
      </c>
      <c r="R4" s="135">
        <v>17</v>
      </c>
      <c r="S4" s="135">
        <v>18</v>
      </c>
      <c r="T4" s="135">
        <v>19</v>
      </c>
      <c r="U4" s="135">
        <v>20</v>
      </c>
      <c r="V4" s="135">
        <v>21</v>
      </c>
      <c r="W4" s="135">
        <v>22</v>
      </c>
      <c r="X4" s="135">
        <v>23</v>
      </c>
      <c r="Y4" s="135">
        <v>24</v>
      </c>
      <c r="Z4" s="135">
        <v>25</v>
      </c>
      <c r="AA4" s="135">
        <v>26</v>
      </c>
      <c r="AB4" s="135">
        <v>27</v>
      </c>
    </row>
    <row r="5" ht="26" customHeight="1" spans="1:28">
      <c r="A5" s="136">
        <v>1</v>
      </c>
      <c r="B5" s="134" t="s">
        <v>85</v>
      </c>
      <c r="C5" s="137">
        <f>SUM(D5:AB5)</f>
        <v>11210.6049031328</v>
      </c>
      <c r="D5" s="137">
        <v>350</v>
      </c>
      <c r="E5" s="137">
        <f>D5*1.02</f>
        <v>357</v>
      </c>
      <c r="F5" s="137">
        <f t="shared" ref="F5:AB5" si="0">E5*1.02</f>
        <v>364.14</v>
      </c>
      <c r="G5" s="137">
        <f t="shared" si="0"/>
        <v>371.4228</v>
      </c>
      <c r="H5" s="137">
        <f t="shared" si="0"/>
        <v>378.851256</v>
      </c>
      <c r="I5" s="137">
        <f t="shared" si="0"/>
        <v>386.42828112</v>
      </c>
      <c r="J5" s="137">
        <f t="shared" si="0"/>
        <v>394.1568467424</v>
      </c>
      <c r="K5" s="137">
        <f t="shared" si="0"/>
        <v>402.039983677248</v>
      </c>
      <c r="L5" s="137">
        <f t="shared" si="0"/>
        <v>410.080783350793</v>
      </c>
      <c r="M5" s="137">
        <f t="shared" si="0"/>
        <v>418.282399017809</v>
      </c>
      <c r="N5" s="137">
        <f t="shared" si="0"/>
        <v>426.648046998165</v>
      </c>
      <c r="O5" s="137">
        <f t="shared" si="0"/>
        <v>435.181007938128</v>
      </c>
      <c r="P5" s="137">
        <f t="shared" si="0"/>
        <v>443.884628096891</v>
      </c>
      <c r="Q5" s="137">
        <f t="shared" si="0"/>
        <v>452.762320658829</v>
      </c>
      <c r="R5" s="137">
        <f t="shared" si="0"/>
        <v>461.817567072005</v>
      </c>
      <c r="S5" s="137">
        <f t="shared" si="0"/>
        <v>471.053918413445</v>
      </c>
      <c r="T5" s="137">
        <f t="shared" si="0"/>
        <v>480.474996781714</v>
      </c>
      <c r="U5" s="137">
        <f t="shared" si="0"/>
        <v>490.084496717349</v>
      </c>
      <c r="V5" s="137">
        <f t="shared" si="0"/>
        <v>499.886186651696</v>
      </c>
      <c r="W5" s="137">
        <f t="shared" si="0"/>
        <v>509.88391038473</v>
      </c>
      <c r="X5" s="137">
        <f t="shared" si="0"/>
        <v>520.081588592424</v>
      </c>
      <c r="Y5" s="137">
        <f t="shared" si="0"/>
        <v>530.483220364273</v>
      </c>
      <c r="Z5" s="137">
        <f t="shared" si="0"/>
        <v>541.092884771558</v>
      </c>
      <c r="AA5" s="137">
        <f t="shared" si="0"/>
        <v>551.914742466989</v>
      </c>
      <c r="AB5" s="137">
        <f t="shared" si="0"/>
        <v>562.953037316329</v>
      </c>
    </row>
    <row r="6" ht="26" customHeight="1" spans="1:28">
      <c r="A6" s="136">
        <v>2</v>
      </c>
      <c r="B6" s="138" t="s">
        <v>86</v>
      </c>
      <c r="C6" s="137">
        <f t="shared" ref="C6:C8" si="1">SUM(D6:AB6)</f>
        <v>98164.3834999999</v>
      </c>
      <c r="D6" s="137">
        <f>固定资产折旧摊销计算表!C11</f>
        <v>3926.57534</v>
      </c>
      <c r="E6" s="137">
        <f>固定资产折旧摊销计算表!D11</f>
        <v>3926.57534</v>
      </c>
      <c r="F6" s="137">
        <f>固定资产折旧摊销计算表!E11</f>
        <v>3926.57534</v>
      </c>
      <c r="G6" s="137">
        <f>固定资产折旧摊销计算表!F11</f>
        <v>3926.57534</v>
      </c>
      <c r="H6" s="137">
        <f>固定资产折旧摊销计算表!G11</f>
        <v>3926.57534</v>
      </c>
      <c r="I6" s="137">
        <f>固定资产折旧摊销计算表!H11</f>
        <v>3926.57534</v>
      </c>
      <c r="J6" s="137">
        <f>固定资产折旧摊销计算表!I11</f>
        <v>3926.57534</v>
      </c>
      <c r="K6" s="137">
        <f>固定资产折旧摊销计算表!J11</f>
        <v>3926.57534</v>
      </c>
      <c r="L6" s="137">
        <f>固定资产折旧摊销计算表!K11</f>
        <v>3926.57534</v>
      </c>
      <c r="M6" s="137">
        <f>固定资产折旧摊销计算表!L11</f>
        <v>3926.57534</v>
      </c>
      <c r="N6" s="137">
        <f>固定资产折旧摊销计算表!M11</f>
        <v>3926.57534</v>
      </c>
      <c r="O6" s="137">
        <f>固定资产折旧摊销计算表!N11</f>
        <v>3926.57534</v>
      </c>
      <c r="P6" s="137">
        <f>固定资产折旧摊销计算表!O11</f>
        <v>3926.57534</v>
      </c>
      <c r="Q6" s="137">
        <f>固定资产折旧摊销计算表!P11</f>
        <v>3926.57534</v>
      </c>
      <c r="R6" s="137">
        <f>固定资产折旧摊销计算表!Q11</f>
        <v>3926.57534</v>
      </c>
      <c r="S6" s="137">
        <f>固定资产折旧摊销计算表!R11</f>
        <v>3926.57534</v>
      </c>
      <c r="T6" s="137">
        <f>固定资产折旧摊销计算表!S11</f>
        <v>3926.57534</v>
      </c>
      <c r="U6" s="137">
        <f>固定资产折旧摊销计算表!T11</f>
        <v>3926.57534</v>
      </c>
      <c r="V6" s="137">
        <f>固定资产折旧摊销计算表!U11</f>
        <v>3926.57534</v>
      </c>
      <c r="W6" s="137">
        <f>固定资产折旧摊销计算表!V11</f>
        <v>3926.57534</v>
      </c>
      <c r="X6" s="137">
        <f>固定资产折旧摊销计算表!W11</f>
        <v>3926.57534</v>
      </c>
      <c r="Y6" s="137">
        <f>固定资产折旧摊销计算表!X11</f>
        <v>3926.57534</v>
      </c>
      <c r="Z6" s="137">
        <f>固定资产折旧摊销计算表!Y11</f>
        <v>3926.57534</v>
      </c>
      <c r="AA6" s="137">
        <f>固定资产折旧摊销计算表!Z11</f>
        <v>3926.57534</v>
      </c>
      <c r="AB6" s="137">
        <f>固定资产折旧摊销计算表!AA11</f>
        <v>3926.57534</v>
      </c>
    </row>
    <row r="7" ht="26" customHeight="1" spans="1:28">
      <c r="A7" s="136">
        <v>3</v>
      </c>
      <c r="B7" s="138" t="s">
        <v>87</v>
      </c>
      <c r="C7" s="137">
        <f t="shared" si="1"/>
        <v>52862.3688</v>
      </c>
      <c r="D7" s="137">
        <f>借款还本付息及还款计划表!E11</f>
        <v>5294.33688</v>
      </c>
      <c r="E7" s="137">
        <f>借款还本付息及还款计划表!F11</f>
        <v>5007.16125473684</v>
      </c>
      <c r="F7" s="137">
        <f>借款还本付息及还款计划表!G11</f>
        <v>4728.98562947368</v>
      </c>
      <c r="G7" s="137">
        <f>借款还本付息及还款计划表!H11</f>
        <v>4450.81000421053</v>
      </c>
      <c r="H7" s="137">
        <f>借款还本付息及还款计划表!I11</f>
        <v>4172.63437894737</v>
      </c>
      <c r="I7" s="137">
        <f>借款还本付息及还款计划表!J11</f>
        <v>3894.45875368421</v>
      </c>
      <c r="J7" s="137">
        <f>借款还本付息及还款计划表!K11</f>
        <v>3616.28312842105</v>
      </c>
      <c r="K7" s="137">
        <f>借款还本付息及还款计划表!L11</f>
        <v>3338.10750315789</v>
      </c>
      <c r="L7" s="137">
        <f>借款还本付息及还款计划表!M11</f>
        <v>3059.93187789474</v>
      </c>
      <c r="M7" s="137">
        <f>借款还本付息及还款计划表!N11</f>
        <v>2781.75625263158</v>
      </c>
      <c r="N7" s="137">
        <f>借款还本付息及还款计划表!O11</f>
        <v>2503.58062736842</v>
      </c>
      <c r="O7" s="137">
        <f>借款还本付息及还款计划表!P11</f>
        <v>2225.40500210526</v>
      </c>
      <c r="P7" s="137">
        <f>借款还本付息及还款计划表!Q11</f>
        <v>1947.2293768421</v>
      </c>
      <c r="Q7" s="137">
        <f>借款还本付息及还款计划表!R11</f>
        <v>1669.05375157895</v>
      </c>
      <c r="R7" s="137">
        <f>借款还本付息及还款计划表!S11</f>
        <v>1390.87812631579</v>
      </c>
      <c r="S7" s="137">
        <f>借款还本付息及还款计划表!T11</f>
        <v>1112.70250105263</v>
      </c>
      <c r="T7" s="137">
        <f>借款还本付息及还款计划表!U11</f>
        <v>834.526875789472</v>
      </c>
      <c r="U7" s="137">
        <f>借款还本付息及还款计划表!V11</f>
        <v>556.351250526314</v>
      </c>
      <c r="V7" s="137">
        <f>借款还本付息及还款计划表!W11</f>
        <v>278.175625263157</v>
      </c>
      <c r="W7" s="137">
        <f>借款还本付息及还款计划表!X11</f>
        <v>0</v>
      </c>
      <c r="X7" s="137">
        <f>借款还本付息及还款计划表!Y11</f>
        <v>0</v>
      </c>
      <c r="Y7" s="137">
        <f>借款还本付息及还款计划表!Z11</f>
        <v>0</v>
      </c>
      <c r="Z7" s="137">
        <f>借款还本付息及还款计划表!AA11</f>
        <v>0</v>
      </c>
      <c r="AA7" s="137">
        <f>借款还本付息及还款计划表!AB11</f>
        <v>0</v>
      </c>
      <c r="AB7" s="137">
        <f>借款还本付息及还款计划表!AC11</f>
        <v>0</v>
      </c>
    </row>
    <row r="8" ht="38" customHeight="1" spans="1:28">
      <c r="A8" s="136">
        <v>4</v>
      </c>
      <c r="B8" s="123" t="s">
        <v>88</v>
      </c>
      <c r="C8" s="137">
        <f t="shared" si="1"/>
        <v>162237.357203133</v>
      </c>
      <c r="D8" s="137">
        <f>SUM(D5:D7)</f>
        <v>9570.91222</v>
      </c>
      <c r="E8" s="137">
        <f t="shared" ref="E8:AB8" si="2">SUM(E5:E7)</f>
        <v>9290.73659473684</v>
      </c>
      <c r="F8" s="137">
        <f t="shared" si="2"/>
        <v>9019.70096947368</v>
      </c>
      <c r="G8" s="137">
        <f t="shared" si="2"/>
        <v>8748.80814421052</v>
      </c>
      <c r="H8" s="137">
        <f t="shared" si="2"/>
        <v>8478.06097494737</v>
      </c>
      <c r="I8" s="137">
        <f t="shared" si="2"/>
        <v>8207.46237480421</v>
      </c>
      <c r="J8" s="137">
        <f t="shared" si="2"/>
        <v>7937.01531516345</v>
      </c>
      <c r="K8" s="137">
        <f t="shared" si="2"/>
        <v>7666.72282683514</v>
      </c>
      <c r="L8" s="137">
        <f t="shared" si="2"/>
        <v>7396.58800124553</v>
      </c>
      <c r="M8" s="137">
        <f t="shared" si="2"/>
        <v>7126.61399164939</v>
      </c>
      <c r="N8" s="137">
        <f t="shared" si="2"/>
        <v>6856.80401436658</v>
      </c>
      <c r="O8" s="137">
        <f t="shared" si="2"/>
        <v>6587.16135004339</v>
      </c>
      <c r="P8" s="137">
        <f t="shared" si="2"/>
        <v>6317.689344939</v>
      </c>
      <c r="Q8" s="137">
        <f t="shared" si="2"/>
        <v>6048.39141223778</v>
      </c>
      <c r="R8" s="137">
        <f t="shared" si="2"/>
        <v>5779.27103338779</v>
      </c>
      <c r="S8" s="137">
        <f t="shared" si="2"/>
        <v>5510.33175946607</v>
      </c>
      <c r="T8" s="137">
        <f t="shared" si="2"/>
        <v>5241.57721257119</v>
      </c>
      <c r="U8" s="137">
        <f t="shared" si="2"/>
        <v>4973.01108724366</v>
      </c>
      <c r="V8" s="137">
        <f t="shared" si="2"/>
        <v>4704.63715191485</v>
      </c>
      <c r="W8" s="137">
        <f t="shared" si="2"/>
        <v>4436.45925038473</v>
      </c>
      <c r="X8" s="137">
        <f t="shared" si="2"/>
        <v>4446.65692859242</v>
      </c>
      <c r="Y8" s="137">
        <f t="shared" si="2"/>
        <v>4457.05856036427</v>
      </c>
      <c r="Z8" s="137">
        <f t="shared" si="2"/>
        <v>4467.66822477156</v>
      </c>
      <c r="AA8" s="137">
        <f t="shared" si="2"/>
        <v>4478.49008246699</v>
      </c>
      <c r="AB8" s="137">
        <f t="shared" si="2"/>
        <v>4489.52837731633</v>
      </c>
    </row>
    <row r="9" s="129" customFormat="1" ht="26" customHeight="1" spans="1:28">
      <c r="A9" s="136">
        <v>5</v>
      </c>
      <c r="B9" s="138" t="s">
        <v>89</v>
      </c>
      <c r="C9" s="137">
        <f t="shared" ref="C6:C10" si="3">SUM(D9:K9)</f>
        <v>65915.3802526316</v>
      </c>
      <c r="D9" s="137">
        <f>D6+D7</f>
        <v>9220.91222</v>
      </c>
      <c r="E9" s="137">
        <f t="shared" ref="E9:K9" si="4">E6+E7</f>
        <v>8933.73659473684</v>
      </c>
      <c r="F9" s="137">
        <f t="shared" si="4"/>
        <v>8655.56096947368</v>
      </c>
      <c r="G9" s="137">
        <f t="shared" si="4"/>
        <v>8377.38534421053</v>
      </c>
      <c r="H9" s="137">
        <f t="shared" si="4"/>
        <v>8099.20971894737</v>
      </c>
      <c r="I9" s="137">
        <f t="shared" si="4"/>
        <v>7821.03409368421</v>
      </c>
      <c r="J9" s="137">
        <f t="shared" si="4"/>
        <v>7542.85846842105</v>
      </c>
      <c r="K9" s="137">
        <f t="shared" si="4"/>
        <v>7264.68284315789</v>
      </c>
      <c r="L9" s="137">
        <f t="shared" ref="L9:AB9" si="5">L6+L7</f>
        <v>6986.50721789474</v>
      </c>
      <c r="M9" s="137">
        <f t="shared" si="5"/>
        <v>6708.33159263158</v>
      </c>
      <c r="N9" s="137">
        <f t="shared" si="5"/>
        <v>6430.15596736842</v>
      </c>
      <c r="O9" s="137">
        <f t="shared" si="5"/>
        <v>6151.98034210526</v>
      </c>
      <c r="P9" s="137">
        <f t="shared" si="5"/>
        <v>5873.8047168421</v>
      </c>
      <c r="Q9" s="137">
        <f t="shared" si="5"/>
        <v>5595.62909157895</v>
      </c>
      <c r="R9" s="137">
        <f t="shared" si="5"/>
        <v>5317.45346631579</v>
      </c>
      <c r="S9" s="137">
        <f t="shared" si="5"/>
        <v>5039.27784105263</v>
      </c>
      <c r="T9" s="137">
        <f t="shared" si="5"/>
        <v>4761.10221578947</v>
      </c>
      <c r="U9" s="137">
        <f t="shared" si="5"/>
        <v>4482.92659052631</v>
      </c>
      <c r="V9" s="137">
        <f t="shared" si="5"/>
        <v>4204.75096526316</v>
      </c>
      <c r="W9" s="137">
        <f t="shared" si="5"/>
        <v>3926.57534</v>
      </c>
      <c r="X9" s="137">
        <f t="shared" si="5"/>
        <v>3926.57534</v>
      </c>
      <c r="Y9" s="137">
        <f t="shared" si="5"/>
        <v>3926.57534</v>
      </c>
      <c r="Z9" s="137">
        <f t="shared" si="5"/>
        <v>3926.57534</v>
      </c>
      <c r="AA9" s="137">
        <f t="shared" si="5"/>
        <v>3926.57534</v>
      </c>
      <c r="AB9" s="137">
        <f t="shared" si="5"/>
        <v>3926.57534</v>
      </c>
    </row>
    <row r="10" s="129" customFormat="1" ht="26" customHeight="1" spans="1:28">
      <c r="A10" s="136">
        <v>6</v>
      </c>
      <c r="B10" s="138" t="s">
        <v>90</v>
      </c>
      <c r="C10" s="137">
        <f t="shared" si="3"/>
        <v>3004.03916753965</v>
      </c>
      <c r="D10" s="137">
        <f>D5</f>
        <v>350</v>
      </c>
      <c r="E10" s="137">
        <f t="shared" ref="E10:K10" si="6">E5</f>
        <v>357</v>
      </c>
      <c r="F10" s="137">
        <f t="shared" si="6"/>
        <v>364.14</v>
      </c>
      <c r="G10" s="137">
        <f t="shared" si="6"/>
        <v>371.4228</v>
      </c>
      <c r="H10" s="137">
        <f t="shared" si="6"/>
        <v>378.851256</v>
      </c>
      <c r="I10" s="137">
        <f t="shared" si="6"/>
        <v>386.42828112</v>
      </c>
      <c r="J10" s="137">
        <f t="shared" si="6"/>
        <v>394.1568467424</v>
      </c>
      <c r="K10" s="137">
        <f t="shared" si="6"/>
        <v>402.039983677248</v>
      </c>
      <c r="L10" s="137">
        <f t="shared" ref="L10:AB10" si="7">L5</f>
        <v>410.080783350793</v>
      </c>
      <c r="M10" s="137">
        <f t="shared" si="7"/>
        <v>418.282399017809</v>
      </c>
      <c r="N10" s="137">
        <f t="shared" si="7"/>
        <v>426.648046998165</v>
      </c>
      <c r="O10" s="137">
        <f t="shared" si="7"/>
        <v>435.181007938128</v>
      </c>
      <c r="P10" s="137">
        <f t="shared" si="7"/>
        <v>443.884628096891</v>
      </c>
      <c r="Q10" s="137">
        <f t="shared" si="7"/>
        <v>452.762320658829</v>
      </c>
      <c r="R10" s="137">
        <f t="shared" si="7"/>
        <v>461.817567072005</v>
      </c>
      <c r="S10" s="137">
        <f t="shared" si="7"/>
        <v>471.053918413445</v>
      </c>
      <c r="T10" s="137">
        <f t="shared" si="7"/>
        <v>480.474996781714</v>
      </c>
      <c r="U10" s="137">
        <f t="shared" si="7"/>
        <v>490.084496717349</v>
      </c>
      <c r="V10" s="137">
        <f t="shared" si="7"/>
        <v>499.886186651696</v>
      </c>
      <c r="W10" s="137">
        <f t="shared" si="7"/>
        <v>509.88391038473</v>
      </c>
      <c r="X10" s="137">
        <f t="shared" si="7"/>
        <v>520.081588592424</v>
      </c>
      <c r="Y10" s="137">
        <f t="shared" si="7"/>
        <v>530.483220364273</v>
      </c>
      <c r="Z10" s="137">
        <f t="shared" si="7"/>
        <v>541.092884771558</v>
      </c>
      <c r="AA10" s="137">
        <f t="shared" si="7"/>
        <v>551.914742466989</v>
      </c>
      <c r="AB10" s="137">
        <f t="shared" si="7"/>
        <v>562.953037316329</v>
      </c>
    </row>
    <row r="12" spans="4:4">
      <c r="D12" s="139"/>
    </row>
  </sheetData>
  <mergeCells count="6">
    <mergeCell ref="A1:AB1"/>
    <mergeCell ref="A2:AB2"/>
    <mergeCell ref="D3:AB3"/>
    <mergeCell ref="A3:A4"/>
    <mergeCell ref="B3:B4"/>
    <mergeCell ref="C3:C4"/>
  </mergeCells>
  <pageMargins left="0.699305555555556" right="0.699305555555556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workbookViewId="0">
      <selection activeCell="G27" sqref="G27"/>
    </sheetView>
  </sheetViews>
  <sheetFormatPr defaultColWidth="9" defaultRowHeight="12"/>
  <cols>
    <col min="1" max="1" width="5" style="117" customWidth="1"/>
    <col min="2" max="2" width="16.3333333333333" style="117" customWidth="1"/>
    <col min="3" max="12" width="8.88888888888889" style="117" customWidth="1"/>
    <col min="13" max="16384" width="9" style="117"/>
  </cols>
  <sheetData>
    <row r="1" s="116" customFormat="1" ht="31" customHeight="1" spans="1:23">
      <c r="A1" s="118" t="s">
        <v>91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</row>
    <row r="2" ht="14.4" customHeight="1" spans="1:23">
      <c r="A2" s="120" t="s">
        <v>92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ht="14.4" spans="1:23">
      <c r="A3" s="122" t="s">
        <v>1</v>
      </c>
      <c r="B3" s="122" t="s">
        <v>93</v>
      </c>
      <c r="C3" s="123" t="s">
        <v>94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</row>
    <row r="4" spans="1:23">
      <c r="A4" s="122"/>
      <c r="B4" s="122"/>
      <c r="C4" s="122" t="s">
        <v>58</v>
      </c>
      <c r="D4" s="122"/>
      <c r="E4" s="122" t="s">
        <v>74</v>
      </c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</row>
    <row r="5" ht="13.2" spans="1:23">
      <c r="A5" s="122"/>
      <c r="B5" s="122"/>
      <c r="C5" s="124">
        <v>1</v>
      </c>
      <c r="D5" s="124">
        <v>2</v>
      </c>
      <c r="E5" s="124">
        <v>3</v>
      </c>
      <c r="F5" s="124">
        <v>4</v>
      </c>
      <c r="G5" s="124">
        <v>5</v>
      </c>
      <c r="H5" s="124">
        <v>6</v>
      </c>
      <c r="I5" s="124">
        <v>7</v>
      </c>
      <c r="J5" s="124">
        <v>8</v>
      </c>
      <c r="K5" s="124">
        <v>9</v>
      </c>
      <c r="L5" s="124">
        <v>10</v>
      </c>
      <c r="M5" s="124">
        <v>11</v>
      </c>
      <c r="N5" s="124">
        <v>12</v>
      </c>
      <c r="O5" s="124">
        <v>13</v>
      </c>
      <c r="P5" s="124">
        <v>14</v>
      </c>
      <c r="Q5" s="124">
        <v>15</v>
      </c>
      <c r="R5" s="124">
        <v>16</v>
      </c>
      <c r="S5" s="124">
        <v>17</v>
      </c>
      <c r="T5" s="124">
        <v>18</v>
      </c>
      <c r="U5" s="124">
        <v>19</v>
      </c>
      <c r="V5" s="124">
        <v>20</v>
      </c>
      <c r="W5" s="124">
        <v>21</v>
      </c>
    </row>
    <row r="6" ht="18" customHeight="1" spans="1:23">
      <c r="A6" s="124">
        <v>1</v>
      </c>
      <c r="B6" s="125" t="s">
        <v>95</v>
      </c>
      <c r="C6" s="126">
        <v>0</v>
      </c>
      <c r="D6" s="126">
        <f>C12</f>
        <v>52849.7688</v>
      </c>
      <c r="E6" s="126">
        <f>D12-资金使用计划表!E17</f>
        <v>88088.948</v>
      </c>
      <c r="F6" s="126">
        <f>E12</f>
        <v>83452.6875789474</v>
      </c>
      <c r="G6" s="126">
        <f t="shared" ref="G6:L6" si="0">F12</f>
        <v>78816.4271578947</v>
      </c>
      <c r="H6" s="126">
        <f t="shared" si="0"/>
        <v>74180.1667368421</v>
      </c>
      <c r="I6" s="126">
        <f t="shared" si="0"/>
        <v>69543.9063157895</v>
      </c>
      <c r="J6" s="126">
        <f t="shared" si="0"/>
        <v>64907.6458947368</v>
      </c>
      <c r="K6" s="126">
        <f t="shared" si="0"/>
        <v>60271.3854736842</v>
      </c>
      <c r="L6" s="126">
        <f t="shared" si="0"/>
        <v>55635.1250526316</v>
      </c>
      <c r="M6" s="126">
        <f t="shared" ref="M6" si="1">L12</f>
        <v>50998.8646315789</v>
      </c>
      <c r="N6" s="126">
        <f t="shared" ref="N6" si="2">M12</f>
        <v>46362.6042105263</v>
      </c>
      <c r="O6" s="126">
        <f t="shared" ref="O6" si="3">N12</f>
        <v>41726.3437894737</v>
      </c>
      <c r="P6" s="126">
        <f t="shared" ref="P6" si="4">O12</f>
        <v>37090.083368421</v>
      </c>
      <c r="Q6" s="126">
        <f t="shared" ref="Q6" si="5">P12</f>
        <v>32453.8229473684</v>
      </c>
      <c r="R6" s="126">
        <f t="shared" ref="R6" si="6">Q12</f>
        <v>27817.5625263158</v>
      </c>
      <c r="S6" s="126">
        <f t="shared" ref="S6" si="7">R12</f>
        <v>23181.3021052631</v>
      </c>
      <c r="T6" s="126">
        <f t="shared" ref="T6" si="8">S12</f>
        <v>18545.0416842105</v>
      </c>
      <c r="U6" s="126">
        <f t="shared" ref="U6" si="9">T12</f>
        <v>13908.7812631579</v>
      </c>
      <c r="V6" s="126">
        <f t="shared" ref="V6" si="10">U12</f>
        <v>9272.52084210524</v>
      </c>
      <c r="W6" s="126">
        <f t="shared" ref="W6" si="11">V12</f>
        <v>4636.26042105261</v>
      </c>
    </row>
    <row r="7" ht="18" customHeight="1" spans="1:23">
      <c r="A7" s="124">
        <v>2</v>
      </c>
      <c r="B7" s="125" t="s">
        <v>96</v>
      </c>
      <c r="C7" s="126">
        <f>资金使用计划表!D14</f>
        <v>50140.6668</v>
      </c>
      <c r="D7" s="126">
        <f>资金使用计划表!E14</f>
        <v>33577.1112</v>
      </c>
      <c r="E7" s="126">
        <v>0</v>
      </c>
      <c r="F7" s="126">
        <v>0</v>
      </c>
      <c r="G7" s="126">
        <v>0</v>
      </c>
      <c r="H7" s="126">
        <v>0</v>
      </c>
      <c r="I7" s="126">
        <v>0</v>
      </c>
      <c r="J7" s="126">
        <v>0</v>
      </c>
      <c r="K7" s="126">
        <v>0</v>
      </c>
      <c r="L7" s="126">
        <v>0</v>
      </c>
      <c r="M7" s="126">
        <v>0</v>
      </c>
      <c r="N7" s="126">
        <v>0</v>
      </c>
      <c r="O7" s="126">
        <v>0</v>
      </c>
      <c r="P7" s="126">
        <v>0</v>
      </c>
      <c r="Q7" s="126">
        <v>0</v>
      </c>
      <c r="R7" s="126">
        <v>0</v>
      </c>
      <c r="S7" s="126">
        <v>0</v>
      </c>
      <c r="T7" s="126">
        <v>0</v>
      </c>
      <c r="U7" s="126">
        <v>0</v>
      </c>
      <c r="V7" s="126">
        <v>0</v>
      </c>
      <c r="W7" s="126">
        <v>0</v>
      </c>
    </row>
    <row r="8" ht="18" customHeight="1" spans="1:23">
      <c r="A8" s="124">
        <v>3</v>
      </c>
      <c r="B8" s="125" t="s">
        <v>97</v>
      </c>
      <c r="C8" s="126">
        <f>资金使用计划表!D12</f>
        <v>2709.102</v>
      </c>
      <c r="D8" s="126">
        <f>资金使用计划表!E12+资金使用计划表!E17*4%</f>
        <v>1812.068</v>
      </c>
      <c r="E8" s="126">
        <f>E6*基础数据!$D$28</f>
        <v>5285.33688</v>
      </c>
      <c r="F8" s="126">
        <f>F6*基础数据!$D$28</f>
        <v>5007.16125473684</v>
      </c>
      <c r="G8" s="126">
        <f>G6*基础数据!$D$28</f>
        <v>4728.98562947368</v>
      </c>
      <c r="H8" s="126">
        <f>H6*基础数据!$D$28</f>
        <v>4450.81000421053</v>
      </c>
      <c r="I8" s="126">
        <f>I6*基础数据!$D$28</f>
        <v>4172.63437894737</v>
      </c>
      <c r="J8" s="126">
        <f>J6*基础数据!$D$28</f>
        <v>3894.45875368421</v>
      </c>
      <c r="K8" s="126">
        <f>K6*基础数据!$D$28</f>
        <v>3616.28312842105</v>
      </c>
      <c r="L8" s="126">
        <f>L6*基础数据!$D$28</f>
        <v>3338.10750315789</v>
      </c>
      <c r="M8" s="126">
        <f>M6*基础数据!$D$28</f>
        <v>3059.93187789474</v>
      </c>
      <c r="N8" s="126">
        <f>N6*基础数据!$D$28</f>
        <v>2781.75625263158</v>
      </c>
      <c r="O8" s="126">
        <f>O6*基础数据!$D$28</f>
        <v>2503.58062736842</v>
      </c>
      <c r="P8" s="126">
        <f>P6*基础数据!$D$28</f>
        <v>2225.40500210526</v>
      </c>
      <c r="Q8" s="126">
        <f>Q6*基础数据!$D$28</f>
        <v>1947.2293768421</v>
      </c>
      <c r="R8" s="126">
        <f>R6*基础数据!$D$28</f>
        <v>1669.05375157895</v>
      </c>
      <c r="S8" s="126">
        <f>S6*基础数据!$D$28</f>
        <v>1390.87812631579</v>
      </c>
      <c r="T8" s="126">
        <f>T6*基础数据!$D$28</f>
        <v>1112.70250105263</v>
      </c>
      <c r="U8" s="126">
        <f>U6*基础数据!$D$28</f>
        <v>834.526875789472</v>
      </c>
      <c r="V8" s="126">
        <f>V6*基础数据!$D$28</f>
        <v>556.351250526314</v>
      </c>
      <c r="W8" s="126">
        <f>W6*基础数据!$D$28</f>
        <v>278.175625263157</v>
      </c>
    </row>
    <row r="9" ht="18" customHeight="1" spans="1:23">
      <c r="A9" s="124">
        <v>4</v>
      </c>
      <c r="B9" s="125" t="s">
        <v>98</v>
      </c>
      <c r="C9" s="126">
        <f t="shared" ref="C9:E9" si="12">SUM(C10:C11)</f>
        <v>0</v>
      </c>
      <c r="D9" s="126">
        <f t="shared" si="12"/>
        <v>0</v>
      </c>
      <c r="E9" s="126">
        <f t="shared" si="12"/>
        <v>9930.59730105263</v>
      </c>
      <c r="F9" s="126">
        <f t="shared" ref="F9:L9" si="13">SUM(F10:F11)</f>
        <v>9643.42167578947</v>
      </c>
      <c r="G9" s="126">
        <f t="shared" si="13"/>
        <v>9365.24605052632</v>
      </c>
      <c r="H9" s="126">
        <f t="shared" si="13"/>
        <v>9087.07042526316</v>
      </c>
      <c r="I9" s="126">
        <f t="shared" si="13"/>
        <v>8808.8948</v>
      </c>
      <c r="J9" s="126">
        <f t="shared" si="13"/>
        <v>8530.71917473684</v>
      </c>
      <c r="K9" s="126">
        <f t="shared" si="13"/>
        <v>8252.54354947368</v>
      </c>
      <c r="L9" s="126">
        <f t="shared" si="13"/>
        <v>7974.36792421053</v>
      </c>
      <c r="M9" s="126">
        <f t="shared" ref="M9:W9" si="14">SUM(M10:M11)</f>
        <v>7696.19229894737</v>
      </c>
      <c r="N9" s="126">
        <f t="shared" si="14"/>
        <v>7418.01667368421</v>
      </c>
      <c r="O9" s="126">
        <f t="shared" si="14"/>
        <v>7139.84104842105</v>
      </c>
      <c r="P9" s="126">
        <f t="shared" si="14"/>
        <v>6861.66542315789</v>
      </c>
      <c r="Q9" s="126">
        <f t="shared" si="14"/>
        <v>6583.48979789474</v>
      </c>
      <c r="R9" s="126">
        <f t="shared" si="14"/>
        <v>6305.31417263158</v>
      </c>
      <c r="S9" s="126">
        <f t="shared" si="14"/>
        <v>6027.13854736842</v>
      </c>
      <c r="T9" s="126">
        <f t="shared" si="14"/>
        <v>5748.96292210526</v>
      </c>
      <c r="U9" s="126">
        <f t="shared" si="14"/>
        <v>5470.7872968421</v>
      </c>
      <c r="V9" s="126">
        <f t="shared" si="14"/>
        <v>5192.61167157895</v>
      </c>
      <c r="W9" s="126">
        <f t="shared" si="14"/>
        <v>4914.43604631579</v>
      </c>
    </row>
    <row r="10" ht="18" customHeight="1" spans="1:23">
      <c r="A10" s="124">
        <v>4.1</v>
      </c>
      <c r="B10" s="125" t="s">
        <v>99</v>
      </c>
      <c r="C10" s="126">
        <v>0</v>
      </c>
      <c r="D10" s="126">
        <v>0</v>
      </c>
      <c r="E10" s="126">
        <f>E6/19</f>
        <v>4636.26042105263</v>
      </c>
      <c r="F10" s="126">
        <f>E10</f>
        <v>4636.26042105263</v>
      </c>
      <c r="G10" s="126">
        <f t="shared" ref="G10:L10" si="15">F10</f>
        <v>4636.26042105263</v>
      </c>
      <c r="H10" s="126">
        <f t="shared" si="15"/>
        <v>4636.26042105263</v>
      </c>
      <c r="I10" s="126">
        <f t="shared" si="15"/>
        <v>4636.26042105263</v>
      </c>
      <c r="J10" s="126">
        <f t="shared" si="15"/>
        <v>4636.26042105263</v>
      </c>
      <c r="K10" s="126">
        <f t="shared" si="15"/>
        <v>4636.26042105263</v>
      </c>
      <c r="L10" s="126">
        <f t="shared" si="15"/>
        <v>4636.26042105263</v>
      </c>
      <c r="M10" s="126">
        <f t="shared" ref="M10" si="16">L10</f>
        <v>4636.26042105263</v>
      </c>
      <c r="N10" s="126">
        <f t="shared" ref="N10" si="17">M10</f>
        <v>4636.26042105263</v>
      </c>
      <c r="O10" s="126">
        <f t="shared" ref="O10" si="18">N10</f>
        <v>4636.26042105263</v>
      </c>
      <c r="P10" s="126">
        <f t="shared" ref="P10" si="19">O10</f>
        <v>4636.26042105263</v>
      </c>
      <c r="Q10" s="126">
        <f t="shared" ref="Q10" si="20">P10</f>
        <v>4636.26042105263</v>
      </c>
      <c r="R10" s="126">
        <f t="shared" ref="R10" si="21">Q10</f>
        <v>4636.26042105263</v>
      </c>
      <c r="S10" s="126">
        <f t="shared" ref="S10" si="22">R10</f>
        <v>4636.26042105263</v>
      </c>
      <c r="T10" s="126">
        <f t="shared" ref="T10" si="23">S10</f>
        <v>4636.26042105263</v>
      </c>
      <c r="U10" s="126">
        <f t="shared" ref="U10" si="24">T10</f>
        <v>4636.26042105263</v>
      </c>
      <c r="V10" s="126">
        <f t="shared" ref="V10" si="25">U10</f>
        <v>4636.26042105263</v>
      </c>
      <c r="W10" s="126">
        <f t="shared" ref="W10" si="26">V10</f>
        <v>4636.26042105263</v>
      </c>
    </row>
    <row r="11" ht="18" customHeight="1" spans="1:23">
      <c r="A11" s="124">
        <v>4.2</v>
      </c>
      <c r="B11" s="125" t="s">
        <v>100</v>
      </c>
      <c r="C11" s="126">
        <v>0</v>
      </c>
      <c r="D11" s="126">
        <v>0</v>
      </c>
      <c r="E11" s="126">
        <f>D12*基础数据!$D$28</f>
        <v>5294.33688</v>
      </c>
      <c r="F11" s="126">
        <f>E12*基础数据!$D$28</f>
        <v>5007.16125473684</v>
      </c>
      <c r="G11" s="126">
        <f>F12*基础数据!$D$28</f>
        <v>4728.98562947368</v>
      </c>
      <c r="H11" s="126">
        <f>G12*基础数据!$D$28</f>
        <v>4450.81000421053</v>
      </c>
      <c r="I11" s="126">
        <f>H12*基础数据!$D$28</f>
        <v>4172.63437894737</v>
      </c>
      <c r="J11" s="126">
        <f>I12*基础数据!$D$28</f>
        <v>3894.45875368421</v>
      </c>
      <c r="K11" s="126">
        <f>J12*基础数据!$D$28</f>
        <v>3616.28312842105</v>
      </c>
      <c r="L11" s="126">
        <f>K12*基础数据!$D$28</f>
        <v>3338.10750315789</v>
      </c>
      <c r="M11" s="126">
        <f>L12*基础数据!$D$28</f>
        <v>3059.93187789474</v>
      </c>
      <c r="N11" s="126">
        <f>M12*基础数据!$D$28</f>
        <v>2781.75625263158</v>
      </c>
      <c r="O11" s="126">
        <f>N12*基础数据!$D$28</f>
        <v>2503.58062736842</v>
      </c>
      <c r="P11" s="126">
        <f>O12*基础数据!$D$28</f>
        <v>2225.40500210526</v>
      </c>
      <c r="Q11" s="126">
        <f>P12*基础数据!$D$28</f>
        <v>1947.2293768421</v>
      </c>
      <c r="R11" s="126">
        <f>Q12*基础数据!$D$28</f>
        <v>1669.05375157895</v>
      </c>
      <c r="S11" s="126">
        <f>R12*基础数据!$D$28</f>
        <v>1390.87812631579</v>
      </c>
      <c r="T11" s="126">
        <f>S12*基础数据!$D$28</f>
        <v>1112.70250105263</v>
      </c>
      <c r="U11" s="126">
        <f>T12*基础数据!$D$28</f>
        <v>834.526875789472</v>
      </c>
      <c r="V11" s="126">
        <f>U12*基础数据!$D$28</f>
        <v>556.351250526314</v>
      </c>
      <c r="W11" s="126">
        <f>V12*基础数据!$D$28</f>
        <v>278.175625263157</v>
      </c>
    </row>
    <row r="12" ht="18" customHeight="1" spans="1:23">
      <c r="A12" s="124">
        <v>5</v>
      </c>
      <c r="B12" s="125" t="s">
        <v>101</v>
      </c>
      <c r="C12" s="126">
        <f>C6+C7+C8-C9</f>
        <v>52849.7688</v>
      </c>
      <c r="D12" s="126">
        <f>D6+D7+D8-D9</f>
        <v>88238.948</v>
      </c>
      <c r="E12" s="126">
        <f>E6-E10</f>
        <v>83452.6875789474</v>
      </c>
      <c r="F12" s="126">
        <f>E12-F10</f>
        <v>78816.4271578947</v>
      </c>
      <c r="G12" s="126">
        <f t="shared" ref="G12:L12" si="27">F12-G10</f>
        <v>74180.1667368421</v>
      </c>
      <c r="H12" s="126">
        <f t="shared" si="27"/>
        <v>69543.9063157895</v>
      </c>
      <c r="I12" s="126">
        <f t="shared" si="27"/>
        <v>64907.6458947368</v>
      </c>
      <c r="J12" s="126">
        <f t="shared" si="27"/>
        <v>60271.3854736842</v>
      </c>
      <c r="K12" s="126">
        <f t="shared" si="27"/>
        <v>55635.1250526316</v>
      </c>
      <c r="L12" s="126">
        <f t="shared" si="27"/>
        <v>50998.8646315789</v>
      </c>
      <c r="M12" s="126">
        <f t="shared" ref="M12" si="28">L12-M10</f>
        <v>46362.6042105263</v>
      </c>
      <c r="N12" s="126">
        <f t="shared" ref="N12" si="29">M12-N10</f>
        <v>41726.3437894737</v>
      </c>
      <c r="O12" s="126">
        <f t="shared" ref="O12" si="30">N12-O10</f>
        <v>37090.083368421</v>
      </c>
      <c r="P12" s="126">
        <f t="shared" ref="P12" si="31">O12-P10</f>
        <v>32453.8229473684</v>
      </c>
      <c r="Q12" s="126">
        <f t="shared" ref="Q12" si="32">P12-Q10</f>
        <v>27817.5625263158</v>
      </c>
      <c r="R12" s="126">
        <f t="shared" ref="R12" si="33">Q12-R10</f>
        <v>23181.3021052631</v>
      </c>
      <c r="S12" s="126">
        <f t="shared" ref="S12" si="34">R12-S10</f>
        <v>18545.0416842105</v>
      </c>
      <c r="T12" s="126">
        <f t="shared" ref="T12" si="35">S12-T10</f>
        <v>13908.7812631579</v>
      </c>
      <c r="U12" s="126">
        <f t="shared" ref="U12" si="36">T12-U10</f>
        <v>9272.52084210524</v>
      </c>
      <c r="V12" s="126">
        <f t="shared" ref="V12" si="37">U12-V10</f>
        <v>4636.26042105261</v>
      </c>
      <c r="W12" s="126">
        <f t="shared" ref="W12" si="38">V12-W10</f>
        <v>-2.18278728425503e-11</v>
      </c>
    </row>
    <row r="13" spans="1:23">
      <c r="A13" s="127" t="s">
        <v>102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</row>
  </sheetData>
  <mergeCells count="8">
    <mergeCell ref="A1:W1"/>
    <mergeCell ref="A2:W2"/>
    <mergeCell ref="C3:W3"/>
    <mergeCell ref="C4:D4"/>
    <mergeCell ref="E4:W4"/>
    <mergeCell ref="A13:W13"/>
    <mergeCell ref="A3:A5"/>
    <mergeCell ref="B3:B5"/>
  </mergeCells>
  <pageMargins left="0.700694444444445" right="0.700694444444445" top="0.751388888888889" bottom="0.751388888888889" header="0.297916666666667" footer="0.297916666666667"/>
  <pageSetup paperSize="9" orientation="landscape"/>
  <headerFooter/>
  <ignoredErrors>
    <ignoredError sqref="E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"/>
  <sheetViews>
    <sheetView workbookViewId="0">
      <selection activeCell="D6" sqref="D6"/>
    </sheetView>
  </sheetViews>
  <sheetFormatPr defaultColWidth="9" defaultRowHeight="14.4"/>
  <cols>
    <col min="1" max="1" width="5.66666666666667" style="90" customWidth="1"/>
    <col min="2" max="2" width="24.2222222222222" style="90" customWidth="1"/>
    <col min="3" max="3" width="7.77777777777778" style="90" customWidth="1"/>
    <col min="4" max="4" width="11.2222222222222" style="90" customWidth="1"/>
    <col min="5" max="5" width="10.3333333333333" style="90" customWidth="1"/>
    <col min="6" max="6" width="9.22222222222222" style="90" customWidth="1"/>
    <col min="7" max="10" width="9" style="90" customWidth="1"/>
    <col min="11" max="11" width="10.6666666666667" style="90" customWidth="1"/>
    <col min="12" max="12" width="10.1111111111111" style="90" customWidth="1"/>
    <col min="13" max="13" width="10.3333333333333" style="90" customWidth="1"/>
    <col min="14" max="14" width="9.22222222222222" style="90" customWidth="1"/>
    <col min="15" max="18" width="9" style="90" customWidth="1"/>
    <col min="19" max="19" width="10.6666666666667" style="90" customWidth="1"/>
    <col min="20" max="20" width="10.3333333333333" style="90" customWidth="1"/>
    <col min="21" max="21" width="9.22222222222222" style="90" customWidth="1"/>
    <col min="22" max="25" width="9" style="90" customWidth="1"/>
    <col min="26" max="26" width="10.6666666666667" style="90" customWidth="1"/>
    <col min="27" max="27" width="9" style="90" customWidth="1"/>
    <col min="28" max="28" width="10.6666666666667" style="90" customWidth="1"/>
    <col min="29" max="29" width="14.6666666666667" style="90" customWidth="1"/>
    <col min="30" max="16384" width="9" style="90"/>
  </cols>
  <sheetData>
    <row r="1" ht="18" customHeight="1" spans="1:29">
      <c r="A1" s="91" t="s">
        <v>103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</row>
    <row r="2" spans="1:29">
      <c r="A2" s="92" t="s">
        <v>56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</row>
    <row r="3" customHeight="1" spans="1:29">
      <c r="A3" s="93" t="s">
        <v>104</v>
      </c>
      <c r="B3" s="93" t="s">
        <v>105</v>
      </c>
      <c r="C3" s="93" t="s">
        <v>106</v>
      </c>
      <c r="D3" s="94" t="s">
        <v>107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111" t="s">
        <v>48</v>
      </c>
    </row>
    <row r="4" spans="1:29">
      <c r="A4" s="95"/>
      <c r="B4" s="95"/>
      <c r="C4" s="95"/>
      <c r="D4" s="94">
        <v>3</v>
      </c>
      <c r="E4" s="94">
        <v>4</v>
      </c>
      <c r="F4" s="94">
        <v>5</v>
      </c>
      <c r="G4" s="94">
        <v>6</v>
      </c>
      <c r="H4" s="94">
        <v>7</v>
      </c>
      <c r="I4" s="94">
        <v>8</v>
      </c>
      <c r="J4" s="94">
        <v>9</v>
      </c>
      <c r="K4" s="94">
        <v>10</v>
      </c>
      <c r="L4" s="94">
        <v>11</v>
      </c>
      <c r="M4" s="94">
        <v>12</v>
      </c>
      <c r="N4" s="94">
        <v>13</v>
      </c>
      <c r="O4" s="94">
        <v>14</v>
      </c>
      <c r="P4" s="94">
        <v>15</v>
      </c>
      <c r="Q4" s="94">
        <v>16</v>
      </c>
      <c r="R4" s="94">
        <v>17</v>
      </c>
      <c r="S4" s="94">
        <v>18</v>
      </c>
      <c r="T4" s="94">
        <v>19</v>
      </c>
      <c r="U4" s="94">
        <v>20</v>
      </c>
      <c r="V4" s="94">
        <v>21</v>
      </c>
      <c r="W4" s="94">
        <v>22</v>
      </c>
      <c r="X4" s="94">
        <v>23</v>
      </c>
      <c r="Y4" s="94">
        <v>24</v>
      </c>
      <c r="Z4" s="94">
        <v>25</v>
      </c>
      <c r="AA4" s="94">
        <v>26</v>
      </c>
      <c r="AB4" s="94">
        <v>27</v>
      </c>
      <c r="AC4" s="111"/>
    </row>
    <row r="5" s="87" customFormat="1" spans="1:29">
      <c r="A5" s="96" t="s">
        <v>108</v>
      </c>
      <c r="B5" s="96" t="s">
        <v>109</v>
      </c>
      <c r="C5" s="97"/>
      <c r="D5" s="98">
        <f>D6+D23+D27</f>
        <v>8448.88488736466</v>
      </c>
      <c r="E5" s="98">
        <f t="shared" ref="E5:Z5" si="0">E6+E23+E27</f>
        <v>8455.88488736466</v>
      </c>
      <c r="F5" s="98">
        <f t="shared" si="0"/>
        <v>8463.02488736466</v>
      </c>
      <c r="G5" s="98">
        <f t="shared" si="0"/>
        <v>8470.30768736466</v>
      </c>
      <c r="H5" s="98">
        <f t="shared" si="0"/>
        <v>8477.73614336466</v>
      </c>
      <c r="I5" s="98">
        <f t="shared" si="0"/>
        <v>8485.31316848466</v>
      </c>
      <c r="J5" s="98">
        <f t="shared" si="0"/>
        <v>8493.04173410706</v>
      </c>
      <c r="K5" s="98">
        <f t="shared" si="0"/>
        <v>8500.92487104191</v>
      </c>
      <c r="L5" s="98">
        <f t="shared" si="0"/>
        <v>8508.96567071545</v>
      </c>
      <c r="M5" s="98">
        <f t="shared" si="0"/>
        <v>8517.16728638247</v>
      </c>
      <c r="N5" s="98">
        <f t="shared" si="0"/>
        <v>8525.53293436282</v>
      </c>
      <c r="O5" s="98">
        <f t="shared" si="0"/>
        <v>8534.06589530279</v>
      </c>
      <c r="P5" s="98">
        <f t="shared" si="0"/>
        <v>8542.76951546155</v>
      </c>
      <c r="Q5" s="98">
        <f t="shared" si="0"/>
        <v>8551.64720802349</v>
      </c>
      <c r="R5" s="98">
        <f t="shared" si="0"/>
        <v>8560.70245443666</v>
      </c>
      <c r="S5" s="98">
        <f t="shared" si="0"/>
        <v>8569.9388057781</v>
      </c>
      <c r="T5" s="98">
        <f t="shared" si="0"/>
        <v>8579.35988414637</v>
      </c>
      <c r="U5" s="98">
        <f t="shared" si="0"/>
        <v>8588.96938408201</v>
      </c>
      <c r="V5" s="98">
        <f t="shared" si="0"/>
        <v>8598.77107401635</v>
      </c>
      <c r="W5" s="98">
        <f t="shared" si="0"/>
        <v>8608.76879774939</v>
      </c>
      <c r="X5" s="98">
        <f t="shared" si="0"/>
        <v>8618.96647595708</v>
      </c>
      <c r="Y5" s="98">
        <f t="shared" si="0"/>
        <v>8629.36810772893</v>
      </c>
      <c r="Z5" s="98">
        <f t="shared" si="0"/>
        <v>8639.97777213622</v>
      </c>
      <c r="AA5" s="98">
        <f t="shared" ref="AA5" si="1">AA6+AA23+AA27</f>
        <v>8650.79962983165</v>
      </c>
      <c r="AB5" s="98">
        <f t="shared" ref="AB5" si="2">AB6+AB23+AB27</f>
        <v>8661.83792468099</v>
      </c>
      <c r="AC5" s="112">
        <f>SUM(D5:AB5)</f>
        <v>213682.727087249</v>
      </c>
    </row>
    <row r="6" s="87" customFormat="1" spans="1:29">
      <c r="A6" s="97">
        <v>1</v>
      </c>
      <c r="B6" s="96" t="s">
        <v>110</v>
      </c>
      <c r="C6" s="97"/>
      <c r="D6" s="98">
        <f>D7+D11+D15+D19</f>
        <v>1152.632745</v>
      </c>
      <c r="E6" s="98">
        <f>E7+E11+E15+E19</f>
        <v>1536.84366</v>
      </c>
      <c r="F6" s="98">
        <f>F7+F11+F15+F19</f>
        <v>2305.26549</v>
      </c>
      <c r="G6" s="98">
        <f>G7+G11+G15+G19</f>
        <v>2689.476405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112">
        <f t="shared" ref="AC6:AC7" si="3">SUM(D6:AB6)</f>
        <v>7684.2183</v>
      </c>
    </row>
    <row r="7" s="87" customFormat="1" spans="1:29">
      <c r="A7" s="97">
        <v>1.1</v>
      </c>
      <c r="B7" s="96" t="s">
        <v>111</v>
      </c>
      <c r="C7" s="97"/>
      <c r="D7" s="98">
        <f>D8*D9*D10/10000</f>
        <v>151.90278</v>
      </c>
      <c r="E7" s="98">
        <f>E8*E9*E10/10000</f>
        <v>202.53704</v>
      </c>
      <c r="F7" s="98">
        <f>F8*F9*F10/10000</f>
        <v>303.80556</v>
      </c>
      <c r="G7" s="98">
        <f>G8*G9*G10/10000</f>
        <v>354.43982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112">
        <f t="shared" si="3"/>
        <v>1012.6852</v>
      </c>
    </row>
    <row r="8" spans="1:29">
      <c r="A8" s="94"/>
      <c r="B8" s="99" t="s">
        <v>112</v>
      </c>
      <c r="C8" s="94"/>
      <c r="D8" s="81">
        <f>4207+1560</f>
        <v>5767</v>
      </c>
      <c r="E8" s="81">
        <f>D8</f>
        <v>5767</v>
      </c>
      <c r="F8" s="81">
        <f>E8</f>
        <v>5767</v>
      </c>
      <c r="G8" s="81">
        <f>F8</f>
        <v>5767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111"/>
    </row>
    <row r="9" s="88" customFormat="1" spans="1:29">
      <c r="A9" s="100"/>
      <c r="B9" s="101" t="s">
        <v>113</v>
      </c>
      <c r="C9" s="100"/>
      <c r="D9" s="100">
        <v>1756</v>
      </c>
      <c r="E9" s="100">
        <f>D9</f>
        <v>1756</v>
      </c>
      <c r="F9" s="100">
        <f>E9</f>
        <v>1756</v>
      </c>
      <c r="G9" s="100">
        <f>F9</f>
        <v>1756</v>
      </c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13"/>
    </row>
    <row r="10" s="89" customFormat="1" spans="1:29">
      <c r="A10" s="102"/>
      <c r="B10" s="103" t="s">
        <v>114</v>
      </c>
      <c r="C10" s="102"/>
      <c r="D10" s="102">
        <v>0.15</v>
      </c>
      <c r="E10" s="102">
        <f>20%</f>
        <v>0.2</v>
      </c>
      <c r="F10" s="102">
        <f>30%</f>
        <v>0.3</v>
      </c>
      <c r="G10" s="102">
        <f>35%</f>
        <v>0.35</v>
      </c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14"/>
    </row>
    <row r="11" s="87" customFormat="1" spans="1:29">
      <c r="A11" s="97">
        <v>1.2</v>
      </c>
      <c r="B11" s="96" t="s">
        <v>115</v>
      </c>
      <c r="C11" s="97"/>
      <c r="D11" s="98">
        <f>D12*D13*D14/10000</f>
        <v>237.110205</v>
      </c>
      <c r="E11" s="98">
        <f t="shared" ref="E11" si="4">E12*E13*E14/10000</f>
        <v>316.14694</v>
      </c>
      <c r="F11" s="98">
        <f t="shared" ref="F11" si="5">F12*F13*F14/10000</f>
        <v>474.22041</v>
      </c>
      <c r="G11" s="98">
        <f t="shared" ref="G11" si="6">G12*G13*G14/10000</f>
        <v>553.257145</v>
      </c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112">
        <f t="shared" ref="AC11" si="7">SUM(D11:AB11)</f>
        <v>1580.7347</v>
      </c>
    </row>
    <row r="12" spans="1:29">
      <c r="A12" s="94"/>
      <c r="B12" s="99" t="s">
        <v>112</v>
      </c>
      <c r="C12" s="94"/>
      <c r="D12" s="81">
        <f>4207+1560</f>
        <v>5767</v>
      </c>
      <c r="E12" s="81">
        <f>D12</f>
        <v>5767</v>
      </c>
      <c r="F12" s="81">
        <f>E12</f>
        <v>5767</v>
      </c>
      <c r="G12" s="81">
        <f>F12</f>
        <v>5767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111"/>
    </row>
    <row r="13" s="88" customFormat="1" spans="1:29">
      <c r="A13" s="100"/>
      <c r="B13" s="101" t="s">
        <v>113</v>
      </c>
      <c r="C13" s="100"/>
      <c r="D13" s="100">
        <v>2741</v>
      </c>
      <c r="E13" s="100">
        <f>D13</f>
        <v>2741</v>
      </c>
      <c r="F13" s="100">
        <f>E13</f>
        <v>2741</v>
      </c>
      <c r="G13" s="100">
        <f>F13</f>
        <v>2741</v>
      </c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13"/>
    </row>
    <row r="14" s="89" customFormat="1" spans="1:29">
      <c r="A14" s="102"/>
      <c r="B14" s="103" t="s">
        <v>114</v>
      </c>
      <c r="C14" s="102"/>
      <c r="D14" s="102">
        <v>0.15</v>
      </c>
      <c r="E14" s="102">
        <f>20%</f>
        <v>0.2</v>
      </c>
      <c r="F14" s="102">
        <f>30%</f>
        <v>0.3</v>
      </c>
      <c r="G14" s="102">
        <f>35%</f>
        <v>0.35</v>
      </c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14"/>
    </row>
    <row r="15" s="87" customFormat="1" spans="1:29">
      <c r="A15" s="97">
        <v>1.3</v>
      </c>
      <c r="B15" s="96" t="s">
        <v>116</v>
      </c>
      <c r="C15" s="97"/>
      <c r="D15" s="98">
        <f>D16*D17*D18/10000</f>
        <v>649.82556</v>
      </c>
      <c r="E15" s="98">
        <f t="shared" ref="E15" si="8">E16*E17*E18/10000</f>
        <v>866.43408</v>
      </c>
      <c r="F15" s="98">
        <f t="shared" ref="F15" si="9">F16*F17*F18/10000</f>
        <v>1299.65112</v>
      </c>
      <c r="G15" s="98">
        <f t="shared" ref="G15" si="10">G16*G17*G18/10000</f>
        <v>1516.25964</v>
      </c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112">
        <f t="shared" ref="AC15" si="11">SUM(D15:AB15)</f>
        <v>4332.1704</v>
      </c>
    </row>
    <row r="16" spans="1:29">
      <c r="A16" s="94"/>
      <c r="B16" s="99" t="s">
        <v>112</v>
      </c>
      <c r="C16" s="94"/>
      <c r="D16" s="81">
        <f>4207+1560</f>
        <v>5767</v>
      </c>
      <c r="E16" s="81">
        <f>D16</f>
        <v>5767</v>
      </c>
      <c r="F16" s="81">
        <f>E16</f>
        <v>5767</v>
      </c>
      <c r="G16" s="81">
        <f>F16</f>
        <v>5767</v>
      </c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111"/>
    </row>
    <row r="17" s="88" customFormat="1" spans="1:29">
      <c r="A17" s="100"/>
      <c r="B17" s="101" t="s">
        <v>113</v>
      </c>
      <c r="C17" s="100"/>
      <c r="D17" s="100">
        <v>7512</v>
      </c>
      <c r="E17" s="100">
        <f>D17</f>
        <v>7512</v>
      </c>
      <c r="F17" s="100">
        <f>E17</f>
        <v>7512</v>
      </c>
      <c r="G17" s="100">
        <f>F17</f>
        <v>7512</v>
      </c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13"/>
    </row>
    <row r="18" s="89" customFormat="1" spans="1:29">
      <c r="A18" s="102"/>
      <c r="B18" s="103" t="s">
        <v>114</v>
      </c>
      <c r="C18" s="102"/>
      <c r="D18" s="102">
        <v>0.15</v>
      </c>
      <c r="E18" s="102">
        <f>20%</f>
        <v>0.2</v>
      </c>
      <c r="F18" s="102">
        <f>30%</f>
        <v>0.3</v>
      </c>
      <c r="G18" s="102">
        <f>35%</f>
        <v>0.35</v>
      </c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14"/>
    </row>
    <row r="19" s="87" customFormat="1" spans="1:29">
      <c r="A19" s="97">
        <v>1.4</v>
      </c>
      <c r="B19" s="96" t="s">
        <v>117</v>
      </c>
      <c r="C19" s="97"/>
      <c r="D19" s="98">
        <f>D20*D21*D22/10000</f>
        <v>113.7942</v>
      </c>
      <c r="E19" s="98">
        <f t="shared" ref="E19" si="12">E20*E21*E22/10000</f>
        <v>151.7256</v>
      </c>
      <c r="F19" s="98">
        <f t="shared" ref="F19" si="13">F20*F21*F22/10000</f>
        <v>227.5884</v>
      </c>
      <c r="G19" s="98">
        <f t="shared" ref="G19" si="14">G20*G21*G22/10000</f>
        <v>265.5198</v>
      </c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112">
        <f t="shared" ref="AC19" si="15">SUM(D19:AB19)</f>
        <v>758.628</v>
      </c>
    </row>
    <row r="20" spans="1:29">
      <c r="A20" s="94"/>
      <c r="B20" s="99" t="s">
        <v>112</v>
      </c>
      <c r="C20" s="94"/>
      <c r="D20" s="81">
        <v>1560</v>
      </c>
      <c r="E20" s="81">
        <f>D20</f>
        <v>1560</v>
      </c>
      <c r="F20" s="81">
        <f>E20</f>
        <v>1560</v>
      </c>
      <c r="G20" s="81">
        <f>F20</f>
        <v>1560</v>
      </c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111"/>
    </row>
    <row r="21" s="88" customFormat="1" spans="1:29">
      <c r="A21" s="100"/>
      <c r="B21" s="101" t="s">
        <v>113</v>
      </c>
      <c r="C21" s="100"/>
      <c r="D21" s="100">
        <v>4863</v>
      </c>
      <c r="E21" s="100">
        <f>D21</f>
        <v>4863</v>
      </c>
      <c r="F21" s="100">
        <f>E21</f>
        <v>4863</v>
      </c>
      <c r="G21" s="100">
        <f>F21</f>
        <v>4863</v>
      </c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13"/>
    </row>
    <row r="22" s="89" customFormat="1" spans="1:29">
      <c r="A22" s="102"/>
      <c r="B22" s="103" t="s">
        <v>114</v>
      </c>
      <c r="C22" s="102"/>
      <c r="D22" s="102">
        <v>0.15</v>
      </c>
      <c r="E22" s="102">
        <f>20%</f>
        <v>0.2</v>
      </c>
      <c r="F22" s="102">
        <f>30%</f>
        <v>0.3</v>
      </c>
      <c r="G22" s="102">
        <f>35%</f>
        <v>0.35</v>
      </c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14"/>
    </row>
    <row r="23" s="87" customFormat="1" spans="1:29">
      <c r="A23" s="97">
        <v>2</v>
      </c>
      <c r="B23" s="96" t="s">
        <v>118</v>
      </c>
      <c r="C23" s="97"/>
      <c r="D23" s="98">
        <f>D24*D25*D26</f>
        <v>69.204</v>
      </c>
      <c r="E23" s="98">
        <f t="shared" ref="E23:Z23" si="16">E24*E25*E26</f>
        <v>164.70552</v>
      </c>
      <c r="F23" s="98">
        <f t="shared" si="16"/>
        <v>311.9993136</v>
      </c>
      <c r="G23" s="98">
        <f t="shared" si="16"/>
        <v>489.59892288</v>
      </c>
      <c r="H23" s="98">
        <f t="shared" si="16"/>
        <v>499.3909013376</v>
      </c>
      <c r="I23" s="98">
        <f t="shared" si="16"/>
        <v>509.378719364352</v>
      </c>
      <c r="J23" s="98">
        <f t="shared" si="16"/>
        <v>519.566293751639</v>
      </c>
      <c r="K23" s="98">
        <f t="shared" si="16"/>
        <v>529.957619626672</v>
      </c>
      <c r="L23" s="98">
        <f t="shared" si="16"/>
        <v>540.556772019205</v>
      </c>
      <c r="M23" s="98">
        <f t="shared" si="16"/>
        <v>551.367907459589</v>
      </c>
      <c r="N23" s="98">
        <f t="shared" si="16"/>
        <v>562.395265608781</v>
      </c>
      <c r="O23" s="98">
        <f t="shared" si="16"/>
        <v>573.643170920957</v>
      </c>
      <c r="P23" s="98">
        <f t="shared" si="16"/>
        <v>585.116034339376</v>
      </c>
      <c r="Q23" s="98">
        <f t="shared" si="16"/>
        <v>596.818355026163</v>
      </c>
      <c r="R23" s="98">
        <f t="shared" si="16"/>
        <v>608.754722126687</v>
      </c>
      <c r="S23" s="98">
        <f t="shared" si="16"/>
        <v>620.92981656922</v>
      </c>
      <c r="T23" s="98">
        <f t="shared" si="16"/>
        <v>633.348412900605</v>
      </c>
      <c r="U23" s="98">
        <f t="shared" si="16"/>
        <v>646.015381158617</v>
      </c>
      <c r="V23" s="98">
        <f t="shared" si="16"/>
        <v>658.935688781789</v>
      </c>
      <c r="W23" s="98">
        <f t="shared" si="16"/>
        <v>672.114402557425</v>
      </c>
      <c r="X23" s="98">
        <f t="shared" si="16"/>
        <v>685.556690608574</v>
      </c>
      <c r="Y23" s="98">
        <f t="shared" si="16"/>
        <v>699.267824420745</v>
      </c>
      <c r="Z23" s="98">
        <f t="shared" si="16"/>
        <v>713.25318090916</v>
      </c>
      <c r="AA23" s="98">
        <f t="shared" ref="AA23" si="17">AA24*AA25*AA26</f>
        <v>727.518244527343</v>
      </c>
      <c r="AB23" s="98">
        <f t="shared" ref="AB23" si="18">AB24*AB25*AB26</f>
        <v>742.06860941789</v>
      </c>
      <c r="AC23" s="112">
        <f t="shared" ref="AC23" si="19">SUM(D23:AB23)</f>
        <v>13911.4617699124</v>
      </c>
    </row>
    <row r="24" spans="1:29">
      <c r="A24" s="94"/>
      <c r="B24" s="99" t="s">
        <v>119</v>
      </c>
      <c r="C24" s="94"/>
      <c r="D24" s="81">
        <f>(4207+1560)/1000</f>
        <v>5.767</v>
      </c>
      <c r="E24" s="81">
        <f>D24</f>
        <v>5.767</v>
      </c>
      <c r="F24" s="81">
        <f t="shared" ref="F24:Z26" si="20">E24</f>
        <v>5.767</v>
      </c>
      <c r="G24" s="81">
        <f t="shared" si="20"/>
        <v>5.767</v>
      </c>
      <c r="H24" s="81">
        <f t="shared" si="20"/>
        <v>5.767</v>
      </c>
      <c r="I24" s="81">
        <f t="shared" si="20"/>
        <v>5.767</v>
      </c>
      <c r="J24" s="81">
        <f t="shared" si="20"/>
        <v>5.767</v>
      </c>
      <c r="K24" s="81">
        <f t="shared" si="20"/>
        <v>5.767</v>
      </c>
      <c r="L24" s="81">
        <f t="shared" si="20"/>
        <v>5.767</v>
      </c>
      <c r="M24" s="81">
        <f t="shared" si="20"/>
        <v>5.767</v>
      </c>
      <c r="N24" s="81">
        <f t="shared" si="20"/>
        <v>5.767</v>
      </c>
      <c r="O24" s="81">
        <f t="shared" si="20"/>
        <v>5.767</v>
      </c>
      <c r="P24" s="81">
        <f t="shared" si="20"/>
        <v>5.767</v>
      </c>
      <c r="Q24" s="81">
        <f t="shared" si="20"/>
        <v>5.767</v>
      </c>
      <c r="R24" s="81">
        <f t="shared" si="20"/>
        <v>5.767</v>
      </c>
      <c r="S24" s="81">
        <f t="shared" si="20"/>
        <v>5.767</v>
      </c>
      <c r="T24" s="81">
        <f t="shared" si="20"/>
        <v>5.767</v>
      </c>
      <c r="U24" s="81">
        <f t="shared" si="20"/>
        <v>5.767</v>
      </c>
      <c r="V24" s="81">
        <f t="shared" si="20"/>
        <v>5.767</v>
      </c>
      <c r="W24" s="81">
        <f t="shared" si="20"/>
        <v>5.767</v>
      </c>
      <c r="X24" s="81">
        <f t="shared" si="20"/>
        <v>5.767</v>
      </c>
      <c r="Y24" s="81">
        <f t="shared" si="20"/>
        <v>5.767</v>
      </c>
      <c r="Z24" s="81">
        <f t="shared" si="20"/>
        <v>5.767</v>
      </c>
      <c r="AA24" s="81">
        <f t="shared" ref="AA24:AB24" si="21">Z24</f>
        <v>5.767</v>
      </c>
      <c r="AB24" s="81">
        <f t="shared" si="21"/>
        <v>5.767</v>
      </c>
      <c r="AC24" s="111"/>
    </row>
    <row r="25" s="88" customFormat="1" spans="1:29">
      <c r="A25" s="100"/>
      <c r="B25" s="101" t="s">
        <v>120</v>
      </c>
      <c r="C25" s="100"/>
      <c r="D25" s="104">
        <v>80</v>
      </c>
      <c r="E25" s="100">
        <f>D25*1.02</f>
        <v>81.6</v>
      </c>
      <c r="F25" s="100">
        <f t="shared" ref="F25:Z25" si="22">E25*1.02</f>
        <v>83.232</v>
      </c>
      <c r="G25" s="100">
        <f t="shared" si="22"/>
        <v>84.89664</v>
      </c>
      <c r="H25" s="100">
        <f t="shared" si="22"/>
        <v>86.5945728</v>
      </c>
      <c r="I25" s="100">
        <f t="shared" si="22"/>
        <v>88.326464256</v>
      </c>
      <c r="J25" s="100">
        <f t="shared" si="22"/>
        <v>90.09299354112</v>
      </c>
      <c r="K25" s="100">
        <f t="shared" si="22"/>
        <v>91.8948534119424</v>
      </c>
      <c r="L25" s="100">
        <f t="shared" si="22"/>
        <v>93.7327504801813</v>
      </c>
      <c r="M25" s="100">
        <f t="shared" si="22"/>
        <v>95.6074054897849</v>
      </c>
      <c r="N25" s="100">
        <f t="shared" si="22"/>
        <v>97.5195535995806</v>
      </c>
      <c r="O25" s="100">
        <f t="shared" si="22"/>
        <v>99.4699446715722</v>
      </c>
      <c r="P25" s="100">
        <f t="shared" si="22"/>
        <v>101.459343565004</v>
      </c>
      <c r="Q25" s="100">
        <f t="shared" si="22"/>
        <v>103.488530436304</v>
      </c>
      <c r="R25" s="100">
        <f t="shared" si="22"/>
        <v>105.55830104503</v>
      </c>
      <c r="S25" s="100">
        <f t="shared" si="22"/>
        <v>107.66946706593</v>
      </c>
      <c r="T25" s="100">
        <f t="shared" si="22"/>
        <v>109.822856407249</v>
      </c>
      <c r="U25" s="100">
        <f t="shared" si="22"/>
        <v>112.019313535394</v>
      </c>
      <c r="V25" s="100">
        <f t="shared" si="22"/>
        <v>114.259699806102</v>
      </c>
      <c r="W25" s="100">
        <f t="shared" si="22"/>
        <v>116.544893802224</v>
      </c>
      <c r="X25" s="100">
        <f t="shared" si="22"/>
        <v>118.875791678268</v>
      </c>
      <c r="Y25" s="100">
        <f t="shared" si="22"/>
        <v>121.253307511834</v>
      </c>
      <c r="Z25" s="100">
        <f t="shared" si="22"/>
        <v>123.67837366207</v>
      </c>
      <c r="AA25" s="100">
        <f t="shared" ref="AA25:AB25" si="23">Z25*1.02</f>
        <v>126.151941135312</v>
      </c>
      <c r="AB25" s="100">
        <f t="shared" si="23"/>
        <v>128.674979958018</v>
      </c>
      <c r="AC25" s="113"/>
    </row>
    <row r="26" s="89" customFormat="1" spans="1:29">
      <c r="A26" s="102"/>
      <c r="B26" s="103" t="s">
        <v>114</v>
      </c>
      <c r="C26" s="102"/>
      <c r="D26" s="102">
        <v>0.15</v>
      </c>
      <c r="E26" s="102">
        <f>20%+D26</f>
        <v>0.35</v>
      </c>
      <c r="F26" s="102">
        <f>30%+E26</f>
        <v>0.65</v>
      </c>
      <c r="G26" s="102">
        <f>35%+F26</f>
        <v>1</v>
      </c>
      <c r="H26" s="102">
        <f>G26</f>
        <v>1</v>
      </c>
      <c r="I26" s="102">
        <f t="shared" si="20"/>
        <v>1</v>
      </c>
      <c r="J26" s="102">
        <f t="shared" si="20"/>
        <v>1</v>
      </c>
      <c r="K26" s="102">
        <f t="shared" si="20"/>
        <v>1</v>
      </c>
      <c r="L26" s="102">
        <f t="shared" si="20"/>
        <v>1</v>
      </c>
      <c r="M26" s="102">
        <f t="shared" si="20"/>
        <v>1</v>
      </c>
      <c r="N26" s="102">
        <f t="shared" si="20"/>
        <v>1</v>
      </c>
      <c r="O26" s="102">
        <f t="shared" si="20"/>
        <v>1</v>
      </c>
      <c r="P26" s="102">
        <f t="shared" si="20"/>
        <v>1</v>
      </c>
      <c r="Q26" s="102">
        <f t="shared" si="20"/>
        <v>1</v>
      </c>
      <c r="R26" s="102">
        <f t="shared" si="20"/>
        <v>1</v>
      </c>
      <c r="S26" s="102">
        <f t="shared" si="20"/>
        <v>1</v>
      </c>
      <c r="T26" s="102">
        <f t="shared" si="20"/>
        <v>1</v>
      </c>
      <c r="U26" s="102">
        <f t="shared" si="20"/>
        <v>1</v>
      </c>
      <c r="V26" s="102">
        <f t="shared" si="20"/>
        <v>1</v>
      </c>
      <c r="W26" s="102">
        <f t="shared" si="20"/>
        <v>1</v>
      </c>
      <c r="X26" s="102">
        <f t="shared" si="20"/>
        <v>1</v>
      </c>
      <c r="Y26" s="102">
        <f t="shared" si="20"/>
        <v>1</v>
      </c>
      <c r="Z26" s="102">
        <f t="shared" si="20"/>
        <v>1</v>
      </c>
      <c r="AA26" s="102">
        <f t="shared" ref="AA26:AB26" si="24">Z26</f>
        <v>1</v>
      </c>
      <c r="AB26" s="102">
        <f t="shared" si="24"/>
        <v>1</v>
      </c>
      <c r="AC26" s="114"/>
    </row>
    <row r="27" s="87" customFormat="1" spans="1:29">
      <c r="A27" s="97">
        <v>3</v>
      </c>
      <c r="B27" s="96" t="s">
        <v>121</v>
      </c>
      <c r="C27" s="97"/>
      <c r="D27" s="98">
        <f>(投资估算表!$C$9*6%*((1+6%)^25)/(((1+6%)^25)-1))-(D6+D23-总成本!D5)</f>
        <v>7227.04814236466</v>
      </c>
      <c r="E27" s="98">
        <f>(投资估算表!$C$9*6%*((1+6%)^25)/(((1+6%)^25)-1))-(E6+E23-总成本!E5)</f>
        <v>6754.33570736466</v>
      </c>
      <c r="F27" s="98">
        <f>(投资估算表!$C$9*6%*((1+6%)^25)/(((1+6%)^25)-1))-(F6+F23-总成本!F5)</f>
        <v>5845.76008376466</v>
      </c>
      <c r="G27" s="98">
        <f>(投资估算表!$C$9*6%*((1+6%)^25)/(((1+6%)^25)-1))-(G6+G23-总成本!G5)</f>
        <v>5291.23235948466</v>
      </c>
      <c r="H27" s="98">
        <f>(投资估算表!$C$9*6%*((1+6%)^25)/(((1+6%)^25)-1))-(H6+H23-总成本!H5)</f>
        <v>7978.34524202706</v>
      </c>
      <c r="I27" s="98">
        <f>(投资估算表!$C$9*6%*((1+6%)^25)/(((1+6%)^25)-1))-(I6+I23-总成本!I5)</f>
        <v>7975.93444912031</v>
      </c>
      <c r="J27" s="98">
        <f>(投资估算表!$C$9*6%*((1+6%)^25)/(((1+6%)^25)-1))-(J6+J23-总成本!J5)</f>
        <v>7973.47544035542</v>
      </c>
      <c r="K27" s="98">
        <f>(投资估算表!$C$9*6%*((1+6%)^25)/(((1+6%)^25)-1))-(K6+K23-总成本!K5)</f>
        <v>7970.96725141523</v>
      </c>
      <c r="L27" s="98">
        <f>(投资估算表!$C$9*6%*((1+6%)^25)/(((1+6%)^25)-1))-(L6+L23-总成本!L5)</f>
        <v>7968.40889869625</v>
      </c>
      <c r="M27" s="98">
        <f>(投资估算表!$C$9*6%*((1+6%)^25)/(((1+6%)^25)-1))-(M6+M23-总成本!M5)</f>
        <v>7965.79937892288</v>
      </c>
      <c r="N27" s="98">
        <f>(投资估算表!$C$9*6%*((1+6%)^25)/(((1+6%)^25)-1))-(N6+N23-总成本!N5)</f>
        <v>7963.13766875404</v>
      </c>
      <c r="O27" s="98">
        <f>(投资估算表!$C$9*6%*((1+6%)^25)/(((1+6%)^25)-1))-(O6+O23-总成本!O5)</f>
        <v>7960.42272438183</v>
      </c>
      <c r="P27" s="98">
        <f>(投资估算表!$C$9*6%*((1+6%)^25)/(((1+6%)^25)-1))-(P6+P23-总成本!P5)</f>
        <v>7957.65348112217</v>
      </c>
      <c r="Q27" s="98">
        <f>(投资估算表!$C$9*6%*((1+6%)^25)/(((1+6%)^25)-1))-(Q6+Q23-总成本!Q5)</f>
        <v>7954.82885299732</v>
      </c>
      <c r="R27" s="98">
        <f>(投资估算表!$C$9*6%*((1+6%)^25)/(((1+6%)^25)-1))-(R6+R23-总成本!R5)</f>
        <v>7951.94773230998</v>
      </c>
      <c r="S27" s="98">
        <f>(投资估算表!$C$9*6%*((1+6%)^25)/(((1+6%)^25)-1))-(S6+S23-总成本!S5)</f>
        <v>7949.00898920888</v>
      </c>
      <c r="T27" s="98">
        <f>(投资估算表!$C$9*6%*((1+6%)^25)/(((1+6%)^25)-1))-(T6+T23-总成本!T5)</f>
        <v>7946.01147124577</v>
      </c>
      <c r="U27" s="98">
        <f>(投资估算表!$C$9*6%*((1+6%)^25)/(((1+6%)^25)-1))-(U6+U23-总成本!U5)</f>
        <v>7942.95400292339</v>
      </c>
      <c r="V27" s="98">
        <f>(投资估算表!$C$9*6%*((1+6%)^25)/(((1+6%)^25)-1))-(V6+V23-总成本!V5)</f>
        <v>7939.83538523457</v>
      </c>
      <c r="W27" s="98">
        <f>(投资估算表!$C$9*6%*((1+6%)^25)/(((1+6%)^25)-1))-(W6+W23-总成本!W5)</f>
        <v>7936.65439519196</v>
      </c>
      <c r="X27" s="98">
        <f>(投资估算表!$C$9*6%*((1+6%)^25)/(((1+6%)^25)-1))-(X6+X23-总成本!X5)</f>
        <v>7933.40978534851</v>
      </c>
      <c r="Y27" s="98">
        <f>(投资估算表!$C$9*6%*((1+6%)^25)/(((1+6%)^25)-1))-(Y6+Y23-总成本!Y5)</f>
        <v>7930.10028330819</v>
      </c>
      <c r="Z27" s="98">
        <f>(投资估算表!$C$9*6%*((1+6%)^25)/(((1+6%)^25)-1))-(Z6+Z23-总成本!Z5)</f>
        <v>7926.72459122706</v>
      </c>
      <c r="AA27" s="98">
        <f>(投资估算表!$C$9*6%*((1+6%)^25)/(((1+6%)^25)-1))-(AA6+AA23-总成本!AA5)</f>
        <v>7923.2813853043</v>
      </c>
      <c r="AB27" s="98">
        <f>(投资估算表!$C$9*6%*((1+6%)^25)/(((1+6%)^25)-1))-(AB6+AB23-总成本!AB5)</f>
        <v>7919.7693152631</v>
      </c>
      <c r="AC27" s="112">
        <f t="shared" ref="AC27:AC33" si="25">SUM(D27:AB27)</f>
        <v>192087.047017337</v>
      </c>
    </row>
    <row r="28" s="87" customFormat="1" spans="1:29">
      <c r="A28" s="96" t="s">
        <v>122</v>
      </c>
      <c r="B28" s="97" t="s">
        <v>123</v>
      </c>
      <c r="C28" s="105"/>
      <c r="D28" s="106">
        <f>D29+D32+D33</f>
        <v>96.7660243099099</v>
      </c>
      <c r="E28" s="106">
        <f t="shared" ref="E28:Z28" si="26">E29+E32+E33</f>
        <v>149.232845924324</v>
      </c>
      <c r="F28" s="106">
        <f t="shared" si="26"/>
        <v>250.076554777946</v>
      </c>
      <c r="G28" s="106">
        <f t="shared" si="26"/>
        <v>311.624136427762</v>
      </c>
      <c r="H28" s="106">
        <f t="shared" si="26"/>
        <v>13.3788146897228</v>
      </c>
      <c r="I28" s="106">
        <f t="shared" si="26"/>
        <v>13.6463909835173</v>
      </c>
      <c r="J28" s="106">
        <f t="shared" si="26"/>
        <v>13.9193188031876</v>
      </c>
      <c r="K28" s="106">
        <f t="shared" si="26"/>
        <v>14.1977051792514</v>
      </c>
      <c r="L28" s="106">
        <f t="shared" si="26"/>
        <v>14.4816592828364</v>
      </c>
      <c r="M28" s="106">
        <f t="shared" si="26"/>
        <v>14.7712924684931</v>
      </c>
      <c r="N28" s="106">
        <f t="shared" si="26"/>
        <v>15.066718317863</v>
      </c>
      <c r="O28" s="106">
        <f t="shared" si="26"/>
        <v>15.3680526842202</v>
      </c>
      <c r="P28" s="106">
        <f t="shared" si="26"/>
        <v>15.6754137379046</v>
      </c>
      <c r="Q28" s="106">
        <f t="shared" si="26"/>
        <v>15.9889220126627</v>
      </c>
      <c r="R28" s="106">
        <f t="shared" si="26"/>
        <v>16.308700452916</v>
      </c>
      <c r="S28" s="106">
        <f t="shared" si="26"/>
        <v>16.6348744619743</v>
      </c>
      <c r="T28" s="106">
        <f t="shared" si="26"/>
        <v>16.9675719512138</v>
      </c>
      <c r="U28" s="106">
        <f t="shared" si="26"/>
        <v>17.3069233902381</v>
      </c>
      <c r="V28" s="106">
        <f t="shared" si="26"/>
        <v>17.6530618580428</v>
      </c>
      <c r="W28" s="106">
        <f t="shared" si="26"/>
        <v>18.0061230952037</v>
      </c>
      <c r="X28" s="106">
        <f t="shared" si="26"/>
        <v>18.3662455571078</v>
      </c>
      <c r="Y28" s="106">
        <f t="shared" si="26"/>
        <v>18.7335704682499</v>
      </c>
      <c r="Z28" s="106">
        <f t="shared" si="26"/>
        <v>19.1082418776149</v>
      </c>
      <c r="AA28" s="106">
        <f t="shared" ref="AA28" si="27">AA29+AA32+AA33</f>
        <v>19.4904067151672</v>
      </c>
      <c r="AB28" s="106">
        <f t="shared" ref="AB28" si="28">AB29+AB32+AB33</f>
        <v>19.8802148494706</v>
      </c>
      <c r="AC28" s="112">
        <f t="shared" si="25"/>
        <v>1152.6497842768</v>
      </c>
    </row>
    <row r="29" spans="1:29">
      <c r="A29" s="107">
        <v>1</v>
      </c>
      <c r="B29" s="107" t="s">
        <v>124</v>
      </c>
      <c r="C29" s="108"/>
      <c r="D29" s="109">
        <f>D30-D31</f>
        <v>86.398235990991</v>
      </c>
      <c r="E29" s="109">
        <f t="shared" ref="E29:M29" si="29">E30-E31</f>
        <v>133.243612432432</v>
      </c>
      <c r="F29" s="109">
        <f t="shared" si="29"/>
        <v>223.282638194595</v>
      </c>
      <c r="G29" s="109">
        <f t="shared" si="29"/>
        <v>278.235836096216</v>
      </c>
      <c r="H29" s="109">
        <f t="shared" si="29"/>
        <v>11.9453702586811</v>
      </c>
      <c r="I29" s="109">
        <f t="shared" si="29"/>
        <v>12.1842776638547</v>
      </c>
      <c r="J29" s="109">
        <f t="shared" si="29"/>
        <v>12.4279632171318</v>
      </c>
      <c r="K29" s="109">
        <f t="shared" si="29"/>
        <v>12.6765224814744</v>
      </c>
      <c r="L29" s="109">
        <f t="shared" si="29"/>
        <v>12.9300529311039</v>
      </c>
      <c r="M29" s="109">
        <f t="shared" si="29"/>
        <v>13.188653989726</v>
      </c>
      <c r="N29" s="109">
        <f t="shared" ref="N29:Z29" si="30">N30-N31</f>
        <v>13.4524270695205</v>
      </c>
      <c r="O29" s="109">
        <f t="shared" si="30"/>
        <v>13.7214756109109</v>
      </c>
      <c r="P29" s="109">
        <f t="shared" si="30"/>
        <v>13.9959051231291</v>
      </c>
      <c r="Q29" s="109">
        <f t="shared" si="30"/>
        <v>14.2758232255917</v>
      </c>
      <c r="R29" s="109">
        <f t="shared" si="30"/>
        <v>14.5613396901036</v>
      </c>
      <c r="S29" s="109">
        <f t="shared" si="30"/>
        <v>14.8525664839056</v>
      </c>
      <c r="T29" s="109">
        <f t="shared" si="30"/>
        <v>15.1496178135837</v>
      </c>
      <c r="U29" s="109">
        <f t="shared" si="30"/>
        <v>15.4526101698554</v>
      </c>
      <c r="V29" s="109">
        <f t="shared" si="30"/>
        <v>15.7616623732525</v>
      </c>
      <c r="W29" s="109">
        <f t="shared" si="30"/>
        <v>16.0768956207176</v>
      </c>
      <c r="X29" s="109">
        <f t="shared" si="30"/>
        <v>16.3984335331319</v>
      </c>
      <c r="Y29" s="109">
        <f t="shared" si="30"/>
        <v>16.7264022037945</v>
      </c>
      <c r="Z29" s="109">
        <f t="shared" si="30"/>
        <v>17.0609302478705</v>
      </c>
      <c r="AA29" s="109">
        <f t="shared" ref="AA29:AB29" si="31">AA30-AA31</f>
        <v>17.4021488528278</v>
      </c>
      <c r="AB29" s="109">
        <f t="shared" si="31"/>
        <v>17.7501918298844</v>
      </c>
      <c r="AC29" s="115">
        <f t="shared" si="25"/>
        <v>1029.15159310429</v>
      </c>
    </row>
    <row r="30" spans="1:29">
      <c r="A30" s="107">
        <v>1.1</v>
      </c>
      <c r="B30" s="107" t="s">
        <v>125</v>
      </c>
      <c r="C30" s="110">
        <v>0.11</v>
      </c>
      <c r="D30" s="109">
        <f>(D6+D23)/(1+$C$30)*$C$30</f>
        <v>121.082920675676</v>
      </c>
      <c r="E30" s="109">
        <f t="shared" ref="E30:Z30" si="32">(E6+E23)/(1+$C$30)*$C$30</f>
        <v>168.621990810811</v>
      </c>
      <c r="F30" s="109">
        <f t="shared" si="32"/>
        <v>259.368584140541</v>
      </c>
      <c r="G30" s="109">
        <f t="shared" si="32"/>
        <v>315.043500961081</v>
      </c>
      <c r="H30" s="109">
        <f t="shared" si="32"/>
        <v>49.4891884208432</v>
      </c>
      <c r="I30" s="109">
        <f t="shared" si="32"/>
        <v>50.4789721892601</v>
      </c>
      <c r="J30" s="109">
        <f t="shared" si="32"/>
        <v>51.4885516330453</v>
      </c>
      <c r="K30" s="109">
        <f t="shared" si="32"/>
        <v>52.5183226657062</v>
      </c>
      <c r="L30" s="109">
        <f t="shared" si="32"/>
        <v>53.5686891190203</v>
      </c>
      <c r="M30" s="109">
        <f t="shared" si="32"/>
        <v>54.6400629014007</v>
      </c>
      <c r="N30" s="109">
        <f t="shared" si="32"/>
        <v>55.7328641594288</v>
      </c>
      <c r="O30" s="109">
        <f t="shared" si="32"/>
        <v>56.8475214426173</v>
      </c>
      <c r="P30" s="109">
        <f t="shared" si="32"/>
        <v>57.9844718714697</v>
      </c>
      <c r="Q30" s="109">
        <f t="shared" si="32"/>
        <v>59.1441613088991</v>
      </c>
      <c r="R30" s="109">
        <f t="shared" si="32"/>
        <v>60.3270445350771</v>
      </c>
      <c r="S30" s="109">
        <f t="shared" si="32"/>
        <v>61.5335854257786</v>
      </c>
      <c r="T30" s="109">
        <f t="shared" si="32"/>
        <v>62.7642571342942</v>
      </c>
      <c r="U30" s="109">
        <f t="shared" si="32"/>
        <v>64.01954227698</v>
      </c>
      <c r="V30" s="109">
        <f t="shared" si="32"/>
        <v>65.2999331225197</v>
      </c>
      <c r="W30" s="109">
        <f t="shared" si="32"/>
        <v>66.6059317849701</v>
      </c>
      <c r="X30" s="109">
        <f t="shared" si="32"/>
        <v>67.9380504206695</v>
      </c>
      <c r="Y30" s="109">
        <f t="shared" si="32"/>
        <v>69.2968114290828</v>
      </c>
      <c r="Z30" s="109">
        <f t="shared" si="32"/>
        <v>70.6827476576645</v>
      </c>
      <c r="AA30" s="109">
        <f t="shared" ref="AA30:AB30" si="33">(AA6+AA23)/(1+$C$30)*$C$30</f>
        <v>72.0964026108178</v>
      </c>
      <c r="AB30" s="109">
        <f t="shared" si="33"/>
        <v>73.5383306630341</v>
      </c>
      <c r="AC30" s="115">
        <f t="shared" si="25"/>
        <v>2140.11243936069</v>
      </c>
    </row>
    <row r="31" spans="1:29">
      <c r="A31" s="107">
        <v>1.2</v>
      </c>
      <c r="B31" s="107" t="s">
        <v>126</v>
      </c>
      <c r="C31" s="110">
        <v>0.11</v>
      </c>
      <c r="D31" s="109">
        <f>总成本!D5/(1+$C$31)*$C$31</f>
        <v>34.6846846846847</v>
      </c>
      <c r="E31" s="109">
        <f>总成本!E5/(1+$C$31)*$C$31</f>
        <v>35.3783783783784</v>
      </c>
      <c r="F31" s="109">
        <f>总成本!F5/(1+$C$31)*$C$31</f>
        <v>36.0859459459459</v>
      </c>
      <c r="G31" s="109">
        <f>总成本!G5/(1+$C$31)*$C$31</f>
        <v>36.8076648648649</v>
      </c>
      <c r="H31" s="109">
        <f>总成本!H5/(1+$C$31)*$C$31</f>
        <v>37.5438181621622</v>
      </c>
      <c r="I31" s="109">
        <f>总成本!I5/(1+$C$31)*$C$31</f>
        <v>38.2946945254054</v>
      </c>
      <c r="J31" s="109">
        <f>总成本!J5/(1+$C$31)*$C$31</f>
        <v>39.0605884159135</v>
      </c>
      <c r="K31" s="109">
        <f>总成本!K5/(1+$C$31)*$C$31</f>
        <v>39.8418001842318</v>
      </c>
      <c r="L31" s="109">
        <f>总成本!L5/(1+$C$31)*$C$31</f>
        <v>40.6386361879164</v>
      </c>
      <c r="M31" s="109">
        <f>总成本!M5/(1+$C$31)*$C$31</f>
        <v>41.4514089116748</v>
      </c>
      <c r="N31" s="109">
        <f>总成本!N5/(1+$C$31)*$C$31</f>
        <v>42.2804370899082</v>
      </c>
      <c r="O31" s="109">
        <f>总成本!O5/(1+$C$31)*$C$31</f>
        <v>43.1260458317064</v>
      </c>
      <c r="P31" s="109">
        <f>总成本!P5/(1+$C$31)*$C$31</f>
        <v>43.9885667483405</v>
      </c>
      <c r="Q31" s="109">
        <f>总成本!Q5/(1+$C$31)*$C$31</f>
        <v>44.8683380833073</v>
      </c>
      <c r="R31" s="109">
        <f>总成本!R5/(1+$C$31)*$C$31</f>
        <v>45.7657048449735</v>
      </c>
      <c r="S31" s="109">
        <f>总成本!S5/(1+$C$31)*$C$31</f>
        <v>46.681018941873</v>
      </c>
      <c r="T31" s="109">
        <f>总成本!T5/(1+$C$31)*$C$31</f>
        <v>47.6146393207104</v>
      </c>
      <c r="U31" s="109">
        <f>总成本!U5/(1+$C$31)*$C$31</f>
        <v>48.5669321071246</v>
      </c>
      <c r="V31" s="109">
        <f>总成本!V5/(1+$C$31)*$C$31</f>
        <v>49.5382707492671</v>
      </c>
      <c r="W31" s="109">
        <f>总成本!W5/(1+$C$31)*$C$31</f>
        <v>50.5290361642525</v>
      </c>
      <c r="X31" s="109">
        <f>总成本!X5/(1+$C$31)*$C$31</f>
        <v>51.5396168875375</v>
      </c>
      <c r="Y31" s="109">
        <f>总成本!Y5/(1+$C$31)*$C$31</f>
        <v>52.5704092252883</v>
      </c>
      <c r="Z31" s="109">
        <f>总成本!Z5/(1+$C$31)*$C$31</f>
        <v>53.621817409794</v>
      </c>
      <c r="AA31" s="109">
        <f>总成本!AA5/(1+$C$31)*$C$31</f>
        <v>54.6942537579899</v>
      </c>
      <c r="AB31" s="109">
        <f>总成本!AB5/(1+$C$31)*$C$31</f>
        <v>55.7881388331497</v>
      </c>
      <c r="AC31" s="115">
        <f t="shared" si="25"/>
        <v>1110.9608462564</v>
      </c>
    </row>
    <row r="32" ht="28.8" spans="1:29">
      <c r="A32" s="107">
        <v>2</v>
      </c>
      <c r="B32" s="107" t="s">
        <v>127</v>
      </c>
      <c r="C32" s="110">
        <v>0.07</v>
      </c>
      <c r="D32" s="109">
        <f>D29*$C$32</f>
        <v>6.04787651936937</v>
      </c>
      <c r="E32" s="109">
        <f t="shared" ref="E32:Z32" si="34">E29*$C$32</f>
        <v>9.32705287027027</v>
      </c>
      <c r="F32" s="109">
        <f t="shared" si="34"/>
        <v>15.6297846736216</v>
      </c>
      <c r="G32" s="109">
        <f t="shared" si="34"/>
        <v>19.4765085267351</v>
      </c>
      <c r="H32" s="109">
        <f t="shared" si="34"/>
        <v>0.836175918107676</v>
      </c>
      <c r="I32" s="109">
        <f t="shared" si="34"/>
        <v>0.852899436469829</v>
      </c>
      <c r="J32" s="109">
        <f t="shared" si="34"/>
        <v>0.869957425199225</v>
      </c>
      <c r="K32" s="109">
        <f t="shared" si="34"/>
        <v>0.88735657370321</v>
      </c>
      <c r="L32" s="109">
        <f t="shared" si="34"/>
        <v>0.905103705177274</v>
      </c>
      <c r="M32" s="109">
        <f t="shared" si="34"/>
        <v>0.923205779280819</v>
      </c>
      <c r="N32" s="109">
        <f t="shared" si="34"/>
        <v>0.941669894866435</v>
      </c>
      <c r="O32" s="109">
        <f t="shared" si="34"/>
        <v>0.960503292763766</v>
      </c>
      <c r="P32" s="109">
        <f t="shared" si="34"/>
        <v>0.97971335861904</v>
      </c>
      <c r="Q32" s="109">
        <f t="shared" si="34"/>
        <v>0.999307625791421</v>
      </c>
      <c r="R32" s="109">
        <f t="shared" si="34"/>
        <v>1.01929377830725</v>
      </c>
      <c r="S32" s="109">
        <f t="shared" si="34"/>
        <v>1.03967965387339</v>
      </c>
      <c r="T32" s="109">
        <f t="shared" si="34"/>
        <v>1.06047324695086</v>
      </c>
      <c r="U32" s="109">
        <f t="shared" si="34"/>
        <v>1.08168271188988</v>
      </c>
      <c r="V32" s="109">
        <f t="shared" si="34"/>
        <v>1.10331636612768</v>
      </c>
      <c r="W32" s="109">
        <f t="shared" si="34"/>
        <v>1.12538269345023</v>
      </c>
      <c r="X32" s="109">
        <f t="shared" si="34"/>
        <v>1.14789034731924</v>
      </c>
      <c r="Y32" s="109">
        <f t="shared" si="34"/>
        <v>1.17084815426562</v>
      </c>
      <c r="Z32" s="109">
        <f t="shared" si="34"/>
        <v>1.19426511735093</v>
      </c>
      <c r="AA32" s="109">
        <f t="shared" ref="AA32:AB32" si="35">AA29*$C$32</f>
        <v>1.21815041969795</v>
      </c>
      <c r="AB32" s="109">
        <f t="shared" si="35"/>
        <v>1.24251342809191</v>
      </c>
      <c r="AC32" s="115">
        <f t="shared" si="25"/>
        <v>72.0406115173</v>
      </c>
    </row>
    <row r="33" ht="28.8" spans="1:29">
      <c r="A33" s="107">
        <v>3</v>
      </c>
      <c r="B33" s="107" t="s">
        <v>128</v>
      </c>
      <c r="C33" s="110">
        <v>0.05</v>
      </c>
      <c r="D33" s="109">
        <f>D29*$C$33</f>
        <v>4.31991179954955</v>
      </c>
      <c r="E33" s="109">
        <f t="shared" ref="E33:Z33" si="36">E29*$C$33</f>
        <v>6.66218062162162</v>
      </c>
      <c r="F33" s="109">
        <f t="shared" si="36"/>
        <v>11.1641319097297</v>
      </c>
      <c r="G33" s="109">
        <f t="shared" si="36"/>
        <v>13.9117918048108</v>
      </c>
      <c r="H33" s="109">
        <f t="shared" si="36"/>
        <v>0.597268512934054</v>
      </c>
      <c r="I33" s="109">
        <f t="shared" si="36"/>
        <v>0.609213883192735</v>
      </c>
      <c r="J33" s="109">
        <f t="shared" si="36"/>
        <v>0.621398160856589</v>
      </c>
      <c r="K33" s="109">
        <f t="shared" si="36"/>
        <v>0.633826124073722</v>
      </c>
      <c r="L33" s="109">
        <f t="shared" si="36"/>
        <v>0.646502646555196</v>
      </c>
      <c r="M33" s="109">
        <f t="shared" si="36"/>
        <v>0.659432699486299</v>
      </c>
      <c r="N33" s="109">
        <f t="shared" si="36"/>
        <v>0.672621353476025</v>
      </c>
      <c r="O33" s="109">
        <f t="shared" si="36"/>
        <v>0.686073780545547</v>
      </c>
      <c r="P33" s="109">
        <f t="shared" si="36"/>
        <v>0.699795256156457</v>
      </c>
      <c r="Q33" s="109">
        <f t="shared" si="36"/>
        <v>0.713791161279586</v>
      </c>
      <c r="R33" s="109">
        <f t="shared" si="36"/>
        <v>0.728066984505178</v>
      </c>
      <c r="S33" s="109">
        <f t="shared" si="36"/>
        <v>0.742628324195281</v>
      </c>
      <c r="T33" s="109">
        <f t="shared" si="36"/>
        <v>0.757480890679187</v>
      </c>
      <c r="U33" s="109">
        <f t="shared" si="36"/>
        <v>0.772630508492771</v>
      </c>
      <c r="V33" s="109">
        <f t="shared" si="36"/>
        <v>0.788083118662626</v>
      </c>
      <c r="W33" s="109">
        <f t="shared" si="36"/>
        <v>0.803844781035879</v>
      </c>
      <c r="X33" s="109">
        <f t="shared" si="36"/>
        <v>0.819921676656596</v>
      </c>
      <c r="Y33" s="109">
        <f t="shared" si="36"/>
        <v>0.836320110189728</v>
      </c>
      <c r="Z33" s="109">
        <f t="shared" si="36"/>
        <v>0.853046512393523</v>
      </c>
      <c r="AA33" s="109">
        <f t="shared" ref="AA33:AB33" si="37">AA29*$C$33</f>
        <v>0.870107442641393</v>
      </c>
      <c r="AB33" s="109">
        <f t="shared" si="37"/>
        <v>0.887509591494221</v>
      </c>
      <c r="AC33" s="115">
        <f t="shared" si="25"/>
        <v>51.4575796552143</v>
      </c>
    </row>
  </sheetData>
  <mergeCells count="6">
    <mergeCell ref="A1:AC1"/>
    <mergeCell ref="A2:AC2"/>
    <mergeCell ref="D3:AB3"/>
    <mergeCell ref="A3:A4"/>
    <mergeCell ref="B3:B4"/>
    <mergeCell ref="C3:C4"/>
  </mergeCells>
  <pageMargins left="0.700694444444445" right="0.700694444444445" top="0.751388888888889" bottom="0.751388888888889" header="0.297916666666667" footer="0.297916666666667"/>
  <pageSetup paperSize="9" orientation="landscape"/>
  <headerFooter/>
  <ignoredErrors>
    <ignoredError sqref="H25:AB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workbookViewId="0">
      <selection activeCell="D5" sqref="D5"/>
    </sheetView>
  </sheetViews>
  <sheetFormatPr defaultColWidth="9" defaultRowHeight="15.6"/>
  <cols>
    <col min="1" max="1" width="5.55555555555556" style="72" customWidth="1"/>
    <col min="2" max="2" width="22.3333333333333" style="72" customWidth="1"/>
    <col min="3" max="3" width="10.3333333333333" style="72" customWidth="1"/>
    <col min="4" max="4" width="8.66666666666667" style="72" customWidth="1"/>
    <col min="5" max="7" width="9.44444444444444" style="72" customWidth="1"/>
    <col min="8" max="22" width="9.66666666666667" style="72" customWidth="1"/>
    <col min="23" max="26" width="9.77777777777778" style="72"/>
    <col min="27" max="27" width="10.4444444444444" style="72" customWidth="1"/>
    <col min="28" max="28" width="9.77777777777778" style="72"/>
    <col min="29" max="16384" width="9" style="72"/>
  </cols>
  <sheetData>
    <row r="1" ht="22.35" customHeight="1" spans="1:11">
      <c r="A1" s="73" t="s">
        <v>129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28">
      <c r="A2" s="74" t="s">
        <v>56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 ht="14.4" spans="1:28">
      <c r="A3" s="76" t="s">
        <v>1</v>
      </c>
      <c r="B3" s="76" t="s">
        <v>84</v>
      </c>
      <c r="C3" s="76" t="s">
        <v>48</v>
      </c>
      <c r="D3" s="76" t="s">
        <v>74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</row>
    <row r="4" ht="14.4" spans="1:28">
      <c r="A4" s="77"/>
      <c r="B4" s="77"/>
      <c r="C4" s="77"/>
      <c r="D4" s="77">
        <v>3</v>
      </c>
      <c r="E4" s="77">
        <v>4</v>
      </c>
      <c r="F4" s="77">
        <v>5</v>
      </c>
      <c r="G4" s="77">
        <v>6</v>
      </c>
      <c r="H4" s="77">
        <v>7</v>
      </c>
      <c r="I4" s="77">
        <v>8</v>
      </c>
      <c r="J4" s="77">
        <v>9</v>
      </c>
      <c r="K4" s="77">
        <v>10</v>
      </c>
      <c r="L4" s="77">
        <v>11</v>
      </c>
      <c r="M4" s="77">
        <v>12</v>
      </c>
      <c r="N4" s="77">
        <v>13</v>
      </c>
      <c r="O4" s="77">
        <v>14</v>
      </c>
      <c r="P4" s="77">
        <v>15</v>
      </c>
      <c r="Q4" s="77">
        <v>16</v>
      </c>
      <c r="R4" s="77">
        <v>17</v>
      </c>
      <c r="S4" s="77">
        <v>18</v>
      </c>
      <c r="T4" s="77">
        <v>19</v>
      </c>
      <c r="U4" s="77">
        <v>20</v>
      </c>
      <c r="V4" s="77">
        <v>21</v>
      </c>
      <c r="W4" s="77">
        <v>22</v>
      </c>
      <c r="X4" s="77">
        <v>23</v>
      </c>
      <c r="Y4" s="77">
        <v>24</v>
      </c>
      <c r="Z4" s="77">
        <v>25</v>
      </c>
      <c r="AA4" s="77">
        <v>26</v>
      </c>
      <c r="AB4" s="77">
        <v>27</v>
      </c>
    </row>
    <row r="5" ht="14.4" spans="1:28">
      <c r="A5" s="77">
        <v>1</v>
      </c>
      <c r="B5" s="78" t="s">
        <v>130</v>
      </c>
      <c r="C5" s="79">
        <f>SUM(D5:AB5)</f>
        <v>213682.727087249</v>
      </c>
      <c r="D5" s="79">
        <f>销售收入及增值税估算表!D5</f>
        <v>8448.88488736466</v>
      </c>
      <c r="E5" s="79">
        <f>销售收入及增值税估算表!E5</f>
        <v>8455.88488736466</v>
      </c>
      <c r="F5" s="79">
        <f>销售收入及增值税估算表!F5</f>
        <v>8463.02488736466</v>
      </c>
      <c r="G5" s="79">
        <f>销售收入及增值税估算表!G5</f>
        <v>8470.30768736466</v>
      </c>
      <c r="H5" s="79">
        <f>销售收入及增值税估算表!H5</f>
        <v>8477.73614336466</v>
      </c>
      <c r="I5" s="79">
        <f>销售收入及增值税估算表!I5</f>
        <v>8485.31316848466</v>
      </c>
      <c r="J5" s="79">
        <f>销售收入及增值税估算表!J5</f>
        <v>8493.04173410706</v>
      </c>
      <c r="K5" s="79">
        <f>销售收入及增值税估算表!K5</f>
        <v>8500.92487104191</v>
      </c>
      <c r="L5" s="79">
        <f>销售收入及增值税估算表!L5</f>
        <v>8508.96567071545</v>
      </c>
      <c r="M5" s="79">
        <f>销售收入及增值税估算表!M5</f>
        <v>8517.16728638247</v>
      </c>
      <c r="N5" s="79">
        <f>销售收入及增值税估算表!N5</f>
        <v>8525.53293436282</v>
      </c>
      <c r="O5" s="79">
        <f>销售收入及增值税估算表!O5</f>
        <v>8534.06589530279</v>
      </c>
      <c r="P5" s="79">
        <f>销售收入及增值税估算表!P5</f>
        <v>8542.76951546155</v>
      </c>
      <c r="Q5" s="79">
        <f>销售收入及增值税估算表!Q5</f>
        <v>8551.64720802349</v>
      </c>
      <c r="R5" s="79">
        <f>销售收入及增值税估算表!R5</f>
        <v>8560.70245443666</v>
      </c>
      <c r="S5" s="79">
        <f>销售收入及增值税估算表!S5</f>
        <v>8569.9388057781</v>
      </c>
      <c r="T5" s="79">
        <f>销售收入及增值税估算表!T5</f>
        <v>8579.35988414637</v>
      </c>
      <c r="U5" s="79">
        <f>销售收入及增值税估算表!U5</f>
        <v>8588.96938408201</v>
      </c>
      <c r="V5" s="79">
        <f>销售收入及增值税估算表!V5</f>
        <v>8598.77107401635</v>
      </c>
      <c r="W5" s="79">
        <f>销售收入及增值税估算表!W5</f>
        <v>8608.76879774939</v>
      </c>
      <c r="X5" s="79">
        <f>销售收入及增值税估算表!X5</f>
        <v>8618.96647595708</v>
      </c>
      <c r="Y5" s="79">
        <f>销售收入及增值税估算表!Y5</f>
        <v>8629.36810772893</v>
      </c>
      <c r="Z5" s="79">
        <f>销售收入及增值税估算表!Z5</f>
        <v>8639.97777213622</v>
      </c>
      <c r="AA5" s="79">
        <f>销售收入及增值税估算表!AA5</f>
        <v>8650.79962983165</v>
      </c>
      <c r="AB5" s="79">
        <f>销售收入及增值税估算表!AB5</f>
        <v>8661.83792468099</v>
      </c>
    </row>
    <row r="6" ht="14.4" spans="1:28">
      <c r="A6" s="77">
        <v>2</v>
      </c>
      <c r="B6" s="78" t="s">
        <v>131</v>
      </c>
      <c r="C6" s="79">
        <f t="shared" ref="C6:C19" si="0">SUM(D6:AB6)</f>
        <v>1152.6497842768</v>
      </c>
      <c r="D6" s="80">
        <f>销售收入及增值税估算表!D28</f>
        <v>96.7660243099099</v>
      </c>
      <c r="E6" s="80">
        <f>销售收入及增值税估算表!E28</f>
        <v>149.232845924324</v>
      </c>
      <c r="F6" s="80">
        <f>销售收入及增值税估算表!F28</f>
        <v>250.076554777946</v>
      </c>
      <c r="G6" s="80">
        <f>销售收入及增值税估算表!G28</f>
        <v>311.624136427762</v>
      </c>
      <c r="H6" s="80">
        <f>销售收入及增值税估算表!H28</f>
        <v>13.3788146897228</v>
      </c>
      <c r="I6" s="80">
        <f>销售收入及增值税估算表!I28</f>
        <v>13.6463909835173</v>
      </c>
      <c r="J6" s="80">
        <f>销售收入及增值税估算表!J28</f>
        <v>13.9193188031876</v>
      </c>
      <c r="K6" s="80">
        <f>销售收入及增值税估算表!K28</f>
        <v>14.1977051792514</v>
      </c>
      <c r="L6" s="80">
        <f>销售收入及增值税估算表!L28</f>
        <v>14.4816592828364</v>
      </c>
      <c r="M6" s="80">
        <f>销售收入及增值税估算表!M28</f>
        <v>14.7712924684931</v>
      </c>
      <c r="N6" s="80">
        <f>销售收入及增值税估算表!N28</f>
        <v>15.066718317863</v>
      </c>
      <c r="O6" s="80">
        <f>销售收入及增值税估算表!O28</f>
        <v>15.3680526842202</v>
      </c>
      <c r="P6" s="80">
        <f>销售收入及增值税估算表!P28</f>
        <v>15.6754137379046</v>
      </c>
      <c r="Q6" s="80">
        <f>销售收入及增值税估算表!Q28</f>
        <v>15.9889220126627</v>
      </c>
      <c r="R6" s="80">
        <f>销售收入及增值税估算表!R28</f>
        <v>16.308700452916</v>
      </c>
      <c r="S6" s="80">
        <f>销售收入及增值税估算表!S28</f>
        <v>16.6348744619743</v>
      </c>
      <c r="T6" s="80">
        <f>销售收入及增值税估算表!T28</f>
        <v>16.9675719512138</v>
      </c>
      <c r="U6" s="80">
        <f>销售收入及增值税估算表!U28</f>
        <v>17.3069233902381</v>
      </c>
      <c r="V6" s="80">
        <f>销售收入及增值税估算表!V28</f>
        <v>17.6530618580428</v>
      </c>
      <c r="W6" s="80">
        <f>销售收入及增值税估算表!W28</f>
        <v>18.0061230952037</v>
      </c>
      <c r="X6" s="80">
        <f>销售收入及增值税估算表!X28</f>
        <v>18.3662455571078</v>
      </c>
      <c r="Y6" s="80">
        <f>销售收入及增值税估算表!Y28</f>
        <v>18.7335704682499</v>
      </c>
      <c r="Z6" s="80">
        <f>销售收入及增值税估算表!Z28</f>
        <v>19.1082418776149</v>
      </c>
      <c r="AA6" s="80">
        <f>销售收入及增值税估算表!AA28</f>
        <v>19.4904067151672</v>
      </c>
      <c r="AB6" s="80">
        <f>销售收入及增值税估算表!AB28</f>
        <v>19.8802148494706</v>
      </c>
    </row>
    <row r="7" ht="14.4" spans="1:28">
      <c r="A7" s="77">
        <v>3</v>
      </c>
      <c r="B7" s="78" t="s">
        <v>132</v>
      </c>
      <c r="C7" s="79">
        <f t="shared" si="0"/>
        <v>162237.357203133</v>
      </c>
      <c r="D7" s="81">
        <f>总成本!D8</f>
        <v>9570.91222</v>
      </c>
      <c r="E7" s="81">
        <f>总成本!E8</f>
        <v>9290.73659473684</v>
      </c>
      <c r="F7" s="81">
        <f>总成本!F8</f>
        <v>9019.70096947368</v>
      </c>
      <c r="G7" s="81">
        <f>总成本!G8</f>
        <v>8748.80814421052</v>
      </c>
      <c r="H7" s="81">
        <f>总成本!H8</f>
        <v>8478.06097494737</v>
      </c>
      <c r="I7" s="81">
        <f>总成本!I8</f>
        <v>8207.46237480421</v>
      </c>
      <c r="J7" s="81">
        <f>总成本!J8</f>
        <v>7937.01531516345</v>
      </c>
      <c r="K7" s="81">
        <f>总成本!K8</f>
        <v>7666.72282683514</v>
      </c>
      <c r="L7" s="81">
        <f>总成本!L8</f>
        <v>7396.58800124553</v>
      </c>
      <c r="M7" s="81">
        <f>总成本!M8</f>
        <v>7126.61399164939</v>
      </c>
      <c r="N7" s="81">
        <f>总成本!N8</f>
        <v>6856.80401436658</v>
      </c>
      <c r="O7" s="81">
        <f>总成本!O8</f>
        <v>6587.16135004339</v>
      </c>
      <c r="P7" s="81">
        <f>总成本!P8</f>
        <v>6317.689344939</v>
      </c>
      <c r="Q7" s="81">
        <f>总成本!Q8</f>
        <v>6048.39141223778</v>
      </c>
      <c r="R7" s="81">
        <f>总成本!R8</f>
        <v>5779.27103338779</v>
      </c>
      <c r="S7" s="81">
        <f>总成本!S8</f>
        <v>5510.33175946607</v>
      </c>
      <c r="T7" s="81">
        <f>总成本!T8</f>
        <v>5241.57721257119</v>
      </c>
      <c r="U7" s="81">
        <f>总成本!U8</f>
        <v>4973.01108724366</v>
      </c>
      <c r="V7" s="81">
        <f>总成本!V8</f>
        <v>4704.63715191485</v>
      </c>
      <c r="W7" s="81">
        <f>总成本!W8</f>
        <v>4436.45925038473</v>
      </c>
      <c r="X7" s="81">
        <f>总成本!X8</f>
        <v>4446.65692859242</v>
      </c>
      <c r="Y7" s="81">
        <f>总成本!Y8</f>
        <v>4457.05856036427</v>
      </c>
      <c r="Z7" s="81">
        <f>总成本!Z8</f>
        <v>4467.66822477156</v>
      </c>
      <c r="AA7" s="81">
        <f>总成本!AA8</f>
        <v>4478.49008246699</v>
      </c>
      <c r="AB7" s="81">
        <f>总成本!AB8</f>
        <v>4489.52837731633</v>
      </c>
    </row>
    <row r="8" ht="14.4" spans="1:28">
      <c r="A8" s="77">
        <v>4</v>
      </c>
      <c r="B8" s="78" t="s">
        <v>133</v>
      </c>
      <c r="C8" s="79">
        <f t="shared" si="0"/>
        <v>50292.7200998397</v>
      </c>
      <c r="D8" s="80">
        <f>D5-D6-D7</f>
        <v>-1218.79335694525</v>
      </c>
      <c r="E8" s="80">
        <f t="shared" ref="E8:AB8" si="1">E5-E6-E7</f>
        <v>-984.084553296505</v>
      </c>
      <c r="F8" s="80">
        <f t="shared" si="1"/>
        <v>-806.752636886971</v>
      </c>
      <c r="G8" s="80">
        <f t="shared" si="1"/>
        <v>-590.124593273626</v>
      </c>
      <c r="H8" s="80">
        <f t="shared" si="1"/>
        <v>-13.7036462724318</v>
      </c>
      <c r="I8" s="80">
        <f t="shared" si="1"/>
        <v>264.204402696932</v>
      </c>
      <c r="J8" s="80">
        <f t="shared" si="1"/>
        <v>542.107100140422</v>
      </c>
      <c r="K8" s="80">
        <f t="shared" si="1"/>
        <v>820.004339027518</v>
      </c>
      <c r="L8" s="80">
        <f t="shared" si="1"/>
        <v>1097.89601018709</v>
      </c>
      <c r="M8" s="80">
        <f t="shared" si="1"/>
        <v>1375.78200226459</v>
      </c>
      <c r="N8" s="80">
        <f t="shared" si="1"/>
        <v>1653.66220167837</v>
      </c>
      <c r="O8" s="80">
        <f t="shared" si="1"/>
        <v>1931.53649257518</v>
      </c>
      <c r="P8" s="80">
        <f t="shared" si="1"/>
        <v>2209.40475678465</v>
      </c>
      <c r="Q8" s="80">
        <f t="shared" si="1"/>
        <v>2487.26687377305</v>
      </c>
      <c r="R8" s="80">
        <f t="shared" si="1"/>
        <v>2765.12272059595</v>
      </c>
      <c r="S8" s="80">
        <f t="shared" si="1"/>
        <v>3042.97217185005</v>
      </c>
      <c r="T8" s="80">
        <f t="shared" si="1"/>
        <v>3320.81509962397</v>
      </c>
      <c r="U8" s="80">
        <f t="shared" si="1"/>
        <v>3598.65137344811</v>
      </c>
      <c r="V8" s="80">
        <f t="shared" si="1"/>
        <v>3876.48086024345</v>
      </c>
      <c r="W8" s="80">
        <f t="shared" si="1"/>
        <v>4154.30342426945</v>
      </c>
      <c r="X8" s="80">
        <f t="shared" si="1"/>
        <v>4153.94330180755</v>
      </c>
      <c r="Y8" s="80">
        <f t="shared" si="1"/>
        <v>4153.57597689641</v>
      </c>
      <c r="Z8" s="80">
        <f t="shared" si="1"/>
        <v>4153.20130548704</v>
      </c>
      <c r="AA8" s="80">
        <f t="shared" si="1"/>
        <v>4152.81914064949</v>
      </c>
      <c r="AB8" s="80">
        <f t="shared" si="1"/>
        <v>4152.42933251519</v>
      </c>
    </row>
    <row r="9" ht="13.65" customHeight="1" spans="1:28">
      <c r="A9" s="77">
        <v>5</v>
      </c>
      <c r="B9" s="78" t="s">
        <v>134</v>
      </c>
      <c r="C9" s="79">
        <f t="shared" si="0"/>
        <v>10031.0569547181</v>
      </c>
      <c r="D9" s="79">
        <v>0</v>
      </c>
      <c r="E9" s="79">
        <f>D8*-1</f>
        <v>1218.79335694525</v>
      </c>
      <c r="F9" s="79">
        <f>E9+-1*E8</f>
        <v>2202.87791024175</v>
      </c>
      <c r="G9" s="79">
        <f>F9+-1*F8</f>
        <v>3009.63054712873</v>
      </c>
      <c r="H9" s="79">
        <f>G9+-1*G8</f>
        <v>3599.75514040235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79">
        <v>0</v>
      </c>
      <c r="R9" s="79">
        <v>0</v>
      </c>
      <c r="S9" s="79">
        <v>0</v>
      </c>
      <c r="T9" s="79">
        <v>0</v>
      </c>
      <c r="U9" s="79">
        <v>0</v>
      </c>
      <c r="V9" s="79">
        <v>0</v>
      </c>
      <c r="W9" s="79">
        <v>0</v>
      </c>
      <c r="X9" s="79">
        <v>0</v>
      </c>
      <c r="Y9" s="79">
        <v>0</v>
      </c>
      <c r="Z9" s="79">
        <v>0</v>
      </c>
      <c r="AA9" s="79">
        <v>0</v>
      </c>
      <c r="AB9" s="79">
        <v>0</v>
      </c>
    </row>
    <row r="10" ht="14.4" spans="1:28">
      <c r="A10" s="77">
        <v>6</v>
      </c>
      <c r="B10" s="78" t="s">
        <v>135</v>
      </c>
      <c r="C10" s="79">
        <f t="shared" si="0"/>
        <v>53906.1788865145</v>
      </c>
      <c r="D10" s="81">
        <f>IF(D8-D9&gt;=0,D8-D9,0)</f>
        <v>0</v>
      </c>
      <c r="E10" s="81">
        <f t="shared" ref="E10:X10" si="2">IF(E8-E9&gt;=0,E8-E9,0)</f>
        <v>0</v>
      </c>
      <c r="F10" s="81">
        <f t="shared" si="2"/>
        <v>0</v>
      </c>
      <c r="G10" s="81">
        <f t="shared" si="2"/>
        <v>0</v>
      </c>
      <c r="H10" s="81">
        <f t="shared" si="2"/>
        <v>0</v>
      </c>
      <c r="I10" s="81">
        <f t="shared" si="2"/>
        <v>264.204402696932</v>
      </c>
      <c r="J10" s="81">
        <f t="shared" si="2"/>
        <v>542.107100140422</v>
      </c>
      <c r="K10" s="81">
        <f t="shared" si="2"/>
        <v>820.004339027518</v>
      </c>
      <c r="L10" s="81">
        <f t="shared" si="2"/>
        <v>1097.89601018709</v>
      </c>
      <c r="M10" s="81">
        <f t="shared" si="2"/>
        <v>1375.78200226459</v>
      </c>
      <c r="N10" s="81">
        <f t="shared" si="2"/>
        <v>1653.66220167837</v>
      </c>
      <c r="O10" s="81">
        <f t="shared" si="2"/>
        <v>1931.53649257518</v>
      </c>
      <c r="P10" s="81">
        <f t="shared" si="2"/>
        <v>2209.40475678465</v>
      </c>
      <c r="Q10" s="81">
        <f t="shared" si="2"/>
        <v>2487.26687377305</v>
      </c>
      <c r="R10" s="81">
        <f t="shared" si="2"/>
        <v>2765.12272059595</v>
      </c>
      <c r="S10" s="81">
        <f t="shared" si="2"/>
        <v>3042.97217185005</v>
      </c>
      <c r="T10" s="81">
        <f t="shared" si="2"/>
        <v>3320.81509962397</v>
      </c>
      <c r="U10" s="81">
        <f t="shared" si="2"/>
        <v>3598.65137344811</v>
      </c>
      <c r="V10" s="81">
        <f t="shared" si="2"/>
        <v>3876.48086024345</v>
      </c>
      <c r="W10" s="81">
        <f t="shared" si="2"/>
        <v>4154.30342426945</v>
      </c>
      <c r="X10" s="81">
        <f t="shared" si="2"/>
        <v>4153.94330180755</v>
      </c>
      <c r="Y10" s="81">
        <f t="shared" ref="Y10" si="3">IF(Y8-Y9&gt;=0,Y8-Y9,0)</f>
        <v>4153.57597689641</v>
      </c>
      <c r="Z10" s="81">
        <f t="shared" ref="Z10" si="4">IF(Z8-Z9&gt;=0,Z8-Z9,0)</f>
        <v>4153.20130548704</v>
      </c>
      <c r="AA10" s="81">
        <f t="shared" ref="AA10" si="5">IF(AA8-AA9&gt;=0,AA8-AA9,0)</f>
        <v>4152.81914064949</v>
      </c>
      <c r="AB10" s="81">
        <f t="shared" ref="AB10" si="6">IF(AB8-AB9&gt;=0,AB8-AB9,0)</f>
        <v>4152.42933251519</v>
      </c>
    </row>
    <row r="11" ht="14.4" spans="1:28">
      <c r="A11" s="77">
        <v>7</v>
      </c>
      <c r="B11" s="82" t="s">
        <v>136</v>
      </c>
      <c r="C11" s="79">
        <f t="shared" si="0"/>
        <v>10778.4950480484</v>
      </c>
      <c r="D11" s="81">
        <v>0</v>
      </c>
      <c r="E11" s="81">
        <v>0</v>
      </c>
      <c r="F11" s="81">
        <v>0</v>
      </c>
      <c r="G11" s="81">
        <v>0</v>
      </c>
      <c r="H11" s="81">
        <f>H8*0.2</f>
        <v>-2.74072925448636</v>
      </c>
      <c r="I11" s="81">
        <f>I8*0.2</f>
        <v>52.8408805393865</v>
      </c>
      <c r="J11" s="81">
        <f>J8*0.2</f>
        <v>108.421420028084</v>
      </c>
      <c r="K11" s="81">
        <f t="shared" ref="K11:AB11" si="7">K8*0.2</f>
        <v>164.000867805504</v>
      </c>
      <c r="L11" s="81">
        <f t="shared" si="7"/>
        <v>219.579202037417</v>
      </c>
      <c r="M11" s="81">
        <f t="shared" si="7"/>
        <v>275.156400452918</v>
      </c>
      <c r="N11" s="81">
        <f t="shared" si="7"/>
        <v>330.732440335674</v>
      </c>
      <c r="O11" s="81">
        <f t="shared" si="7"/>
        <v>386.307298515036</v>
      </c>
      <c r="P11" s="81">
        <f t="shared" si="7"/>
        <v>441.88095135693</v>
      </c>
      <c r="Q11" s="81">
        <f t="shared" si="7"/>
        <v>497.453374754611</v>
      </c>
      <c r="R11" s="81">
        <f t="shared" si="7"/>
        <v>553.02454411919</v>
      </c>
      <c r="S11" s="81">
        <f t="shared" si="7"/>
        <v>608.59443437001</v>
      </c>
      <c r="T11" s="81">
        <f t="shared" si="7"/>
        <v>664.163019924794</v>
      </c>
      <c r="U11" s="81">
        <f t="shared" si="7"/>
        <v>719.730274689621</v>
      </c>
      <c r="V11" s="81">
        <f t="shared" si="7"/>
        <v>775.296172048691</v>
      </c>
      <c r="W11" s="81">
        <f t="shared" si="7"/>
        <v>830.860684853891</v>
      </c>
      <c r="X11" s="81">
        <f t="shared" si="7"/>
        <v>830.78866036151</v>
      </c>
      <c r="Y11" s="81">
        <f t="shared" si="7"/>
        <v>830.715195379282</v>
      </c>
      <c r="Z11" s="81">
        <f t="shared" si="7"/>
        <v>830.640261097409</v>
      </c>
      <c r="AA11" s="81">
        <f t="shared" si="7"/>
        <v>830.563828129898</v>
      </c>
      <c r="AB11" s="81">
        <f t="shared" si="7"/>
        <v>830.485866503038</v>
      </c>
    </row>
    <row r="12" ht="14.4" spans="1:28">
      <c r="A12" s="77">
        <v>8</v>
      </c>
      <c r="B12" s="78" t="s">
        <v>137</v>
      </c>
      <c r="C12" s="79">
        <f t="shared" si="0"/>
        <v>43124.9431092116</v>
      </c>
      <c r="D12" s="83">
        <f>IF(D8-D11&lt;0,0,D8-D11)</f>
        <v>0</v>
      </c>
      <c r="E12" s="83">
        <f t="shared" ref="E12:AB12" si="8">IF(E8-E11&lt;0,0,E8-E11)</f>
        <v>0</v>
      </c>
      <c r="F12" s="83">
        <f t="shared" si="8"/>
        <v>0</v>
      </c>
      <c r="G12" s="83">
        <f t="shared" si="8"/>
        <v>0</v>
      </c>
      <c r="H12" s="83">
        <f t="shared" si="8"/>
        <v>0</v>
      </c>
      <c r="I12" s="83">
        <f t="shared" si="8"/>
        <v>211.363522157546</v>
      </c>
      <c r="J12" s="83">
        <f t="shared" si="8"/>
        <v>433.685680112337</v>
      </c>
      <c r="K12" s="83">
        <f t="shared" si="8"/>
        <v>656.003471222014</v>
      </c>
      <c r="L12" s="83">
        <f t="shared" si="8"/>
        <v>878.316808149668</v>
      </c>
      <c r="M12" s="83">
        <f t="shared" si="8"/>
        <v>1100.62560181167</v>
      </c>
      <c r="N12" s="83">
        <f t="shared" si="8"/>
        <v>1322.9297613427</v>
      </c>
      <c r="O12" s="83">
        <f t="shared" si="8"/>
        <v>1545.22919406014</v>
      </c>
      <c r="P12" s="83">
        <f t="shared" si="8"/>
        <v>1767.52380542772</v>
      </c>
      <c r="Q12" s="83">
        <f t="shared" si="8"/>
        <v>1989.81349901844</v>
      </c>
      <c r="R12" s="83">
        <f t="shared" si="8"/>
        <v>2212.09817647676</v>
      </c>
      <c r="S12" s="83">
        <f t="shared" si="8"/>
        <v>2434.37773748004</v>
      </c>
      <c r="T12" s="83">
        <f t="shared" si="8"/>
        <v>2656.65207969918</v>
      </c>
      <c r="U12" s="83">
        <f t="shared" si="8"/>
        <v>2878.92109875849</v>
      </c>
      <c r="V12" s="83">
        <f t="shared" si="8"/>
        <v>3101.18468819476</v>
      </c>
      <c r="W12" s="83">
        <f t="shared" si="8"/>
        <v>3323.44273941556</v>
      </c>
      <c r="X12" s="83">
        <f t="shared" si="8"/>
        <v>3323.15464144604</v>
      </c>
      <c r="Y12" s="83">
        <f t="shared" si="8"/>
        <v>3322.86078151713</v>
      </c>
      <c r="Z12" s="83">
        <f t="shared" si="8"/>
        <v>3322.56104438964</v>
      </c>
      <c r="AA12" s="83">
        <f t="shared" si="8"/>
        <v>3322.25531251959</v>
      </c>
      <c r="AB12" s="83">
        <f t="shared" si="8"/>
        <v>3321.94346601215</v>
      </c>
    </row>
    <row r="13" ht="14.4" spans="1:28">
      <c r="A13" s="77">
        <v>9</v>
      </c>
      <c r="B13" s="78" t="s">
        <v>138</v>
      </c>
      <c r="C13" s="79">
        <f t="shared" si="0"/>
        <v>157970.023894232</v>
      </c>
      <c r="D13" s="79">
        <v>0</v>
      </c>
      <c r="E13" s="79">
        <f>D17</f>
        <v>0</v>
      </c>
      <c r="F13" s="79">
        <f t="shared" ref="F13:K13" si="9">E17</f>
        <v>0</v>
      </c>
      <c r="G13" s="79">
        <f t="shared" si="9"/>
        <v>0</v>
      </c>
      <c r="H13" s="79">
        <f t="shared" si="9"/>
        <v>0</v>
      </c>
      <c r="I13" s="79">
        <f t="shared" ref="I13" si="10">H17</f>
        <v>0</v>
      </c>
      <c r="J13" s="79">
        <f t="shared" ref="J13" si="11">I17</f>
        <v>185.99989949864</v>
      </c>
      <c r="K13" s="79">
        <f t="shared" ref="K13" si="12">J17</f>
        <v>545.32331005766</v>
      </c>
      <c r="L13" s="79">
        <f t="shared" ref="L13" si="13">K17</f>
        <v>1057.16756752611</v>
      </c>
      <c r="M13" s="79">
        <f t="shared" ref="M13" si="14">L17</f>
        <v>1703.22625059469</v>
      </c>
      <c r="N13" s="79">
        <f t="shared" ref="N13" si="15">M17</f>
        <v>2467.3896301176</v>
      </c>
      <c r="O13" s="79">
        <f t="shared" ref="O13" si="16">N17</f>
        <v>3335.48106448506</v>
      </c>
      <c r="P13" s="79">
        <f t="shared" ref="P13" si="17">O17</f>
        <v>4295.02502751978</v>
      </c>
      <c r="Q13" s="79">
        <f t="shared" ref="Q13" si="18">P17</f>
        <v>5335.0429729938</v>
      </c>
      <c r="R13" s="79">
        <f t="shared" ref="R13" si="19">Q17</f>
        <v>6445.87369537077</v>
      </c>
      <c r="S13" s="79">
        <f t="shared" ref="S13" si="20">R17</f>
        <v>7619.01524722583</v>
      </c>
      <c r="T13" s="79">
        <f t="shared" ref="T13" si="21">S17</f>
        <v>8846.98582654117</v>
      </c>
      <c r="U13" s="79">
        <f t="shared" ref="U13" si="22">T17</f>
        <v>10123.2013574915</v>
      </c>
      <c r="V13" s="79">
        <f t="shared" ref="V13" si="23">U17</f>
        <v>11441.8677615</v>
      </c>
      <c r="W13" s="79">
        <f t="shared" ref="W13" si="24">V17</f>
        <v>12797.8861557314</v>
      </c>
      <c r="X13" s="79">
        <f t="shared" ref="X13" si="25">W17</f>
        <v>14186.7694277293</v>
      </c>
      <c r="Y13" s="79">
        <f t="shared" ref="Y13" si="26">X17</f>
        <v>15408.7331808743</v>
      </c>
      <c r="Z13" s="79">
        <f t="shared" ref="Z13" si="27">Y17</f>
        <v>16483.8026869045</v>
      </c>
      <c r="AA13" s="79">
        <f t="shared" ref="AA13" si="28">Z17</f>
        <v>17429.6000835388</v>
      </c>
      <c r="AB13" s="79">
        <f t="shared" ref="AB13" si="29">AA17</f>
        <v>18261.6327485314</v>
      </c>
    </row>
    <row r="14" ht="14.4" spans="1:28">
      <c r="A14" s="77">
        <v>10</v>
      </c>
      <c r="B14" s="78" t="s">
        <v>139</v>
      </c>
      <c r="C14" s="79">
        <f t="shared" si="0"/>
        <v>201094.967003444</v>
      </c>
      <c r="D14" s="83">
        <f>D12+D13</f>
        <v>0</v>
      </c>
      <c r="E14" s="83">
        <f>E12+E13</f>
        <v>0</v>
      </c>
      <c r="F14" s="83">
        <f t="shared" ref="F14:K14" si="30">F12+F13</f>
        <v>0</v>
      </c>
      <c r="G14" s="83">
        <f t="shared" si="30"/>
        <v>0</v>
      </c>
      <c r="H14" s="83">
        <f t="shared" si="30"/>
        <v>0</v>
      </c>
      <c r="I14" s="83">
        <f t="shared" ref="I14:Z14" si="31">I12+I13</f>
        <v>211.363522157546</v>
      </c>
      <c r="J14" s="83">
        <f t="shared" si="31"/>
        <v>619.685579610978</v>
      </c>
      <c r="K14" s="83">
        <f t="shared" si="31"/>
        <v>1201.32678127967</v>
      </c>
      <c r="L14" s="83">
        <f t="shared" si="31"/>
        <v>1935.48437567578</v>
      </c>
      <c r="M14" s="83">
        <f t="shared" si="31"/>
        <v>2803.85185240636</v>
      </c>
      <c r="N14" s="83">
        <f t="shared" si="31"/>
        <v>3790.31939146029</v>
      </c>
      <c r="O14" s="83">
        <f t="shared" si="31"/>
        <v>4880.7102585452</v>
      </c>
      <c r="P14" s="83">
        <f t="shared" si="31"/>
        <v>6062.5488329475</v>
      </c>
      <c r="Q14" s="83">
        <f t="shared" si="31"/>
        <v>7324.85647201224</v>
      </c>
      <c r="R14" s="83">
        <f t="shared" si="31"/>
        <v>8657.97187184753</v>
      </c>
      <c r="S14" s="83">
        <f t="shared" si="31"/>
        <v>10053.3929847059</v>
      </c>
      <c r="T14" s="83">
        <f t="shared" si="31"/>
        <v>11503.6379062403</v>
      </c>
      <c r="U14" s="83">
        <f t="shared" si="31"/>
        <v>13002.12245625</v>
      </c>
      <c r="V14" s="83">
        <f t="shared" si="31"/>
        <v>14543.0524496948</v>
      </c>
      <c r="W14" s="83">
        <f t="shared" si="31"/>
        <v>16121.3288951469</v>
      </c>
      <c r="X14" s="83">
        <f t="shared" si="31"/>
        <v>17509.9240691754</v>
      </c>
      <c r="Y14" s="83">
        <f t="shared" si="31"/>
        <v>18731.5939623914</v>
      </c>
      <c r="Z14" s="83">
        <f t="shared" si="31"/>
        <v>19806.3637312941</v>
      </c>
      <c r="AA14" s="83">
        <f t="shared" ref="AA14:AB14" si="32">AA12+AA13</f>
        <v>20751.8553960584</v>
      </c>
      <c r="AB14" s="83">
        <f t="shared" si="32"/>
        <v>21583.5762145435</v>
      </c>
    </row>
    <row r="15" ht="28.8" spans="1:28">
      <c r="A15" s="77">
        <v>11</v>
      </c>
      <c r="B15" s="78" t="s">
        <v>140</v>
      </c>
      <c r="C15" s="79">
        <f t="shared" si="0"/>
        <v>24131.3960404133</v>
      </c>
      <c r="D15" s="83">
        <f>IF(D14*0.12&lt;0,0,D14*0.12)</f>
        <v>0</v>
      </c>
      <c r="E15" s="83">
        <f t="shared" ref="E15:H15" si="33">IF(E14*0.12&lt;0,0,E14*0.12)</f>
        <v>0</v>
      </c>
      <c r="F15" s="83">
        <f t="shared" si="33"/>
        <v>0</v>
      </c>
      <c r="G15" s="83">
        <f t="shared" si="33"/>
        <v>0</v>
      </c>
      <c r="H15" s="83">
        <f t="shared" si="33"/>
        <v>0</v>
      </c>
      <c r="I15" s="83">
        <f t="shared" ref="I15" si="34">IF(I14*0.12&lt;0,0,I14*0.12)</f>
        <v>25.3636226589055</v>
      </c>
      <c r="J15" s="83">
        <f t="shared" ref="J15" si="35">IF(J14*0.12&lt;0,0,J14*0.12)</f>
        <v>74.3622695533173</v>
      </c>
      <c r="K15" s="83">
        <f t="shared" ref="K15" si="36">IF(K14*0.12&lt;0,0,K14*0.12)</f>
        <v>144.159213753561</v>
      </c>
      <c r="L15" s="83">
        <f t="shared" ref="L15" si="37">IF(L14*0.12&lt;0,0,L14*0.12)</f>
        <v>232.258125081094</v>
      </c>
      <c r="M15" s="83">
        <f t="shared" ref="M15" si="38">IF(M14*0.12&lt;0,0,M14*0.12)</f>
        <v>336.462222288763</v>
      </c>
      <c r="N15" s="83">
        <f t="shared" ref="N15" si="39">IF(N14*0.12&lt;0,0,N14*0.12)</f>
        <v>454.838326975235</v>
      </c>
      <c r="O15" s="83">
        <f t="shared" ref="O15" si="40">IF(O14*0.12&lt;0,0,O14*0.12)</f>
        <v>585.685231025424</v>
      </c>
      <c r="P15" s="83">
        <f t="shared" ref="P15" si="41">IF(P14*0.12&lt;0,0,P14*0.12)</f>
        <v>727.5058599537</v>
      </c>
      <c r="Q15" s="83">
        <f t="shared" ref="Q15" si="42">IF(Q14*0.12&lt;0,0,Q14*0.12)</f>
        <v>878.982776641469</v>
      </c>
      <c r="R15" s="83">
        <f t="shared" ref="R15" si="43">IF(R14*0.12&lt;0,0,R14*0.12)</f>
        <v>1038.9566246217</v>
      </c>
      <c r="S15" s="83">
        <f t="shared" ref="S15" si="44">IF(S14*0.12&lt;0,0,S14*0.12)</f>
        <v>1206.4071581647</v>
      </c>
      <c r="T15" s="83">
        <f t="shared" ref="T15" si="45">IF(T14*0.12&lt;0,0,T14*0.12)</f>
        <v>1380.43654874884</v>
      </c>
      <c r="U15" s="83">
        <f t="shared" ref="U15" si="46">IF(U14*0.12&lt;0,0,U14*0.12)</f>
        <v>1560.25469475</v>
      </c>
      <c r="V15" s="83">
        <f t="shared" ref="V15" si="47">IF(V14*0.12&lt;0,0,V14*0.12)</f>
        <v>1745.16629396337</v>
      </c>
      <c r="W15" s="83">
        <f t="shared" ref="W15" si="48">IF(W14*0.12&lt;0,0,W14*0.12)</f>
        <v>1934.55946741763</v>
      </c>
      <c r="X15" s="83">
        <f t="shared" ref="X15" si="49">IF(X14*0.12&lt;0,0,X14*0.12)</f>
        <v>2101.19088830104</v>
      </c>
      <c r="Y15" s="83">
        <f t="shared" ref="Y15" si="50">IF(Y14*0.12&lt;0,0,Y14*0.12)</f>
        <v>2247.79127548697</v>
      </c>
      <c r="Z15" s="83">
        <f t="shared" ref="Z15" si="51">IF(Z14*0.12&lt;0,0,Z14*0.12)</f>
        <v>2376.76364775529</v>
      </c>
      <c r="AA15" s="83">
        <f t="shared" ref="AA15" si="52">IF(AA14*0.12&lt;0,0,AA14*0.12)</f>
        <v>2490.22264752701</v>
      </c>
      <c r="AB15" s="83">
        <f t="shared" ref="AB15" si="53">IF(AB14*0.12&lt;0,0,AB14*0.12)</f>
        <v>2590.02914574523</v>
      </c>
    </row>
    <row r="16" ht="14.4" spans="1:28">
      <c r="A16" s="77">
        <v>12</v>
      </c>
      <c r="B16" s="78" t="s">
        <v>141</v>
      </c>
      <c r="C16" s="79">
        <f t="shared" si="0"/>
        <v>176963.570963031</v>
      </c>
      <c r="D16" s="83">
        <f>D14-D15</f>
        <v>0</v>
      </c>
      <c r="E16" s="83">
        <f t="shared" ref="E16:K16" si="54">E14-E15</f>
        <v>0</v>
      </c>
      <c r="F16" s="83">
        <f t="shared" si="54"/>
        <v>0</v>
      </c>
      <c r="G16" s="83">
        <f t="shared" si="54"/>
        <v>0</v>
      </c>
      <c r="H16" s="83">
        <f t="shared" si="54"/>
        <v>0</v>
      </c>
      <c r="I16" s="83">
        <f t="shared" ref="I16:Z16" si="55">I14-I15</f>
        <v>185.99989949864</v>
      </c>
      <c r="J16" s="83">
        <f t="shared" si="55"/>
        <v>545.32331005766</v>
      </c>
      <c r="K16" s="83">
        <f t="shared" si="55"/>
        <v>1057.16756752611</v>
      </c>
      <c r="L16" s="83">
        <f t="shared" si="55"/>
        <v>1703.22625059469</v>
      </c>
      <c r="M16" s="83">
        <f t="shared" si="55"/>
        <v>2467.3896301176</v>
      </c>
      <c r="N16" s="83">
        <f t="shared" si="55"/>
        <v>3335.48106448506</v>
      </c>
      <c r="O16" s="83">
        <f t="shared" si="55"/>
        <v>4295.02502751978</v>
      </c>
      <c r="P16" s="83">
        <f t="shared" si="55"/>
        <v>5335.0429729938</v>
      </c>
      <c r="Q16" s="83">
        <f t="shared" si="55"/>
        <v>6445.87369537077</v>
      </c>
      <c r="R16" s="83">
        <f t="shared" si="55"/>
        <v>7619.01524722583</v>
      </c>
      <c r="S16" s="83">
        <f t="shared" si="55"/>
        <v>8846.98582654117</v>
      </c>
      <c r="T16" s="83">
        <f t="shared" si="55"/>
        <v>10123.2013574915</v>
      </c>
      <c r="U16" s="83">
        <f t="shared" si="55"/>
        <v>11441.8677615</v>
      </c>
      <c r="V16" s="83">
        <f t="shared" si="55"/>
        <v>12797.8861557314</v>
      </c>
      <c r="W16" s="83">
        <f t="shared" si="55"/>
        <v>14186.7694277293</v>
      </c>
      <c r="X16" s="83">
        <f t="shared" si="55"/>
        <v>15408.7331808743</v>
      </c>
      <c r="Y16" s="83">
        <f t="shared" si="55"/>
        <v>16483.8026869045</v>
      </c>
      <c r="Z16" s="83">
        <f t="shared" si="55"/>
        <v>17429.6000835388</v>
      </c>
      <c r="AA16" s="83">
        <f t="shared" ref="AA16:AB16" si="56">AA14-AA15</f>
        <v>18261.6327485314</v>
      </c>
      <c r="AB16" s="83">
        <f t="shared" si="56"/>
        <v>18993.5470687983</v>
      </c>
    </row>
    <row r="17" ht="14.4" spans="1:28">
      <c r="A17" s="77">
        <v>13</v>
      </c>
      <c r="B17" s="78" t="s">
        <v>142</v>
      </c>
      <c r="C17" s="79">
        <f t="shared" si="0"/>
        <v>176963.570963031</v>
      </c>
      <c r="D17" s="83">
        <f>D16</f>
        <v>0</v>
      </c>
      <c r="E17" s="83">
        <f t="shared" ref="E17:K17" si="57">E16</f>
        <v>0</v>
      </c>
      <c r="F17" s="83">
        <f t="shared" si="57"/>
        <v>0</v>
      </c>
      <c r="G17" s="83">
        <f t="shared" si="57"/>
        <v>0</v>
      </c>
      <c r="H17" s="83">
        <f t="shared" si="57"/>
        <v>0</v>
      </c>
      <c r="I17" s="83">
        <f t="shared" ref="I17:Z17" si="58">I16</f>
        <v>185.99989949864</v>
      </c>
      <c r="J17" s="83">
        <f t="shared" si="58"/>
        <v>545.32331005766</v>
      </c>
      <c r="K17" s="83">
        <f t="shared" si="58"/>
        <v>1057.16756752611</v>
      </c>
      <c r="L17" s="83">
        <f t="shared" si="58"/>
        <v>1703.22625059469</v>
      </c>
      <c r="M17" s="83">
        <f t="shared" si="58"/>
        <v>2467.3896301176</v>
      </c>
      <c r="N17" s="83">
        <f t="shared" si="58"/>
        <v>3335.48106448506</v>
      </c>
      <c r="O17" s="83">
        <f t="shared" si="58"/>
        <v>4295.02502751978</v>
      </c>
      <c r="P17" s="83">
        <f t="shared" si="58"/>
        <v>5335.0429729938</v>
      </c>
      <c r="Q17" s="83">
        <f t="shared" si="58"/>
        <v>6445.87369537077</v>
      </c>
      <c r="R17" s="83">
        <f t="shared" si="58"/>
        <v>7619.01524722583</v>
      </c>
      <c r="S17" s="83">
        <f t="shared" si="58"/>
        <v>8846.98582654117</v>
      </c>
      <c r="T17" s="83">
        <f t="shared" si="58"/>
        <v>10123.2013574915</v>
      </c>
      <c r="U17" s="83">
        <f t="shared" si="58"/>
        <v>11441.8677615</v>
      </c>
      <c r="V17" s="83">
        <f t="shared" si="58"/>
        <v>12797.8861557314</v>
      </c>
      <c r="W17" s="83">
        <f t="shared" si="58"/>
        <v>14186.7694277293</v>
      </c>
      <c r="X17" s="83">
        <f t="shared" si="58"/>
        <v>15408.7331808743</v>
      </c>
      <c r="Y17" s="83">
        <f t="shared" si="58"/>
        <v>16483.8026869045</v>
      </c>
      <c r="Z17" s="83">
        <f t="shared" si="58"/>
        <v>17429.6000835388</v>
      </c>
      <c r="AA17" s="83">
        <f t="shared" ref="AA17:AB17" si="59">AA16</f>
        <v>18261.6327485314</v>
      </c>
      <c r="AB17" s="83">
        <f t="shared" si="59"/>
        <v>18993.5470687983</v>
      </c>
    </row>
    <row r="18" ht="14.4" spans="1:28">
      <c r="A18" s="77">
        <v>14</v>
      </c>
      <c r="B18" s="78" t="s">
        <v>143</v>
      </c>
      <c r="C18" s="79">
        <f t="shared" si="0"/>
        <v>103155.08889984</v>
      </c>
      <c r="D18" s="79">
        <f>D8+借款还本付息及还款计划表!E11</f>
        <v>4075.54352305475</v>
      </c>
      <c r="E18" s="79">
        <f>E8+借款还本付息及还款计划表!F11</f>
        <v>4023.07670144034</v>
      </c>
      <c r="F18" s="79">
        <f>F8+借款还本付息及还款计划表!G11</f>
        <v>3922.23299258671</v>
      </c>
      <c r="G18" s="79">
        <f>G8+借款还本付息及还款计划表!H11</f>
        <v>3860.6854109369</v>
      </c>
      <c r="H18" s="79">
        <f>H8+借款还本付息及还款计划表!I11</f>
        <v>4158.93073267494</v>
      </c>
      <c r="I18" s="79">
        <f>I8+借款还本付息及还款计划表!J11</f>
        <v>4158.66315638114</v>
      </c>
      <c r="J18" s="79">
        <f>J8+借款还本付息及还款计划表!K11</f>
        <v>4158.39022856147</v>
      </c>
      <c r="K18" s="79">
        <f>K8+借款还本付息及还款计划表!L11</f>
        <v>4158.11184218541</v>
      </c>
      <c r="L18" s="79">
        <f>L8+借款还本付息及还款计划表!M11</f>
        <v>4157.82788808182</v>
      </c>
      <c r="M18" s="79">
        <f>M8+借款还本付息及还款计划表!N11</f>
        <v>4157.53825489617</v>
      </c>
      <c r="N18" s="79">
        <f>N8+借款还本付息及还款计划表!O11</f>
        <v>4157.24282904679</v>
      </c>
      <c r="O18" s="79">
        <f>O8+借款还本付息及还款计划表!P11</f>
        <v>4156.94149468044</v>
      </c>
      <c r="P18" s="79">
        <f>P8+借款还本付息及还款计划表!Q11</f>
        <v>4156.63413362675</v>
      </c>
      <c r="Q18" s="79">
        <f>Q8+借款还本付息及还款计划表!R11</f>
        <v>4156.320625352</v>
      </c>
      <c r="R18" s="79">
        <f>R8+借款还本付息及还款计划表!S11</f>
        <v>4156.00084691174</v>
      </c>
      <c r="S18" s="79">
        <f>S8+借款还本付息及还款计划表!T11</f>
        <v>4155.67467290268</v>
      </c>
      <c r="T18" s="79">
        <f>T8+借款还本付息及还款计划表!U11</f>
        <v>4155.34197541344</v>
      </c>
      <c r="U18" s="79">
        <f>U8+借款还本付息及还款计划表!V11</f>
        <v>4155.00262397442</v>
      </c>
      <c r="V18" s="79">
        <f>V8+借款还本付息及还款计划表!W11</f>
        <v>4154.65648550661</v>
      </c>
      <c r="W18" s="79">
        <f>W8+借款还本付息及还款计划表!X11</f>
        <v>4154.30342426945</v>
      </c>
      <c r="X18" s="79">
        <f>X8+借款还本付息及还款计划表!Y11</f>
        <v>4153.94330180755</v>
      </c>
      <c r="Y18" s="79">
        <f>Y8+借款还本付息及还款计划表!Z11</f>
        <v>4153.57597689641</v>
      </c>
      <c r="Z18" s="79">
        <f>Z8+借款还本付息及还款计划表!AA11</f>
        <v>4153.20130548704</v>
      </c>
      <c r="AA18" s="79">
        <f>AA8+借款还本付息及还款计划表!AB11</f>
        <v>4152.81914064949</v>
      </c>
      <c r="AB18" s="79">
        <f>AB8+借款还本付息及还款计划表!AC11</f>
        <v>4152.42933251519</v>
      </c>
    </row>
    <row r="19" ht="14.4" spans="1:28">
      <c r="A19" s="77">
        <v>15</v>
      </c>
      <c r="B19" s="78" t="s">
        <v>144</v>
      </c>
      <c r="C19" s="79">
        <f t="shared" si="0"/>
        <v>201319.47239984</v>
      </c>
      <c r="D19" s="81">
        <f>D18+固定资产折旧摊销计算表!C11</f>
        <v>8002.11886305475</v>
      </c>
      <c r="E19" s="81">
        <f>E18+固定资产折旧摊销计算表!D11</f>
        <v>7949.65204144034</v>
      </c>
      <c r="F19" s="81">
        <f>F18+固定资产折旧摊销计算表!E11</f>
        <v>7848.80833258671</v>
      </c>
      <c r="G19" s="81">
        <f>G18+固定资产折旧摊销计算表!F11</f>
        <v>7787.2607509369</v>
      </c>
      <c r="H19" s="81">
        <f>H18+固定资产折旧摊销计算表!G11</f>
        <v>8085.50607267494</v>
      </c>
      <c r="I19" s="81">
        <f>I18+固定资产折旧摊销计算表!H11</f>
        <v>8085.23849638114</v>
      </c>
      <c r="J19" s="81">
        <f>J18+固定资产折旧摊销计算表!I11</f>
        <v>8084.96556856147</v>
      </c>
      <c r="K19" s="81">
        <f>K18+固定资产折旧摊销计算表!J11</f>
        <v>8084.68718218541</v>
      </c>
      <c r="L19" s="81">
        <f>L18+固定资产折旧摊销计算表!K11</f>
        <v>8084.40322808182</v>
      </c>
      <c r="M19" s="81">
        <f>M18+固定资产折旧摊销计算表!L11</f>
        <v>8084.11359489617</v>
      </c>
      <c r="N19" s="81">
        <f>N18+固定资产折旧摊销计算表!M11</f>
        <v>8083.81816904679</v>
      </c>
      <c r="O19" s="81">
        <f>O18+固定资产折旧摊销计算表!N11</f>
        <v>8083.51683468044</v>
      </c>
      <c r="P19" s="81">
        <f>P18+固定资产折旧摊销计算表!O11</f>
        <v>8083.20947362675</v>
      </c>
      <c r="Q19" s="81">
        <f>Q18+固定资产折旧摊销计算表!P11</f>
        <v>8082.895965352</v>
      </c>
      <c r="R19" s="81">
        <f>R18+固定资产折旧摊销计算表!Q11</f>
        <v>8082.57618691174</v>
      </c>
      <c r="S19" s="81">
        <f>S18+固定资产折旧摊销计算表!R11</f>
        <v>8082.25001290268</v>
      </c>
      <c r="T19" s="81">
        <f>T18+固定资产折旧摊销计算表!S11</f>
        <v>8081.91731541344</v>
      </c>
      <c r="U19" s="81">
        <f>U18+固定资产折旧摊销计算表!T11</f>
        <v>8081.57796397442</v>
      </c>
      <c r="V19" s="81">
        <f>V18+固定资产折旧摊销计算表!U11</f>
        <v>8081.23182550661</v>
      </c>
      <c r="W19" s="81">
        <f>W18+固定资产折旧摊销计算表!V11</f>
        <v>8080.87876426945</v>
      </c>
      <c r="X19" s="81">
        <f>X18+固定资产折旧摊销计算表!W11</f>
        <v>8080.51864180755</v>
      </c>
      <c r="Y19" s="81">
        <f>Y18+固定资产折旧摊销计算表!X11</f>
        <v>8080.15131689641</v>
      </c>
      <c r="Z19" s="81">
        <f>Z18+固定资产折旧摊销计算表!Y11</f>
        <v>8079.77664548704</v>
      </c>
      <c r="AA19" s="81">
        <f>AA18+固定资产折旧摊销计算表!Z11</f>
        <v>8079.39448064949</v>
      </c>
      <c r="AB19" s="81">
        <f>AB18+固定资产折旧摊销计算表!AA11</f>
        <v>8079.00467251519</v>
      </c>
    </row>
    <row r="20" spans="3:3">
      <c r="C20" s="84"/>
    </row>
    <row r="21" spans="2:5">
      <c r="B21" s="85" t="s">
        <v>145</v>
      </c>
      <c r="C21" s="86">
        <f>C18/25/投资估算表!C9</f>
        <v>0.0398547907953071</v>
      </c>
      <c r="D21" s="72">
        <f>C18/25</f>
        <v>4126.20355599359</v>
      </c>
      <c r="E21" s="72">
        <f>投资估算表!C9</f>
        <v>103530.93</v>
      </c>
    </row>
    <row r="22" spans="2:5">
      <c r="B22" s="85" t="s">
        <v>146</v>
      </c>
      <c r="C22" s="86">
        <f>C8/25/资金使用计划表!C10</f>
        <v>0.101534011549176</v>
      </c>
      <c r="D22" s="72">
        <f>C8/25</f>
        <v>2011.70880399359</v>
      </c>
      <c r="E22" s="72">
        <f>资金使用计划表!C10</f>
        <v>19813.152</v>
      </c>
    </row>
  </sheetData>
  <mergeCells count="6">
    <mergeCell ref="A1:K1"/>
    <mergeCell ref="A2:AB2"/>
    <mergeCell ref="D3:AB3"/>
    <mergeCell ref="A3:A4"/>
    <mergeCell ref="B3:B4"/>
    <mergeCell ref="C3:C4"/>
  </mergeCells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1"/>
  <sheetViews>
    <sheetView zoomScale="130" zoomScaleNormal="130" workbookViewId="0">
      <pane ySplit="4" topLeftCell="A5" activePane="bottomLeft" state="frozen"/>
      <selection/>
      <selection pane="bottomLeft" activeCell="C25" sqref="C25"/>
    </sheetView>
  </sheetViews>
  <sheetFormatPr defaultColWidth="9" defaultRowHeight="13.2"/>
  <cols>
    <col min="1" max="1" width="5.66666666666667" style="36" customWidth="1"/>
    <col min="2" max="2" width="17.8888888888889" style="36" customWidth="1"/>
    <col min="3" max="3" width="10.6666666666667" style="36" customWidth="1"/>
    <col min="4" max="10" width="12.7777777777778" style="36" customWidth="1"/>
    <col min="11" max="11" width="12.7777777777778" style="60" customWidth="1"/>
    <col min="12" max="13" width="12.7777777777778" style="36" customWidth="1"/>
    <col min="14" max="14" width="11.6666666666667" style="36" customWidth="1"/>
    <col min="15" max="30" width="12.7777777777778" style="36" customWidth="1"/>
    <col min="31" max="16384" width="9" style="36"/>
  </cols>
  <sheetData>
    <row r="1" spans="1:30">
      <c r="A1" s="61" t="s">
        <v>147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>
      <c r="A2" s="38" t="s">
        <v>56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>
      <c r="A3" s="39" t="s">
        <v>1</v>
      </c>
      <c r="B3" s="39" t="s">
        <v>148</v>
      </c>
      <c r="C3" s="39" t="s">
        <v>48</v>
      </c>
      <c r="D3" s="39" t="s">
        <v>58</v>
      </c>
      <c r="E3" s="39"/>
      <c r="F3" s="40" t="s">
        <v>74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1:30">
      <c r="A4" s="39"/>
      <c r="B4" s="39"/>
      <c r="C4" s="39"/>
      <c r="D4" s="39">
        <v>1</v>
      </c>
      <c r="E4" s="39">
        <v>2</v>
      </c>
      <c r="F4" s="39">
        <v>3</v>
      </c>
      <c r="G4" s="39">
        <v>4</v>
      </c>
      <c r="H4" s="39">
        <v>5</v>
      </c>
      <c r="I4" s="39">
        <v>6</v>
      </c>
      <c r="J4" s="39">
        <v>7</v>
      </c>
      <c r="K4" s="39">
        <v>8</v>
      </c>
      <c r="L4" s="39">
        <v>9</v>
      </c>
      <c r="M4" s="39">
        <v>10</v>
      </c>
      <c r="N4" s="39">
        <v>11</v>
      </c>
      <c r="O4" s="39">
        <v>12</v>
      </c>
      <c r="P4" s="39">
        <v>13</v>
      </c>
      <c r="Q4" s="39">
        <v>14</v>
      </c>
      <c r="R4" s="39">
        <v>15</v>
      </c>
      <c r="S4" s="39">
        <v>16</v>
      </c>
      <c r="T4" s="39">
        <v>17</v>
      </c>
      <c r="U4" s="39">
        <v>18</v>
      </c>
      <c r="V4" s="39">
        <v>19</v>
      </c>
      <c r="W4" s="39">
        <v>20</v>
      </c>
      <c r="X4" s="39">
        <v>21</v>
      </c>
      <c r="Y4" s="39">
        <v>22</v>
      </c>
      <c r="Z4" s="39">
        <v>23</v>
      </c>
      <c r="AA4" s="39">
        <v>24</v>
      </c>
      <c r="AB4" s="39">
        <v>25</v>
      </c>
      <c r="AC4" s="39">
        <v>26</v>
      </c>
      <c r="AD4" s="39">
        <v>27</v>
      </c>
    </row>
    <row r="5" spans="1:30">
      <c r="A5" s="63">
        <v>1</v>
      </c>
      <c r="B5" s="63" t="s">
        <v>149</v>
      </c>
      <c r="C5" s="64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</row>
    <row r="6" spans="1:30">
      <c r="A6" s="41">
        <v>1.1</v>
      </c>
      <c r="B6" s="43" t="s">
        <v>150</v>
      </c>
      <c r="C6" s="43">
        <f>SUM(D6:AD6)</f>
        <v>213682.727087249</v>
      </c>
      <c r="D6" s="43"/>
      <c r="E6" s="43"/>
      <c r="F6" s="43">
        <f>销售收入及增值税估算表!D5</f>
        <v>8448.88488736466</v>
      </c>
      <c r="G6" s="43">
        <f>销售收入及增值税估算表!E5</f>
        <v>8455.88488736466</v>
      </c>
      <c r="H6" s="43">
        <f>销售收入及增值税估算表!F5</f>
        <v>8463.02488736466</v>
      </c>
      <c r="I6" s="43">
        <f>销售收入及增值税估算表!G5</f>
        <v>8470.30768736466</v>
      </c>
      <c r="J6" s="43">
        <f>销售收入及增值税估算表!H5</f>
        <v>8477.73614336466</v>
      </c>
      <c r="K6" s="43">
        <f>销售收入及增值税估算表!I5</f>
        <v>8485.31316848466</v>
      </c>
      <c r="L6" s="43">
        <f>销售收入及增值税估算表!J5</f>
        <v>8493.04173410706</v>
      </c>
      <c r="M6" s="43">
        <f>销售收入及增值税估算表!K5</f>
        <v>8500.92487104191</v>
      </c>
      <c r="N6" s="43">
        <f>销售收入及增值税估算表!L5</f>
        <v>8508.96567071545</v>
      </c>
      <c r="O6" s="43">
        <f>销售收入及增值税估算表!M5</f>
        <v>8517.16728638247</v>
      </c>
      <c r="P6" s="43">
        <f>销售收入及增值税估算表!N5</f>
        <v>8525.53293436282</v>
      </c>
      <c r="Q6" s="43">
        <f>销售收入及增值税估算表!O5</f>
        <v>8534.06589530279</v>
      </c>
      <c r="R6" s="43">
        <f>销售收入及增值税估算表!P5</f>
        <v>8542.76951546155</v>
      </c>
      <c r="S6" s="43">
        <f>销售收入及增值税估算表!Q5</f>
        <v>8551.64720802349</v>
      </c>
      <c r="T6" s="43">
        <f>销售收入及增值税估算表!R5</f>
        <v>8560.70245443666</v>
      </c>
      <c r="U6" s="43">
        <f>销售收入及增值税估算表!S5</f>
        <v>8569.9388057781</v>
      </c>
      <c r="V6" s="43">
        <f>销售收入及增值税估算表!T5</f>
        <v>8579.35988414637</v>
      </c>
      <c r="W6" s="43">
        <f>销售收入及增值税估算表!U5</f>
        <v>8588.96938408201</v>
      </c>
      <c r="X6" s="43">
        <f>销售收入及增值税估算表!V5</f>
        <v>8598.77107401635</v>
      </c>
      <c r="Y6" s="43">
        <f>销售收入及增值税估算表!W5</f>
        <v>8608.76879774939</v>
      </c>
      <c r="Z6" s="43">
        <f>销售收入及增值税估算表!X5</f>
        <v>8618.96647595708</v>
      </c>
      <c r="AA6" s="43">
        <f>销售收入及增值税估算表!Y5</f>
        <v>8629.36810772893</v>
      </c>
      <c r="AB6" s="43">
        <f>销售收入及增值税估算表!Z5</f>
        <v>8639.97777213622</v>
      </c>
      <c r="AC6" s="43">
        <f>销售收入及增值税估算表!AA5</f>
        <v>8650.79962983165</v>
      </c>
      <c r="AD6" s="43">
        <f>销售收入及增值税估算表!AB5</f>
        <v>8661.83792468099</v>
      </c>
    </row>
    <row r="7" spans="1:30">
      <c r="A7" s="41">
        <v>1.2</v>
      </c>
      <c r="B7" s="44" t="s">
        <v>151</v>
      </c>
      <c r="C7" s="43">
        <f t="shared" ref="C7:C20" si="0">SUM(D7:AD7)</f>
        <v>200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>
        <f>投资估算表!C8</f>
        <v>200</v>
      </c>
    </row>
    <row r="8" spans="1:30">
      <c r="A8" s="41">
        <v>1.3</v>
      </c>
      <c r="B8" s="43" t="s">
        <v>152</v>
      </c>
      <c r="C8" s="43">
        <f t="shared" si="0"/>
        <v>5166.54650000007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>
        <f>固定资产折旧摊销计算表!AA12</f>
        <v>5166.54650000007</v>
      </c>
    </row>
    <row r="9" spans="1:30">
      <c r="A9" s="41"/>
      <c r="B9" s="43" t="s">
        <v>153</v>
      </c>
      <c r="C9" s="43">
        <f t="shared" si="0"/>
        <v>219049.273587249</v>
      </c>
      <c r="D9" s="43">
        <f t="shared" ref="D9:M9" si="1">SUM(D6:D8)</f>
        <v>0</v>
      </c>
      <c r="E9" s="43">
        <f t="shared" si="1"/>
        <v>0</v>
      </c>
      <c r="F9" s="43">
        <f t="shared" si="1"/>
        <v>8448.88488736466</v>
      </c>
      <c r="G9" s="43">
        <f t="shared" ref="G9:AD9" si="2">SUM(G6:G8)</f>
        <v>8455.88488736466</v>
      </c>
      <c r="H9" s="43">
        <f t="shared" si="2"/>
        <v>8463.02488736466</v>
      </c>
      <c r="I9" s="43">
        <f t="shared" si="2"/>
        <v>8470.30768736466</v>
      </c>
      <c r="J9" s="43">
        <f t="shared" si="2"/>
        <v>8477.73614336466</v>
      </c>
      <c r="K9" s="43">
        <f t="shared" si="2"/>
        <v>8485.31316848466</v>
      </c>
      <c r="L9" s="43">
        <f t="shared" si="2"/>
        <v>8493.04173410706</v>
      </c>
      <c r="M9" s="43">
        <f t="shared" si="2"/>
        <v>8500.92487104191</v>
      </c>
      <c r="N9" s="43">
        <f t="shared" si="2"/>
        <v>8508.96567071545</v>
      </c>
      <c r="O9" s="43">
        <f t="shared" si="2"/>
        <v>8517.16728638247</v>
      </c>
      <c r="P9" s="43">
        <f t="shared" si="2"/>
        <v>8525.53293436282</v>
      </c>
      <c r="Q9" s="43">
        <f t="shared" si="2"/>
        <v>8534.06589530279</v>
      </c>
      <c r="R9" s="43">
        <f t="shared" si="2"/>
        <v>8542.76951546155</v>
      </c>
      <c r="S9" s="43">
        <f t="shared" si="2"/>
        <v>8551.64720802349</v>
      </c>
      <c r="T9" s="43">
        <f t="shared" si="2"/>
        <v>8560.70245443666</v>
      </c>
      <c r="U9" s="43">
        <f t="shared" si="2"/>
        <v>8569.9388057781</v>
      </c>
      <c r="V9" s="43">
        <f t="shared" si="2"/>
        <v>8579.35988414637</v>
      </c>
      <c r="W9" s="43">
        <f t="shared" si="2"/>
        <v>8588.96938408201</v>
      </c>
      <c r="X9" s="43">
        <f t="shared" si="2"/>
        <v>8598.77107401635</v>
      </c>
      <c r="Y9" s="43">
        <f t="shared" si="2"/>
        <v>8608.76879774939</v>
      </c>
      <c r="Z9" s="43">
        <f t="shared" si="2"/>
        <v>8618.96647595708</v>
      </c>
      <c r="AA9" s="43">
        <f t="shared" si="2"/>
        <v>8629.36810772893</v>
      </c>
      <c r="AB9" s="43">
        <f t="shared" si="2"/>
        <v>8639.97777213622</v>
      </c>
      <c r="AC9" s="43">
        <f t="shared" si="2"/>
        <v>8650.79962983165</v>
      </c>
      <c r="AD9" s="43">
        <f t="shared" si="2"/>
        <v>14028.3844246811</v>
      </c>
    </row>
    <row r="10" spans="1:30">
      <c r="A10" s="63">
        <v>2</v>
      </c>
      <c r="B10" s="65" t="s">
        <v>154</v>
      </c>
      <c r="C10" s="65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</row>
    <row r="11" spans="1:30">
      <c r="A11" s="41">
        <v>2.1</v>
      </c>
      <c r="B11" s="43" t="s">
        <v>10</v>
      </c>
      <c r="C11" s="43">
        <f t="shared" si="0"/>
        <v>98815.76</v>
      </c>
      <c r="D11" s="43">
        <f>资金使用计划表!D6</f>
        <v>59289.456</v>
      </c>
      <c r="E11" s="43">
        <f>资金使用计划表!E6</f>
        <v>39526.304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  <row r="12" spans="1:30">
      <c r="A12" s="41">
        <v>2.2</v>
      </c>
      <c r="B12" s="43" t="s">
        <v>16</v>
      </c>
      <c r="C12" s="43">
        <f t="shared" si="0"/>
        <v>200</v>
      </c>
      <c r="D12" s="43"/>
      <c r="E12" s="43"/>
      <c r="F12" s="43">
        <f>投资估算表!C8</f>
        <v>200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</row>
    <row r="13" spans="1:30">
      <c r="A13" s="41">
        <v>2.3</v>
      </c>
      <c r="B13" s="43" t="s">
        <v>155</v>
      </c>
      <c r="C13" s="43">
        <f t="shared" si="0"/>
        <v>11210.6049031328</v>
      </c>
      <c r="D13" s="43"/>
      <c r="E13" s="43"/>
      <c r="F13" s="43">
        <f>总成本!D5</f>
        <v>350</v>
      </c>
      <c r="G13" s="43">
        <f>总成本!E5</f>
        <v>357</v>
      </c>
      <c r="H13" s="43">
        <f>总成本!F5</f>
        <v>364.14</v>
      </c>
      <c r="I13" s="43">
        <f>总成本!G5</f>
        <v>371.4228</v>
      </c>
      <c r="J13" s="43">
        <f>总成本!H5</f>
        <v>378.851256</v>
      </c>
      <c r="K13" s="43">
        <f>总成本!I5</f>
        <v>386.42828112</v>
      </c>
      <c r="L13" s="43">
        <f>总成本!J5</f>
        <v>394.1568467424</v>
      </c>
      <c r="M13" s="43">
        <f>总成本!K5</f>
        <v>402.039983677248</v>
      </c>
      <c r="N13" s="43">
        <f>总成本!L5</f>
        <v>410.080783350793</v>
      </c>
      <c r="O13" s="43">
        <f>总成本!M5</f>
        <v>418.282399017809</v>
      </c>
      <c r="P13" s="43">
        <f>总成本!N5</f>
        <v>426.648046998165</v>
      </c>
      <c r="Q13" s="43">
        <f>总成本!O5</f>
        <v>435.181007938128</v>
      </c>
      <c r="R13" s="43">
        <f>总成本!P5</f>
        <v>443.884628096891</v>
      </c>
      <c r="S13" s="43">
        <f>总成本!Q5</f>
        <v>452.762320658829</v>
      </c>
      <c r="T13" s="43">
        <f>总成本!R5</f>
        <v>461.817567072005</v>
      </c>
      <c r="U13" s="43">
        <f>总成本!S5</f>
        <v>471.053918413445</v>
      </c>
      <c r="V13" s="43">
        <f>总成本!T5</f>
        <v>480.474996781714</v>
      </c>
      <c r="W13" s="43">
        <f>总成本!U5</f>
        <v>490.084496717349</v>
      </c>
      <c r="X13" s="43">
        <f>总成本!V5</f>
        <v>499.886186651696</v>
      </c>
      <c r="Y13" s="43">
        <f>总成本!W5</f>
        <v>509.88391038473</v>
      </c>
      <c r="Z13" s="43">
        <f>总成本!X5</f>
        <v>520.081588592424</v>
      </c>
      <c r="AA13" s="43">
        <f>总成本!Y5</f>
        <v>530.483220364273</v>
      </c>
      <c r="AB13" s="43">
        <f>总成本!Z5</f>
        <v>541.092884771558</v>
      </c>
      <c r="AC13" s="43">
        <f>总成本!AA5</f>
        <v>551.914742466989</v>
      </c>
      <c r="AD13" s="43">
        <f>总成本!AB5</f>
        <v>562.953037316329</v>
      </c>
    </row>
    <row r="14" spans="1:30">
      <c r="A14" s="41">
        <v>2.4</v>
      </c>
      <c r="B14" s="44" t="s">
        <v>131</v>
      </c>
      <c r="C14" s="43">
        <f t="shared" si="0"/>
        <v>1152.6497842768</v>
      </c>
      <c r="D14" s="43"/>
      <c r="E14" s="43"/>
      <c r="F14" s="43">
        <f>销售收入及增值税估算表!D28</f>
        <v>96.7660243099099</v>
      </c>
      <c r="G14" s="43">
        <f>销售收入及增值税估算表!E28</f>
        <v>149.232845924324</v>
      </c>
      <c r="H14" s="43">
        <f>销售收入及增值税估算表!F28</f>
        <v>250.076554777946</v>
      </c>
      <c r="I14" s="43">
        <f>销售收入及增值税估算表!G28</f>
        <v>311.624136427762</v>
      </c>
      <c r="J14" s="43">
        <f>销售收入及增值税估算表!H28</f>
        <v>13.3788146897228</v>
      </c>
      <c r="K14" s="43">
        <f>销售收入及增值税估算表!I28</f>
        <v>13.6463909835173</v>
      </c>
      <c r="L14" s="43">
        <f>销售收入及增值税估算表!J28</f>
        <v>13.9193188031876</v>
      </c>
      <c r="M14" s="43">
        <f>销售收入及增值税估算表!K28</f>
        <v>14.1977051792514</v>
      </c>
      <c r="N14" s="43">
        <f>销售收入及增值税估算表!L28</f>
        <v>14.4816592828364</v>
      </c>
      <c r="O14" s="43">
        <f>销售收入及增值税估算表!M28</f>
        <v>14.7712924684931</v>
      </c>
      <c r="P14" s="43">
        <f>销售收入及增值税估算表!N28</f>
        <v>15.066718317863</v>
      </c>
      <c r="Q14" s="43">
        <f>销售收入及增值税估算表!O28</f>
        <v>15.3680526842202</v>
      </c>
      <c r="R14" s="43">
        <f>销售收入及增值税估算表!P28</f>
        <v>15.6754137379046</v>
      </c>
      <c r="S14" s="43">
        <f>销售收入及增值税估算表!Q28</f>
        <v>15.9889220126627</v>
      </c>
      <c r="T14" s="43">
        <f>销售收入及增值税估算表!R28</f>
        <v>16.308700452916</v>
      </c>
      <c r="U14" s="43">
        <f>销售收入及增值税估算表!S28</f>
        <v>16.6348744619743</v>
      </c>
      <c r="V14" s="43">
        <f>销售收入及增值税估算表!T28</f>
        <v>16.9675719512138</v>
      </c>
      <c r="W14" s="43">
        <f>销售收入及增值税估算表!U28</f>
        <v>17.3069233902381</v>
      </c>
      <c r="X14" s="43">
        <f>销售收入及增值税估算表!V28</f>
        <v>17.6530618580428</v>
      </c>
      <c r="Y14" s="43">
        <f>销售收入及增值税估算表!W28</f>
        <v>18.0061230952037</v>
      </c>
      <c r="Z14" s="43">
        <f>销售收入及增值税估算表!X28</f>
        <v>18.3662455571078</v>
      </c>
      <c r="AA14" s="43">
        <f>销售收入及增值税估算表!Y28</f>
        <v>18.7335704682499</v>
      </c>
      <c r="AB14" s="43">
        <f>销售收入及增值税估算表!Z28</f>
        <v>19.1082418776149</v>
      </c>
      <c r="AC14" s="43">
        <f>销售收入及增值税估算表!AA28</f>
        <v>19.4904067151672</v>
      </c>
      <c r="AD14" s="43">
        <f>销售收入及增值税估算表!AB28</f>
        <v>19.8802148494706</v>
      </c>
    </row>
    <row r="15" spans="1:30">
      <c r="A15" s="41"/>
      <c r="B15" s="43" t="s">
        <v>156</v>
      </c>
      <c r="C15" s="43">
        <f t="shared" si="0"/>
        <v>111379.01468741</v>
      </c>
      <c r="D15" s="46">
        <f t="shared" ref="D15:M15" si="3">SUM(D11:D14)</f>
        <v>59289.456</v>
      </c>
      <c r="E15" s="46">
        <f t="shared" si="3"/>
        <v>39526.304</v>
      </c>
      <c r="F15" s="46">
        <f t="shared" si="3"/>
        <v>646.76602430991</v>
      </c>
      <c r="G15" s="46">
        <f t="shared" si="3"/>
        <v>506.232845924324</v>
      </c>
      <c r="H15" s="46">
        <f t="shared" si="3"/>
        <v>614.216554777946</v>
      </c>
      <c r="I15" s="46">
        <f t="shared" si="3"/>
        <v>683.046936427762</v>
      </c>
      <c r="J15" s="46">
        <f t="shared" si="3"/>
        <v>392.230070689723</v>
      </c>
      <c r="K15" s="46">
        <f t="shared" si="3"/>
        <v>400.074672103517</v>
      </c>
      <c r="L15" s="46">
        <f t="shared" si="3"/>
        <v>408.076165545588</v>
      </c>
      <c r="M15" s="46">
        <f t="shared" si="3"/>
        <v>416.237688856499</v>
      </c>
      <c r="N15" s="46">
        <f t="shared" ref="N15:AD15" si="4">SUM(N11:N14)</f>
        <v>424.562442633629</v>
      </c>
      <c r="O15" s="46">
        <f t="shared" si="4"/>
        <v>433.053691486302</v>
      </c>
      <c r="P15" s="46">
        <f t="shared" si="4"/>
        <v>441.714765316028</v>
      </c>
      <c r="Q15" s="46">
        <f t="shared" si="4"/>
        <v>450.549060622349</v>
      </c>
      <c r="R15" s="46">
        <f t="shared" si="4"/>
        <v>459.560041834796</v>
      </c>
      <c r="S15" s="46">
        <f t="shared" si="4"/>
        <v>468.751242671491</v>
      </c>
      <c r="T15" s="46">
        <f t="shared" si="4"/>
        <v>478.126267524921</v>
      </c>
      <c r="U15" s="46">
        <f t="shared" si="4"/>
        <v>487.68879287542</v>
      </c>
      <c r="V15" s="46">
        <f t="shared" si="4"/>
        <v>497.442568732928</v>
      </c>
      <c r="W15" s="46">
        <f t="shared" si="4"/>
        <v>507.391420107587</v>
      </c>
      <c r="X15" s="46">
        <f t="shared" si="4"/>
        <v>517.539248509739</v>
      </c>
      <c r="Y15" s="46">
        <f t="shared" si="4"/>
        <v>527.890033479933</v>
      </c>
      <c r="Z15" s="46">
        <f t="shared" si="4"/>
        <v>538.447834149532</v>
      </c>
      <c r="AA15" s="46">
        <f t="shared" si="4"/>
        <v>549.216790832523</v>
      </c>
      <c r="AB15" s="46">
        <f t="shared" si="4"/>
        <v>560.201126649173</v>
      </c>
      <c r="AC15" s="46">
        <f t="shared" si="4"/>
        <v>571.405149182156</v>
      </c>
      <c r="AD15" s="46">
        <f t="shared" si="4"/>
        <v>582.8332521658</v>
      </c>
    </row>
    <row r="16" spans="1:30">
      <c r="A16" s="41">
        <v>3</v>
      </c>
      <c r="B16" s="43" t="s">
        <v>157</v>
      </c>
      <c r="C16" s="43">
        <f t="shared" si="0"/>
        <v>107670.25889984</v>
      </c>
      <c r="D16" s="46">
        <f t="shared" ref="D16:M16" si="5">D9-D15</f>
        <v>-59289.456</v>
      </c>
      <c r="E16" s="67">
        <f t="shared" si="5"/>
        <v>-39526.304</v>
      </c>
      <c r="F16" s="43">
        <f t="shared" si="5"/>
        <v>7802.11886305475</v>
      </c>
      <c r="G16" s="43">
        <f t="shared" si="5"/>
        <v>7949.65204144033</v>
      </c>
      <c r="H16" s="43">
        <f t="shared" si="5"/>
        <v>7848.80833258671</v>
      </c>
      <c r="I16" s="43">
        <f t="shared" si="5"/>
        <v>7787.2607509369</v>
      </c>
      <c r="J16" s="43">
        <f t="shared" si="5"/>
        <v>8085.50607267494</v>
      </c>
      <c r="K16" s="43">
        <f t="shared" si="5"/>
        <v>8085.23849638114</v>
      </c>
      <c r="L16" s="43">
        <f t="shared" si="5"/>
        <v>8084.96556856147</v>
      </c>
      <c r="M16" s="43">
        <f t="shared" si="5"/>
        <v>8084.68718218541</v>
      </c>
      <c r="N16" s="43">
        <f t="shared" ref="N16:AD16" si="6">N9-N15</f>
        <v>8084.40322808182</v>
      </c>
      <c r="O16" s="43">
        <f t="shared" si="6"/>
        <v>8084.11359489617</v>
      </c>
      <c r="P16" s="43">
        <f t="shared" si="6"/>
        <v>8083.8181690468</v>
      </c>
      <c r="Q16" s="43">
        <f t="shared" si="6"/>
        <v>8083.51683468044</v>
      </c>
      <c r="R16" s="43">
        <f t="shared" si="6"/>
        <v>8083.20947362675</v>
      </c>
      <c r="S16" s="43">
        <f t="shared" si="6"/>
        <v>8082.895965352</v>
      </c>
      <c r="T16" s="43">
        <f t="shared" si="6"/>
        <v>8082.57618691174</v>
      </c>
      <c r="U16" s="43">
        <f t="shared" si="6"/>
        <v>8082.25001290268</v>
      </c>
      <c r="V16" s="43">
        <f t="shared" si="6"/>
        <v>8081.91731541344</v>
      </c>
      <c r="W16" s="43">
        <f t="shared" si="6"/>
        <v>8081.57796397442</v>
      </c>
      <c r="X16" s="43">
        <f t="shared" si="6"/>
        <v>8081.23182550662</v>
      </c>
      <c r="Y16" s="43">
        <f t="shared" si="6"/>
        <v>8080.87876426946</v>
      </c>
      <c r="Z16" s="43">
        <f t="shared" si="6"/>
        <v>8080.51864180755</v>
      </c>
      <c r="AA16" s="43">
        <f t="shared" si="6"/>
        <v>8080.15131689641</v>
      </c>
      <c r="AB16" s="43">
        <f t="shared" si="6"/>
        <v>8079.77664548704</v>
      </c>
      <c r="AC16" s="43">
        <f t="shared" si="6"/>
        <v>8079.39448064949</v>
      </c>
      <c r="AD16" s="43">
        <f t="shared" si="6"/>
        <v>13445.5511725153</v>
      </c>
    </row>
    <row r="17" spans="1:30">
      <c r="A17" s="41">
        <v>4</v>
      </c>
      <c r="B17" s="44" t="s">
        <v>158</v>
      </c>
      <c r="C17" s="43">
        <f t="shared" si="0"/>
        <v>107670.25889984</v>
      </c>
      <c r="D17" s="46">
        <f>D16</f>
        <v>-59289.456</v>
      </c>
      <c r="E17" s="67">
        <f t="shared" ref="E17:M17" si="7">E16</f>
        <v>-39526.304</v>
      </c>
      <c r="F17" s="43">
        <f t="shared" si="7"/>
        <v>7802.11886305475</v>
      </c>
      <c r="G17" s="43">
        <f t="shared" si="7"/>
        <v>7949.65204144033</v>
      </c>
      <c r="H17" s="43">
        <f t="shared" si="7"/>
        <v>7848.80833258671</v>
      </c>
      <c r="I17" s="43">
        <f t="shared" si="7"/>
        <v>7787.2607509369</v>
      </c>
      <c r="J17" s="43">
        <f t="shared" si="7"/>
        <v>8085.50607267494</v>
      </c>
      <c r="K17" s="43">
        <f t="shared" si="7"/>
        <v>8085.23849638114</v>
      </c>
      <c r="L17" s="43">
        <f t="shared" si="7"/>
        <v>8084.96556856147</v>
      </c>
      <c r="M17" s="43">
        <f t="shared" si="7"/>
        <v>8084.68718218541</v>
      </c>
      <c r="N17" s="43">
        <f t="shared" ref="N17:AD17" si="8">N16</f>
        <v>8084.40322808182</v>
      </c>
      <c r="O17" s="43">
        <f t="shared" si="8"/>
        <v>8084.11359489617</v>
      </c>
      <c r="P17" s="43">
        <f t="shared" si="8"/>
        <v>8083.8181690468</v>
      </c>
      <c r="Q17" s="43">
        <f t="shared" si="8"/>
        <v>8083.51683468044</v>
      </c>
      <c r="R17" s="43">
        <f t="shared" si="8"/>
        <v>8083.20947362675</v>
      </c>
      <c r="S17" s="43">
        <f t="shared" si="8"/>
        <v>8082.895965352</v>
      </c>
      <c r="T17" s="43">
        <f t="shared" si="8"/>
        <v>8082.57618691174</v>
      </c>
      <c r="U17" s="43">
        <f t="shared" si="8"/>
        <v>8082.25001290268</v>
      </c>
      <c r="V17" s="43">
        <f t="shared" si="8"/>
        <v>8081.91731541344</v>
      </c>
      <c r="W17" s="43">
        <f t="shared" si="8"/>
        <v>8081.57796397442</v>
      </c>
      <c r="X17" s="43">
        <f t="shared" si="8"/>
        <v>8081.23182550662</v>
      </c>
      <c r="Y17" s="43">
        <f t="shared" si="8"/>
        <v>8080.87876426946</v>
      </c>
      <c r="Z17" s="43">
        <f t="shared" si="8"/>
        <v>8080.51864180755</v>
      </c>
      <c r="AA17" s="43">
        <f t="shared" si="8"/>
        <v>8080.15131689641</v>
      </c>
      <c r="AB17" s="43">
        <f t="shared" si="8"/>
        <v>8079.77664548704</v>
      </c>
      <c r="AC17" s="43">
        <f t="shared" si="8"/>
        <v>8079.39448064949</v>
      </c>
      <c r="AD17" s="43">
        <f t="shared" si="8"/>
        <v>13445.5511725153</v>
      </c>
    </row>
    <row r="18" spans="1:30">
      <c r="A18" s="41">
        <v>5</v>
      </c>
      <c r="B18" s="44" t="s">
        <v>159</v>
      </c>
      <c r="C18" s="47"/>
      <c r="D18" s="46">
        <f>D17</f>
        <v>-59289.456</v>
      </c>
      <c r="E18" s="46">
        <f t="shared" ref="E18:M18" si="9">D18+E17</f>
        <v>-98815.76</v>
      </c>
      <c r="F18" s="46">
        <f t="shared" si="9"/>
        <v>-91013.6411369452</v>
      </c>
      <c r="G18" s="46">
        <f t="shared" si="9"/>
        <v>-83063.9890955049</v>
      </c>
      <c r="H18" s="46">
        <f t="shared" si="9"/>
        <v>-75215.1807629182</v>
      </c>
      <c r="I18" s="46">
        <f t="shared" si="9"/>
        <v>-67427.9200119813</v>
      </c>
      <c r="J18" s="46">
        <f t="shared" si="9"/>
        <v>-59342.4139393064</v>
      </c>
      <c r="K18" s="46">
        <f t="shared" si="9"/>
        <v>-51257.1754429252</v>
      </c>
      <c r="L18" s="46">
        <f t="shared" si="9"/>
        <v>-43172.2098743637</v>
      </c>
      <c r="M18" s="46">
        <f t="shared" si="9"/>
        <v>-35087.5226921783</v>
      </c>
      <c r="N18" s="46">
        <f t="shared" ref="N18" si="10">M18+N17</f>
        <v>-27003.1194640965</v>
      </c>
      <c r="O18" s="46">
        <f t="shared" ref="O18" si="11">N18+O17</f>
        <v>-18919.0058692003</v>
      </c>
      <c r="P18" s="46">
        <f t="shared" ref="P18" si="12">O18+P17</f>
        <v>-10835.1877001535</v>
      </c>
      <c r="Q18" s="46">
        <f t="shared" ref="Q18" si="13">P18+Q17</f>
        <v>-2751.67086547311</v>
      </c>
      <c r="R18" s="46">
        <f t="shared" ref="R18" si="14">Q18+R17</f>
        <v>5331.53860815364</v>
      </c>
      <c r="S18" s="46">
        <f t="shared" ref="S18" si="15">R18+S17</f>
        <v>13414.4345735056</v>
      </c>
      <c r="T18" s="46">
        <f t="shared" ref="T18" si="16">S18+T17</f>
        <v>21497.0107604174</v>
      </c>
      <c r="U18" s="46">
        <f t="shared" ref="U18" si="17">T18+U17</f>
        <v>29579.2607733201</v>
      </c>
      <c r="V18" s="46">
        <f t="shared" ref="V18" si="18">U18+V17</f>
        <v>37661.1780887335</v>
      </c>
      <c r="W18" s="46">
        <f t="shared" ref="W18" si="19">V18+W17</f>
        <v>45742.7560527079</v>
      </c>
      <c r="X18" s="46">
        <f t="shared" ref="X18" si="20">W18+X17</f>
        <v>53823.9878782145</v>
      </c>
      <c r="Y18" s="46">
        <f t="shared" ref="Y18" si="21">X18+Y17</f>
        <v>61904.866642484</v>
      </c>
      <c r="Z18" s="46">
        <f t="shared" ref="Z18" si="22">Y18+Z17</f>
        <v>69985.3852842915</v>
      </c>
      <c r="AA18" s="46">
        <f t="shared" ref="AA18" si="23">Z18+AA17</f>
        <v>78065.536601188</v>
      </c>
      <c r="AB18" s="46">
        <f t="shared" ref="AB18" si="24">AA18+AB17</f>
        <v>86145.313246675</v>
      </c>
      <c r="AC18" s="46">
        <f t="shared" ref="AC18" si="25">AB18+AC17</f>
        <v>94224.7077273245</v>
      </c>
      <c r="AD18" s="46">
        <f t="shared" ref="AD18" si="26">AC18+AD17</f>
        <v>107670.25889984</v>
      </c>
    </row>
    <row r="19" spans="1:30">
      <c r="A19" s="41">
        <v>6</v>
      </c>
      <c r="B19" s="44" t="s">
        <v>160</v>
      </c>
      <c r="C19" s="43">
        <f t="shared" si="0"/>
        <v>25788.7722249599</v>
      </c>
      <c r="D19" s="46"/>
      <c r="E19" s="46"/>
      <c r="F19" s="46">
        <f>利润及利润分配表!D18*0.25</f>
        <v>1018.88588076369</v>
      </c>
      <c r="G19" s="46">
        <f>利润及利润分配表!E18*0.25</f>
        <v>1005.76917536008</v>
      </c>
      <c r="H19" s="46">
        <f>利润及利润分配表!F18*0.25</f>
        <v>980.558248146678</v>
      </c>
      <c r="I19" s="46">
        <f>利润及利润分配表!G18*0.25</f>
        <v>965.171352734225</v>
      </c>
      <c r="J19" s="46">
        <f>利润及利润分配表!H18*0.25</f>
        <v>1039.73268316873</v>
      </c>
      <c r="K19" s="46">
        <f>利润及利润分配表!I18*0.25</f>
        <v>1039.66578909529</v>
      </c>
      <c r="L19" s="46">
        <f>利润及利润分配表!J18*0.25</f>
        <v>1039.59755714037</v>
      </c>
      <c r="M19" s="46">
        <f>利润及利润分配表!K18*0.25</f>
        <v>1039.52796054635</v>
      </c>
      <c r="N19" s="46">
        <f>利润及利润分配表!L18*0.25</f>
        <v>1039.45697202046</v>
      </c>
      <c r="O19" s="46">
        <f>利润及利润分配表!M18*0.25</f>
        <v>1039.38456372404</v>
      </c>
      <c r="P19" s="46">
        <f>利润及利润分配表!N18*0.25</f>
        <v>1039.3107072617</v>
      </c>
      <c r="Q19" s="46">
        <f>利润及利润分配表!O18*0.25</f>
        <v>1039.23537367011</v>
      </c>
      <c r="R19" s="46">
        <f>利润及利润分配表!P18*0.25</f>
        <v>1039.15853340669</v>
      </c>
      <c r="S19" s="46">
        <f>利润及利润分配表!Q18*0.25</f>
        <v>1039.080156338</v>
      </c>
      <c r="T19" s="46">
        <f>利润及利润分配表!R18*0.25</f>
        <v>1039.00021172793</v>
      </c>
      <c r="U19" s="46">
        <f>利润及利润分配表!S18*0.25</f>
        <v>1038.91866822567</v>
      </c>
      <c r="V19" s="46">
        <f>利润及利润分配表!T18*0.25</f>
        <v>1038.83549385336</v>
      </c>
      <c r="W19" s="46">
        <f>利润及利润分配表!U18*0.25</f>
        <v>1038.75065599361</v>
      </c>
      <c r="X19" s="46">
        <f>利润及利润分配表!V18*0.25</f>
        <v>1038.66412137665</v>
      </c>
      <c r="Y19" s="46">
        <f>利润及利润分配表!W18*0.25</f>
        <v>1038.57585606736</v>
      </c>
      <c r="Z19" s="46">
        <f>利润及利润分配表!X18*0.25</f>
        <v>1038.48582545189</v>
      </c>
      <c r="AA19" s="46">
        <f>利润及利润分配表!Y18*0.25</f>
        <v>1038.3939942241</v>
      </c>
      <c r="AB19" s="46">
        <f>利润及利润分配表!Z18*0.25</f>
        <v>1038.30032637176</v>
      </c>
      <c r="AC19" s="46">
        <f>利润及利润分配表!AA18*0.25</f>
        <v>1038.20478516237</v>
      </c>
      <c r="AD19" s="46">
        <f>利润及利润分配表!AB18*0.25</f>
        <v>1038.1073331288</v>
      </c>
    </row>
    <row r="20" spans="1:30">
      <c r="A20" s="41">
        <v>7</v>
      </c>
      <c r="B20" s="44" t="s">
        <v>161</v>
      </c>
      <c r="C20" s="43">
        <f t="shared" si="0"/>
        <v>81881.4866748799</v>
      </c>
      <c r="D20" s="46">
        <f>D16-D19</f>
        <v>-59289.456</v>
      </c>
      <c r="E20" s="46">
        <f t="shared" ref="E20:M20" si="27">E16-E19</f>
        <v>-39526.304</v>
      </c>
      <c r="F20" s="46">
        <f t="shared" si="27"/>
        <v>6783.23298229106</v>
      </c>
      <c r="G20" s="46">
        <f t="shared" si="27"/>
        <v>6943.88286608025</v>
      </c>
      <c r="H20" s="46">
        <f t="shared" si="27"/>
        <v>6868.25008444003</v>
      </c>
      <c r="I20" s="46">
        <f t="shared" si="27"/>
        <v>6822.08939820268</v>
      </c>
      <c r="J20" s="46">
        <f t="shared" si="27"/>
        <v>7045.77338950621</v>
      </c>
      <c r="K20" s="46">
        <f t="shared" si="27"/>
        <v>7045.57270728585</v>
      </c>
      <c r="L20" s="46">
        <f t="shared" si="27"/>
        <v>7045.3680114211</v>
      </c>
      <c r="M20" s="46">
        <f t="shared" si="27"/>
        <v>7045.15922163906</v>
      </c>
      <c r="N20" s="46">
        <f t="shared" ref="N20:AD20" si="28">N16-N19</f>
        <v>7044.94625606136</v>
      </c>
      <c r="O20" s="46">
        <f t="shared" si="28"/>
        <v>7044.72903117213</v>
      </c>
      <c r="P20" s="46">
        <f t="shared" si="28"/>
        <v>7044.5074617851</v>
      </c>
      <c r="Q20" s="46">
        <f t="shared" si="28"/>
        <v>7044.28146101033</v>
      </c>
      <c r="R20" s="46">
        <f t="shared" si="28"/>
        <v>7044.05094022006</v>
      </c>
      <c r="S20" s="46">
        <f t="shared" si="28"/>
        <v>7043.815809014</v>
      </c>
      <c r="T20" s="46">
        <f t="shared" si="28"/>
        <v>7043.5759751838</v>
      </c>
      <c r="U20" s="46">
        <f t="shared" si="28"/>
        <v>7043.33134467701</v>
      </c>
      <c r="V20" s="46">
        <f t="shared" si="28"/>
        <v>7043.08182156008</v>
      </c>
      <c r="W20" s="46">
        <f t="shared" si="28"/>
        <v>7042.82730798081</v>
      </c>
      <c r="X20" s="46">
        <f t="shared" si="28"/>
        <v>7042.56770412997</v>
      </c>
      <c r="Y20" s="46">
        <f t="shared" si="28"/>
        <v>7042.30290820209</v>
      </c>
      <c r="Z20" s="46">
        <f t="shared" si="28"/>
        <v>7042.03281635566</v>
      </c>
      <c r="AA20" s="46">
        <f t="shared" si="28"/>
        <v>7041.75732267231</v>
      </c>
      <c r="AB20" s="46">
        <f t="shared" si="28"/>
        <v>7041.47631911528</v>
      </c>
      <c r="AC20" s="46">
        <f t="shared" si="28"/>
        <v>7041.18969548712</v>
      </c>
      <c r="AD20" s="46">
        <f t="shared" si="28"/>
        <v>12407.4438393865</v>
      </c>
    </row>
    <row r="21" spans="1:30">
      <c r="A21" s="41">
        <v>8</v>
      </c>
      <c r="B21" s="44" t="s">
        <v>162</v>
      </c>
      <c r="C21" s="47"/>
      <c r="D21" s="46">
        <f>D20</f>
        <v>-59289.456</v>
      </c>
      <c r="E21" s="46">
        <f t="shared" ref="E21:M21" si="29">D21+E20</f>
        <v>-98815.76</v>
      </c>
      <c r="F21" s="46">
        <f t="shared" ref="F21:K21" si="30">E21+F20</f>
        <v>-92032.5270177089</v>
      </c>
      <c r="G21" s="46">
        <f t="shared" si="30"/>
        <v>-85088.6441516287</v>
      </c>
      <c r="H21" s="46">
        <f t="shared" si="30"/>
        <v>-78220.3940671887</v>
      </c>
      <c r="I21" s="46">
        <f t="shared" si="30"/>
        <v>-71398.304668986</v>
      </c>
      <c r="J21" s="46">
        <f t="shared" si="30"/>
        <v>-64352.5312794798</v>
      </c>
      <c r="K21" s="46">
        <f t="shared" si="30"/>
        <v>-57306.9585721939</v>
      </c>
      <c r="L21" s="46">
        <f t="shared" si="29"/>
        <v>-50261.5905607728</v>
      </c>
      <c r="M21" s="46">
        <f t="shared" si="29"/>
        <v>-43216.4313391338</v>
      </c>
      <c r="N21" s="46">
        <f t="shared" ref="N21" si="31">M21+N20</f>
        <v>-36171.4850830724</v>
      </c>
      <c r="O21" s="46">
        <f t="shared" ref="O21" si="32">N21+O20</f>
        <v>-29126.7560519003</v>
      </c>
      <c r="P21" s="46">
        <f t="shared" ref="P21" si="33">O21+P20</f>
        <v>-22082.2485901152</v>
      </c>
      <c r="Q21" s="46">
        <f t="shared" ref="Q21" si="34">P21+Q20</f>
        <v>-15037.9671291048</v>
      </c>
      <c r="R21" s="46">
        <f t="shared" ref="R21" si="35">Q21+R20</f>
        <v>-7993.91618888476</v>
      </c>
      <c r="S21" s="46">
        <f t="shared" ref="S21" si="36">R21+S20</f>
        <v>-950.100379870764</v>
      </c>
      <c r="T21" s="46">
        <f t="shared" ref="T21" si="37">S21+T20</f>
        <v>6093.47559531304</v>
      </c>
      <c r="U21" s="46">
        <f t="shared" ref="U21" si="38">T21+U20</f>
        <v>13136.8069399901</v>
      </c>
      <c r="V21" s="46">
        <f t="shared" ref="V21" si="39">U21+V20</f>
        <v>20179.8887615501</v>
      </c>
      <c r="W21" s="46">
        <f t="shared" ref="W21" si="40">V21+W20</f>
        <v>27222.7160695309</v>
      </c>
      <c r="X21" s="46">
        <f t="shared" ref="X21" si="41">W21+X20</f>
        <v>34265.2837736609</v>
      </c>
      <c r="Y21" s="46">
        <f t="shared" ref="Y21" si="42">X21+Y20</f>
        <v>41307.586681863</v>
      </c>
      <c r="Z21" s="46">
        <f t="shared" ref="Z21" si="43">Y21+Z20</f>
        <v>48349.6194982187</v>
      </c>
      <c r="AA21" s="46">
        <f t="shared" ref="AA21" si="44">Z21+AA20</f>
        <v>55391.376820891</v>
      </c>
      <c r="AB21" s="46">
        <f t="shared" ref="AB21" si="45">AA21+AB20</f>
        <v>62432.8531400062</v>
      </c>
      <c r="AC21" s="46">
        <f t="shared" ref="AC21" si="46">AB21+AC20</f>
        <v>69474.0428354934</v>
      </c>
      <c r="AD21" s="46">
        <f t="shared" ref="AD21" si="47">AC21+AD20</f>
        <v>81881.4866748799</v>
      </c>
    </row>
    <row r="22" spans="1:30">
      <c r="A22" s="68" t="s">
        <v>163</v>
      </c>
      <c r="B22" s="43"/>
      <c r="C22" s="43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="58" customFormat="1" ht="13.8" spans="1:30">
      <c r="A23" s="69">
        <v>9</v>
      </c>
      <c r="B23" s="44" t="s">
        <v>164</v>
      </c>
      <c r="C23" s="70">
        <f t="shared" ref="C23:C25" si="48">SUM(D23:AD23)</f>
        <v>1238.69448059731</v>
      </c>
      <c r="D23" s="70">
        <f>D17*D32</f>
        <v>-55933.4490566037</v>
      </c>
      <c r="E23" s="70">
        <f t="shared" ref="E23:M23" si="49">E17*E32</f>
        <v>-35178.2698469206</v>
      </c>
      <c r="F23" s="70">
        <f t="shared" si="49"/>
        <v>6550.80944593082</v>
      </c>
      <c r="G23" s="70">
        <f t="shared" si="49"/>
        <v>6296.86900697208</v>
      </c>
      <c r="H23" s="70">
        <f t="shared" si="49"/>
        <v>5865.08617378463</v>
      </c>
      <c r="I23" s="70">
        <f t="shared" si="49"/>
        <v>5489.71154752515</v>
      </c>
      <c r="J23" s="70">
        <f t="shared" si="49"/>
        <v>5377.32333086906</v>
      </c>
      <c r="K23" s="70">
        <f t="shared" si="49"/>
        <v>5072.77865787871</v>
      </c>
      <c r="L23" s="70">
        <f t="shared" si="49"/>
        <v>4785.47869772469</v>
      </c>
      <c r="M23" s="70">
        <f t="shared" si="49"/>
        <v>4514.44709552493</v>
      </c>
      <c r="N23" s="70">
        <f t="shared" ref="N23:AD23" si="50">N17*N32</f>
        <v>4258.76277078925</v>
      </c>
      <c r="O23" s="70">
        <f t="shared" si="50"/>
        <v>4017.55678833972</v>
      </c>
      <c r="P23" s="70">
        <f t="shared" si="50"/>
        <v>3790.00940636168</v>
      </c>
      <c r="Q23" s="70">
        <f t="shared" si="50"/>
        <v>3575.34729155848</v>
      </c>
      <c r="R23" s="70">
        <f t="shared" si="50"/>
        <v>3372.84089195096</v>
      </c>
      <c r="S23" s="70">
        <f t="shared" si="50"/>
        <v>3181.80195839779</v>
      </c>
      <c r="T23" s="70">
        <f t="shared" si="50"/>
        <v>3001.58120641808</v>
      </c>
      <c r="U23" s="70">
        <f t="shared" si="50"/>
        <v>2831.56611037438</v>
      </c>
      <c r="V23" s="70">
        <f t="shared" si="50"/>
        <v>2671.17882252331</v>
      </c>
      <c r="W23" s="70">
        <f t="shared" si="50"/>
        <v>2519.87420986564</v>
      </c>
      <c r="X23" s="70">
        <f t="shared" si="50"/>
        <v>2377.13800212757</v>
      </c>
      <c r="Y23" s="70">
        <f t="shared" si="50"/>
        <v>2242.48504458223</v>
      </c>
      <c r="Z23" s="70">
        <f t="shared" si="50"/>
        <v>2115.45764977692</v>
      </c>
      <c r="AA23" s="70">
        <f t="shared" si="50"/>
        <v>1995.62404256718</v>
      </c>
      <c r="AB23" s="70">
        <f t="shared" si="50"/>
        <v>1882.57689317584</v>
      </c>
      <c r="AC23" s="70">
        <f t="shared" si="50"/>
        <v>1775.93193329439</v>
      </c>
      <c r="AD23" s="70">
        <f t="shared" si="50"/>
        <v>2788.1764058082</v>
      </c>
    </row>
    <row r="24" s="59" customFormat="1" spans="1:30">
      <c r="A24" s="49">
        <v>10</v>
      </c>
      <c r="B24" s="44" t="s">
        <v>165</v>
      </c>
      <c r="C24" s="47"/>
      <c r="D24" s="50">
        <f>D23</f>
        <v>-55933.4490566037</v>
      </c>
      <c r="E24" s="50">
        <f>D24+E23</f>
        <v>-91111.7189035244</v>
      </c>
      <c r="F24" s="50">
        <f t="shared" ref="F24:M24" si="51">E24+F23</f>
        <v>-84560.9094575935</v>
      </c>
      <c r="G24" s="50">
        <f t="shared" si="51"/>
        <v>-78264.0404506215</v>
      </c>
      <c r="H24" s="50">
        <f t="shared" si="51"/>
        <v>-72398.9542768368</v>
      </c>
      <c r="I24" s="50">
        <f t="shared" si="51"/>
        <v>-66909.2427293117</v>
      </c>
      <c r="J24" s="50">
        <f t="shared" si="51"/>
        <v>-61531.9193984426</v>
      </c>
      <c r="K24" s="50">
        <f t="shared" si="51"/>
        <v>-56459.1407405639</v>
      </c>
      <c r="L24" s="50">
        <f t="shared" si="51"/>
        <v>-51673.6620428392</v>
      </c>
      <c r="M24" s="50">
        <f t="shared" si="51"/>
        <v>-47159.2149473143</v>
      </c>
      <c r="N24" s="50">
        <f t="shared" ref="N24" si="52">M24+N23</f>
        <v>-42900.452176525</v>
      </c>
      <c r="O24" s="50">
        <f t="shared" ref="O24" si="53">N24+O23</f>
        <v>-38882.8953881853</v>
      </c>
      <c r="P24" s="50">
        <f t="shared" ref="P24" si="54">O24+P23</f>
        <v>-35092.8859818236</v>
      </c>
      <c r="Q24" s="50">
        <f t="shared" ref="Q24" si="55">P24+Q23</f>
        <v>-31517.5386902652</v>
      </c>
      <c r="R24" s="50">
        <f t="shared" ref="R24" si="56">Q24+R23</f>
        <v>-28144.6977983142</v>
      </c>
      <c r="S24" s="50">
        <f t="shared" ref="S24" si="57">R24+S23</f>
        <v>-24962.8958399164</v>
      </c>
      <c r="T24" s="50">
        <f t="shared" ref="T24" si="58">S24+T23</f>
        <v>-21961.3146334983</v>
      </c>
      <c r="U24" s="50">
        <f t="shared" ref="U24" si="59">T24+U23</f>
        <v>-19129.748523124</v>
      </c>
      <c r="V24" s="50">
        <f t="shared" ref="V24" si="60">U24+V23</f>
        <v>-16458.5697006006</v>
      </c>
      <c r="W24" s="50">
        <f t="shared" ref="W24" si="61">V24+W23</f>
        <v>-13938.695490735</v>
      </c>
      <c r="X24" s="50">
        <f t="shared" ref="X24" si="62">W24+X23</f>
        <v>-11561.5574886074</v>
      </c>
      <c r="Y24" s="50">
        <f t="shared" ref="Y24" si="63">X24+Y23</f>
        <v>-9319.07244402521</v>
      </c>
      <c r="Z24" s="50">
        <f t="shared" ref="Z24" si="64">Y24+Z23</f>
        <v>-7203.61479424829</v>
      </c>
      <c r="AA24" s="50">
        <f t="shared" ref="AA24" si="65">Z24+AA23</f>
        <v>-5207.99075168112</v>
      </c>
      <c r="AB24" s="50">
        <f t="shared" ref="AB24" si="66">AA24+AB23</f>
        <v>-3325.41385850528</v>
      </c>
      <c r="AC24" s="50">
        <f t="shared" ref="AC24" si="67">AB24+AC23</f>
        <v>-1549.48192521089</v>
      </c>
      <c r="AD24" s="50">
        <f t="shared" ref="AD24" si="68">AC24+AD23</f>
        <v>1238.69448059731</v>
      </c>
    </row>
    <row r="25" s="35" customFormat="1" ht="14.4" spans="1:30">
      <c r="A25" s="49">
        <v>11</v>
      </c>
      <c r="B25" s="44" t="s">
        <v>166</v>
      </c>
      <c r="C25" s="50">
        <f t="shared" si="48"/>
        <v>-10444.3766045648</v>
      </c>
      <c r="D25" s="50">
        <f>D20*D32</f>
        <v>-55933.4490566037</v>
      </c>
      <c r="E25" s="50">
        <f t="shared" ref="E25:M25" si="69">E20*E32</f>
        <v>-35178.2698469206</v>
      </c>
      <c r="F25" s="50">
        <f t="shared" si="69"/>
        <v>5695.33321323228</v>
      </c>
      <c r="G25" s="50">
        <f t="shared" si="69"/>
        <v>5500.20561648922</v>
      </c>
      <c r="H25" s="50">
        <f t="shared" si="69"/>
        <v>5132.3560088858</v>
      </c>
      <c r="I25" s="50">
        <f t="shared" si="69"/>
        <v>4809.30382908474</v>
      </c>
      <c r="J25" s="50">
        <f t="shared" si="69"/>
        <v>4685.84171366206</v>
      </c>
      <c r="K25" s="50">
        <f t="shared" si="69"/>
        <v>4420.47947973947</v>
      </c>
      <c r="L25" s="50">
        <f t="shared" si="69"/>
        <v>4170.14250096374</v>
      </c>
      <c r="M25" s="50">
        <f t="shared" si="69"/>
        <v>3933.98011189863</v>
      </c>
      <c r="N25" s="50">
        <f t="shared" ref="N25:AD25" si="70">N20*N32</f>
        <v>3711.18980474752</v>
      </c>
      <c r="O25" s="50">
        <f t="shared" si="70"/>
        <v>3501.01450319403</v>
      </c>
      <c r="P25" s="50">
        <f t="shared" si="70"/>
        <v>3302.73999056299</v>
      </c>
      <c r="Q25" s="50">
        <f t="shared" si="70"/>
        <v>3115.69248356672</v>
      </c>
      <c r="R25" s="50">
        <f t="shared" si="70"/>
        <v>2939.23634339516</v>
      </c>
      <c r="S25" s="50">
        <f t="shared" si="70"/>
        <v>2772.77191637565</v>
      </c>
      <c r="T25" s="50">
        <f t="shared" si="70"/>
        <v>2615.73349686762</v>
      </c>
      <c r="U25" s="50">
        <f t="shared" si="70"/>
        <v>2467.5874054733</v>
      </c>
      <c r="V25" s="50">
        <f t="shared" si="70"/>
        <v>2327.83017603636</v>
      </c>
      <c r="W25" s="50">
        <f t="shared" si="70"/>
        <v>2195.98684527081</v>
      </c>
      <c r="X25" s="50">
        <f t="shared" si="70"/>
        <v>2071.60933921038</v>
      </c>
      <c r="Y25" s="50">
        <f t="shared" si="70"/>
        <v>1954.27495099771</v>
      </c>
      <c r="Z25" s="50">
        <f t="shared" si="70"/>
        <v>1843.5849048431</v>
      </c>
      <c r="AA25" s="50">
        <f t="shared" si="70"/>
        <v>1739.16300127483</v>
      </c>
      <c r="AB25" s="50">
        <f t="shared" si="70"/>
        <v>1640.65433907947</v>
      </c>
      <c r="AC25" s="50">
        <f t="shared" si="70"/>
        <v>1547.72410959116</v>
      </c>
      <c r="AD25" s="50">
        <f t="shared" si="70"/>
        <v>2572.90621451676</v>
      </c>
    </row>
    <row r="26" s="35" customFormat="1" ht="14.4" spans="1:30">
      <c r="A26" s="49">
        <v>12</v>
      </c>
      <c r="B26" s="44" t="s">
        <v>167</v>
      </c>
      <c r="C26" s="47"/>
      <c r="D26" s="50">
        <f>D25</f>
        <v>-55933.4490566037</v>
      </c>
      <c r="E26" s="50">
        <f>D26+E25</f>
        <v>-91111.7189035244</v>
      </c>
      <c r="F26" s="50">
        <f t="shared" ref="F26:M26" si="71">E26+F25</f>
        <v>-85416.3856902921</v>
      </c>
      <c r="G26" s="50">
        <f t="shared" si="71"/>
        <v>-79916.1800738029</v>
      </c>
      <c r="H26" s="50">
        <f t="shared" si="71"/>
        <v>-74783.8240649171</v>
      </c>
      <c r="I26" s="50">
        <f t="shared" si="71"/>
        <v>-69974.5202358323</v>
      </c>
      <c r="J26" s="50">
        <f t="shared" si="71"/>
        <v>-65288.6785221703</v>
      </c>
      <c r="K26" s="50">
        <f t="shared" si="71"/>
        <v>-60868.1990424308</v>
      </c>
      <c r="L26" s="50">
        <f t="shared" si="71"/>
        <v>-56698.0565414671</v>
      </c>
      <c r="M26" s="50">
        <f t="shared" si="71"/>
        <v>-52764.0764295684</v>
      </c>
      <c r="N26" s="50">
        <f t="shared" ref="N26" si="72">M26+N25</f>
        <v>-49052.8866248209</v>
      </c>
      <c r="O26" s="50">
        <f t="shared" ref="O26" si="73">N26+O25</f>
        <v>-45551.8721216269</v>
      </c>
      <c r="P26" s="50">
        <f t="shared" ref="P26" si="74">O26+P25</f>
        <v>-42249.1321310639</v>
      </c>
      <c r="Q26" s="50">
        <f t="shared" ref="Q26" si="75">P26+Q25</f>
        <v>-39133.4396474972</v>
      </c>
      <c r="R26" s="50">
        <f t="shared" ref="R26" si="76">Q26+R25</f>
        <v>-36194.203304102</v>
      </c>
      <c r="S26" s="50">
        <f t="shared" ref="S26" si="77">R26+S25</f>
        <v>-33421.4313877264</v>
      </c>
      <c r="T26" s="50">
        <f t="shared" ref="T26" si="78">S26+T25</f>
        <v>-30805.6978908587</v>
      </c>
      <c r="U26" s="50">
        <f t="shared" ref="U26" si="79">T26+U25</f>
        <v>-28338.1104853854</v>
      </c>
      <c r="V26" s="50">
        <f t="shared" ref="V26" si="80">U26+V25</f>
        <v>-26010.2803093491</v>
      </c>
      <c r="W26" s="50">
        <f t="shared" ref="W26" si="81">V26+W25</f>
        <v>-23814.2934640783</v>
      </c>
      <c r="X26" s="50">
        <f t="shared" ref="X26" si="82">W26+X25</f>
        <v>-21742.6841248679</v>
      </c>
      <c r="Y26" s="50">
        <f t="shared" ref="Y26" si="83">X26+Y25</f>
        <v>-19788.4091738702</v>
      </c>
      <c r="Z26" s="50">
        <f t="shared" ref="Z26" si="84">Y26+Z25</f>
        <v>-17944.8242690271</v>
      </c>
      <c r="AA26" s="50">
        <f t="shared" ref="AA26" si="85">Z26+AA25</f>
        <v>-16205.6612677522</v>
      </c>
      <c r="AB26" s="50">
        <f t="shared" ref="AB26" si="86">AA26+AB25</f>
        <v>-14565.0069286728</v>
      </c>
      <c r="AC26" s="50">
        <f t="shared" ref="AC26" si="87">AB26+AC25</f>
        <v>-13017.2828190816</v>
      </c>
      <c r="AD26" s="50">
        <f t="shared" ref="AD26" si="88">AC26+AD25</f>
        <v>-10444.3766045649</v>
      </c>
    </row>
    <row r="27" spans="1:30">
      <c r="A27" s="41" t="s">
        <v>168</v>
      </c>
      <c r="B27" s="41"/>
      <c r="C27" s="41" t="s">
        <v>169</v>
      </c>
      <c r="D27" s="38" t="s">
        <v>170</v>
      </c>
      <c r="E27" s="51"/>
      <c r="F27" s="56">
        <f>IRR(D17:AD17)</f>
        <v>0.0613146914584577</v>
      </c>
      <c r="G27" s="41" t="s">
        <v>171</v>
      </c>
      <c r="H27" s="38" t="s">
        <v>170</v>
      </c>
      <c r="I27" s="51"/>
      <c r="J27" s="56">
        <f>IRR(D20:AD20)</f>
        <v>0.0485554648870543</v>
      </c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 spans="1:30">
      <c r="A28" s="41"/>
      <c r="B28" s="41"/>
      <c r="C28" s="41"/>
      <c r="D28" s="38" t="s">
        <v>172</v>
      </c>
      <c r="E28" s="51"/>
      <c r="F28" s="46">
        <f>C23</f>
        <v>1238.69448059731</v>
      </c>
      <c r="G28" s="41"/>
      <c r="H28" s="38" t="s">
        <v>172</v>
      </c>
      <c r="I28" s="51"/>
      <c r="J28" s="46">
        <f>C25</f>
        <v>-10444.3766045648</v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</row>
    <row r="29" spans="1:30">
      <c r="A29" s="41"/>
      <c r="B29" s="41"/>
      <c r="C29" s="41"/>
      <c r="D29" s="51" t="s">
        <v>173</v>
      </c>
      <c r="E29" s="51"/>
      <c r="F29" s="46">
        <f>11-1-(M18/N17)</f>
        <v>14.3401500026989</v>
      </c>
      <c r="G29" s="41"/>
      <c r="H29" s="51" t="s">
        <v>173</v>
      </c>
      <c r="I29" s="51"/>
      <c r="J29" s="46">
        <f>12-1+(-N21/O20)</f>
        <v>16.1345459737369</v>
      </c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</row>
    <row r="30" spans="1:30">
      <c r="A30" s="41"/>
      <c r="B30" s="41"/>
      <c r="C30" s="41"/>
      <c r="D30" s="51" t="s">
        <v>174</v>
      </c>
      <c r="E30" s="51"/>
      <c r="F30" s="46">
        <f>15-1-(Q24/R23)</f>
        <v>23.3445079978363</v>
      </c>
      <c r="G30" s="41"/>
      <c r="H30" s="51" t="s">
        <v>174</v>
      </c>
      <c r="I30" s="51"/>
      <c r="J30" s="46">
        <f>18-1-(T26/U25)</f>
        <v>29.4841364575493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</row>
    <row r="31" spans="9:11">
      <c r="I31" s="71"/>
      <c r="K31" s="36"/>
    </row>
    <row r="32" spans="1:30">
      <c r="A32" s="53" t="s">
        <v>175</v>
      </c>
      <c r="B32" s="54"/>
      <c r="C32" s="54"/>
      <c r="D32" s="54">
        <f>1/1.06</f>
        <v>0.943396226415094</v>
      </c>
      <c r="E32" s="54">
        <f>D32*$D$32</f>
        <v>0.88999644001424</v>
      </c>
      <c r="F32" s="54">
        <f t="shared" ref="F32:M32" si="89">E32*$D$32</f>
        <v>0.839619283032301</v>
      </c>
      <c r="G32" s="54">
        <f t="shared" si="89"/>
        <v>0.79209366323802</v>
      </c>
      <c r="H32" s="54">
        <f t="shared" si="89"/>
        <v>0.747258172866057</v>
      </c>
      <c r="I32" s="54">
        <f t="shared" si="89"/>
        <v>0.704960540439676</v>
      </c>
      <c r="J32" s="54">
        <f t="shared" si="89"/>
        <v>0.665057113622336</v>
      </c>
      <c r="K32" s="54">
        <f t="shared" si="89"/>
        <v>0.627412371341826</v>
      </c>
      <c r="L32" s="54">
        <f t="shared" si="89"/>
        <v>0.591898463530025</v>
      </c>
      <c r="M32" s="54">
        <f t="shared" si="89"/>
        <v>0.558394776915118</v>
      </c>
      <c r="N32" s="54">
        <f t="shared" ref="N32" si="90">M32*$D$32</f>
        <v>0.52678752539162</v>
      </c>
      <c r="O32" s="54">
        <f t="shared" ref="O32" si="91">N32*$D$32</f>
        <v>0.496969363577</v>
      </c>
      <c r="P32" s="54">
        <f t="shared" ref="P32" si="92">O32*$D$32</f>
        <v>0.468839022242453</v>
      </c>
      <c r="Q32" s="54">
        <f t="shared" ref="Q32" si="93">P32*$D$32</f>
        <v>0.442300964379673</v>
      </c>
      <c r="R32" s="54">
        <f t="shared" ref="R32" si="94">Q32*$D$32</f>
        <v>0.41726506073554</v>
      </c>
      <c r="S32" s="54">
        <f t="shared" ref="S32" si="95">R32*$D$32</f>
        <v>0.393646283712774</v>
      </c>
      <c r="T32" s="54">
        <f t="shared" ref="T32" si="96">S32*$D$32</f>
        <v>0.371364418596956</v>
      </c>
      <c r="U32" s="54">
        <f t="shared" ref="U32" si="97">T32*$D$32</f>
        <v>0.350343791129204</v>
      </c>
      <c r="V32" s="54">
        <f t="shared" ref="V32" si="98">U32*$D$32</f>
        <v>0.330513010499249</v>
      </c>
      <c r="W32" s="54">
        <f t="shared" ref="W32" si="99">V32*$D$32</f>
        <v>0.311804726886084</v>
      </c>
      <c r="X32" s="54">
        <f t="shared" ref="X32" si="100">W32*$D$32</f>
        <v>0.294155402722721</v>
      </c>
      <c r="Y32" s="54">
        <f t="shared" ref="Y32" si="101">X32*$D$32</f>
        <v>0.277505096908227</v>
      </c>
      <c r="Z32" s="54">
        <f t="shared" ref="Z32" si="102">Y32*$D$32</f>
        <v>0.261797261234176</v>
      </c>
      <c r="AA32" s="54">
        <f t="shared" ref="AA32" si="103">Z32*$D$32</f>
        <v>0.246978548334129</v>
      </c>
      <c r="AB32" s="54">
        <f t="shared" ref="AB32" si="104">AA32*$D$32</f>
        <v>0.232998630503895</v>
      </c>
      <c r="AC32" s="54">
        <f t="shared" ref="AC32" si="105">AB32*$D$32</f>
        <v>0.219810028777259</v>
      </c>
      <c r="AD32" s="54">
        <f t="shared" ref="AD32" si="106">AC32*$D$32</f>
        <v>0.20736795167666</v>
      </c>
    </row>
    <row r="33" spans="1:30">
      <c r="A33" s="52"/>
      <c r="B33" s="52"/>
      <c r="C33" s="38"/>
      <c r="D33" s="52">
        <v>1</v>
      </c>
      <c r="E33" s="52">
        <v>2</v>
      </c>
      <c r="F33" s="52">
        <v>3</v>
      </c>
      <c r="G33" s="52">
        <v>4</v>
      </c>
      <c r="H33" s="52">
        <v>5</v>
      </c>
      <c r="I33" s="52">
        <v>6</v>
      </c>
      <c r="J33" s="52">
        <v>7</v>
      </c>
      <c r="K33" s="52">
        <v>8</v>
      </c>
      <c r="L33" s="52">
        <v>9</v>
      </c>
      <c r="M33" s="52">
        <v>10</v>
      </c>
      <c r="N33" s="52">
        <v>11</v>
      </c>
      <c r="O33" s="52">
        <v>12</v>
      </c>
      <c r="P33" s="52">
        <v>13</v>
      </c>
      <c r="Q33" s="52">
        <v>14</v>
      </c>
      <c r="R33" s="52">
        <v>15</v>
      </c>
      <c r="S33" s="52">
        <v>16</v>
      </c>
      <c r="T33" s="52">
        <v>17</v>
      </c>
      <c r="U33" s="52">
        <v>18</v>
      </c>
      <c r="V33" s="52">
        <v>19</v>
      </c>
      <c r="W33" s="52">
        <v>20</v>
      </c>
      <c r="X33" s="52">
        <v>21</v>
      </c>
      <c r="Y33" s="52">
        <v>22</v>
      </c>
      <c r="Z33" s="52">
        <v>23</v>
      </c>
      <c r="AA33" s="52">
        <v>24</v>
      </c>
      <c r="AB33" s="52">
        <v>25</v>
      </c>
      <c r="AC33" s="52">
        <v>26</v>
      </c>
      <c r="AD33" s="52">
        <v>27</v>
      </c>
    </row>
    <row r="41" spans="5:5">
      <c r="E41" s="36">
        <v>89624.34</v>
      </c>
    </row>
  </sheetData>
  <mergeCells count="24">
    <mergeCell ref="A1:AD1"/>
    <mergeCell ref="A2:AD2"/>
    <mergeCell ref="D3:E3"/>
    <mergeCell ref="F3:AD3"/>
    <mergeCell ref="D5:AD5"/>
    <mergeCell ref="D10:AD10"/>
    <mergeCell ref="A22:B22"/>
    <mergeCell ref="D22:AD22"/>
    <mergeCell ref="D27:E27"/>
    <mergeCell ref="H27:I27"/>
    <mergeCell ref="D28:E28"/>
    <mergeCell ref="H28:I28"/>
    <mergeCell ref="D29:E29"/>
    <mergeCell ref="H29:I29"/>
    <mergeCell ref="D30:E30"/>
    <mergeCell ref="H30:I30"/>
    <mergeCell ref="A32:B32"/>
    <mergeCell ref="A3:A4"/>
    <mergeCell ref="B3:B4"/>
    <mergeCell ref="C3:C4"/>
    <mergeCell ref="C27:C30"/>
    <mergeCell ref="G27:G30"/>
    <mergeCell ref="K27:AD30"/>
    <mergeCell ref="A27:B30"/>
  </mergeCells>
  <pageMargins left="0.700694444444445" right="0.700694444444445" top="0.751388888888889" bottom="0.751388888888889" header="0.297916666666667" footer="0.297916666666667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基础数据</vt:lpstr>
      <vt:lpstr>投资估算表</vt:lpstr>
      <vt:lpstr>资金使用计划表</vt:lpstr>
      <vt:lpstr>固定资产折旧摊销计算表</vt:lpstr>
      <vt:lpstr>总成本</vt:lpstr>
      <vt:lpstr>借款还本付息及还款计划表</vt:lpstr>
      <vt:lpstr>销售收入及增值税估算表</vt:lpstr>
      <vt:lpstr>利润及利润分配表</vt:lpstr>
      <vt:lpstr>项目投资现金流量表</vt:lpstr>
      <vt:lpstr>资本金现金流量表 </vt:lpstr>
      <vt:lpstr>财务计划现金流量表</vt:lpstr>
      <vt:lpstr>利息及偿债备付率</vt:lpstr>
      <vt:lpstr>敏感性分析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水木年华</cp:lastModifiedBy>
  <dcterms:created xsi:type="dcterms:W3CDTF">2018-10-19T00:59:00Z</dcterms:created>
  <dcterms:modified xsi:type="dcterms:W3CDTF">2021-12-19T03:42:00Z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