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tabRatio="929" firstSheet="1" activeTab="6"/>
  </bookViews>
  <sheets>
    <sheet name="基础数据" sheetId="23" r:id="rId1"/>
    <sheet name="项目总投资使用计划与资金筹措表" sheetId="29" r:id="rId2"/>
    <sheet name="固定资产折旧摊销计算表" sheetId="18" r:id="rId3"/>
    <sheet name="总成本费用估算表" sheetId="21" r:id="rId4"/>
    <sheet name="营业收入、营业税金及附加和增值税估算表" sheetId="20" r:id="rId5"/>
    <sheet name="利润及利润分配表" sheetId="24" r:id="rId6"/>
    <sheet name="借款还本付息及还款计划表" sheetId="17" r:id="rId7"/>
    <sheet name="项目投资现金流量表" sheetId="25" r:id="rId8"/>
    <sheet name="资本金现金流量表 " sheetId="27" r:id="rId9"/>
    <sheet name="财务计划现金流量表" sheetId="31" r:id="rId10"/>
    <sheet name="利息及偿债备付率" sheetId="26" r:id="rId11"/>
    <sheet name="敏感性分析" sheetId="30" state="hidden" r:id="rId12"/>
  </sheets>
  <calcPr calcId="144525"/>
</workbook>
</file>

<file path=xl/sharedStrings.xml><?xml version="1.0" encoding="utf-8"?>
<sst xmlns="http://schemas.openxmlformats.org/spreadsheetml/2006/main" count="288" uniqueCount="199">
  <si>
    <t>基本参数表</t>
  </si>
  <si>
    <t>序号</t>
  </si>
  <si>
    <t>参数名称</t>
  </si>
  <si>
    <t>计算数据</t>
  </si>
  <si>
    <t>补充数据及说明</t>
  </si>
  <si>
    <t>建设期(年)</t>
  </si>
  <si>
    <t>经营期(年)</t>
  </si>
  <si>
    <t>调
整
投
资</t>
  </si>
  <si>
    <t>项目总投资（万元）</t>
  </si>
  <si>
    <t>固定资产投资（万元）</t>
  </si>
  <si>
    <t>建设投资</t>
  </si>
  <si>
    <t>建安工程费（万元）</t>
  </si>
  <si>
    <t>工程其他费用</t>
  </si>
  <si>
    <t>工程预备费</t>
  </si>
  <si>
    <t>专项费用</t>
  </si>
  <si>
    <t>建设期利息（万元）</t>
  </si>
  <si>
    <t>流动资金</t>
  </si>
  <si>
    <t>项目资本金（万元）</t>
  </si>
  <si>
    <t>银行贷款（万元）</t>
  </si>
  <si>
    <t>投资年度安排比例</t>
  </si>
  <si>
    <t>税费</t>
  </si>
  <si>
    <t>使用者付费税率</t>
  </si>
  <si>
    <t>可行性缺口补贴税率</t>
  </si>
  <si>
    <t>运维增值税税率</t>
  </si>
  <si>
    <t>建安增值税税率</t>
  </si>
  <si>
    <t>设备增值税税率</t>
  </si>
  <si>
    <t>增值税附加</t>
  </si>
  <si>
    <t>城市维护建设税</t>
  </si>
  <si>
    <t>教育费附加</t>
  </si>
  <si>
    <t>地方教育发展费</t>
  </si>
  <si>
    <t>企业所得税率</t>
  </si>
  <si>
    <t>法定盈余公积金计提比率</t>
  </si>
  <si>
    <t>成本</t>
  </si>
  <si>
    <t>建投投资贷款利率</t>
  </si>
  <si>
    <t>流动资金贷款利率</t>
  </si>
  <si>
    <t>折现率</t>
  </si>
  <si>
    <t>合理利润率</t>
  </si>
  <si>
    <t>运维绩效服务费</t>
  </si>
  <si>
    <t>施工利润</t>
  </si>
  <si>
    <t>下浮后施工利润率</t>
  </si>
  <si>
    <t>施工利润反补比例</t>
  </si>
  <si>
    <t>施工利润反补所得税后金额</t>
  </si>
  <si>
    <t>施工利润留存</t>
  </si>
  <si>
    <t>项目总投资使用计划与资金筹措表</t>
  </si>
  <si>
    <t>单位：万元</t>
  </si>
  <si>
    <t xml:space="preserve"> 项 目 名 称</t>
  </si>
  <si>
    <t>合计</t>
  </si>
  <si>
    <t>建设期</t>
  </si>
  <si>
    <t>总投资</t>
  </si>
  <si>
    <t>建设期利息</t>
  </si>
  <si>
    <t>资金筹措</t>
  </si>
  <si>
    <t>项目资本金</t>
  </si>
  <si>
    <t>2.1.1</t>
  </si>
  <si>
    <t>用于建设投资</t>
  </si>
  <si>
    <t>2.1.2</t>
  </si>
  <si>
    <t>用于建设期利息</t>
  </si>
  <si>
    <t>2.1.3</t>
  </si>
  <si>
    <t>用于流动资金</t>
  </si>
  <si>
    <t>银行借款</t>
  </si>
  <si>
    <t>2.2.1</t>
  </si>
  <si>
    <t>2.2.2</t>
  </si>
  <si>
    <t>2.2.3</t>
  </si>
  <si>
    <t>其他资金</t>
  </si>
  <si>
    <t>固定资产折旧费估算表（折旧年限25年）</t>
  </si>
  <si>
    <t>项目</t>
  </si>
  <si>
    <t>运营期</t>
  </si>
  <si>
    <t>固定资产</t>
  </si>
  <si>
    <t>原值</t>
  </si>
  <si>
    <t>当期折旧费</t>
  </si>
  <si>
    <t>净  值</t>
  </si>
  <si>
    <r>
      <rPr>
        <b/>
        <sz val="11"/>
        <color indexed="8"/>
        <rFont val="宋体"/>
        <charset val="134"/>
      </rPr>
      <t>合</t>
    </r>
    <r>
      <rPr>
        <b/>
        <sz val="11"/>
        <color indexed="8"/>
        <rFont val="Times New Roman"/>
        <charset val="134"/>
      </rPr>
      <t xml:space="preserve"> </t>
    </r>
    <r>
      <rPr>
        <b/>
        <sz val="11"/>
        <color indexed="8"/>
        <rFont val="宋体"/>
        <charset val="134"/>
      </rPr>
      <t>计</t>
    </r>
  </si>
  <si>
    <r>
      <rPr>
        <sz val="11"/>
        <color indexed="8"/>
        <rFont val="宋体"/>
        <charset val="134"/>
      </rPr>
      <t>原</t>
    </r>
    <r>
      <rPr>
        <sz val="11"/>
        <color indexed="8"/>
        <rFont val="Times New Roman"/>
        <charset val="134"/>
      </rPr>
      <t xml:space="preserve"> </t>
    </r>
    <r>
      <rPr>
        <sz val="11"/>
        <color indexed="8"/>
        <rFont val="宋体"/>
        <charset val="134"/>
      </rPr>
      <t>值</t>
    </r>
  </si>
  <si>
    <t>当期折旧摊销费</t>
  </si>
  <si>
    <r>
      <rPr>
        <sz val="11"/>
        <color indexed="8"/>
        <rFont val="宋体"/>
        <charset val="134"/>
      </rPr>
      <t>净</t>
    </r>
    <r>
      <rPr>
        <sz val="11"/>
        <color indexed="8"/>
        <rFont val="Times New Roman"/>
        <charset val="134"/>
      </rPr>
      <t xml:space="preserve"> </t>
    </r>
    <r>
      <rPr>
        <sz val="11"/>
        <color indexed="8"/>
        <rFont val="宋体"/>
        <charset val="134"/>
      </rPr>
      <t>值</t>
    </r>
  </si>
  <si>
    <t>总成本费用表</t>
  </si>
  <si>
    <r>
      <rPr>
        <sz val="11"/>
        <color indexed="8"/>
        <rFont val="宋体"/>
        <charset val="134"/>
      </rPr>
      <t>项</t>
    </r>
    <r>
      <rPr>
        <sz val="11"/>
        <color indexed="8"/>
        <rFont val="Times New Roman"/>
        <charset val="134"/>
      </rPr>
      <t xml:space="preserve">    </t>
    </r>
    <r>
      <rPr>
        <sz val="11"/>
        <color indexed="8"/>
        <rFont val="宋体"/>
        <charset val="134"/>
      </rPr>
      <t>目</t>
    </r>
  </si>
  <si>
    <t>运营维护成本</t>
  </si>
  <si>
    <t>固定资产折旧</t>
  </si>
  <si>
    <t>财务费用</t>
  </si>
  <si>
    <r>
      <rPr>
        <b/>
        <sz val="11"/>
        <color rgb="FF000000"/>
        <rFont val="宋体"/>
        <charset val="134"/>
      </rPr>
      <t>总成本费用（</t>
    </r>
    <r>
      <rPr>
        <b/>
        <sz val="11"/>
        <color rgb="FF000000"/>
        <rFont val="Times New Roman"/>
        <charset val="134"/>
      </rPr>
      <t>1+2+3</t>
    </r>
    <r>
      <rPr>
        <b/>
        <sz val="11"/>
        <color rgb="FF000000"/>
        <rFont val="宋体"/>
        <charset val="134"/>
      </rPr>
      <t>）</t>
    </r>
  </si>
  <si>
    <t>固定成本</t>
  </si>
  <si>
    <t>可变成本</t>
  </si>
  <si>
    <t>营业收入、营业税金及附加和增值税估算表</t>
  </si>
  <si>
    <r>
      <rPr>
        <sz val="11"/>
        <rFont val="宋体"/>
        <charset val="134"/>
      </rPr>
      <t>序号</t>
    </r>
  </si>
  <si>
    <r>
      <rPr>
        <sz val="11"/>
        <rFont val="宋体"/>
        <charset val="134"/>
      </rPr>
      <t>项目</t>
    </r>
  </si>
  <si>
    <r>
      <rPr>
        <sz val="11"/>
        <rFont val="宋体"/>
        <charset val="134"/>
      </rPr>
      <t>税率</t>
    </r>
  </si>
  <si>
    <r>
      <rPr>
        <sz val="11"/>
        <rFont val="宋体"/>
        <charset val="134"/>
      </rPr>
      <t>运营期</t>
    </r>
  </si>
  <si>
    <t>一</t>
  </si>
  <si>
    <t>项目经营收入</t>
  </si>
  <si>
    <t>实际入廊费收入</t>
  </si>
  <si>
    <t>计算入廊费收入</t>
  </si>
  <si>
    <t>收取比例</t>
  </si>
  <si>
    <t>日常运营维护费收入</t>
  </si>
  <si>
    <t>管廊长度（公里）</t>
  </si>
  <si>
    <t>收费单价（万元/公里）</t>
  </si>
  <si>
    <t>生产能力</t>
  </si>
  <si>
    <t>项目可行性缺口补助</t>
  </si>
  <si>
    <t>二</t>
  </si>
  <si>
    <r>
      <rPr>
        <b/>
        <sz val="11"/>
        <rFont val="宋体"/>
        <charset val="134"/>
      </rPr>
      <t>增值税金及附加</t>
    </r>
  </si>
  <si>
    <r>
      <rPr>
        <sz val="11"/>
        <rFont val="宋体"/>
        <charset val="134"/>
      </rPr>
      <t>增值税</t>
    </r>
  </si>
  <si>
    <t>销项税额</t>
  </si>
  <si>
    <t>进项税额</t>
  </si>
  <si>
    <t>城市维护建设税
（按增值税的7%计取）</t>
  </si>
  <si>
    <t>教育费及地方教育费附加
（按增值税的5%计取）</t>
  </si>
  <si>
    <t>利润与利润分配表</t>
  </si>
  <si>
    <t>营业收入</t>
  </si>
  <si>
    <t>增值税金及附加</t>
  </si>
  <si>
    <t>总成本费用</t>
  </si>
  <si>
    <t>利润总额(1-2-3)</t>
  </si>
  <si>
    <t>弥补以前年度亏损</t>
  </si>
  <si>
    <t>应纳税所得额</t>
  </si>
  <si>
    <t>所得税(20%)</t>
  </si>
  <si>
    <t>净利润</t>
  </si>
  <si>
    <t>期初未分配利润</t>
  </si>
  <si>
    <t>可供分配的利润</t>
  </si>
  <si>
    <t>提取法定盈余公积金和公益金(7%+5%)</t>
  </si>
  <si>
    <t>可供投资者分配的利润</t>
  </si>
  <si>
    <t>未分配利润</t>
  </si>
  <si>
    <t>息税前利润</t>
  </si>
  <si>
    <t>息税折旧摊销前利润</t>
  </si>
  <si>
    <t>总投资收益率</t>
  </si>
  <si>
    <t>项目资本金利润率</t>
  </si>
  <si>
    <t>借款还本付息及还款计划表</t>
  </si>
  <si>
    <r>
      <rPr>
        <sz val="10"/>
        <color rgb="FF000000"/>
        <rFont val="宋体"/>
        <charset val="134"/>
      </rPr>
      <t>项</t>
    </r>
    <r>
      <rPr>
        <sz val="10"/>
        <color rgb="FF000000"/>
        <rFont val="Times New Roman"/>
        <charset val="134"/>
      </rPr>
      <t xml:space="preserve">    </t>
    </r>
    <r>
      <rPr>
        <sz val="10"/>
        <color rgb="FF000000"/>
        <rFont val="宋体"/>
        <charset val="134"/>
      </rPr>
      <t>目</t>
    </r>
  </si>
  <si>
    <t>计算期</t>
  </si>
  <si>
    <t>期初借款本息累计</t>
  </si>
  <si>
    <t>本年借款</t>
  </si>
  <si>
    <t>当期应计利息</t>
  </si>
  <si>
    <t>当期还本付息</t>
  </si>
  <si>
    <t>还本</t>
  </si>
  <si>
    <t>付息</t>
  </si>
  <si>
    <t>期末借款本息累计</t>
  </si>
  <si>
    <t>贷款利率6.00%；流动资金利率为4%。</t>
  </si>
  <si>
    <t>项目投资现金流量表</t>
  </si>
  <si>
    <r>
      <rPr>
        <sz val="10"/>
        <color indexed="8"/>
        <rFont val="Times New Roman"/>
        <charset val="134"/>
      </rPr>
      <t xml:space="preserve">项    </t>
    </r>
    <r>
      <rPr>
        <sz val="10"/>
        <color indexed="8"/>
        <rFont val="宋体"/>
        <charset val="134"/>
      </rPr>
      <t>目</t>
    </r>
  </si>
  <si>
    <t>现金流入</t>
  </si>
  <si>
    <t>经营收入</t>
  </si>
  <si>
    <t>回收流动资金</t>
  </si>
  <si>
    <t>残值回收</t>
  </si>
  <si>
    <t>流入小计</t>
  </si>
  <si>
    <t>现金流出</t>
  </si>
  <si>
    <t>运营成本</t>
  </si>
  <si>
    <t>流出小计</t>
  </si>
  <si>
    <t>净现金流量</t>
  </si>
  <si>
    <t>税前现金流量</t>
  </si>
  <si>
    <t>税前累计现金流量</t>
  </si>
  <si>
    <t>调整所得税</t>
  </si>
  <si>
    <t>税后现金流量</t>
  </si>
  <si>
    <t>税后累计现金流量</t>
  </si>
  <si>
    <t>税前净现值</t>
  </si>
  <si>
    <t>税前累计净现值</t>
  </si>
  <si>
    <t>税后净现值</t>
  </si>
  <si>
    <t>税后累计净现值</t>
  </si>
  <si>
    <t>计算指标</t>
  </si>
  <si>
    <t>税前</t>
  </si>
  <si>
    <t>IRR=</t>
  </si>
  <si>
    <t>NPV=</t>
  </si>
  <si>
    <t>静态投资回收期Pt=</t>
  </si>
  <si>
    <t>动态投资回收期Pt'=</t>
  </si>
  <si>
    <t>税后</t>
  </si>
  <si>
    <r>
      <rPr>
        <sz val="10"/>
        <rFont val="宋体"/>
        <charset val="134"/>
      </rPr>
      <t>现值系数（</t>
    </r>
    <r>
      <rPr>
        <sz val="10"/>
        <rFont val="Times New Roman"/>
        <charset val="134"/>
      </rPr>
      <t>i=6%</t>
    </r>
    <r>
      <rPr>
        <sz val="10"/>
        <rFont val="宋体"/>
        <charset val="134"/>
      </rPr>
      <t>）</t>
    </r>
  </si>
  <si>
    <t>资本金现金流量表</t>
  </si>
  <si>
    <t>借款本金偿还</t>
  </si>
  <si>
    <t>借款利息支付</t>
  </si>
  <si>
    <t>所得税</t>
  </si>
  <si>
    <t>税后现金流量
1-2</t>
  </si>
  <si>
    <t>财务计划现金流量表</t>
  </si>
  <si>
    <r>
      <rPr>
        <sz val="9"/>
        <rFont val="Times New Roman"/>
        <charset val="134"/>
      </rPr>
      <t xml:space="preserve">                                                                     </t>
    </r>
    <r>
      <rPr>
        <sz val="9"/>
        <rFont val="宋体"/>
        <charset val="134"/>
      </rPr>
      <t>项目</t>
    </r>
  </si>
  <si>
    <t>经营活动净现金流量
1.1-1.2</t>
  </si>
  <si>
    <t>1.1.1</t>
  </si>
  <si>
    <t>1.2.1</t>
  </si>
  <si>
    <t>经营成本</t>
  </si>
  <si>
    <t>1.2.2</t>
  </si>
  <si>
    <t>1.2.3</t>
  </si>
  <si>
    <t>投资活动净现金流量
2.1-2.2</t>
  </si>
  <si>
    <t>筹资活动净现金流量
3.1-3.2</t>
  </si>
  <si>
    <t>3.1.1</t>
  </si>
  <si>
    <t>项目资本金投入</t>
  </si>
  <si>
    <t>3.1.2</t>
  </si>
  <si>
    <t>建设投资借款</t>
  </si>
  <si>
    <t>3.2.1</t>
  </si>
  <si>
    <t>各种利息支出</t>
  </si>
  <si>
    <t>3.2.2</t>
  </si>
  <si>
    <t>偿还债务本金</t>
  </si>
  <si>
    <t>净现金流量1+2+3</t>
  </si>
  <si>
    <t>累计盈余资金</t>
  </si>
  <si>
    <t>利息及偿债备付率</t>
  </si>
  <si>
    <t>项    目</t>
  </si>
  <si>
    <t>利息备付率</t>
  </si>
  <si>
    <t>偿债备付率</t>
  </si>
  <si>
    <t>分析因素</t>
  </si>
  <si>
    <t>变动率</t>
  </si>
  <si>
    <t>内部收益率（IRR）</t>
  </si>
  <si>
    <t>财务净现值（ＮＰＶ）（万元）</t>
  </si>
  <si>
    <t>动态投资回收期（年）</t>
  </si>
  <si>
    <t>敏感度系数</t>
  </si>
  <si>
    <t>基准指标</t>
  </si>
  <si>
    <t>BEP=</t>
  </si>
  <si>
    <t>BEP=年平均固定成本/（年平均收入-年平均可变成本-年平均增值税金及附加）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</si>
</sst>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  <numFmt numFmtId="178" formatCode="0_);\(0\)"/>
    <numFmt numFmtId="179" formatCode="0.00_);[Red]\(0.00\)"/>
    <numFmt numFmtId="180" formatCode="0_);[Red]\(0\)"/>
    <numFmt numFmtId="181" formatCode="0.00_);\(0.00\)"/>
  </numFmts>
  <fonts count="74">
    <font>
      <sz val="11"/>
      <color theme="1"/>
      <name val="宋体"/>
      <charset val="134"/>
      <scheme val="minor"/>
    </font>
    <font>
      <b/>
      <sz val="11"/>
      <color rgb="FF000000"/>
      <name val="仿宋"/>
      <charset val="134"/>
    </font>
    <font>
      <sz val="11"/>
      <color rgb="FF000000"/>
      <name val="仿宋"/>
      <charset val="134"/>
    </font>
    <font>
      <sz val="14"/>
      <color theme="1"/>
      <name val="黑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9"/>
      <name val="Times New Roman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  <scheme val="minor"/>
    </font>
    <font>
      <sz val="10"/>
      <color indexed="8"/>
      <name val="Times New Roman"/>
      <charset val="134"/>
    </font>
    <font>
      <sz val="14"/>
      <color rgb="FF000000"/>
      <name val="黑体"/>
      <charset val="134"/>
    </font>
    <font>
      <sz val="10"/>
      <color indexed="8"/>
      <name val="宋体"/>
      <charset val="134"/>
    </font>
    <font>
      <b/>
      <sz val="10"/>
      <color theme="1"/>
      <name val="Times New Roman"/>
      <charset val="134"/>
    </font>
    <font>
      <b/>
      <sz val="10"/>
      <color theme="1"/>
      <name val="宋体"/>
      <charset val="134"/>
    </font>
    <font>
      <sz val="10"/>
      <color theme="1"/>
      <name val="Times New Roman"/>
      <charset val="134"/>
    </font>
    <font>
      <sz val="10"/>
      <name val="宋体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宋体"/>
      <charset val="134"/>
      <scheme val="minor"/>
    </font>
    <font>
      <sz val="18"/>
      <color rgb="FF000000"/>
      <name val="黑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0"/>
      <color rgb="FF000000"/>
      <name val="宋体"/>
      <charset val="134"/>
    </font>
    <font>
      <b/>
      <sz val="10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name val="Times New Roman"/>
      <charset val="134"/>
    </font>
    <font>
      <sz val="12"/>
      <color indexed="8"/>
      <name val="Times New Roman"/>
      <charset val="134"/>
    </font>
    <font>
      <b/>
      <sz val="11"/>
      <color indexed="8"/>
      <name val="宋体"/>
      <charset val="134"/>
    </font>
    <font>
      <sz val="14"/>
      <name val="黑体"/>
      <charset val="134"/>
    </font>
    <font>
      <sz val="11"/>
      <name val="宋体"/>
      <charset val="134"/>
    </font>
    <font>
      <b/>
      <sz val="11"/>
      <name val="Times New Roman"/>
      <charset val="134"/>
    </font>
    <font>
      <sz val="8"/>
      <color indexed="8"/>
      <name val="宋体"/>
      <charset val="134"/>
    </font>
    <font>
      <sz val="16"/>
      <color indexed="8"/>
      <name val="黑体"/>
      <charset val="134"/>
    </font>
    <font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宋体"/>
      <charset val="134"/>
    </font>
    <font>
      <b/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b/>
      <sz val="12"/>
      <color rgb="FF000000"/>
      <name val="仿宋"/>
      <charset val="134"/>
    </font>
    <font>
      <b/>
      <sz val="12"/>
      <color rgb="FF000000"/>
      <name val="Times New Roman"/>
      <charset val="134"/>
    </font>
    <font>
      <sz val="12"/>
      <color rgb="FF000000"/>
      <name val="仿宋"/>
      <charset val="134"/>
    </font>
    <font>
      <sz val="12"/>
      <color rgb="FF000000"/>
      <name val="Times New Roman"/>
      <charset val="134"/>
    </font>
    <font>
      <sz val="10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Times New Roman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6" fillId="5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0" fillId="4" borderId="34" applyNumberFormat="0" applyFont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65" fillId="0" borderId="37" applyNumberFormat="0" applyFill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57" fillId="6" borderId="36" applyNumberFormat="0" applyAlignment="0" applyProtection="0">
      <alignment vertical="center"/>
    </xf>
    <xf numFmtId="0" fontId="72" fillId="6" borderId="35" applyNumberFormat="0" applyAlignment="0" applyProtection="0">
      <alignment vertical="center"/>
    </xf>
    <xf numFmtId="0" fontId="69" fillId="25" borderId="40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0" borderId="38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0" fillId="0" borderId="0">
      <alignment vertical="center"/>
    </xf>
  </cellStyleXfs>
  <cellXfs count="29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11" applyNumberFormat="1" applyFont="1">
      <alignment vertical="center"/>
    </xf>
    <xf numFmtId="177" fontId="0" fillId="0" borderId="0" xfId="0" applyNumberFormat="1" applyFont="1" applyBorder="1" applyAlignment="1">
      <alignment horizontal="center" vertical="center"/>
    </xf>
    <xf numFmtId="177" fontId="0" fillId="0" borderId="7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10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77" fontId="0" fillId="0" borderId="8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176" fontId="8" fillId="2" borderId="8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 vertical="center"/>
    </xf>
    <xf numFmtId="176" fontId="10" fillId="2" borderId="8" xfId="0" applyNumberFormat="1" applyFont="1" applyFill="1" applyBorder="1" applyAlignment="1">
      <alignment horizontal="center"/>
    </xf>
    <xf numFmtId="0" fontId="0" fillId="0" borderId="0" xfId="49">
      <alignment vertical="center"/>
    </xf>
    <xf numFmtId="0" fontId="11" fillId="0" borderId="0" xfId="49" applyNumberFormat="1" applyFont="1" applyFill="1" applyBorder="1" applyAlignment="1"/>
    <xf numFmtId="0" fontId="12" fillId="0" borderId="0" xfId="49" applyNumberFormat="1" applyFont="1" applyFill="1" applyAlignment="1">
      <alignment horizontal="center" vertical="center"/>
    </xf>
    <xf numFmtId="0" fontId="11" fillId="0" borderId="8" xfId="49" applyNumberFormat="1" applyFont="1" applyFill="1" applyBorder="1" applyAlignment="1">
      <alignment horizontal="right" vertical="center"/>
    </xf>
    <xf numFmtId="0" fontId="11" fillId="0" borderId="8" xfId="49" applyNumberFormat="1" applyFont="1" applyFill="1" applyBorder="1" applyAlignment="1">
      <alignment horizontal="center" vertical="center" wrapText="1"/>
    </xf>
    <xf numFmtId="0" fontId="13" fillId="0" borderId="8" xfId="49" applyNumberFormat="1" applyFont="1" applyFill="1" applyBorder="1" applyAlignment="1">
      <alignment horizontal="center" vertical="center" wrapText="1"/>
    </xf>
    <xf numFmtId="0" fontId="14" fillId="2" borderId="8" xfId="49" applyNumberFormat="1" applyFont="1" applyFill="1" applyBorder="1" applyAlignment="1">
      <alignment horizontal="center" vertical="center"/>
    </xf>
    <xf numFmtId="0" fontId="15" fillId="2" borderId="8" xfId="49" applyNumberFormat="1" applyFont="1" applyFill="1" applyBorder="1" applyAlignment="1">
      <alignment horizontal="center" vertical="center"/>
    </xf>
    <xf numFmtId="0" fontId="14" fillId="2" borderId="8" xfId="49" applyNumberFormat="1" applyFont="1" applyFill="1" applyBorder="1" applyAlignment="1">
      <alignment vertical="center"/>
    </xf>
    <xf numFmtId="177" fontId="14" fillId="2" borderId="8" xfId="49" applyNumberFormat="1" applyFont="1" applyFill="1" applyBorder="1" applyAlignment="1">
      <alignment horizontal="center" vertical="center"/>
    </xf>
    <xf numFmtId="0" fontId="16" fillId="0" borderId="8" xfId="49" applyNumberFormat="1" applyFont="1" applyFill="1" applyBorder="1" applyAlignment="1">
      <alignment horizontal="center" vertical="center"/>
    </xf>
    <xf numFmtId="179" fontId="16" fillId="0" borderId="8" xfId="49" applyNumberFormat="1" applyFont="1" applyFill="1" applyBorder="1" applyAlignment="1">
      <alignment horizontal="center" vertical="center"/>
    </xf>
    <xf numFmtId="179" fontId="16" fillId="0" borderId="8" xfId="49" applyNumberFormat="1" applyFont="1" applyFill="1" applyBorder="1" applyAlignment="1">
      <alignment horizontal="center" vertical="center" wrapText="1"/>
    </xf>
    <xf numFmtId="179" fontId="15" fillId="2" borderId="8" xfId="49" applyNumberFormat="1" applyFont="1" applyFill="1" applyBorder="1" applyAlignment="1">
      <alignment horizontal="center" vertical="center"/>
    </xf>
    <xf numFmtId="179" fontId="14" fillId="2" borderId="8" xfId="49" applyNumberFormat="1" applyFont="1" applyFill="1" applyBorder="1" applyAlignment="1">
      <alignment vertical="center"/>
    </xf>
    <xf numFmtId="179" fontId="14" fillId="2" borderId="8" xfId="49" applyNumberFormat="1" applyFont="1" applyFill="1" applyBorder="1" applyAlignment="1">
      <alignment horizontal="center" vertical="center"/>
    </xf>
    <xf numFmtId="177" fontId="16" fillId="0" borderId="8" xfId="49" applyNumberFormat="1" applyFont="1" applyFill="1" applyBorder="1" applyAlignment="1">
      <alignment horizontal="center" vertical="center"/>
    </xf>
    <xf numFmtId="0" fontId="14" fillId="0" borderId="8" xfId="49" applyNumberFormat="1" applyFont="1" applyFill="1" applyBorder="1" applyAlignment="1">
      <alignment horizontal="center" vertical="center"/>
    </xf>
    <xf numFmtId="179" fontId="15" fillId="0" borderId="8" xfId="49" applyNumberFormat="1" applyFont="1" applyFill="1" applyBorder="1" applyAlignment="1">
      <alignment horizontal="center" vertical="center" wrapText="1"/>
    </xf>
    <xf numFmtId="179" fontId="14" fillId="0" borderId="8" xfId="49" applyNumberFormat="1" applyFont="1" applyFill="1" applyBorder="1" applyAlignment="1">
      <alignment horizontal="center" vertical="center"/>
    </xf>
    <xf numFmtId="177" fontId="14" fillId="0" borderId="8" xfId="49" applyNumberFormat="1" applyFont="1" applyFill="1" applyBorder="1" applyAlignment="1">
      <alignment horizontal="center" vertical="center"/>
    </xf>
    <xf numFmtId="179" fontId="14" fillId="0" borderId="9" xfId="49" applyNumberFormat="1" applyFont="1" applyFill="1" applyBorder="1" applyAlignment="1">
      <alignment horizontal="center" vertical="center"/>
    </xf>
    <xf numFmtId="0" fontId="14" fillId="0" borderId="8" xfId="49" applyNumberFormat="1" applyFont="1" applyFill="1" applyBorder="1" applyAlignment="1">
      <alignment horizontal="center" vertical="center" wrapText="1"/>
    </xf>
    <xf numFmtId="177" fontId="14" fillId="0" borderId="8" xfId="49" applyNumberFormat="1" applyFont="1" applyFill="1" applyBorder="1" applyAlignment="1">
      <alignment horizontal="center" vertical="center" wrapText="1"/>
    </xf>
    <xf numFmtId="0" fontId="16" fillId="0" borderId="8" xfId="49" applyNumberFormat="1" applyFont="1" applyFill="1" applyBorder="1" applyAlignment="1">
      <alignment vertical="center"/>
    </xf>
    <xf numFmtId="0" fontId="16" fillId="0" borderId="8" xfId="49" applyNumberFormat="1" applyFont="1" applyFill="1" applyBorder="1" applyAlignment="1">
      <alignment horizontal="right" vertical="center"/>
    </xf>
    <xf numFmtId="0" fontId="17" fillId="0" borderId="8" xfId="49" applyNumberFormat="1" applyFont="1" applyFill="1" applyBorder="1" applyAlignment="1">
      <alignment horizontal="center" vertical="center"/>
    </xf>
    <xf numFmtId="0" fontId="18" fillId="0" borderId="8" xfId="49" applyNumberFormat="1" applyFont="1" applyFill="1" applyBorder="1" applyAlignment="1">
      <alignment horizontal="center" vertical="center"/>
    </xf>
    <xf numFmtId="0" fontId="12" fillId="0" borderId="0" xfId="49" applyNumberFormat="1" applyFont="1" applyFill="1" applyBorder="1" applyAlignment="1">
      <alignment horizontal="center" vertical="center"/>
    </xf>
    <xf numFmtId="10" fontId="16" fillId="0" borderId="8" xfId="49" applyNumberFormat="1" applyFont="1" applyFill="1" applyBorder="1" applyAlignment="1">
      <alignment horizontal="center" vertical="center"/>
    </xf>
    <xf numFmtId="0" fontId="19" fillId="0" borderId="0" xfId="49" applyFont="1">
      <alignment vertical="center"/>
    </xf>
    <xf numFmtId="0" fontId="20" fillId="0" borderId="0" xfId="49" applyFont="1">
      <alignment vertical="center"/>
    </xf>
    <xf numFmtId="0" fontId="11" fillId="0" borderId="10" xfId="49" applyNumberFormat="1" applyFont="1" applyFill="1" applyBorder="1" applyAlignment="1"/>
    <xf numFmtId="0" fontId="21" fillId="0" borderId="0" xfId="49" applyNumberFormat="1" applyFont="1" applyFill="1" applyAlignment="1">
      <alignment horizontal="center" vertical="center"/>
    </xf>
    <xf numFmtId="0" fontId="11" fillId="0" borderId="0" xfId="49" applyNumberFormat="1" applyFont="1" applyFill="1" applyBorder="1" applyAlignment="1">
      <alignment horizontal="right" vertical="center"/>
    </xf>
    <xf numFmtId="0" fontId="11" fillId="0" borderId="11" xfId="49" applyNumberFormat="1" applyFont="1" applyFill="1" applyBorder="1" applyAlignment="1">
      <alignment horizontal="center" vertical="center" wrapText="1"/>
    </xf>
    <xf numFmtId="0" fontId="11" fillId="0" borderId="12" xfId="49" applyNumberFormat="1" applyFont="1" applyFill="1" applyBorder="1" applyAlignment="1">
      <alignment horizontal="center" vertical="center" wrapText="1"/>
    </xf>
    <xf numFmtId="0" fontId="13" fillId="0" borderId="12" xfId="49" applyNumberFormat="1" applyFont="1" applyFill="1" applyBorder="1" applyAlignment="1">
      <alignment horizontal="center" vertical="center" wrapText="1"/>
    </xf>
    <xf numFmtId="0" fontId="11" fillId="0" borderId="13" xfId="49" applyNumberFormat="1" applyFont="1" applyFill="1" applyBorder="1" applyAlignment="1">
      <alignment horizontal="center" vertical="center" wrapText="1"/>
    </xf>
    <xf numFmtId="0" fontId="16" fillId="2" borderId="13" xfId="49" applyNumberFormat="1" applyFont="1" applyFill="1" applyBorder="1" applyAlignment="1">
      <alignment horizontal="center" vertical="center"/>
    </xf>
    <xf numFmtId="0" fontId="16" fillId="2" borderId="8" xfId="49" applyNumberFormat="1" applyFont="1" applyFill="1" applyBorder="1" applyAlignment="1">
      <alignment horizontal="center" vertical="center"/>
    </xf>
    <xf numFmtId="0" fontId="16" fillId="2" borderId="8" xfId="49" applyNumberFormat="1" applyFont="1" applyFill="1" applyBorder="1" applyAlignment="1">
      <alignment vertical="center"/>
    </xf>
    <xf numFmtId="0" fontId="16" fillId="0" borderId="13" xfId="49" applyNumberFormat="1" applyFont="1" applyFill="1" applyBorder="1" applyAlignment="1">
      <alignment horizontal="center" vertical="center"/>
    </xf>
    <xf numFmtId="179" fontId="16" fillId="2" borderId="8" xfId="49" applyNumberFormat="1" applyFont="1" applyFill="1" applyBorder="1" applyAlignment="1">
      <alignment horizontal="center" vertical="center"/>
    </xf>
    <xf numFmtId="179" fontId="16" fillId="2" borderId="8" xfId="49" applyNumberFormat="1" applyFont="1" applyFill="1" applyBorder="1" applyAlignment="1">
      <alignment vertical="center"/>
    </xf>
    <xf numFmtId="177" fontId="18" fillId="0" borderId="8" xfId="49" applyNumberFormat="1" applyFont="1" applyFill="1" applyBorder="1" applyAlignment="1">
      <alignment horizontal="center" vertical="center"/>
    </xf>
    <xf numFmtId="0" fontId="16" fillId="0" borderId="13" xfId="49" applyFont="1" applyBorder="1" applyAlignment="1">
      <alignment horizontal="center" vertical="center"/>
    </xf>
    <xf numFmtId="177" fontId="16" fillId="0" borderId="8" xfId="49" applyNumberFormat="1" applyFont="1" applyBorder="1" applyAlignment="1">
      <alignment horizontal="center" vertical="center"/>
    </xf>
    <xf numFmtId="0" fontId="16" fillId="0" borderId="13" xfId="49" applyNumberFormat="1" applyFont="1" applyFill="1" applyBorder="1" applyAlignment="1">
      <alignment horizontal="center" vertical="center" wrapText="1"/>
    </xf>
    <xf numFmtId="177" fontId="16" fillId="0" borderId="8" xfId="49" applyNumberFormat="1" applyFont="1" applyFill="1" applyBorder="1" applyAlignment="1">
      <alignment horizontal="center" vertical="center" wrapText="1"/>
    </xf>
    <xf numFmtId="0" fontId="16" fillId="0" borderId="14" xfId="49" applyNumberFormat="1" applyFont="1" applyFill="1" applyBorder="1" applyAlignment="1">
      <alignment horizontal="center" vertical="center"/>
    </xf>
    <xf numFmtId="0" fontId="16" fillId="0" borderId="15" xfId="49" applyNumberFormat="1" applyFont="1" applyFill="1" applyBorder="1" applyAlignment="1">
      <alignment horizontal="center" vertical="center"/>
    </xf>
    <xf numFmtId="0" fontId="22" fillId="0" borderId="8" xfId="49" applyNumberFormat="1" applyFont="1" applyFill="1" applyBorder="1" applyAlignment="1">
      <alignment vertical="center"/>
    </xf>
    <xf numFmtId="0" fontId="11" fillId="0" borderId="8" xfId="49" applyNumberFormat="1" applyFont="1" applyFill="1" applyBorder="1" applyAlignment="1">
      <alignment vertical="center"/>
    </xf>
    <xf numFmtId="0" fontId="16" fillId="0" borderId="16" xfId="49" applyNumberFormat="1" applyFont="1" applyFill="1" applyBorder="1" applyAlignment="1">
      <alignment horizontal="center" vertical="center"/>
    </xf>
    <xf numFmtId="0" fontId="16" fillId="0" borderId="10" xfId="49" applyNumberFormat="1" applyFont="1" applyFill="1" applyBorder="1" applyAlignment="1">
      <alignment horizontal="center" vertical="center"/>
    </xf>
    <xf numFmtId="0" fontId="22" fillId="0" borderId="17" xfId="49" applyNumberFormat="1" applyFont="1" applyFill="1" applyBorder="1" applyAlignment="1">
      <alignment horizontal="center" vertical="center"/>
    </xf>
    <xf numFmtId="0" fontId="16" fillId="0" borderId="18" xfId="49" applyNumberFormat="1" applyFont="1" applyFill="1" applyBorder="1" applyAlignment="1">
      <alignment horizontal="center" vertical="center"/>
    </xf>
    <xf numFmtId="0" fontId="16" fillId="0" borderId="19" xfId="49" applyNumberFormat="1" applyFont="1" applyFill="1" applyBorder="1" applyAlignment="1">
      <alignment horizontal="center" vertical="center"/>
    </xf>
    <xf numFmtId="0" fontId="16" fillId="0" borderId="20" xfId="49" applyNumberFormat="1" applyFont="1" applyFill="1" applyBorder="1" applyAlignment="1">
      <alignment horizontal="center" vertical="center"/>
    </xf>
    <xf numFmtId="0" fontId="16" fillId="0" borderId="21" xfId="49" applyNumberFormat="1" applyFont="1" applyFill="1" applyBorder="1" applyAlignment="1">
      <alignment horizontal="center" vertical="center"/>
    </xf>
    <xf numFmtId="0" fontId="17" fillId="0" borderId="13" xfId="49" applyNumberFormat="1" applyFont="1" applyFill="1" applyBorder="1" applyAlignment="1">
      <alignment horizontal="center" vertical="center"/>
    </xf>
    <xf numFmtId="0" fontId="13" fillId="0" borderId="22" xfId="49" applyNumberFormat="1" applyFont="1" applyFill="1" applyBorder="1" applyAlignment="1">
      <alignment horizontal="center" vertical="center" wrapText="1"/>
    </xf>
    <xf numFmtId="0" fontId="11" fillId="0" borderId="23" xfId="49" applyNumberFormat="1" applyFont="1" applyFill="1" applyBorder="1" applyAlignment="1">
      <alignment horizontal="center" vertical="center" wrapText="1"/>
    </xf>
    <xf numFmtId="0" fontId="16" fillId="2" borderId="23" xfId="49" applyNumberFormat="1" applyFont="1" applyFill="1" applyBorder="1" applyAlignment="1">
      <alignment horizontal="center" vertical="center"/>
    </xf>
    <xf numFmtId="179" fontId="16" fillId="0" borderId="23" xfId="49" applyNumberFormat="1" applyFont="1" applyFill="1" applyBorder="1" applyAlignment="1">
      <alignment horizontal="center" vertical="center"/>
    </xf>
    <xf numFmtId="179" fontId="16" fillId="2" borderId="23" xfId="49" applyNumberFormat="1" applyFont="1" applyFill="1" applyBorder="1" applyAlignment="1">
      <alignment horizontal="center" vertical="center"/>
    </xf>
    <xf numFmtId="177" fontId="16" fillId="0" borderId="23" xfId="49" applyNumberFormat="1" applyFont="1" applyFill="1" applyBorder="1" applyAlignment="1">
      <alignment horizontal="center" vertical="center"/>
    </xf>
    <xf numFmtId="177" fontId="16" fillId="0" borderId="23" xfId="49" applyNumberFormat="1" applyFont="1" applyBorder="1" applyAlignment="1">
      <alignment horizontal="center" vertical="center"/>
    </xf>
    <xf numFmtId="177" fontId="16" fillId="0" borderId="23" xfId="49" applyNumberFormat="1" applyFont="1" applyFill="1" applyBorder="1" applyAlignment="1">
      <alignment horizontal="center" vertical="center" wrapText="1"/>
    </xf>
    <xf numFmtId="0" fontId="16" fillId="0" borderId="23" xfId="49" applyNumberFormat="1" applyFont="1" applyFill="1" applyBorder="1" applyAlignment="1">
      <alignment vertical="center"/>
    </xf>
    <xf numFmtId="0" fontId="16" fillId="0" borderId="23" xfId="49" applyNumberFormat="1" applyFont="1" applyFill="1" applyBorder="1" applyAlignment="1">
      <alignment horizontal="center" vertical="center"/>
    </xf>
    <xf numFmtId="0" fontId="18" fillId="0" borderId="23" xfId="49" applyNumberFormat="1" applyFont="1" applyFill="1" applyBorder="1" applyAlignment="1">
      <alignment horizontal="center" vertical="center"/>
    </xf>
    <xf numFmtId="0" fontId="3" fillId="3" borderId="0" xfId="49" applyFont="1" applyFill="1">
      <alignment vertical="center"/>
    </xf>
    <xf numFmtId="0" fontId="23" fillId="3" borderId="0" xfId="49" applyFont="1" applyFill="1">
      <alignment vertical="center"/>
    </xf>
    <xf numFmtId="0" fontId="12" fillId="3" borderId="24" xfId="49" applyFont="1" applyFill="1" applyBorder="1" applyAlignment="1">
      <alignment horizontal="center" vertical="center" wrapText="1"/>
    </xf>
    <xf numFmtId="0" fontId="12" fillId="3" borderId="0" xfId="49" applyFont="1" applyFill="1" applyAlignment="1">
      <alignment horizontal="center" vertical="center" wrapText="1"/>
    </xf>
    <xf numFmtId="0" fontId="24" fillId="3" borderId="24" xfId="49" applyFont="1" applyFill="1" applyBorder="1" applyAlignment="1">
      <alignment horizontal="right" vertical="center" wrapText="1"/>
    </xf>
    <xf numFmtId="0" fontId="24" fillId="3" borderId="0" xfId="49" applyFont="1" applyFill="1" applyBorder="1" applyAlignment="1">
      <alignment horizontal="right" vertical="center" wrapText="1"/>
    </xf>
    <xf numFmtId="0" fontId="25" fillId="3" borderId="11" xfId="49" applyFont="1" applyFill="1" applyBorder="1" applyAlignment="1">
      <alignment horizontal="center" vertical="center" wrapText="1"/>
    </xf>
    <xf numFmtId="0" fontId="25" fillId="3" borderId="12" xfId="49" applyFont="1" applyFill="1" applyBorder="1" applyAlignment="1">
      <alignment horizontal="center" vertical="center" wrapText="1"/>
    </xf>
    <xf numFmtId="0" fontId="24" fillId="3" borderId="12" xfId="49" applyFont="1" applyFill="1" applyBorder="1" applyAlignment="1">
      <alignment horizontal="center" vertical="center" wrapText="1"/>
    </xf>
    <xf numFmtId="0" fontId="25" fillId="3" borderId="13" xfId="49" applyFont="1" applyFill="1" applyBorder="1" applyAlignment="1">
      <alignment horizontal="center" vertical="center" wrapText="1"/>
    </xf>
    <xf numFmtId="0" fontId="25" fillId="3" borderId="8" xfId="49" applyFont="1" applyFill="1" applyBorder="1" applyAlignment="1">
      <alignment horizontal="center" vertical="center" wrapText="1"/>
    </xf>
    <xf numFmtId="0" fontId="26" fillId="3" borderId="8" xfId="49" applyFont="1" applyFill="1" applyBorder="1" applyAlignment="1">
      <alignment horizontal="center" vertical="center" wrapText="1"/>
    </xf>
    <xf numFmtId="0" fontId="26" fillId="3" borderId="13" xfId="49" applyFont="1" applyFill="1" applyBorder="1" applyAlignment="1">
      <alignment horizontal="center" vertical="center" wrapText="1"/>
    </xf>
    <xf numFmtId="177" fontId="25" fillId="3" borderId="8" xfId="49" applyNumberFormat="1" applyFont="1" applyFill="1" applyBorder="1" applyAlignment="1">
      <alignment horizontal="left" vertical="center" wrapText="1"/>
    </xf>
    <xf numFmtId="177" fontId="26" fillId="3" borderId="8" xfId="49" applyNumberFormat="1" applyFont="1" applyFill="1" applyBorder="1" applyAlignment="1">
      <alignment horizontal="center" vertical="center" wrapText="1"/>
    </xf>
    <xf numFmtId="0" fontId="27" fillId="3" borderId="25" xfId="49" applyFont="1" applyFill="1" applyBorder="1" applyAlignment="1">
      <alignment horizontal="center" vertical="center" wrapText="1"/>
    </xf>
    <xf numFmtId="177" fontId="28" fillId="3" borderId="26" xfId="49" applyNumberFormat="1" applyFont="1" applyFill="1" applyBorder="1" applyAlignment="1">
      <alignment horizontal="left" vertical="center" wrapText="1"/>
    </xf>
    <xf numFmtId="177" fontId="27" fillId="3" borderId="26" xfId="49" applyNumberFormat="1" applyFont="1" applyFill="1" applyBorder="1" applyAlignment="1">
      <alignment horizontal="center" vertical="center" wrapText="1"/>
    </xf>
    <xf numFmtId="0" fontId="29" fillId="3" borderId="24" xfId="49" applyFont="1" applyFill="1" applyBorder="1" applyAlignment="1">
      <alignment horizontal="left" vertical="center"/>
    </xf>
    <xf numFmtId="0" fontId="29" fillId="3" borderId="0" xfId="49" applyFont="1" applyFill="1" applyBorder="1" applyAlignment="1">
      <alignment horizontal="left" vertical="center"/>
    </xf>
    <xf numFmtId="0" fontId="24" fillId="3" borderId="22" xfId="49" applyFont="1" applyFill="1" applyBorder="1" applyAlignment="1">
      <alignment horizontal="center" vertical="center" wrapText="1"/>
    </xf>
    <xf numFmtId="0" fontId="25" fillId="3" borderId="23" xfId="49" applyFont="1" applyFill="1" applyBorder="1" applyAlignment="1">
      <alignment horizontal="center" vertical="center" wrapText="1"/>
    </xf>
    <xf numFmtId="0" fontId="26" fillId="3" borderId="23" xfId="49" applyFont="1" applyFill="1" applyBorder="1" applyAlignment="1">
      <alignment horizontal="center" vertical="center" wrapText="1"/>
    </xf>
    <xf numFmtId="177" fontId="26" fillId="3" borderId="23" xfId="49" applyNumberFormat="1" applyFont="1" applyFill="1" applyBorder="1" applyAlignment="1">
      <alignment horizontal="center" vertical="center" wrapText="1"/>
    </xf>
    <xf numFmtId="177" fontId="27" fillId="3" borderId="27" xfId="49" applyNumberFormat="1" applyFont="1" applyFill="1" applyBorder="1" applyAlignment="1">
      <alignment horizontal="center" vertical="center" wrapText="1"/>
    </xf>
    <xf numFmtId="0" fontId="30" fillId="0" borderId="0" xfId="49" applyFont="1" applyFill="1" applyBorder="1" applyAlignment="1"/>
    <xf numFmtId="0" fontId="31" fillId="0" borderId="24" xfId="49" applyFont="1" applyFill="1" applyBorder="1" applyAlignment="1">
      <alignment horizontal="center" vertical="center"/>
    </xf>
    <xf numFmtId="0" fontId="31" fillId="0" borderId="0" xfId="49" applyFont="1" applyFill="1" applyAlignment="1">
      <alignment horizontal="center" vertical="center"/>
    </xf>
    <xf numFmtId="0" fontId="30" fillId="0" borderId="28" xfId="49" applyFont="1" applyFill="1" applyBorder="1" applyAlignment="1">
      <alignment horizontal="right" vertical="center"/>
    </xf>
    <xf numFmtId="0" fontId="30" fillId="0" borderId="29" xfId="49" applyFont="1" applyFill="1" applyBorder="1" applyAlignment="1">
      <alignment horizontal="right" vertical="center"/>
    </xf>
    <xf numFmtId="0" fontId="32" fillId="0" borderId="8" xfId="49" applyFont="1" applyFill="1" applyBorder="1" applyAlignment="1">
      <alignment horizontal="center" vertical="center" wrapText="1"/>
    </xf>
    <xf numFmtId="0" fontId="33" fillId="0" borderId="8" xfId="49" applyFont="1" applyFill="1" applyBorder="1" applyAlignment="1">
      <alignment horizontal="center" vertical="center" wrapText="1"/>
    </xf>
    <xf numFmtId="0" fontId="32" fillId="0" borderId="8" xfId="49" applyFont="1" applyFill="1" applyBorder="1" applyAlignment="1">
      <alignment horizontal="justify" vertical="center" wrapText="1"/>
    </xf>
    <xf numFmtId="177" fontId="33" fillId="0" borderId="8" xfId="49" applyNumberFormat="1" applyFont="1" applyFill="1" applyBorder="1" applyAlignment="1">
      <alignment horizontal="center" vertical="center" wrapText="1"/>
    </xf>
    <xf numFmtId="177" fontId="34" fillId="0" borderId="8" xfId="49" applyNumberFormat="1" applyFont="1" applyFill="1" applyBorder="1" applyAlignment="1">
      <alignment horizontal="center" vertical="center" wrapText="1"/>
    </xf>
    <xf numFmtId="179" fontId="34" fillId="0" borderId="8" xfId="49" applyNumberFormat="1" applyFont="1" applyFill="1" applyBorder="1" applyAlignment="1">
      <alignment horizontal="center" vertical="center" wrapText="1"/>
    </xf>
    <xf numFmtId="0" fontId="32" fillId="2" borderId="8" xfId="49" applyFont="1" applyFill="1" applyBorder="1" applyAlignment="1">
      <alignment horizontal="justify" vertical="center" wrapText="1"/>
    </xf>
    <xf numFmtId="179" fontId="33" fillId="0" borderId="8" xfId="49" applyNumberFormat="1" applyFont="1" applyFill="1" applyBorder="1" applyAlignment="1">
      <alignment horizontal="center" vertical="center" wrapText="1"/>
    </xf>
    <xf numFmtId="179" fontId="30" fillId="0" borderId="8" xfId="49" applyNumberFormat="1" applyFont="1" applyFill="1" applyBorder="1" applyAlignment="1">
      <alignment horizontal="center" vertical="center" wrapText="1"/>
    </xf>
    <xf numFmtId="10" fontId="35" fillId="0" borderId="8" xfId="49" applyNumberFormat="1" applyFont="1" applyFill="1" applyBorder="1" applyAlignment="1">
      <alignment horizontal="center" vertical="center" wrapText="1"/>
    </xf>
    <xf numFmtId="0" fontId="36" fillId="0" borderId="0" xfId="49" applyFont="1" applyFill="1" applyBorder="1" applyAlignment="1">
      <alignment horizontal="center"/>
    </xf>
    <xf numFmtId="180" fontId="32" fillId="0" borderId="0" xfId="49" applyNumberFormat="1" applyFont="1" applyFill="1" applyBorder="1" applyAlignment="1">
      <alignment horizontal="center"/>
    </xf>
    <xf numFmtId="9" fontId="32" fillId="0" borderId="0" xfId="49" applyNumberFormat="1" applyFont="1" applyFill="1" applyBorder="1" applyAlignment="1">
      <alignment horizontal="center"/>
    </xf>
    <xf numFmtId="0" fontId="32" fillId="0" borderId="0" xfId="49" applyFont="1" applyFill="1" applyBorder="1" applyAlignment="1">
      <alignment horizontal="center"/>
    </xf>
    <xf numFmtId="0" fontId="37" fillId="0" borderId="0" xfId="49" applyFont="1" applyFill="1" applyAlignment="1">
      <alignment horizontal="center" vertical="center"/>
    </xf>
    <xf numFmtId="0" fontId="38" fillId="0" borderId="0" xfId="49" applyFont="1" applyFill="1" applyBorder="1" applyAlignment="1">
      <alignment horizontal="right" vertical="center"/>
    </xf>
    <xf numFmtId="0" fontId="34" fillId="0" borderId="30" xfId="49" applyFont="1" applyFill="1" applyBorder="1" applyAlignment="1">
      <alignment horizontal="center" vertical="center" wrapText="1"/>
    </xf>
    <xf numFmtId="0" fontId="34" fillId="0" borderId="31" xfId="49" applyFont="1" applyFill="1" applyBorder="1" applyAlignment="1">
      <alignment horizontal="center" vertical="center" wrapText="1"/>
    </xf>
    <xf numFmtId="0" fontId="34" fillId="0" borderId="12" xfId="49" applyFont="1" applyFill="1" applyBorder="1" applyAlignment="1">
      <alignment horizontal="center" vertical="center" wrapText="1"/>
    </xf>
    <xf numFmtId="0" fontId="34" fillId="0" borderId="32" xfId="49" applyFont="1" applyFill="1" applyBorder="1" applyAlignment="1">
      <alignment horizontal="center" vertical="center" wrapText="1"/>
    </xf>
    <xf numFmtId="0" fontId="34" fillId="0" borderId="21" xfId="49" applyFont="1" applyFill="1" applyBorder="1" applyAlignment="1">
      <alignment horizontal="center" vertical="center" wrapText="1"/>
    </xf>
    <xf numFmtId="0" fontId="34" fillId="0" borderId="8" xfId="49" applyFont="1" applyFill="1" applyBorder="1" applyAlignment="1">
      <alignment horizontal="center" vertical="center" wrapText="1"/>
    </xf>
    <xf numFmtId="0" fontId="5" fillId="0" borderId="13" xfId="49" applyFont="1" applyFill="1" applyBorder="1" applyAlignment="1">
      <alignment horizontal="center" vertical="center" wrapText="1"/>
    </xf>
    <xf numFmtId="0" fontId="5" fillId="0" borderId="8" xfId="49" applyFont="1" applyFill="1" applyBorder="1" applyAlignment="1">
      <alignment horizontal="center" vertical="center" wrapText="1"/>
    </xf>
    <xf numFmtId="0" fontId="39" fillId="0" borderId="8" xfId="49" applyFont="1" applyFill="1" applyBorder="1" applyAlignment="1">
      <alignment horizontal="center" vertical="center" wrapText="1"/>
    </xf>
    <xf numFmtId="179" fontId="39" fillId="0" borderId="8" xfId="49" applyNumberFormat="1" applyFont="1" applyFill="1" applyBorder="1" applyAlignment="1">
      <alignment horizontal="center" vertical="center" wrapText="1"/>
    </xf>
    <xf numFmtId="0" fontId="39" fillId="0" borderId="13" xfId="49" applyFont="1" applyFill="1" applyBorder="1" applyAlignment="1">
      <alignment horizontal="center" vertical="center" wrapText="1"/>
    </xf>
    <xf numFmtId="0" fontId="34" fillId="0" borderId="13" xfId="49" applyFont="1" applyFill="1" applyBorder="1" applyAlignment="1">
      <alignment horizontal="center" vertical="center" wrapText="1"/>
    </xf>
    <xf numFmtId="0" fontId="38" fillId="0" borderId="8" xfId="49" applyFont="1" applyFill="1" applyBorder="1" applyAlignment="1">
      <alignment horizontal="center" vertical="center" wrapText="1"/>
    </xf>
    <xf numFmtId="180" fontId="34" fillId="0" borderId="13" xfId="49" applyNumberFormat="1" applyFont="1" applyFill="1" applyBorder="1" applyAlignment="1">
      <alignment horizontal="center" vertical="center" wrapText="1"/>
    </xf>
    <xf numFmtId="180" fontId="38" fillId="0" borderId="8" xfId="49" applyNumberFormat="1" applyFont="1" applyFill="1" applyBorder="1" applyAlignment="1">
      <alignment horizontal="center" vertical="center" wrapText="1"/>
    </xf>
    <xf numFmtId="180" fontId="34" fillId="0" borderId="8" xfId="49" applyNumberFormat="1" applyFont="1" applyFill="1" applyBorder="1" applyAlignment="1">
      <alignment horizontal="center" vertical="center" wrapText="1"/>
    </xf>
    <xf numFmtId="9" fontId="34" fillId="0" borderId="13" xfId="49" applyNumberFormat="1" applyFont="1" applyFill="1" applyBorder="1" applyAlignment="1">
      <alignment horizontal="center" vertical="center" wrapText="1"/>
    </xf>
    <xf numFmtId="9" fontId="38" fillId="0" borderId="8" xfId="49" applyNumberFormat="1" applyFont="1" applyFill="1" applyBorder="1" applyAlignment="1">
      <alignment horizontal="center" vertical="center" wrapText="1"/>
    </xf>
    <xf numFmtId="9" fontId="34" fillId="0" borderId="8" xfId="49" applyNumberFormat="1" applyFont="1" applyFill="1" applyBorder="1" applyAlignment="1">
      <alignment horizontal="center" vertical="center" wrapText="1"/>
    </xf>
    <xf numFmtId="9" fontId="39" fillId="0" borderId="8" xfId="11" applyFont="1" applyFill="1" applyBorder="1" applyAlignment="1">
      <alignment horizontal="center"/>
    </xf>
    <xf numFmtId="177" fontId="39" fillId="0" borderId="8" xfId="49" applyNumberFormat="1" applyFont="1" applyFill="1" applyBorder="1" applyAlignment="1">
      <alignment horizontal="center" vertical="center" wrapText="1"/>
    </xf>
    <xf numFmtId="0" fontId="34" fillId="0" borderId="13" xfId="49" applyFont="1" applyBorder="1" applyAlignment="1">
      <alignment horizontal="center" vertical="center" wrapText="1"/>
    </xf>
    <xf numFmtId="0" fontId="34" fillId="0" borderId="8" xfId="49" applyFont="1" applyBorder="1" applyAlignment="1">
      <alignment horizontal="center" vertical="center" wrapText="1"/>
    </xf>
    <xf numFmtId="0" fontId="34" fillId="0" borderId="8" xfId="49" applyFont="1" applyBorder="1" applyAlignment="1">
      <alignment horizontal="center"/>
    </xf>
    <xf numFmtId="177" fontId="34" fillId="0" borderId="8" xfId="49" applyNumberFormat="1" applyFont="1" applyBorder="1" applyAlignment="1">
      <alignment horizontal="center" vertical="center" wrapText="1"/>
    </xf>
    <xf numFmtId="9" fontId="34" fillId="0" borderId="8" xfId="49" applyNumberFormat="1" applyFont="1" applyBorder="1" applyAlignment="1">
      <alignment horizontal="center" vertical="center"/>
    </xf>
    <xf numFmtId="0" fontId="34" fillId="0" borderId="25" xfId="49" applyFont="1" applyBorder="1" applyAlignment="1">
      <alignment horizontal="center" vertical="center" wrapText="1"/>
    </xf>
    <xf numFmtId="0" fontId="34" fillId="0" borderId="26" xfId="49" applyFont="1" applyBorder="1" applyAlignment="1">
      <alignment horizontal="center" vertical="center" wrapText="1"/>
    </xf>
    <xf numFmtId="9" fontId="34" fillId="0" borderId="26" xfId="49" applyNumberFormat="1" applyFont="1" applyBorder="1" applyAlignment="1">
      <alignment horizontal="center" vertical="center"/>
    </xf>
    <xf numFmtId="177" fontId="34" fillId="0" borderId="26" xfId="49" applyNumberFormat="1" applyFont="1" applyBorder="1" applyAlignment="1">
      <alignment horizontal="center" vertical="center" wrapText="1"/>
    </xf>
    <xf numFmtId="0" fontId="32" fillId="0" borderId="22" xfId="49" applyFont="1" applyFill="1" applyBorder="1" applyAlignment="1">
      <alignment horizontal="center"/>
    </xf>
    <xf numFmtId="0" fontId="32" fillId="0" borderId="23" xfId="49" applyFont="1" applyFill="1" applyBorder="1" applyAlignment="1">
      <alignment horizontal="center"/>
    </xf>
    <xf numFmtId="179" fontId="36" fillId="0" borderId="23" xfId="49" applyNumberFormat="1" applyFont="1" applyFill="1" applyBorder="1" applyAlignment="1">
      <alignment horizontal="center"/>
    </xf>
    <xf numFmtId="180" fontId="32" fillId="0" borderId="23" xfId="49" applyNumberFormat="1" applyFont="1" applyFill="1" applyBorder="1" applyAlignment="1">
      <alignment horizontal="center"/>
    </xf>
    <xf numFmtId="9" fontId="32" fillId="0" borderId="23" xfId="49" applyNumberFormat="1" applyFont="1" applyFill="1" applyBorder="1" applyAlignment="1">
      <alignment horizontal="center"/>
    </xf>
    <xf numFmtId="179" fontId="32" fillId="0" borderId="23" xfId="49" applyNumberFormat="1" applyFont="1" applyFill="1" applyBorder="1" applyAlignment="1">
      <alignment horizontal="center" vertical="center"/>
    </xf>
    <xf numFmtId="179" fontId="32" fillId="0" borderId="27" xfId="49" applyNumberFormat="1" applyFont="1" applyFill="1" applyBorder="1" applyAlignment="1">
      <alignment horizontal="center" vertical="center"/>
    </xf>
    <xf numFmtId="0" fontId="40" fillId="0" borderId="0" xfId="49" applyFont="1" applyAlignment="1"/>
    <xf numFmtId="0" fontId="40" fillId="0" borderId="0" xfId="49" applyFont="1" applyFill="1" applyBorder="1" applyAlignment="1"/>
    <xf numFmtId="0" fontId="41" fillId="0" borderId="0" xfId="49" applyFont="1" applyFill="1" applyAlignment="1">
      <alignment horizontal="center"/>
    </xf>
    <xf numFmtId="0" fontId="30" fillId="0" borderId="0" xfId="49" applyFont="1" applyFill="1" applyAlignment="1">
      <alignment horizontal="right"/>
    </xf>
    <xf numFmtId="0" fontId="32" fillId="3" borderId="11" xfId="49" applyFont="1" applyFill="1" applyBorder="1" applyAlignment="1">
      <alignment horizontal="center" vertical="center" wrapText="1"/>
    </xf>
    <xf numFmtId="0" fontId="32" fillId="3" borderId="12" xfId="49" applyFont="1" applyFill="1" applyBorder="1" applyAlignment="1">
      <alignment horizontal="center" vertical="center" wrapText="1"/>
    </xf>
    <xf numFmtId="0" fontId="33" fillId="3" borderId="13" xfId="49" applyFont="1" applyFill="1" applyBorder="1" applyAlignment="1">
      <alignment horizontal="center" vertical="center" wrapText="1"/>
    </xf>
    <xf numFmtId="0" fontId="33" fillId="3" borderId="8" xfId="49" applyFont="1" applyFill="1" applyBorder="1" applyAlignment="1">
      <alignment horizontal="center" vertical="center" wrapText="1"/>
    </xf>
    <xf numFmtId="0" fontId="19" fillId="3" borderId="13" xfId="49" applyFont="1" applyFill="1" applyBorder="1" applyAlignment="1">
      <alignment horizontal="center" vertical="center" wrapText="1"/>
    </xf>
    <xf numFmtId="0" fontId="32" fillId="3" borderId="8" xfId="49" applyFont="1" applyFill="1" applyBorder="1" applyAlignment="1">
      <alignment horizontal="center" vertical="center" wrapText="1"/>
    </xf>
    <xf numFmtId="179" fontId="19" fillId="3" borderId="8" xfId="49" applyNumberFormat="1" applyFont="1" applyFill="1" applyBorder="1" applyAlignment="1">
      <alignment horizontal="center" vertical="center" wrapText="1"/>
    </xf>
    <xf numFmtId="0" fontId="42" fillId="3" borderId="8" xfId="49" applyFont="1" applyFill="1" applyBorder="1" applyAlignment="1">
      <alignment horizontal="center" vertical="center" wrapText="1"/>
    </xf>
    <xf numFmtId="0" fontId="43" fillId="2" borderId="13" xfId="49" applyFont="1" applyFill="1" applyBorder="1" applyAlignment="1">
      <alignment horizontal="center" vertical="center" wrapText="1"/>
    </xf>
    <xf numFmtId="0" fontId="31" fillId="2" borderId="8" xfId="49" applyFont="1" applyFill="1" applyBorder="1" applyAlignment="1">
      <alignment horizontal="center" vertical="center" wrapText="1"/>
    </xf>
    <xf numFmtId="179" fontId="43" fillId="2" borderId="8" xfId="49" applyNumberFormat="1" applyFont="1" applyFill="1" applyBorder="1" applyAlignment="1">
      <alignment horizontal="center" vertical="center" wrapText="1"/>
    </xf>
    <xf numFmtId="0" fontId="19" fillId="3" borderId="25" xfId="49" applyFont="1" applyFill="1" applyBorder="1" applyAlignment="1">
      <alignment horizontal="center" vertical="center" wrapText="1"/>
    </xf>
    <xf numFmtId="0" fontId="42" fillId="3" borderId="26" xfId="49" applyFont="1" applyFill="1" applyBorder="1" applyAlignment="1">
      <alignment horizontal="center" vertical="center" wrapText="1"/>
    </xf>
    <xf numFmtId="179" fontId="19" fillId="3" borderId="26" xfId="49" applyNumberFormat="1" applyFont="1" applyFill="1" applyBorder="1" applyAlignment="1">
      <alignment horizontal="center" vertical="center" wrapText="1"/>
    </xf>
    <xf numFmtId="179" fontId="40" fillId="0" borderId="0" xfId="49" applyNumberFormat="1" applyFont="1" applyFill="1" applyBorder="1" applyAlignment="1"/>
    <xf numFmtId="0" fontId="32" fillId="3" borderId="22" xfId="49" applyFont="1" applyFill="1" applyBorder="1" applyAlignment="1">
      <alignment horizontal="center" vertical="center" wrapText="1"/>
    </xf>
    <xf numFmtId="0" fontId="33" fillId="3" borderId="23" xfId="49" applyFont="1" applyFill="1" applyBorder="1" applyAlignment="1">
      <alignment horizontal="center" vertical="center" wrapText="1"/>
    </xf>
    <xf numFmtId="179" fontId="19" fillId="3" borderId="23" xfId="49" applyNumberFormat="1" applyFont="1" applyFill="1" applyBorder="1" applyAlignment="1">
      <alignment horizontal="center" vertical="center" wrapText="1"/>
    </xf>
    <xf numFmtId="179" fontId="43" fillId="2" borderId="23" xfId="49" applyNumberFormat="1" applyFont="1" applyFill="1" applyBorder="1" applyAlignment="1">
      <alignment horizontal="center" vertical="center" wrapText="1"/>
    </xf>
    <xf numFmtId="179" fontId="19" fillId="3" borderId="27" xfId="49" applyNumberFormat="1" applyFont="1" applyFill="1" applyBorder="1" applyAlignment="1">
      <alignment horizontal="center" vertical="center" wrapText="1"/>
    </xf>
    <xf numFmtId="0" fontId="44" fillId="0" borderId="0" xfId="49" applyFont="1" applyAlignment="1">
      <alignment horizontal="center" vertical="center"/>
    </xf>
    <xf numFmtId="0" fontId="12" fillId="0" borderId="0" xfId="49" applyFont="1" applyFill="1" applyAlignment="1">
      <alignment horizontal="center" vertical="center"/>
    </xf>
    <xf numFmtId="0" fontId="30" fillId="0" borderId="24" xfId="49" applyFont="1" applyFill="1" applyBorder="1" applyAlignment="1">
      <alignment horizontal="right" vertical="center"/>
    </xf>
    <xf numFmtId="0" fontId="30" fillId="0" borderId="0" xfId="49" applyFont="1" applyFill="1" applyBorder="1" applyAlignment="1">
      <alignment horizontal="right" vertical="center"/>
    </xf>
    <xf numFmtId="0" fontId="32" fillId="0" borderId="11" xfId="49" applyFont="1" applyFill="1" applyBorder="1" applyAlignment="1">
      <alignment horizontal="center" vertical="center" wrapText="1"/>
    </xf>
    <xf numFmtId="0" fontId="32" fillId="0" borderId="12" xfId="49" applyFont="1" applyFill="1" applyBorder="1" applyAlignment="1">
      <alignment horizontal="center" vertical="center" wrapText="1"/>
    </xf>
    <xf numFmtId="0" fontId="45" fillId="0" borderId="12" xfId="49" applyFont="1" applyFill="1" applyBorder="1" applyAlignment="1">
      <alignment horizontal="center" vertical="center" wrapText="1"/>
    </xf>
    <xf numFmtId="0" fontId="33" fillId="0" borderId="13" xfId="49" applyFont="1" applyFill="1" applyBorder="1" applyAlignment="1">
      <alignment horizontal="center" vertical="center" wrapText="1"/>
    </xf>
    <xf numFmtId="0" fontId="46" fillId="0" borderId="13" xfId="49" applyFont="1" applyFill="1" applyBorder="1" applyAlignment="1">
      <alignment horizontal="center" vertical="center" wrapText="1"/>
    </xf>
    <xf numFmtId="0" fontId="36" fillId="0" borderId="8" xfId="49" applyFont="1" applyFill="1" applyBorder="1" applyAlignment="1">
      <alignment horizontal="center" vertical="center" wrapText="1"/>
    </xf>
    <xf numFmtId="0" fontId="33" fillId="0" borderId="8" xfId="49" applyFont="1" applyFill="1" applyBorder="1" applyAlignment="1">
      <alignment vertical="center" wrapText="1"/>
    </xf>
    <xf numFmtId="0" fontId="47" fillId="0" borderId="8" xfId="49" applyFont="1" applyFill="1" applyBorder="1" applyAlignment="1">
      <alignment horizontal="center" vertical="center" wrapText="1"/>
    </xf>
    <xf numFmtId="179" fontId="33" fillId="0" borderId="8" xfId="49" applyNumberFormat="1" applyFont="1" applyFill="1" applyBorder="1" applyAlignment="1">
      <alignment vertical="center" wrapText="1"/>
    </xf>
    <xf numFmtId="0" fontId="33" fillId="0" borderId="13" xfId="49" applyFont="1" applyFill="1" applyBorder="1" applyAlignment="1">
      <alignment horizontal="center" vertical="center"/>
    </xf>
    <xf numFmtId="0" fontId="32" fillId="0" borderId="8" xfId="49" applyFont="1" applyFill="1" applyBorder="1" applyAlignment="1">
      <alignment horizontal="center"/>
    </xf>
    <xf numFmtId="0" fontId="33" fillId="0" borderId="25" xfId="49" applyFont="1" applyFill="1" applyBorder="1" applyAlignment="1">
      <alignment horizontal="center" vertical="center"/>
    </xf>
    <xf numFmtId="0" fontId="32" fillId="0" borderId="26" xfId="49" applyFont="1" applyFill="1" applyBorder="1" applyAlignment="1">
      <alignment horizontal="center"/>
    </xf>
    <xf numFmtId="179" fontId="33" fillId="0" borderId="26" xfId="49" applyNumberFormat="1" applyFont="1" applyFill="1" applyBorder="1" applyAlignment="1">
      <alignment horizontal="center" vertical="center" wrapText="1"/>
    </xf>
    <xf numFmtId="0" fontId="45" fillId="0" borderId="22" xfId="49" applyFont="1" applyFill="1" applyBorder="1" applyAlignment="1">
      <alignment horizontal="center" vertical="center" wrapText="1"/>
    </xf>
    <xf numFmtId="0" fontId="33" fillId="0" borderId="23" xfId="49" applyFont="1" applyFill="1" applyBorder="1" applyAlignment="1">
      <alignment horizontal="center" vertical="center" wrapText="1"/>
    </xf>
    <xf numFmtId="0" fontId="33" fillId="0" borderId="23" xfId="49" applyFont="1" applyFill="1" applyBorder="1" applyAlignment="1">
      <alignment vertical="center" wrapText="1"/>
    </xf>
    <xf numFmtId="179" fontId="33" fillId="0" borderId="23" xfId="49" applyNumberFormat="1" applyFont="1" applyFill="1" applyBorder="1" applyAlignment="1">
      <alignment horizontal="center" vertical="center" wrapText="1"/>
    </xf>
    <xf numFmtId="179" fontId="33" fillId="0" borderId="23" xfId="49" applyNumberFormat="1" applyFont="1" applyFill="1" applyBorder="1" applyAlignment="1">
      <alignment vertical="center" wrapText="1"/>
    </xf>
    <xf numFmtId="179" fontId="33" fillId="0" borderId="27" xfId="49" applyNumberFormat="1" applyFont="1" applyFill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2" fillId="0" borderId="0" xfId="0" applyFont="1" applyAlignment="1">
      <alignment horizontal="center" vertical="center"/>
    </xf>
    <xf numFmtId="0" fontId="48" fillId="0" borderId="11" xfId="0" applyFont="1" applyBorder="1" applyAlignment="1">
      <alignment horizontal="center" vertical="center" wrapText="1"/>
    </xf>
    <xf numFmtId="0" fontId="48" fillId="0" borderId="12" xfId="0" applyFont="1" applyBorder="1" applyAlignment="1">
      <alignment horizontal="center" vertical="center" wrapText="1"/>
    </xf>
    <xf numFmtId="179" fontId="48" fillId="0" borderId="12" xfId="0" applyNumberFormat="1" applyFont="1" applyBorder="1" applyAlignment="1">
      <alignment horizontal="center" vertical="center" wrapText="1"/>
    </xf>
    <xf numFmtId="179" fontId="0" fillId="0" borderId="12" xfId="0" applyNumberFormat="1" applyFont="1" applyBorder="1" applyAlignment="1">
      <alignment horizontal="center" vertical="center"/>
    </xf>
    <xf numFmtId="179" fontId="0" fillId="0" borderId="22" xfId="0" applyNumberFormat="1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179" fontId="48" fillId="0" borderId="8" xfId="0" applyNumberFormat="1" applyFont="1" applyBorder="1" applyAlignment="1">
      <alignment horizontal="center" vertical="center" wrapText="1"/>
    </xf>
    <xf numFmtId="0" fontId="48" fillId="0" borderId="8" xfId="0" applyNumberFormat="1" applyFont="1" applyBorder="1" applyAlignment="1">
      <alignment horizontal="center" vertical="center" wrapText="1"/>
    </xf>
    <xf numFmtId="0" fontId="48" fillId="0" borderId="23" xfId="0" applyNumberFormat="1" applyFont="1" applyBorder="1" applyAlignment="1">
      <alignment horizontal="center" vertical="center" wrapText="1"/>
    </xf>
    <xf numFmtId="0" fontId="48" fillId="2" borderId="13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left" vertical="center" wrapText="1"/>
    </xf>
    <xf numFmtId="179" fontId="49" fillId="2" borderId="8" xfId="0" applyNumberFormat="1" applyFont="1" applyFill="1" applyBorder="1" applyAlignment="1">
      <alignment horizontal="center" vertical="center" wrapText="1"/>
    </xf>
    <xf numFmtId="179" fontId="49" fillId="2" borderId="23" xfId="0" applyNumberFormat="1" applyFont="1" applyFill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left" vertical="center" wrapText="1"/>
    </xf>
    <xf numFmtId="179" fontId="51" fillId="0" borderId="8" xfId="0" applyNumberFormat="1" applyFont="1" applyBorder="1" applyAlignment="1">
      <alignment horizontal="center" vertical="center" wrapText="1"/>
    </xf>
    <xf numFmtId="179" fontId="51" fillId="0" borderId="23" xfId="0" applyNumberFormat="1" applyFont="1" applyBorder="1" applyAlignment="1">
      <alignment horizontal="center" vertical="center" wrapText="1"/>
    </xf>
    <xf numFmtId="0" fontId="48" fillId="0" borderId="8" xfId="0" applyFont="1" applyBorder="1" applyAlignment="1">
      <alignment horizontal="left" vertical="center" wrapText="1"/>
    </xf>
    <xf numFmtId="179" fontId="49" fillId="0" borderId="8" xfId="0" applyNumberFormat="1" applyFont="1" applyBorder="1" applyAlignment="1">
      <alignment horizontal="center" vertical="center" wrapText="1"/>
    </xf>
    <xf numFmtId="179" fontId="49" fillId="0" borderId="23" xfId="0" applyNumberFormat="1" applyFont="1" applyBorder="1" applyAlignment="1">
      <alignment horizontal="center" vertical="center" wrapText="1"/>
    </xf>
    <xf numFmtId="179" fontId="50" fillId="0" borderId="23" xfId="0" applyNumberFormat="1" applyFont="1" applyBorder="1" applyAlignment="1">
      <alignment horizontal="center" vertical="center" wrapText="1"/>
    </xf>
    <xf numFmtId="0" fontId="48" fillId="0" borderId="25" xfId="0" applyFont="1" applyBorder="1" applyAlignment="1">
      <alignment horizontal="center" vertical="center" wrapText="1"/>
    </xf>
    <xf numFmtId="0" fontId="48" fillId="0" borderId="26" xfId="0" applyFont="1" applyBorder="1" applyAlignment="1">
      <alignment horizontal="left" vertical="center" wrapText="1"/>
    </xf>
    <xf numFmtId="179" fontId="49" fillId="0" borderId="26" xfId="0" applyNumberFormat="1" applyFont="1" applyBorder="1" applyAlignment="1">
      <alignment horizontal="center" vertical="center" wrapText="1"/>
    </xf>
    <xf numFmtId="179" fontId="49" fillId="0" borderId="27" xfId="0" applyNumberFormat="1" applyFont="1" applyBorder="1" applyAlignment="1">
      <alignment horizontal="center" vertical="center" wrapText="1"/>
    </xf>
    <xf numFmtId="0" fontId="23" fillId="0" borderId="0" xfId="49" applyFont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left" vertical="center"/>
    </xf>
    <xf numFmtId="178" fontId="17" fillId="2" borderId="8" xfId="0" applyNumberFormat="1" applyFont="1" applyFill="1" applyBorder="1" applyAlignment="1">
      <alignment horizontal="center" vertical="center"/>
    </xf>
    <xf numFmtId="177" fontId="17" fillId="2" borderId="8" xfId="0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vertical="center"/>
    </xf>
    <xf numFmtId="181" fontId="17" fillId="2" borderId="8" xfId="0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vertical="center" wrapText="1"/>
    </xf>
    <xf numFmtId="9" fontId="17" fillId="2" borderId="8" xfId="11" applyNumberFormat="1" applyFont="1" applyFill="1" applyBorder="1" applyAlignment="1">
      <alignment horizontal="center" vertical="center"/>
    </xf>
    <xf numFmtId="9" fontId="17" fillId="2" borderId="8" xfId="0" applyNumberFormat="1" applyFont="1" applyFill="1" applyBorder="1" applyAlignment="1">
      <alignment horizontal="center" vertical="center"/>
    </xf>
    <xf numFmtId="9" fontId="17" fillId="2" borderId="8" xfId="1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vertical="center"/>
    </xf>
    <xf numFmtId="10" fontId="52" fillId="0" borderId="8" xfId="11" applyNumberFormat="1" applyFont="1" applyFill="1" applyBorder="1" applyAlignment="1">
      <alignment horizontal="center" vertical="center"/>
    </xf>
    <xf numFmtId="177" fontId="17" fillId="0" borderId="8" xfId="0" applyNumberFormat="1" applyFont="1" applyFill="1" applyBorder="1" applyAlignment="1">
      <alignment horizontal="center" vertical="center"/>
    </xf>
    <xf numFmtId="10" fontId="17" fillId="0" borderId="8" xfId="11" applyNumberFormat="1" applyFont="1" applyFill="1" applyBorder="1" applyAlignment="1">
      <alignment horizontal="center" vertical="center"/>
    </xf>
    <xf numFmtId="9" fontId="17" fillId="0" borderId="8" xfId="11" applyNumberFormat="1" applyFont="1" applyFill="1" applyBorder="1" applyAlignment="1">
      <alignment horizontal="center" vertical="center"/>
    </xf>
    <xf numFmtId="179" fontId="13" fillId="2" borderId="8" xfId="0" applyNumberFormat="1" applyFont="1" applyFill="1" applyBorder="1" applyAlignment="1">
      <alignment horizontal="left" vertical="center"/>
    </xf>
    <xf numFmtId="10" fontId="17" fillId="2" borderId="8" xfId="11" applyNumberFormat="1" applyFont="1" applyFill="1" applyBorder="1" applyAlignment="1">
      <alignment horizontal="center" vertical="center"/>
    </xf>
    <xf numFmtId="0" fontId="17" fillId="2" borderId="8" xfId="50" applyFont="1" applyFill="1" applyBorder="1" applyAlignment="1">
      <alignment vertical="center"/>
    </xf>
    <xf numFmtId="0" fontId="17" fillId="0" borderId="8" xfId="50" applyFont="1" applyFill="1" applyBorder="1" applyAlignment="1">
      <alignment vertical="center"/>
    </xf>
    <xf numFmtId="9" fontId="17" fillId="0" borderId="8" xfId="11" applyFont="1" applyFill="1" applyBorder="1" applyAlignment="1">
      <alignment horizontal="center" vertical="center"/>
    </xf>
    <xf numFmtId="10" fontId="17" fillId="0" borderId="8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181" fontId="17" fillId="0" borderId="8" xfId="50" applyNumberFormat="1" applyFont="1" applyFill="1" applyBorder="1" applyAlignment="1">
      <alignment horizontal="center" vertical="center"/>
    </xf>
    <xf numFmtId="181" fontId="17" fillId="0" borderId="8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基本参数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敏感性分析!$A$3</c:f>
              <c:strCache>
                <c:ptCount val="1"/>
                <c:pt idx="0">
                  <c:v>建设投资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敏感性分析!$D$3:$D$6</c:f>
              <c:numCache>
                <c:formatCode>0.00_ </c:formatCode>
                <c:ptCount val="4"/>
                <c:pt idx="0">
                  <c:v>5034.43055589517</c:v>
                </c:pt>
                <c:pt idx="1">
                  <c:v>4640.98181134885</c:v>
                </c:pt>
                <c:pt idx="2">
                  <c:v>3854.08432225622</c:v>
                </c:pt>
                <c:pt idx="3">
                  <c:v>3460.63557770991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敏感性分析!$A$7</c:f>
              <c:strCache>
                <c:ptCount val="1"/>
                <c:pt idx="0">
                  <c:v>经营收入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敏感性分析!$D$7:$D$10</c:f>
              <c:numCache>
                <c:formatCode>0.00_ </c:formatCode>
                <c:ptCount val="4"/>
                <c:pt idx="0">
                  <c:v>1638.28787105874</c:v>
                </c:pt>
                <c:pt idx="1">
                  <c:v>2942.91046893064</c:v>
                </c:pt>
                <c:pt idx="2">
                  <c:v>5552.15566467444</c:v>
                </c:pt>
                <c:pt idx="3">
                  <c:v>6856.77826254633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敏感性分析!$A$11</c:f>
              <c:strCache>
                <c:ptCount val="1"/>
                <c:pt idx="0">
                  <c:v>运营成本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敏感性分析!$D$11:$D$14</c:f>
              <c:numCache>
                <c:formatCode>0.00_ </c:formatCode>
                <c:ptCount val="4"/>
                <c:pt idx="0">
                  <c:v>5068.65352416474</c:v>
                </c:pt>
                <c:pt idx="1">
                  <c:v>4658.09329548364</c:v>
                </c:pt>
                <c:pt idx="2">
                  <c:v>3836.97283812144</c:v>
                </c:pt>
                <c:pt idx="3">
                  <c:v>3426.41260944033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628336"/>
        <c:axId val="2142085120"/>
      </c:lineChart>
      <c:catAx>
        <c:axId val="886283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2085120"/>
        <c:crosses val="autoZero"/>
        <c:auto val="1"/>
        <c:lblAlgn val="ctr"/>
        <c:lblOffset val="100"/>
        <c:noMultiLvlLbl val="0"/>
      </c:catAx>
      <c:valAx>
        <c:axId val="21420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350520</xdr:colOff>
      <xdr:row>2</xdr:row>
      <xdr:rowOff>3810</xdr:rowOff>
    </xdr:from>
    <xdr:to>
      <xdr:col>16</xdr:col>
      <xdr:colOff>45720</xdr:colOff>
      <xdr:row>16</xdr:row>
      <xdr:rowOff>80010</xdr:rowOff>
    </xdr:to>
    <xdr:graphicFrame>
      <xdr:nvGraphicFramePr>
        <xdr:cNvPr id="2" name="图表 1"/>
        <xdr:cNvGraphicFramePr/>
      </xdr:nvGraphicFramePr>
      <xdr:xfrm>
        <a:off x="6332220" y="754380"/>
        <a:ext cx="463296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D46" sqref="D46"/>
    </sheetView>
  </sheetViews>
  <sheetFormatPr defaultColWidth="8.88888888888889" defaultRowHeight="12" outlineLevelCol="5"/>
  <cols>
    <col min="1" max="2" width="8.88888888888889" style="270"/>
    <col min="3" max="3" width="20.3333333333333" style="270" customWidth="1"/>
    <col min="4" max="4" width="19.7777777777778" style="270" customWidth="1"/>
    <col min="5" max="16384" width="8.88888888888889" style="270"/>
  </cols>
  <sheetData>
    <row r="1" ht="17.4" spans="1:6">
      <c r="A1" s="271" t="s">
        <v>0</v>
      </c>
      <c r="B1" s="271"/>
      <c r="C1" s="271"/>
      <c r="D1" s="271"/>
      <c r="E1" s="271"/>
      <c r="F1" s="271"/>
    </row>
    <row r="2" spans="1:6">
      <c r="A2" s="272" t="s">
        <v>1</v>
      </c>
      <c r="B2" s="272"/>
      <c r="C2" s="272" t="s">
        <v>2</v>
      </c>
      <c r="D2" s="272" t="s">
        <v>3</v>
      </c>
      <c r="E2" s="272" t="s">
        <v>4</v>
      </c>
      <c r="F2" s="272"/>
    </row>
    <row r="3" ht="15" customHeight="1" spans="1:6">
      <c r="A3" s="273">
        <v>1</v>
      </c>
      <c r="B3" s="273"/>
      <c r="C3" s="274" t="s">
        <v>5</v>
      </c>
      <c r="D3" s="275">
        <v>2</v>
      </c>
      <c r="E3" s="276"/>
      <c r="F3" s="276"/>
    </row>
    <row r="4" ht="15" customHeight="1" spans="1:6">
      <c r="A4" s="273">
        <v>2</v>
      </c>
      <c r="B4" s="273"/>
      <c r="C4" s="274" t="s">
        <v>6</v>
      </c>
      <c r="D4" s="275">
        <v>25</v>
      </c>
      <c r="E4" s="276"/>
      <c r="F4" s="276"/>
    </row>
    <row r="5" ht="15" customHeight="1" spans="1:6">
      <c r="A5" s="277" t="s">
        <v>7</v>
      </c>
      <c r="B5" s="273">
        <v>3</v>
      </c>
      <c r="C5" s="278" t="s">
        <v>8</v>
      </c>
      <c r="D5" s="279">
        <f>D6+D13</f>
        <v>103530.93</v>
      </c>
      <c r="E5" s="276"/>
      <c r="F5" s="276"/>
    </row>
    <row r="6" ht="15" customHeight="1" spans="1:6">
      <c r="A6" s="277"/>
      <c r="B6" s="273">
        <v>4</v>
      </c>
      <c r="C6" s="278" t="s">
        <v>9</v>
      </c>
      <c r="D6" s="279">
        <f>D7+D12</f>
        <v>103330.93</v>
      </c>
      <c r="E6" s="276"/>
      <c r="F6" s="276"/>
    </row>
    <row r="7" ht="15" customHeight="1" spans="1:6">
      <c r="A7" s="277"/>
      <c r="B7" s="273">
        <v>5</v>
      </c>
      <c r="C7" s="278" t="s">
        <v>10</v>
      </c>
      <c r="D7" s="279">
        <f>SUM(D8:D11)</f>
        <v>98815.76</v>
      </c>
      <c r="E7" s="276"/>
      <c r="F7" s="276"/>
    </row>
    <row r="8" ht="15" customHeight="1" spans="1:6">
      <c r="A8" s="277"/>
      <c r="B8" s="273">
        <v>6</v>
      </c>
      <c r="C8" s="278" t="s">
        <v>11</v>
      </c>
      <c r="D8" s="279">
        <v>80512.56</v>
      </c>
      <c r="E8" s="276"/>
      <c r="F8" s="276"/>
    </row>
    <row r="9" ht="15" customHeight="1" spans="1:6">
      <c r="A9" s="280"/>
      <c r="B9" s="273">
        <v>7</v>
      </c>
      <c r="C9" s="278" t="s">
        <v>12</v>
      </c>
      <c r="D9" s="279">
        <v>9047.22</v>
      </c>
      <c r="E9" s="273"/>
      <c r="F9" s="273"/>
    </row>
    <row r="10" ht="15" customHeight="1" spans="1:6">
      <c r="A10" s="280"/>
      <c r="B10" s="273">
        <v>8</v>
      </c>
      <c r="C10" s="278" t="s">
        <v>13</v>
      </c>
      <c r="D10" s="279">
        <v>8955.98</v>
      </c>
      <c r="E10" s="273"/>
      <c r="F10" s="273"/>
    </row>
    <row r="11" ht="15" customHeight="1" spans="1:6">
      <c r="A11" s="280"/>
      <c r="B11" s="273">
        <v>9</v>
      </c>
      <c r="C11" s="278" t="s">
        <v>14</v>
      </c>
      <c r="D11" s="279">
        <v>300</v>
      </c>
      <c r="E11" s="273"/>
      <c r="F11" s="273"/>
    </row>
    <row r="12" ht="15" customHeight="1" spans="1:6">
      <c r="A12" s="280"/>
      <c r="B12" s="273">
        <v>10</v>
      </c>
      <c r="C12" s="278" t="s">
        <v>15</v>
      </c>
      <c r="D12" s="279">
        <v>4515.17</v>
      </c>
      <c r="E12" s="273"/>
      <c r="F12" s="273"/>
    </row>
    <row r="13" ht="15" customHeight="1" spans="1:6">
      <c r="A13" s="277"/>
      <c r="B13" s="273">
        <v>11</v>
      </c>
      <c r="C13" s="278" t="s">
        <v>16</v>
      </c>
      <c r="D13" s="279">
        <v>200</v>
      </c>
      <c r="E13" s="281">
        <v>0</v>
      </c>
      <c r="F13" s="281">
        <v>1</v>
      </c>
    </row>
    <row r="14" ht="15" customHeight="1" spans="1:6">
      <c r="A14" s="277"/>
      <c r="B14" s="273">
        <v>12</v>
      </c>
      <c r="C14" s="278" t="s">
        <v>17</v>
      </c>
      <c r="D14" s="279">
        <f>D6*20%</f>
        <v>20666.186</v>
      </c>
      <c r="E14" s="282">
        <v>0.2</v>
      </c>
      <c r="F14" s="282"/>
    </row>
    <row r="15" ht="15" customHeight="1" spans="1:6">
      <c r="A15" s="277"/>
      <c r="B15" s="273">
        <v>13</v>
      </c>
      <c r="C15" s="278" t="s">
        <v>18</v>
      </c>
      <c r="D15" s="279">
        <f>SUM(D8:D11)*80%+D12</f>
        <v>83567.778</v>
      </c>
      <c r="E15" s="282">
        <v>0.8</v>
      </c>
      <c r="F15" s="282"/>
    </row>
    <row r="16" ht="15" customHeight="1" spans="1:6">
      <c r="A16" s="277"/>
      <c r="B16" s="273">
        <v>14</v>
      </c>
      <c r="C16" s="278" t="s">
        <v>19</v>
      </c>
      <c r="D16" s="283">
        <f>SUM(E16:F16)</f>
        <v>1</v>
      </c>
      <c r="E16" s="281">
        <v>0.6</v>
      </c>
      <c r="F16" s="281">
        <v>0.4</v>
      </c>
    </row>
    <row r="17" ht="15" customHeight="1" spans="1:6">
      <c r="A17" s="284" t="s">
        <v>20</v>
      </c>
      <c r="B17" s="272">
        <v>15</v>
      </c>
      <c r="C17" s="285" t="s">
        <v>21</v>
      </c>
      <c r="D17" s="286"/>
      <c r="E17" s="287"/>
      <c r="F17" s="287"/>
    </row>
    <row r="18" ht="15" customHeight="1" spans="1:6">
      <c r="A18" s="284"/>
      <c r="B18" s="272">
        <v>16</v>
      </c>
      <c r="C18" s="285" t="s">
        <v>22</v>
      </c>
      <c r="D18" s="286"/>
      <c r="E18" s="287"/>
      <c r="F18" s="287"/>
    </row>
    <row r="19" ht="15" customHeight="1" spans="1:6">
      <c r="A19" s="284"/>
      <c r="B19" s="272">
        <v>17</v>
      </c>
      <c r="C19" s="285" t="s">
        <v>23</v>
      </c>
      <c r="D19" s="288">
        <v>0.11</v>
      </c>
      <c r="E19" s="287"/>
      <c r="F19" s="287"/>
    </row>
    <row r="20" ht="15" customHeight="1" spans="1:6">
      <c r="A20" s="284"/>
      <c r="B20" s="272">
        <v>18</v>
      </c>
      <c r="C20" s="285" t="s">
        <v>24</v>
      </c>
      <c r="D20" s="288">
        <v>0</v>
      </c>
      <c r="E20" s="287"/>
      <c r="F20" s="287"/>
    </row>
    <row r="21" ht="15" customHeight="1" spans="1:6">
      <c r="A21" s="284"/>
      <c r="B21" s="272">
        <v>19</v>
      </c>
      <c r="C21" s="285" t="s">
        <v>25</v>
      </c>
      <c r="D21" s="289">
        <v>0</v>
      </c>
      <c r="E21" s="287"/>
      <c r="F21" s="287"/>
    </row>
    <row r="22" ht="15" customHeight="1" spans="1:6">
      <c r="A22" s="284"/>
      <c r="B22" s="272">
        <v>20</v>
      </c>
      <c r="C22" s="285" t="s">
        <v>26</v>
      </c>
      <c r="D22" s="288">
        <v>0</v>
      </c>
      <c r="E22" s="287"/>
      <c r="F22" s="287"/>
    </row>
    <row r="23" ht="15" customHeight="1" spans="1:6">
      <c r="A23" s="284"/>
      <c r="B23" s="273">
        <v>21</v>
      </c>
      <c r="C23" s="290" t="s">
        <v>27</v>
      </c>
      <c r="D23" s="291">
        <v>0.07</v>
      </c>
      <c r="E23" s="287"/>
      <c r="F23" s="287"/>
    </row>
    <row r="24" ht="15" customHeight="1" spans="1:6">
      <c r="A24" s="284"/>
      <c r="B24" s="273">
        <v>22</v>
      </c>
      <c r="C24" s="290" t="s">
        <v>28</v>
      </c>
      <c r="D24" s="291">
        <v>0.03</v>
      </c>
      <c r="E24" s="287"/>
      <c r="F24" s="287"/>
    </row>
    <row r="25" ht="15" customHeight="1" spans="1:6">
      <c r="A25" s="284"/>
      <c r="B25" s="273">
        <v>23</v>
      </c>
      <c r="C25" s="290" t="s">
        <v>29</v>
      </c>
      <c r="D25" s="291">
        <v>0.02</v>
      </c>
      <c r="E25" s="287"/>
      <c r="F25" s="287"/>
    </row>
    <row r="26" ht="15" customHeight="1" spans="1:6">
      <c r="A26" s="284"/>
      <c r="B26" s="273">
        <v>24</v>
      </c>
      <c r="C26" s="292" t="s">
        <v>30</v>
      </c>
      <c r="D26" s="281">
        <v>0.2</v>
      </c>
      <c r="E26" s="287"/>
      <c r="F26" s="287"/>
    </row>
    <row r="27" ht="15" customHeight="1" spans="1:6">
      <c r="A27" s="284"/>
      <c r="B27" s="272">
        <v>25</v>
      </c>
      <c r="C27" s="293" t="s">
        <v>31</v>
      </c>
      <c r="D27" s="289">
        <v>0.07</v>
      </c>
      <c r="E27" s="287"/>
      <c r="F27" s="287"/>
    </row>
    <row r="28" ht="15" customHeight="1" spans="1:6">
      <c r="A28" s="284" t="s">
        <v>32</v>
      </c>
      <c r="B28" s="272">
        <v>26</v>
      </c>
      <c r="C28" s="285" t="s">
        <v>33</v>
      </c>
      <c r="D28" s="288">
        <v>0.06</v>
      </c>
      <c r="E28" s="289"/>
      <c r="F28" s="294"/>
    </row>
    <row r="29" ht="15" customHeight="1" spans="1:6">
      <c r="A29" s="284"/>
      <c r="B29" s="272">
        <v>27</v>
      </c>
      <c r="C29" s="285" t="s">
        <v>34</v>
      </c>
      <c r="D29" s="288">
        <v>0.04</v>
      </c>
      <c r="E29" s="294"/>
      <c r="F29" s="294"/>
    </row>
    <row r="30" ht="15" customHeight="1" spans="1:6">
      <c r="A30" s="284"/>
      <c r="B30" s="272">
        <v>28</v>
      </c>
      <c r="C30" s="293" t="s">
        <v>35</v>
      </c>
      <c r="D30" s="288">
        <v>0.06</v>
      </c>
      <c r="E30" s="295"/>
      <c r="F30" s="296"/>
    </row>
    <row r="31" ht="15" customHeight="1" spans="1:6">
      <c r="A31" s="284"/>
      <c r="B31" s="272">
        <v>29</v>
      </c>
      <c r="C31" s="285" t="s">
        <v>36</v>
      </c>
      <c r="D31" s="288"/>
      <c r="E31" s="295"/>
      <c r="F31" s="296"/>
    </row>
    <row r="32" ht="15" customHeight="1" spans="1:6">
      <c r="A32" s="284"/>
      <c r="B32" s="272">
        <v>30</v>
      </c>
      <c r="C32" s="293" t="s">
        <v>37</v>
      </c>
      <c r="D32" s="297"/>
      <c r="E32" s="272"/>
      <c r="F32" s="272"/>
    </row>
    <row r="33" ht="15" customHeight="1" spans="1:6">
      <c r="A33" s="284" t="s">
        <v>38</v>
      </c>
      <c r="B33" s="272">
        <v>31</v>
      </c>
      <c r="C33" s="285" t="s">
        <v>39</v>
      </c>
      <c r="D33" s="288"/>
      <c r="E33" s="287"/>
      <c r="F33" s="287"/>
    </row>
    <row r="34" ht="15" customHeight="1" spans="1:6">
      <c r="A34" s="284"/>
      <c r="B34" s="272">
        <v>32</v>
      </c>
      <c r="C34" s="285" t="s">
        <v>40</v>
      </c>
      <c r="D34" s="288"/>
      <c r="E34" s="287"/>
      <c r="F34" s="287"/>
    </row>
    <row r="35" ht="15" customHeight="1" spans="1:6">
      <c r="A35" s="284"/>
      <c r="B35" s="272">
        <v>33</v>
      </c>
      <c r="C35" s="285" t="s">
        <v>41</v>
      </c>
      <c r="D35" s="298"/>
      <c r="E35" s="287"/>
      <c r="F35" s="287"/>
    </row>
    <row r="36" ht="15" customHeight="1" spans="1:6">
      <c r="A36" s="284"/>
      <c r="B36" s="272">
        <v>34</v>
      </c>
      <c r="C36" s="285" t="s">
        <v>42</v>
      </c>
      <c r="D36" s="288"/>
      <c r="E36" s="287"/>
      <c r="F36" s="287"/>
    </row>
  </sheetData>
  <mergeCells count="39">
    <mergeCell ref="A1:F1"/>
    <mergeCell ref="A2:B2"/>
    <mergeCell ref="E2:F2"/>
    <mergeCell ref="A3:B3"/>
    <mergeCell ref="E3:F3"/>
    <mergeCell ref="A4:B4"/>
    <mergeCell ref="E4:F4"/>
    <mergeCell ref="E5:F5"/>
    <mergeCell ref="E6:F6"/>
    <mergeCell ref="E8:F8"/>
    <mergeCell ref="E9:F9"/>
    <mergeCell ref="E10:F10"/>
    <mergeCell ref="E14:F14"/>
    <mergeCell ref="E15:F15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A5:A16"/>
    <mergeCell ref="A17:A27"/>
    <mergeCell ref="A28:A29"/>
    <mergeCell ref="A30:A32"/>
    <mergeCell ref="A33:A36"/>
  </mergeCells>
  <pageMargins left="0.699305555555556" right="0.699305555555556" top="0.75" bottom="0.75" header="0.3" footer="0.3"/>
  <pageSetup paperSize="9" orientation="portrait"/>
  <headerFooter/>
  <ignoredErrors>
    <ignoredError sqref="D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zoomScale="115" zoomScaleNormal="115" topLeftCell="B1" workbookViewId="0">
      <selection activeCell="U16" sqref="U16"/>
    </sheetView>
  </sheetViews>
  <sheetFormatPr defaultColWidth="9" defaultRowHeight="14.4"/>
  <cols>
    <col min="1" max="1" width="8.88888888888889" style="28"/>
    <col min="2" max="2" width="17.5555555555556" style="28" customWidth="1"/>
    <col min="3" max="240" width="8.88888888888889" style="28"/>
    <col min="241" max="241" width="17.5555555555556" style="28" customWidth="1"/>
    <col min="242" max="496" width="8.88888888888889" style="28"/>
    <col min="497" max="497" width="17.5555555555556" style="28" customWidth="1"/>
    <col min="498" max="752" width="8.88888888888889" style="28"/>
    <col min="753" max="753" width="17.5555555555556" style="28" customWidth="1"/>
    <col min="754" max="1008" width="8.88888888888889" style="28"/>
    <col min="1009" max="1009" width="17.5555555555556" style="28" customWidth="1"/>
    <col min="1010" max="1264" width="8.88888888888889" style="28"/>
    <col min="1265" max="1265" width="17.5555555555556" style="28" customWidth="1"/>
    <col min="1266" max="1520" width="8.88888888888889" style="28"/>
    <col min="1521" max="1521" width="17.5555555555556" style="28" customWidth="1"/>
    <col min="1522" max="1776" width="8.88888888888889" style="28"/>
    <col min="1777" max="1777" width="17.5555555555556" style="28" customWidth="1"/>
    <col min="1778" max="2032" width="8.88888888888889" style="28"/>
    <col min="2033" max="2033" width="17.5555555555556" style="28" customWidth="1"/>
    <col min="2034" max="2288" width="8.88888888888889" style="28"/>
    <col min="2289" max="2289" width="17.5555555555556" style="28" customWidth="1"/>
    <col min="2290" max="2544" width="8.88888888888889" style="28"/>
    <col min="2545" max="2545" width="17.5555555555556" style="28" customWidth="1"/>
    <col min="2546" max="2800" width="8.88888888888889" style="28"/>
    <col min="2801" max="2801" width="17.5555555555556" style="28" customWidth="1"/>
    <col min="2802" max="3056" width="8.88888888888889" style="28"/>
    <col min="3057" max="3057" width="17.5555555555556" style="28" customWidth="1"/>
    <col min="3058" max="3312" width="8.88888888888889" style="28"/>
    <col min="3313" max="3313" width="17.5555555555556" style="28" customWidth="1"/>
    <col min="3314" max="3568" width="8.88888888888889" style="28"/>
    <col min="3569" max="3569" width="17.5555555555556" style="28" customWidth="1"/>
    <col min="3570" max="3824" width="8.88888888888889" style="28"/>
    <col min="3825" max="3825" width="17.5555555555556" style="28" customWidth="1"/>
    <col min="3826" max="4080" width="8.88888888888889" style="28"/>
    <col min="4081" max="4081" width="17.5555555555556" style="28" customWidth="1"/>
    <col min="4082" max="4336" width="8.88888888888889" style="28"/>
    <col min="4337" max="4337" width="17.5555555555556" style="28" customWidth="1"/>
    <col min="4338" max="4592" width="8.88888888888889" style="28"/>
    <col min="4593" max="4593" width="17.5555555555556" style="28" customWidth="1"/>
    <col min="4594" max="4848" width="8.88888888888889" style="28"/>
    <col min="4849" max="4849" width="17.5555555555556" style="28" customWidth="1"/>
    <col min="4850" max="5104" width="8.88888888888889" style="28"/>
    <col min="5105" max="5105" width="17.5555555555556" style="28" customWidth="1"/>
    <col min="5106" max="5360" width="8.88888888888889" style="28"/>
    <col min="5361" max="5361" width="17.5555555555556" style="28" customWidth="1"/>
    <col min="5362" max="5616" width="8.88888888888889" style="28"/>
    <col min="5617" max="5617" width="17.5555555555556" style="28" customWidth="1"/>
    <col min="5618" max="5872" width="8.88888888888889" style="28"/>
    <col min="5873" max="5873" width="17.5555555555556" style="28" customWidth="1"/>
    <col min="5874" max="6128" width="8.88888888888889" style="28"/>
    <col min="6129" max="6129" width="17.5555555555556" style="28" customWidth="1"/>
    <col min="6130" max="6384" width="8.88888888888889" style="28"/>
    <col min="6385" max="6385" width="17.5555555555556" style="28" customWidth="1"/>
    <col min="6386" max="6640" width="8.88888888888889" style="28"/>
    <col min="6641" max="6641" width="17.5555555555556" style="28" customWidth="1"/>
    <col min="6642" max="6896" width="8.88888888888889" style="28"/>
    <col min="6897" max="6897" width="17.5555555555556" style="28" customWidth="1"/>
    <col min="6898" max="7152" width="8.88888888888889" style="28"/>
    <col min="7153" max="7153" width="17.5555555555556" style="28" customWidth="1"/>
    <col min="7154" max="7408" width="8.88888888888889" style="28"/>
    <col min="7409" max="7409" width="17.5555555555556" style="28" customWidth="1"/>
    <col min="7410" max="7664" width="8.88888888888889" style="28"/>
    <col min="7665" max="7665" width="17.5555555555556" style="28" customWidth="1"/>
    <col min="7666" max="7920" width="8.88888888888889" style="28"/>
    <col min="7921" max="7921" width="17.5555555555556" style="28" customWidth="1"/>
    <col min="7922" max="8176" width="8.88888888888889" style="28"/>
    <col min="8177" max="8177" width="17.5555555555556" style="28" customWidth="1"/>
    <col min="8178" max="8432" width="8.88888888888889" style="28"/>
    <col min="8433" max="8433" width="17.5555555555556" style="28" customWidth="1"/>
    <col min="8434" max="8688" width="8.88888888888889" style="28"/>
    <col min="8689" max="8689" width="17.5555555555556" style="28" customWidth="1"/>
    <col min="8690" max="8944" width="8.88888888888889" style="28"/>
    <col min="8945" max="8945" width="17.5555555555556" style="28" customWidth="1"/>
    <col min="8946" max="9200" width="8.88888888888889" style="28"/>
    <col min="9201" max="9201" width="17.5555555555556" style="28" customWidth="1"/>
    <col min="9202" max="9456" width="8.88888888888889" style="28"/>
    <col min="9457" max="9457" width="17.5555555555556" style="28" customWidth="1"/>
    <col min="9458" max="9712" width="8.88888888888889" style="28"/>
    <col min="9713" max="9713" width="17.5555555555556" style="28" customWidth="1"/>
    <col min="9714" max="9968" width="8.88888888888889" style="28"/>
    <col min="9969" max="9969" width="17.5555555555556" style="28" customWidth="1"/>
    <col min="9970" max="10224" width="8.88888888888889" style="28"/>
    <col min="10225" max="10225" width="17.5555555555556" style="28" customWidth="1"/>
    <col min="10226" max="10480" width="8.88888888888889" style="28"/>
    <col min="10481" max="10481" width="17.5555555555556" style="28" customWidth="1"/>
    <col min="10482" max="10736" width="8.88888888888889" style="28"/>
    <col min="10737" max="10737" width="17.5555555555556" style="28" customWidth="1"/>
    <col min="10738" max="10992" width="8.88888888888889" style="28"/>
    <col min="10993" max="10993" width="17.5555555555556" style="28" customWidth="1"/>
    <col min="10994" max="11248" width="8.88888888888889" style="28"/>
    <col min="11249" max="11249" width="17.5555555555556" style="28" customWidth="1"/>
    <col min="11250" max="11504" width="8.88888888888889" style="28"/>
    <col min="11505" max="11505" width="17.5555555555556" style="28" customWidth="1"/>
    <col min="11506" max="11760" width="8.88888888888889" style="28"/>
    <col min="11761" max="11761" width="17.5555555555556" style="28" customWidth="1"/>
    <col min="11762" max="12016" width="8.88888888888889" style="28"/>
    <col min="12017" max="12017" width="17.5555555555556" style="28" customWidth="1"/>
    <col min="12018" max="12272" width="8.88888888888889" style="28"/>
    <col min="12273" max="12273" width="17.5555555555556" style="28" customWidth="1"/>
    <col min="12274" max="12528" width="8.88888888888889" style="28"/>
    <col min="12529" max="12529" width="17.5555555555556" style="28" customWidth="1"/>
    <col min="12530" max="12784" width="8.88888888888889" style="28"/>
    <col min="12785" max="12785" width="17.5555555555556" style="28" customWidth="1"/>
    <col min="12786" max="13040" width="8.88888888888889" style="28"/>
    <col min="13041" max="13041" width="17.5555555555556" style="28" customWidth="1"/>
    <col min="13042" max="13296" width="8.88888888888889" style="28"/>
    <col min="13297" max="13297" width="17.5555555555556" style="28" customWidth="1"/>
    <col min="13298" max="13552" width="8.88888888888889" style="28"/>
    <col min="13553" max="13553" width="17.5555555555556" style="28" customWidth="1"/>
    <col min="13554" max="13808" width="8.88888888888889" style="28"/>
    <col min="13809" max="13809" width="17.5555555555556" style="28" customWidth="1"/>
    <col min="13810" max="14064" width="8.88888888888889" style="28"/>
    <col min="14065" max="14065" width="17.5555555555556" style="28" customWidth="1"/>
    <col min="14066" max="14320" width="8.88888888888889" style="28"/>
    <col min="14321" max="14321" width="17.5555555555556" style="28" customWidth="1"/>
    <col min="14322" max="14576" width="8.88888888888889" style="28"/>
    <col min="14577" max="14577" width="17.5555555555556" style="28" customWidth="1"/>
    <col min="14578" max="14832" width="8.88888888888889" style="28"/>
    <col min="14833" max="14833" width="17.5555555555556" style="28" customWidth="1"/>
    <col min="14834" max="15088" width="8.88888888888889" style="28"/>
    <col min="15089" max="15089" width="17.5555555555556" style="28" customWidth="1"/>
    <col min="15090" max="15344" width="8.88888888888889" style="28"/>
    <col min="15345" max="15345" width="17.5555555555556" style="28" customWidth="1"/>
    <col min="15346" max="15600" width="8.88888888888889" style="28"/>
    <col min="15601" max="15601" width="17.5555555555556" style="28" customWidth="1"/>
    <col min="15602" max="15856" width="8.88888888888889" style="28"/>
    <col min="15857" max="15857" width="17.5555555555556" style="28" customWidth="1"/>
    <col min="15858" max="16112" width="8.88888888888889" style="28"/>
    <col min="16113" max="16113" width="17.5555555555556" style="28" customWidth="1"/>
    <col min="16114" max="16384" width="8.88888888888889" style="28"/>
  </cols>
  <sheetData>
    <row r="1" spans="1:30">
      <c r="A1" s="29" t="s">
        <v>166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>
      <c r="A2" s="30" t="s">
        <v>1</v>
      </c>
      <c r="B2" s="31" t="s">
        <v>167</v>
      </c>
      <c r="C2" s="30" t="s">
        <v>46</v>
      </c>
      <c r="D2" s="30" t="s">
        <v>47</v>
      </c>
      <c r="E2" s="30"/>
      <c r="F2" s="30" t="s">
        <v>65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>
      <c r="A3" s="30"/>
      <c r="B3" s="31"/>
      <c r="C3" s="30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0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0">
        <v>21</v>
      </c>
      <c r="Y3" s="30">
        <v>22</v>
      </c>
      <c r="Z3" s="30">
        <v>23</v>
      </c>
      <c r="AA3" s="30">
        <v>24</v>
      </c>
      <c r="AB3" s="30">
        <v>25</v>
      </c>
      <c r="AC3" s="30">
        <v>26</v>
      </c>
      <c r="AD3" s="30">
        <v>27</v>
      </c>
    </row>
    <row r="4" s="27" customFormat="1" ht="21.6" spans="1:30">
      <c r="A4" s="32">
        <v>1</v>
      </c>
      <c r="B4" s="33" t="s">
        <v>168</v>
      </c>
      <c r="C4" s="34">
        <f>C5-C7</f>
        <v>190667.90139021</v>
      </c>
      <c r="D4" s="34"/>
      <c r="E4" s="34"/>
      <c r="F4" s="34">
        <f t="shared" ref="F4:M4" si="0">F5-F7</f>
        <v>7980.68812149799</v>
      </c>
      <c r="G4" s="34">
        <f t="shared" si="0"/>
        <v>7921.07771936466</v>
      </c>
      <c r="H4" s="34">
        <f t="shared" si="0"/>
        <v>7805.9468494732</v>
      </c>
      <c r="I4" s="34">
        <f t="shared" si="0"/>
        <v>7737.25568730447</v>
      </c>
      <c r="J4" s="34">
        <f t="shared" si="0"/>
        <v>8085.50607267494</v>
      </c>
      <c r="K4" s="34">
        <f t="shared" si="0"/>
        <v>8085.23849638114</v>
      </c>
      <c r="L4" s="34">
        <f t="shared" si="0"/>
        <v>8054.09419244918</v>
      </c>
      <c r="M4" s="34">
        <f t="shared" si="0"/>
        <v>8002.96863002135</v>
      </c>
      <c r="N4" s="34">
        <f t="shared" ref="N4:AC4" si="1">N5-N7</f>
        <v>7948.54330259932</v>
      </c>
      <c r="O4" s="34">
        <f t="shared" si="1"/>
        <v>7888.92662678796</v>
      </c>
      <c r="P4" s="34">
        <f t="shared" si="1"/>
        <v>7822.23495405627</v>
      </c>
      <c r="Q4" s="34">
        <f t="shared" si="1"/>
        <v>7746.51205778806</v>
      </c>
      <c r="R4" s="34">
        <f t="shared" si="1"/>
        <v>7659.65521627907</v>
      </c>
      <c r="S4" s="34">
        <f t="shared" si="1"/>
        <v>7559.34397791478</v>
      </c>
      <c r="T4" s="34">
        <f t="shared" si="1"/>
        <v>7442.96827771008</v>
      </c>
      <c r="U4" s="34">
        <f t="shared" si="1"/>
        <v>7307.55294669196</v>
      </c>
      <c r="V4" s="34">
        <f t="shared" si="1"/>
        <v>7292.18129233075</v>
      </c>
      <c r="W4" s="34">
        <f t="shared" si="1"/>
        <v>7291.90981117954</v>
      </c>
      <c r="X4" s="34">
        <f t="shared" si="1"/>
        <v>7291.63290040529</v>
      </c>
      <c r="Y4" s="34">
        <f t="shared" si="1"/>
        <v>7291.35045141556</v>
      </c>
      <c r="Z4" s="34">
        <f t="shared" si="1"/>
        <v>7291.06235344604</v>
      </c>
      <c r="AA4" s="34">
        <f t="shared" si="1"/>
        <v>7290.76849351712</v>
      </c>
      <c r="AB4" s="34">
        <f t="shared" si="1"/>
        <v>7290.46875638964</v>
      </c>
      <c r="AC4" s="34">
        <f t="shared" si="1"/>
        <v>7290.1630245196</v>
      </c>
      <c r="AD4" s="34">
        <f t="shared" ref="AD4" si="2">AD5-AD7</f>
        <v>7289.85117801215</v>
      </c>
    </row>
    <row r="5" spans="1:30">
      <c r="A5" s="30">
        <v>1.1</v>
      </c>
      <c r="B5" s="30" t="s">
        <v>135</v>
      </c>
      <c r="C5" s="35">
        <f>C6</f>
        <v>213682.727087249</v>
      </c>
      <c r="D5" s="35"/>
      <c r="E5" s="35"/>
      <c r="F5" s="35">
        <f>F6</f>
        <v>8448.88488736466</v>
      </c>
      <c r="G5" s="35">
        <f t="shared" ref="G5:AD5" si="3">G6</f>
        <v>8455.88488736466</v>
      </c>
      <c r="H5" s="35">
        <f t="shared" si="3"/>
        <v>8463.02488736466</v>
      </c>
      <c r="I5" s="35">
        <f t="shared" si="3"/>
        <v>8470.30768736466</v>
      </c>
      <c r="J5" s="35">
        <f t="shared" si="3"/>
        <v>8477.73614336466</v>
      </c>
      <c r="K5" s="35">
        <f t="shared" si="3"/>
        <v>8485.31316848466</v>
      </c>
      <c r="L5" s="35">
        <f t="shared" si="3"/>
        <v>8493.04173410706</v>
      </c>
      <c r="M5" s="35">
        <f t="shared" si="3"/>
        <v>8500.92487104191</v>
      </c>
      <c r="N5" s="35">
        <f t="shared" si="3"/>
        <v>8508.96567071545</v>
      </c>
      <c r="O5" s="35">
        <f t="shared" si="3"/>
        <v>8517.16728638247</v>
      </c>
      <c r="P5" s="35">
        <f t="shared" si="3"/>
        <v>8525.53293436282</v>
      </c>
      <c r="Q5" s="35">
        <f t="shared" si="3"/>
        <v>8534.06589530279</v>
      </c>
      <c r="R5" s="35">
        <f t="shared" si="3"/>
        <v>8542.76951546155</v>
      </c>
      <c r="S5" s="35">
        <f t="shared" si="3"/>
        <v>8551.64720802349</v>
      </c>
      <c r="T5" s="35">
        <f t="shared" si="3"/>
        <v>8560.70245443666</v>
      </c>
      <c r="U5" s="35">
        <f t="shared" si="3"/>
        <v>8569.9388057781</v>
      </c>
      <c r="V5" s="35">
        <f t="shared" si="3"/>
        <v>8579.35988414637</v>
      </c>
      <c r="W5" s="35">
        <f t="shared" si="3"/>
        <v>8588.96938408201</v>
      </c>
      <c r="X5" s="35">
        <f t="shared" si="3"/>
        <v>8598.77107401635</v>
      </c>
      <c r="Y5" s="35">
        <f t="shared" si="3"/>
        <v>8608.76879774939</v>
      </c>
      <c r="Z5" s="35">
        <f t="shared" si="3"/>
        <v>8618.96647595708</v>
      </c>
      <c r="AA5" s="35">
        <f t="shared" si="3"/>
        <v>8629.36810772893</v>
      </c>
      <c r="AB5" s="35">
        <f t="shared" si="3"/>
        <v>8639.97777213622</v>
      </c>
      <c r="AC5" s="35">
        <f t="shared" si="3"/>
        <v>8650.79962983165</v>
      </c>
      <c r="AD5" s="35">
        <f t="shared" si="3"/>
        <v>8661.83792468099</v>
      </c>
    </row>
    <row r="6" spans="1:30">
      <c r="A6" s="30" t="s">
        <v>169</v>
      </c>
      <c r="B6" s="30" t="s">
        <v>105</v>
      </c>
      <c r="C6" s="35">
        <f>SUM(D6:AD6)</f>
        <v>213682.727087249</v>
      </c>
      <c r="D6" s="35"/>
      <c r="E6" s="35"/>
      <c r="F6" s="35">
        <f>'资本金现金流量表 '!F6</f>
        <v>8448.88488736466</v>
      </c>
      <c r="G6" s="35">
        <f>'资本金现金流量表 '!G6</f>
        <v>8455.88488736466</v>
      </c>
      <c r="H6" s="35">
        <f>'资本金现金流量表 '!H6</f>
        <v>8463.02488736466</v>
      </c>
      <c r="I6" s="35">
        <f>'资本金现金流量表 '!I6</f>
        <v>8470.30768736466</v>
      </c>
      <c r="J6" s="35">
        <f>'资本金现金流量表 '!J6</f>
        <v>8477.73614336466</v>
      </c>
      <c r="K6" s="35">
        <f>'资本金现金流量表 '!K6</f>
        <v>8485.31316848466</v>
      </c>
      <c r="L6" s="35">
        <f>'资本金现金流量表 '!L6</f>
        <v>8493.04173410706</v>
      </c>
      <c r="M6" s="35">
        <f>'资本金现金流量表 '!M6</f>
        <v>8500.92487104191</v>
      </c>
      <c r="N6" s="35">
        <f>'资本金现金流量表 '!N6</f>
        <v>8508.96567071545</v>
      </c>
      <c r="O6" s="35">
        <f>'资本金现金流量表 '!O6</f>
        <v>8517.16728638247</v>
      </c>
      <c r="P6" s="35">
        <f>'资本金现金流量表 '!P6</f>
        <v>8525.53293436282</v>
      </c>
      <c r="Q6" s="35">
        <f>'资本金现金流量表 '!Q6</f>
        <v>8534.06589530279</v>
      </c>
      <c r="R6" s="35">
        <f>'资本金现金流量表 '!R6</f>
        <v>8542.76951546155</v>
      </c>
      <c r="S6" s="35">
        <f>'资本金现金流量表 '!S6</f>
        <v>8551.64720802349</v>
      </c>
      <c r="T6" s="35">
        <f>'资本金现金流量表 '!T6</f>
        <v>8560.70245443666</v>
      </c>
      <c r="U6" s="35">
        <f>'资本金现金流量表 '!U6</f>
        <v>8569.9388057781</v>
      </c>
      <c r="V6" s="35">
        <f>'资本金现金流量表 '!V6</f>
        <v>8579.35988414637</v>
      </c>
      <c r="W6" s="35">
        <f>'资本金现金流量表 '!W6</f>
        <v>8588.96938408201</v>
      </c>
      <c r="X6" s="35">
        <f>'资本金现金流量表 '!X6</f>
        <v>8598.77107401635</v>
      </c>
      <c r="Y6" s="35">
        <f>'资本金现金流量表 '!Y6</f>
        <v>8608.76879774939</v>
      </c>
      <c r="Z6" s="35">
        <f>'资本金现金流量表 '!Z6</f>
        <v>8618.96647595708</v>
      </c>
      <c r="AA6" s="35">
        <f>'资本金现金流量表 '!AA6</f>
        <v>8629.36810772893</v>
      </c>
      <c r="AB6" s="35">
        <f>'资本金现金流量表 '!AB6</f>
        <v>8639.97777213622</v>
      </c>
      <c r="AC6" s="35">
        <f>'资本金现金流量表 '!AC6</f>
        <v>8650.79962983165</v>
      </c>
      <c r="AD6" s="35">
        <f>'资本金现金流量表 '!AD6</f>
        <v>8661.83792468099</v>
      </c>
    </row>
    <row r="7" spans="1:30">
      <c r="A7" s="30">
        <v>1.2</v>
      </c>
      <c r="B7" s="30" t="s">
        <v>140</v>
      </c>
      <c r="C7" s="35">
        <f>C8+C9+C10</f>
        <v>23014.8256970392</v>
      </c>
      <c r="D7" s="36"/>
      <c r="E7" s="36"/>
      <c r="F7" s="36">
        <f t="shared" ref="F7:M7" si="4">SUM(F8:F10)</f>
        <v>468.196765866667</v>
      </c>
      <c r="G7" s="36">
        <f t="shared" ref="G7:AD7" si="5">SUM(G8:G10)</f>
        <v>534.807168</v>
      </c>
      <c r="H7" s="36">
        <f t="shared" si="5"/>
        <v>657.078037891459</v>
      </c>
      <c r="I7" s="36">
        <f t="shared" si="5"/>
        <v>733.052000060195</v>
      </c>
      <c r="J7" s="36">
        <f t="shared" si="5"/>
        <v>392.230070689723</v>
      </c>
      <c r="K7" s="36">
        <f t="shared" si="5"/>
        <v>400.074672103517</v>
      </c>
      <c r="L7" s="36">
        <f t="shared" si="5"/>
        <v>438.947541657882</v>
      </c>
      <c r="M7" s="36">
        <f t="shared" si="5"/>
        <v>497.956241020565</v>
      </c>
      <c r="N7" s="36">
        <f t="shared" si="5"/>
        <v>560.422368116133</v>
      </c>
      <c r="O7" s="36">
        <f t="shared" si="5"/>
        <v>628.240659594512</v>
      </c>
      <c r="P7" s="36">
        <f t="shared" si="5"/>
        <v>703.297980306551</v>
      </c>
      <c r="Q7" s="36">
        <f t="shared" si="5"/>
        <v>787.553837514727</v>
      </c>
      <c r="R7" s="36">
        <f t="shared" si="5"/>
        <v>883.114299182481</v>
      </c>
      <c r="S7" s="36">
        <f t="shared" si="5"/>
        <v>992.303230108711</v>
      </c>
      <c r="T7" s="36">
        <f t="shared" si="5"/>
        <v>1117.73417672658</v>
      </c>
      <c r="U7" s="36">
        <f t="shared" si="5"/>
        <v>1262.38585908614</v>
      </c>
      <c r="V7" s="36">
        <f t="shared" si="5"/>
        <v>1287.17859181562</v>
      </c>
      <c r="W7" s="36">
        <f t="shared" si="5"/>
        <v>1297.05957290247</v>
      </c>
      <c r="X7" s="36">
        <f t="shared" si="5"/>
        <v>1307.13817361106</v>
      </c>
      <c r="Y7" s="36">
        <f t="shared" si="5"/>
        <v>1317.41834633382</v>
      </c>
      <c r="Z7" s="36">
        <f t="shared" si="5"/>
        <v>1327.90412251104</v>
      </c>
      <c r="AA7" s="36">
        <f t="shared" si="5"/>
        <v>1338.5996142118</v>
      </c>
      <c r="AB7" s="36">
        <f t="shared" si="5"/>
        <v>1349.50901574658</v>
      </c>
      <c r="AC7" s="36">
        <f t="shared" si="5"/>
        <v>1360.63660531206</v>
      </c>
      <c r="AD7" s="36">
        <f t="shared" si="5"/>
        <v>1371.98674666884</v>
      </c>
    </row>
    <row r="8" spans="1:30">
      <c r="A8" s="30" t="s">
        <v>170</v>
      </c>
      <c r="B8" s="30" t="s">
        <v>171</v>
      </c>
      <c r="C8" s="35">
        <f>SUM(D8:AD8)</f>
        <v>11210.6049031328</v>
      </c>
      <c r="D8" s="35"/>
      <c r="E8" s="35"/>
      <c r="F8" s="35">
        <f>'资本金现金流量表 '!F14</f>
        <v>350</v>
      </c>
      <c r="G8" s="35">
        <f>'资本金现金流量表 '!G14</f>
        <v>357</v>
      </c>
      <c r="H8" s="35">
        <f>'资本金现金流量表 '!H14</f>
        <v>364.14</v>
      </c>
      <c r="I8" s="35">
        <f>'资本金现金流量表 '!I14</f>
        <v>371.4228</v>
      </c>
      <c r="J8" s="35">
        <f>'资本金现金流量表 '!J14</f>
        <v>378.851256</v>
      </c>
      <c r="K8" s="35">
        <f>'资本金现金流量表 '!K14</f>
        <v>386.42828112</v>
      </c>
      <c r="L8" s="35">
        <f>'资本金现金流量表 '!L14</f>
        <v>394.1568467424</v>
      </c>
      <c r="M8" s="35">
        <f>'资本金现金流量表 '!M14</f>
        <v>402.039983677248</v>
      </c>
      <c r="N8" s="35">
        <f>'资本金现金流量表 '!N14</f>
        <v>410.080783350793</v>
      </c>
      <c r="O8" s="35">
        <f>'资本金现金流量表 '!O14</f>
        <v>418.282399017809</v>
      </c>
      <c r="P8" s="35">
        <f>'资本金现金流量表 '!P14</f>
        <v>426.648046998165</v>
      </c>
      <c r="Q8" s="35">
        <f>'资本金现金流量表 '!Q14</f>
        <v>435.181007938128</v>
      </c>
      <c r="R8" s="35">
        <f>'资本金现金流量表 '!R14</f>
        <v>443.884628096891</v>
      </c>
      <c r="S8" s="35">
        <f>'资本金现金流量表 '!S14</f>
        <v>452.762320658829</v>
      </c>
      <c r="T8" s="35">
        <f>'资本金现金流量表 '!T14</f>
        <v>461.817567072005</v>
      </c>
      <c r="U8" s="35">
        <f>'资本金现金流量表 '!U14</f>
        <v>471.053918413445</v>
      </c>
      <c r="V8" s="35">
        <f>'资本金现金流量表 '!V14</f>
        <v>480.474996781714</v>
      </c>
      <c r="W8" s="35">
        <f>'资本金现金流量表 '!W14</f>
        <v>490.084496717349</v>
      </c>
      <c r="X8" s="35">
        <f>'资本金现金流量表 '!X14</f>
        <v>499.886186651696</v>
      </c>
      <c r="Y8" s="35">
        <f>'资本金现金流量表 '!Y14</f>
        <v>509.88391038473</v>
      </c>
      <c r="Z8" s="35">
        <f>'资本金现金流量表 '!Z14</f>
        <v>520.081588592424</v>
      </c>
      <c r="AA8" s="35">
        <f>'资本金现金流量表 '!AA14</f>
        <v>530.483220364273</v>
      </c>
      <c r="AB8" s="35">
        <f>'资本金现金流量表 '!AB14</f>
        <v>541.092884771558</v>
      </c>
      <c r="AC8" s="35">
        <f>'资本金现金流量表 '!AC14</f>
        <v>551.914742466989</v>
      </c>
      <c r="AD8" s="35">
        <f>'资本金现金流量表 '!AD14</f>
        <v>562.953037316329</v>
      </c>
    </row>
    <row r="9" spans="1:30">
      <c r="A9" s="30" t="s">
        <v>172</v>
      </c>
      <c r="B9" s="30" t="s">
        <v>106</v>
      </c>
      <c r="C9" s="35">
        <f>SUM(D9:AD9)</f>
        <v>1295.52139465518</v>
      </c>
      <c r="D9" s="36"/>
      <c r="E9" s="36"/>
      <c r="F9" s="36">
        <f>营业收入、营业税金及附加和增值税估算表!D14</f>
        <v>118.196765866667</v>
      </c>
      <c r="G9" s="36">
        <f>营业收入、营业税金及附加和增值税估算表!E14</f>
        <v>177.807168</v>
      </c>
      <c r="H9" s="36">
        <f>营业收入、营业税金及附加和增值税估算表!F14</f>
        <v>292.938037891459</v>
      </c>
      <c r="I9" s="36">
        <f>营业收入、营业税金及附加和增值税估算表!G14</f>
        <v>361.629200060195</v>
      </c>
      <c r="J9" s="36">
        <f>营业收入、营业税金及附加和增值税估算表!H14</f>
        <v>13.3788146897228</v>
      </c>
      <c r="K9" s="36">
        <f>营业收入、营业税金及附加和增值税估算表!I14</f>
        <v>13.6463909835173</v>
      </c>
      <c r="L9" s="36">
        <f>营业收入、营业税金及附加和增值税估算表!J14</f>
        <v>13.9193188031876</v>
      </c>
      <c r="M9" s="36">
        <f>营业收入、营业税金及附加和增值税估算表!K14</f>
        <v>14.1977051792514</v>
      </c>
      <c r="N9" s="36">
        <f>营业收入、营业税金及附加和增值税估算表!L14</f>
        <v>14.4816592828364</v>
      </c>
      <c r="O9" s="36">
        <f>营业收入、营业税金及附加和增值税估算表!M14</f>
        <v>14.7712924684931</v>
      </c>
      <c r="P9" s="36">
        <f>营业收入、营业税金及附加和增值税估算表!N14</f>
        <v>15.0667183178629</v>
      </c>
      <c r="Q9" s="36">
        <f>营业收入、营业税金及附加和增值税估算表!O14</f>
        <v>15.3680526842203</v>
      </c>
      <c r="R9" s="36">
        <f>营业收入、营业税金及附加和增值税估算表!P14</f>
        <v>15.6754137379047</v>
      </c>
      <c r="S9" s="36">
        <f>营业收入、营业税金及附加和增值税估算表!Q14</f>
        <v>15.9889220126627</v>
      </c>
      <c r="T9" s="36">
        <f>营业收入、营业税金及附加和增值税估算表!R14</f>
        <v>16.308700452916</v>
      </c>
      <c r="U9" s="36">
        <f>营业收入、营业税金及附加和增值税估算表!S14</f>
        <v>16.6348744619742</v>
      </c>
      <c r="V9" s="36">
        <f>营业收入、营业税金及附加和增值税估算表!T14</f>
        <v>16.9675719512138</v>
      </c>
      <c r="W9" s="36">
        <f>营业收入、营业税金及附加和增值税估算表!U14</f>
        <v>17.3069233902381</v>
      </c>
      <c r="X9" s="36">
        <f>营业收入、营业税金及附加和增值税估算表!V14</f>
        <v>17.6530618580428</v>
      </c>
      <c r="Y9" s="36">
        <f>营业收入、营业税金及附加和增值税估算表!W14</f>
        <v>18.0061230952037</v>
      </c>
      <c r="Z9" s="36">
        <f>营业收入、营业税金及附加和增值税估算表!X14</f>
        <v>18.3662455571078</v>
      </c>
      <c r="AA9" s="36">
        <f>营业收入、营业税金及附加和增值税估算表!Y14</f>
        <v>18.7335704682499</v>
      </c>
      <c r="AB9" s="36">
        <f>营业收入、营业税金及附加和增值税估算表!Z14</f>
        <v>19.1082418776149</v>
      </c>
      <c r="AC9" s="36">
        <f>营业收入、营业税金及附加和增值税估算表!AA14</f>
        <v>19.4904067151672</v>
      </c>
      <c r="AD9" s="36">
        <f>营业收入、营业税金及附加和增值税估算表!AB14</f>
        <v>19.8802148494705</v>
      </c>
    </row>
    <row r="10" spans="1:30">
      <c r="A10" s="30" t="s">
        <v>173</v>
      </c>
      <c r="B10" s="30" t="s">
        <v>164</v>
      </c>
      <c r="C10" s="35">
        <f>SUM(D10:AD10)</f>
        <v>10508.6993992512</v>
      </c>
      <c r="D10" s="36"/>
      <c r="E10" s="36"/>
      <c r="F10" s="36">
        <f>'资本金现金流量表 '!F16</f>
        <v>0</v>
      </c>
      <c r="G10" s="36">
        <f>'资本金现金流量表 '!G16</f>
        <v>0</v>
      </c>
      <c r="H10" s="36">
        <f>'资本金现金流量表 '!H16</f>
        <v>0</v>
      </c>
      <c r="I10" s="36">
        <f>'资本金现金流量表 '!I16</f>
        <v>0</v>
      </c>
      <c r="J10" s="36">
        <f>'资本金现金流量表 '!J16</f>
        <v>0</v>
      </c>
      <c r="K10" s="36">
        <f>'资本金现金流量表 '!K16</f>
        <v>0</v>
      </c>
      <c r="L10" s="36">
        <f>'资本金现金流量表 '!L16</f>
        <v>30.8713761122948</v>
      </c>
      <c r="M10" s="36">
        <f>'资本金现金流量表 '!M16</f>
        <v>81.718552164066</v>
      </c>
      <c r="N10" s="36">
        <f>'资本金现金流量表 '!N16</f>
        <v>135.859925482503</v>
      </c>
      <c r="O10" s="36">
        <f>'资本金现金流量表 '!O16</f>
        <v>195.18696810821</v>
      </c>
      <c r="P10" s="36">
        <f>'资本金现金流量表 '!P16</f>
        <v>261.583214990523</v>
      </c>
      <c r="Q10" s="36">
        <f>'资本金现金流量表 '!Q16</f>
        <v>337.004776892379</v>
      </c>
      <c r="R10" s="36">
        <f>'资本金现金流量表 '!R16</f>
        <v>423.554257347685</v>
      </c>
      <c r="S10" s="36">
        <f>'资本金现金流量表 '!S16</f>
        <v>523.551987437219</v>
      </c>
      <c r="T10" s="36">
        <f>'资本金现金流量表 '!T16</f>
        <v>639.607909201662</v>
      </c>
      <c r="U10" s="36">
        <f>'资本金现金流量表 '!U16</f>
        <v>774.697066210725</v>
      </c>
      <c r="V10" s="36">
        <f>'资本金现金流量表 '!V16</f>
        <v>789.736023082688</v>
      </c>
      <c r="W10" s="36">
        <f>'资本金现金流量表 '!W16</f>
        <v>789.668152794884</v>
      </c>
      <c r="X10" s="36">
        <f>'资本金现金流量表 '!X16</f>
        <v>789.598925101322</v>
      </c>
      <c r="Y10" s="36">
        <f>'资本金现金流量表 '!Y16</f>
        <v>789.528312853891</v>
      </c>
      <c r="Z10" s="36">
        <f>'资本金现金流量表 '!Z16</f>
        <v>789.45628836151</v>
      </c>
      <c r="AA10" s="36">
        <f>'资本金现金流量表 '!AA16</f>
        <v>789.382823379281</v>
      </c>
      <c r="AB10" s="36">
        <f>'资本金现金流量表 '!AB16</f>
        <v>789.30788909741</v>
      </c>
      <c r="AC10" s="36">
        <f>'资本金现金流量表 '!AC16</f>
        <v>789.231456129899</v>
      </c>
      <c r="AD10" s="36">
        <f>'资本金现金流量表 '!AD16</f>
        <v>789.153494503038</v>
      </c>
    </row>
    <row r="11" s="27" customFormat="1" ht="21.6" spans="1:30">
      <c r="A11" s="32">
        <v>2</v>
      </c>
      <c r="B11" s="33" t="s">
        <v>174</v>
      </c>
      <c r="C11" s="34">
        <f>C12-C13</f>
        <v>-99015.76</v>
      </c>
      <c r="D11" s="34">
        <f>D12-D13</f>
        <v>-59289.456</v>
      </c>
      <c r="E11" s="34">
        <f>E12-E13</f>
        <v>-39526.304</v>
      </c>
      <c r="F11" s="34">
        <f>F12-F13</f>
        <v>-200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>
      <c r="A12" s="30">
        <v>2.1</v>
      </c>
      <c r="B12" s="30" t="s">
        <v>135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>
      <c r="A13" s="30">
        <v>2.2</v>
      </c>
      <c r="B13" s="30" t="s">
        <v>140</v>
      </c>
      <c r="C13" s="35">
        <f t="shared" ref="C13:C15" si="6">SUM(D13:AD13)</f>
        <v>99015.76</v>
      </c>
      <c r="D13" s="36">
        <f>D14+D15</f>
        <v>59289.456</v>
      </c>
      <c r="E13" s="36">
        <f>E14+E15</f>
        <v>39526.304</v>
      </c>
      <c r="F13" s="36">
        <f>F14+F15</f>
        <v>200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</row>
    <row r="14" spans="1:30">
      <c r="A14" s="30" t="s">
        <v>59</v>
      </c>
      <c r="B14" s="30" t="s">
        <v>10</v>
      </c>
      <c r="C14" s="35">
        <f t="shared" si="6"/>
        <v>98815.76</v>
      </c>
      <c r="D14" s="35">
        <f>项目投资现金流量表!D11</f>
        <v>59289.456</v>
      </c>
      <c r="E14" s="35">
        <f>项目投资现金流量表!E11</f>
        <v>39526.304</v>
      </c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</row>
    <row r="15" spans="1:30">
      <c r="A15" s="30" t="s">
        <v>60</v>
      </c>
      <c r="B15" s="30" t="s">
        <v>16</v>
      </c>
      <c r="C15" s="35">
        <f t="shared" si="6"/>
        <v>200</v>
      </c>
      <c r="D15" s="35"/>
      <c r="E15" s="35"/>
      <c r="F15" s="35">
        <f>基础数据!D13</f>
        <v>200</v>
      </c>
      <c r="G15" s="35"/>
      <c r="H15" s="35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</row>
    <row r="16" s="27" customFormat="1" ht="21.6" spans="1:30">
      <c r="A16" s="32">
        <v>3</v>
      </c>
      <c r="B16" s="33" t="s">
        <v>175</v>
      </c>
      <c r="C16" s="34">
        <f t="shared" ref="C16:M16" si="7">C17-C20</f>
        <v>34631.7521684567</v>
      </c>
      <c r="D16" s="34">
        <f t="shared" si="7"/>
        <v>61998.558</v>
      </c>
      <c r="E16" s="34">
        <f t="shared" si="7"/>
        <v>41532.372</v>
      </c>
      <c r="F16" s="34">
        <f t="shared" si="7"/>
        <v>-9427.57408</v>
      </c>
      <c r="G16" s="34">
        <f t="shared" si="7"/>
        <v>-9170.579848</v>
      </c>
      <c r="H16" s="34">
        <f t="shared" si="7"/>
        <v>-8922.585616</v>
      </c>
      <c r="I16" s="34">
        <f t="shared" si="7"/>
        <v>-8674.591384</v>
      </c>
      <c r="J16" s="34">
        <f t="shared" si="7"/>
        <v>-8426.597152</v>
      </c>
      <c r="K16" s="34">
        <f t="shared" si="7"/>
        <v>-8178.60292</v>
      </c>
      <c r="L16" s="34">
        <f t="shared" si="7"/>
        <v>-8039.27593191528</v>
      </c>
      <c r="M16" s="34">
        <f t="shared" si="7"/>
        <v>-8059.37089962804</v>
      </c>
      <c r="N16" s="34">
        <f t="shared" ref="N16:AC16" si="8">N17-N20</f>
        <v>-8220.61383923912</v>
      </c>
      <c r="O16" s="34">
        <f t="shared" si="8"/>
        <v>-8512.88589203745</v>
      </c>
      <c r="P16" s="34">
        <f t="shared" si="8"/>
        <v>-8932.81729202127</v>
      </c>
      <c r="Q16" s="34">
        <f t="shared" si="8"/>
        <v>-9482.83513905557</v>
      </c>
      <c r="R16" s="34">
        <f t="shared" si="8"/>
        <v>-10170.5702989288</v>
      </c>
      <c r="S16" s="34">
        <f t="shared" si="8"/>
        <v>-11008.5552825405</v>
      </c>
      <c r="T16" s="34">
        <f t="shared" si="8"/>
        <v>-12014.1654251429</v>
      </c>
      <c r="U16" s="34">
        <f t="shared" si="8"/>
        <v>-1334.31884600004</v>
      </c>
      <c r="V16" s="34">
        <f t="shared" si="8"/>
        <v>0</v>
      </c>
      <c r="W16" s="34">
        <f t="shared" si="8"/>
        <v>0</v>
      </c>
      <c r="X16" s="34">
        <f t="shared" si="8"/>
        <v>0</v>
      </c>
      <c r="Y16" s="34">
        <f t="shared" si="8"/>
        <v>0</v>
      </c>
      <c r="Z16" s="34">
        <f t="shared" si="8"/>
        <v>0</v>
      </c>
      <c r="AA16" s="34">
        <f t="shared" si="8"/>
        <v>0</v>
      </c>
      <c r="AB16" s="34">
        <f t="shared" si="8"/>
        <v>0</v>
      </c>
      <c r="AC16" s="34">
        <f t="shared" si="8"/>
        <v>0</v>
      </c>
      <c r="AD16" s="34">
        <f t="shared" ref="AD16" si="9">AD17-AD20</f>
        <v>0</v>
      </c>
    </row>
    <row r="17" spans="1:30">
      <c r="A17" s="30">
        <v>3.1</v>
      </c>
      <c r="B17" s="30" t="s">
        <v>135</v>
      </c>
      <c r="C17" s="35">
        <f t="shared" ref="C17:C23" si="10">SUM(D17:M17)</f>
        <v>103530.93</v>
      </c>
      <c r="D17" s="36">
        <f>SUM(D18:D19)</f>
        <v>61998.558</v>
      </c>
      <c r="E17" s="36">
        <f>SUM(E18:E19)</f>
        <v>41532.372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</row>
    <row r="18" spans="1:30">
      <c r="A18" s="30" t="s">
        <v>176</v>
      </c>
      <c r="B18" s="30" t="s">
        <v>177</v>
      </c>
      <c r="C18" s="35">
        <f t="shared" ref="C18:C19" si="11">SUM(D18:AD18)</f>
        <v>19813.152</v>
      </c>
      <c r="D18" s="36">
        <f>'资本金现金流量表 '!D10</f>
        <v>11857.8912</v>
      </c>
      <c r="E18" s="36">
        <f>'资本金现金流量表 '!E10</f>
        <v>7955.2608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</row>
    <row r="19" spans="1:30">
      <c r="A19" s="30" t="s">
        <v>178</v>
      </c>
      <c r="B19" s="30" t="s">
        <v>179</v>
      </c>
      <c r="C19" s="35">
        <f t="shared" si="11"/>
        <v>83717.778</v>
      </c>
      <c r="D19" s="36">
        <f>项目总投资使用计划与资金筹措表!D14</f>
        <v>50140.6668</v>
      </c>
      <c r="E19" s="36">
        <f>项目总投资使用计划与资金筹措表!E14</f>
        <v>33577.1112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</row>
    <row r="20" spans="1:30">
      <c r="A20" s="30">
        <v>3.2</v>
      </c>
      <c r="B20" s="30" t="s">
        <v>140</v>
      </c>
      <c r="C20" s="35">
        <f t="shared" si="10"/>
        <v>68899.1778315433</v>
      </c>
      <c r="D20" s="36"/>
      <c r="E20" s="36"/>
      <c r="F20" s="36">
        <f>SUM(F21:F22)</f>
        <v>9427.57408</v>
      </c>
      <c r="G20" s="36">
        <f>SUM(G21:G22)</f>
        <v>9170.579848</v>
      </c>
      <c r="H20" s="36">
        <f t="shared" ref="H20:AD20" si="12">SUM(H21:H22)</f>
        <v>8922.585616</v>
      </c>
      <c r="I20" s="36">
        <f t="shared" si="12"/>
        <v>8674.591384</v>
      </c>
      <c r="J20" s="36">
        <f t="shared" si="12"/>
        <v>8426.597152</v>
      </c>
      <c r="K20" s="36">
        <f t="shared" si="12"/>
        <v>8178.60292</v>
      </c>
      <c r="L20" s="36">
        <f t="shared" si="12"/>
        <v>8039.27593191528</v>
      </c>
      <c r="M20" s="36">
        <f t="shared" si="12"/>
        <v>8059.37089962804</v>
      </c>
      <c r="N20" s="36">
        <f t="shared" si="12"/>
        <v>8220.61383923912</v>
      </c>
      <c r="O20" s="36">
        <f t="shared" si="12"/>
        <v>8512.88589203745</v>
      </c>
      <c r="P20" s="36">
        <f t="shared" si="12"/>
        <v>8932.81729202127</v>
      </c>
      <c r="Q20" s="36">
        <f t="shared" si="12"/>
        <v>9482.83513905557</v>
      </c>
      <c r="R20" s="36">
        <f t="shared" si="12"/>
        <v>10170.5702989288</v>
      </c>
      <c r="S20" s="36">
        <f t="shared" si="12"/>
        <v>11008.5552825405</v>
      </c>
      <c r="T20" s="36">
        <f t="shared" si="12"/>
        <v>12014.1654251429</v>
      </c>
      <c r="U20" s="36">
        <f t="shared" si="12"/>
        <v>1334.31884600004</v>
      </c>
      <c r="V20" s="36">
        <f t="shared" si="12"/>
        <v>0</v>
      </c>
      <c r="W20" s="36">
        <f t="shared" si="12"/>
        <v>0</v>
      </c>
      <c r="X20" s="36">
        <f t="shared" si="12"/>
        <v>0</v>
      </c>
      <c r="Y20" s="36">
        <f t="shared" si="12"/>
        <v>0</v>
      </c>
      <c r="Z20" s="36">
        <f t="shared" si="12"/>
        <v>0</v>
      </c>
      <c r="AA20" s="36">
        <f t="shared" si="12"/>
        <v>0</v>
      </c>
      <c r="AB20" s="36">
        <f t="shared" si="12"/>
        <v>0</v>
      </c>
      <c r="AC20" s="36">
        <f t="shared" si="12"/>
        <v>0</v>
      </c>
      <c r="AD20" s="36">
        <f t="shared" si="12"/>
        <v>0</v>
      </c>
    </row>
    <row r="21" spans="1:30">
      <c r="A21" s="30" t="s">
        <v>180</v>
      </c>
      <c r="B21" s="30" t="s">
        <v>181</v>
      </c>
      <c r="C21" s="35">
        <f t="shared" ref="C21:C23" si="13">SUM(D21:AD21)</f>
        <v>50486.991846509</v>
      </c>
      <c r="D21" s="36"/>
      <c r="E21" s="36"/>
      <c r="F21" s="36">
        <f>借款还本付息及还款计划表!E11</f>
        <v>5294.33688</v>
      </c>
      <c r="G21" s="36">
        <f>借款还本付息及还款计划表!F11</f>
        <v>5037.342648</v>
      </c>
      <c r="H21" s="36">
        <f>借款还本付息及还款计划表!G11</f>
        <v>4789.348416</v>
      </c>
      <c r="I21" s="36">
        <f>借款还本付息及还款计划表!H11</f>
        <v>4541.354184</v>
      </c>
      <c r="J21" s="36">
        <f>借款还本付息及还款计划表!I11</f>
        <v>4293.359952</v>
      </c>
      <c r="K21" s="36">
        <f>借款还本付息及还款计划表!J11</f>
        <v>4045.36572</v>
      </c>
      <c r="L21" s="36">
        <f>借款还本付息及还款计划表!K11</f>
        <v>3797.371488</v>
      </c>
      <c r="M21" s="36">
        <f>借款还本付息及还款计划表!L11</f>
        <v>3542.85722136508</v>
      </c>
      <c r="N21" s="36">
        <f>借款还本付息及还款计划表!M11</f>
        <v>3271.8664006693</v>
      </c>
      <c r="O21" s="36">
        <f>借款还本付息及还款计划表!N11</f>
        <v>2974.94155435512</v>
      </c>
      <c r="P21" s="36">
        <f>借款还本付息及还款计划表!O11</f>
        <v>2642.66489409418</v>
      </c>
      <c r="Q21" s="36">
        <f>借款还本付息及还款计划表!P11</f>
        <v>2265.25575021855</v>
      </c>
      <c r="R21" s="36">
        <f>借款还本付息及还款计划表!Q11</f>
        <v>1832.20098688833</v>
      </c>
      <c r="S21" s="36">
        <f>借款还本付息及还款计划表!R11</f>
        <v>1331.8988281659</v>
      </c>
      <c r="T21" s="36">
        <f>借款还本付息及还款计划表!S11</f>
        <v>751.299440903428</v>
      </c>
      <c r="U21" s="36">
        <f>借款还本付息及还款计划表!T11</f>
        <v>75.5274818490587</v>
      </c>
      <c r="V21" s="36">
        <f>借款还本付息及还款计划表!U11</f>
        <v>0</v>
      </c>
      <c r="W21" s="36">
        <f>借款还本付息及还款计划表!V11</f>
        <v>0</v>
      </c>
      <c r="X21" s="36">
        <f>借款还本付息及还款计划表!W11</f>
        <v>0</v>
      </c>
      <c r="Y21" s="36">
        <f>借款还本付息及还款计划表!X11</f>
        <v>0</v>
      </c>
      <c r="Z21" s="36">
        <f>借款还本付息及还款计划表!Y11</f>
        <v>0</v>
      </c>
      <c r="AA21" s="36">
        <f>借款还本付息及还款计划表!Z11</f>
        <v>0</v>
      </c>
      <c r="AB21" s="36">
        <f>借款还本付息及还款计划表!AA11</f>
        <v>0</v>
      </c>
      <c r="AC21" s="36">
        <f>借款还本付息及还款计划表!AB11</f>
        <v>0</v>
      </c>
      <c r="AD21" s="36">
        <f>借款还本付息及还款计划表!AC11</f>
        <v>0</v>
      </c>
    </row>
    <row r="22" spans="1:30">
      <c r="A22" s="30" t="s">
        <v>182</v>
      </c>
      <c r="B22" s="30" t="s">
        <v>183</v>
      </c>
      <c r="C22" s="35">
        <f t="shared" si="13"/>
        <v>88088.948</v>
      </c>
      <c r="D22" s="36"/>
      <c r="E22" s="36"/>
      <c r="F22" s="36">
        <f>借款还本付息及还款计划表!E10</f>
        <v>4133.2372</v>
      </c>
      <c r="G22" s="36">
        <f>借款还本付息及还款计划表!F10</f>
        <v>4133.2372</v>
      </c>
      <c r="H22" s="36">
        <f>借款还本付息及还款计划表!G10</f>
        <v>4133.2372</v>
      </c>
      <c r="I22" s="36">
        <f>借款还本付息及还款计划表!H10</f>
        <v>4133.2372</v>
      </c>
      <c r="J22" s="36">
        <f>借款还本付息及还款计划表!I10</f>
        <v>4133.2372</v>
      </c>
      <c r="K22" s="36">
        <f>借款还本付息及还款计划表!J10</f>
        <v>4133.2372</v>
      </c>
      <c r="L22" s="36">
        <f>借款还本付息及还款计划表!K10</f>
        <v>4241.90444391528</v>
      </c>
      <c r="M22" s="36">
        <f>借款还本付息及还款计划表!L10</f>
        <v>4516.51367826296</v>
      </c>
      <c r="N22" s="36">
        <f>借款还本付息及还款计划表!M10</f>
        <v>4948.74743856981</v>
      </c>
      <c r="O22" s="36">
        <f>借款还本付息及还款计划表!N10</f>
        <v>5537.94433768234</v>
      </c>
      <c r="P22" s="36">
        <f>借款还本付息及还款计划表!O10</f>
        <v>6290.1523979271</v>
      </c>
      <c r="Q22" s="36">
        <f>借款还本付息及还款计划表!P10</f>
        <v>7217.57938883702</v>
      </c>
      <c r="R22" s="36">
        <f>借款还本付息及还款计划表!Q10</f>
        <v>8338.36931204043</v>
      </c>
      <c r="S22" s="36">
        <f>借款还本付息及还款计划表!R10</f>
        <v>9676.65645437459</v>
      </c>
      <c r="T22" s="36">
        <f>借款还本付息及还款计划表!S10</f>
        <v>11262.8659842395</v>
      </c>
      <c r="U22" s="36">
        <f>借款还本付息及还款计划表!T10</f>
        <v>1258.79136415098</v>
      </c>
      <c r="V22" s="36">
        <f>借款还本付息及还款计划表!U10</f>
        <v>0</v>
      </c>
      <c r="W22" s="36">
        <f>借款还本付息及还款计划表!V10</f>
        <v>0</v>
      </c>
      <c r="X22" s="36">
        <f>借款还本付息及还款计划表!W10</f>
        <v>0</v>
      </c>
      <c r="Y22" s="36">
        <f>借款还本付息及还款计划表!X10</f>
        <v>0</v>
      </c>
      <c r="Z22" s="36">
        <f>借款还本付息及还款计划表!Y10</f>
        <v>0</v>
      </c>
      <c r="AA22" s="36">
        <f>借款还本付息及还款计划表!Z10</f>
        <v>0</v>
      </c>
      <c r="AB22" s="36">
        <f>借款还本付息及还款计划表!AA10</f>
        <v>0</v>
      </c>
      <c r="AC22" s="36">
        <f>借款还本付息及还款计划表!AB10</f>
        <v>0</v>
      </c>
      <c r="AD22" s="36">
        <f>借款还本付息及还款计划表!AC10</f>
        <v>0</v>
      </c>
    </row>
    <row r="23" spans="1:30">
      <c r="A23" s="32">
        <v>4</v>
      </c>
      <c r="B23" s="32" t="s">
        <v>184</v>
      </c>
      <c r="C23" s="37">
        <f t="shared" si="13"/>
        <v>51891.9615437012</v>
      </c>
      <c r="D23" s="34"/>
      <c r="E23" s="34"/>
      <c r="F23" s="34">
        <f>F4+F11+F16</f>
        <v>-1646.88595850201</v>
      </c>
      <c r="G23" s="34">
        <f>G4+G11+G16</f>
        <v>-1249.50212863534</v>
      </c>
      <c r="H23" s="34">
        <f t="shared" ref="H23:AD23" si="14">H4+H11+H16</f>
        <v>-1116.6387665268</v>
      </c>
      <c r="I23" s="34">
        <f t="shared" si="14"/>
        <v>-937.335696695534</v>
      </c>
      <c r="J23" s="34">
        <f t="shared" si="14"/>
        <v>-341.091079325061</v>
      </c>
      <c r="K23" s="34">
        <f t="shared" si="14"/>
        <v>-93.3644236188575</v>
      </c>
      <c r="L23" s="34">
        <f t="shared" si="14"/>
        <v>14.8182605339016</v>
      </c>
      <c r="M23" s="34">
        <f t="shared" si="14"/>
        <v>-56.4022696066932</v>
      </c>
      <c r="N23" s="34">
        <f t="shared" si="14"/>
        <v>-272.070536639802</v>
      </c>
      <c r="O23" s="34">
        <f t="shared" si="14"/>
        <v>-623.959265249494</v>
      </c>
      <c r="P23" s="34">
        <f t="shared" si="14"/>
        <v>-1110.58233796501</v>
      </c>
      <c r="Q23" s="34">
        <f t="shared" si="14"/>
        <v>-1736.32308126751</v>
      </c>
      <c r="R23" s="34">
        <f t="shared" si="14"/>
        <v>-2510.91508264969</v>
      </c>
      <c r="S23" s="34">
        <f t="shared" si="14"/>
        <v>-3449.21130462571</v>
      </c>
      <c r="T23" s="34">
        <f t="shared" si="14"/>
        <v>-4571.19714743284</v>
      </c>
      <c r="U23" s="34">
        <f t="shared" si="14"/>
        <v>5973.23410069192</v>
      </c>
      <c r="V23" s="34">
        <f t="shared" si="14"/>
        <v>7292.18129233075</v>
      </c>
      <c r="W23" s="34">
        <f t="shared" si="14"/>
        <v>7291.90981117954</v>
      </c>
      <c r="X23" s="34">
        <f t="shared" si="14"/>
        <v>7291.63290040529</v>
      </c>
      <c r="Y23" s="34">
        <f t="shared" si="14"/>
        <v>7291.35045141556</v>
      </c>
      <c r="Z23" s="34">
        <f t="shared" si="14"/>
        <v>7291.06235344604</v>
      </c>
      <c r="AA23" s="34">
        <f t="shared" si="14"/>
        <v>7290.76849351712</v>
      </c>
      <c r="AB23" s="34">
        <f t="shared" si="14"/>
        <v>7290.46875638964</v>
      </c>
      <c r="AC23" s="34">
        <f t="shared" si="14"/>
        <v>7290.1630245196</v>
      </c>
      <c r="AD23" s="34">
        <f t="shared" si="14"/>
        <v>7289.85117801215</v>
      </c>
    </row>
    <row r="24" spans="1:30">
      <c r="A24" s="32">
        <v>5</v>
      </c>
      <c r="B24" s="32" t="s">
        <v>185</v>
      </c>
      <c r="C24" s="37">
        <f>AD24</f>
        <v>51891.9615437012</v>
      </c>
      <c r="D24" s="34"/>
      <c r="E24" s="34"/>
      <c r="F24" s="34">
        <f>E24+F23</f>
        <v>-1646.88595850201</v>
      </c>
      <c r="G24" s="34">
        <f t="shared" ref="G24:M24" si="15">F24+G23</f>
        <v>-2896.38808713734</v>
      </c>
      <c r="H24" s="34">
        <f t="shared" ref="H24" si="16">G24+H23</f>
        <v>-4013.02685366414</v>
      </c>
      <c r="I24" s="34">
        <f t="shared" ref="I24" si="17">H24+I23</f>
        <v>-4950.36255035968</v>
      </c>
      <c r="J24" s="34">
        <f t="shared" ref="J24" si="18">I24+J23</f>
        <v>-5291.45362968474</v>
      </c>
      <c r="K24" s="34">
        <f t="shared" ref="K24" si="19">J24+K23</f>
        <v>-5384.8180533036</v>
      </c>
      <c r="L24" s="34">
        <f t="shared" ref="L24" si="20">K24+L23</f>
        <v>-5369.9997927697</v>
      </c>
      <c r="M24" s="34">
        <f t="shared" ref="M24" si="21">L24+M23</f>
        <v>-5426.40206237639</v>
      </c>
      <c r="N24" s="34">
        <f t="shared" ref="N24" si="22">M24+N23</f>
        <v>-5698.47259901619</v>
      </c>
      <c r="O24" s="34">
        <f t="shared" ref="O24" si="23">N24+O23</f>
        <v>-6322.43186426568</v>
      </c>
      <c r="P24" s="34">
        <f t="shared" ref="P24" si="24">O24+P23</f>
        <v>-7433.01420223069</v>
      </c>
      <c r="Q24" s="34">
        <f t="shared" ref="Q24" si="25">P24+Q23</f>
        <v>-9169.3372834982</v>
      </c>
      <c r="R24" s="34">
        <f t="shared" ref="R24" si="26">Q24+R23</f>
        <v>-11680.2523661479</v>
      </c>
      <c r="S24" s="34">
        <f t="shared" ref="S24" si="27">R24+S23</f>
        <v>-15129.4636707736</v>
      </c>
      <c r="T24" s="34">
        <f t="shared" ref="T24" si="28">S24+T23</f>
        <v>-19700.6608182064</v>
      </c>
      <c r="U24" s="34">
        <f t="shared" ref="U24" si="29">T24+U23</f>
        <v>-13727.4267175145</v>
      </c>
      <c r="V24" s="34">
        <f t="shared" ref="V24" si="30">U24+V23</f>
        <v>-6435.24542518376</v>
      </c>
      <c r="W24" s="34">
        <f t="shared" ref="W24" si="31">V24+W23</f>
        <v>856.664385995773</v>
      </c>
      <c r="X24" s="34">
        <f t="shared" ref="X24" si="32">W24+X23</f>
        <v>8148.29728640106</v>
      </c>
      <c r="Y24" s="34">
        <f t="shared" ref="Y24" si="33">X24+Y23</f>
        <v>15439.6477378166</v>
      </c>
      <c r="Z24" s="34">
        <f t="shared" ref="Z24" si="34">Y24+Z23</f>
        <v>22730.7100912627</v>
      </c>
      <c r="AA24" s="34">
        <f t="shared" ref="AA24" si="35">Z24+AA23</f>
        <v>30021.4785847798</v>
      </c>
      <c r="AB24" s="34">
        <f t="shared" ref="AB24" si="36">AA24+AB23</f>
        <v>37311.9473411694</v>
      </c>
      <c r="AC24" s="34">
        <f t="shared" ref="AC24" si="37">AB24+AC23</f>
        <v>44602.110365689</v>
      </c>
      <c r="AD24" s="34">
        <f t="shared" ref="AD24" si="38">AC24+AD23</f>
        <v>51891.9615437012</v>
      </c>
    </row>
  </sheetData>
  <mergeCells count="6">
    <mergeCell ref="A1:AD1"/>
    <mergeCell ref="D2:E2"/>
    <mergeCell ref="F2:AD2"/>
    <mergeCell ref="A2:A3"/>
    <mergeCell ref="B2:B3"/>
    <mergeCell ref="C2:C3"/>
  </mergeCells>
  <pageMargins left="0.7" right="0.7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workbookViewId="0">
      <selection activeCell="I22" sqref="I22"/>
    </sheetView>
  </sheetViews>
  <sheetFormatPr defaultColWidth="9" defaultRowHeight="14.4"/>
  <cols>
    <col min="2" max="2" width="13.8888888888889" customWidth="1"/>
    <col min="5" max="23" width="10.4444444444444" customWidth="1"/>
  </cols>
  <sheetData>
    <row r="1" spans="1:23">
      <c r="A1" s="19" t="s">
        <v>186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>
      <c r="A3" s="20" t="s">
        <v>1</v>
      </c>
      <c r="B3" s="20" t="s">
        <v>187</v>
      </c>
      <c r="C3" s="20" t="s">
        <v>124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>
      <c r="A4" s="20"/>
      <c r="B4" s="20"/>
      <c r="C4" s="20" t="s">
        <v>47</v>
      </c>
      <c r="D4" s="20"/>
      <c r="E4" s="20" t="s">
        <v>65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>
      <c r="A5" s="20"/>
      <c r="B5" s="20"/>
      <c r="C5" s="20">
        <v>1</v>
      </c>
      <c r="D5" s="20">
        <v>2</v>
      </c>
      <c r="E5" s="20">
        <v>3</v>
      </c>
      <c r="F5" s="20">
        <v>4</v>
      </c>
      <c r="G5" s="20">
        <v>5</v>
      </c>
      <c r="H5" s="20">
        <v>6</v>
      </c>
      <c r="I5" s="20">
        <v>7</v>
      </c>
      <c r="J5" s="20">
        <v>8</v>
      </c>
      <c r="K5" s="20">
        <v>9</v>
      </c>
      <c r="L5" s="20">
        <v>10</v>
      </c>
      <c r="M5" s="20">
        <v>11</v>
      </c>
      <c r="N5" s="20">
        <v>12</v>
      </c>
      <c r="O5" s="20">
        <v>13</v>
      </c>
      <c r="P5" s="20">
        <v>14</v>
      </c>
      <c r="Q5" s="20">
        <v>15</v>
      </c>
      <c r="R5" s="20">
        <v>16</v>
      </c>
      <c r="S5" s="20">
        <v>17</v>
      </c>
      <c r="T5" s="20">
        <v>18</v>
      </c>
      <c r="U5" s="20">
        <v>19</v>
      </c>
      <c r="V5" s="20">
        <v>20</v>
      </c>
      <c r="W5" s="20">
        <v>21</v>
      </c>
    </row>
    <row r="6" s="1" customFormat="1" spans="1:23">
      <c r="A6" s="21">
        <v>1</v>
      </c>
      <c r="B6" s="22" t="s">
        <v>188</v>
      </c>
      <c r="C6" s="23"/>
      <c r="D6" s="23"/>
      <c r="E6" s="24">
        <f>利润及利润分配表!D18/借款还本付息及还款计划表!E11</f>
        <v>0.726710636044375</v>
      </c>
      <c r="F6" s="24">
        <f>利润及利润分配表!E18/借款还本付息及还款计划表!F11</f>
        <v>0.751952127153503</v>
      </c>
      <c r="G6" s="24">
        <f>利润及利润分配表!F18/借款还本付息及还款计划表!G11</f>
        <v>0.766849544126631</v>
      </c>
      <c r="H6" s="24">
        <f>利润及利润分配表!G18/借款还本付息及还款计划表!H11</f>
        <v>0.793599957475694</v>
      </c>
      <c r="I6" s="24">
        <f>利润及利润分配表!H18/借款还本付息及还款计划表!I11</f>
        <v>0.920553812599345</v>
      </c>
      <c r="J6" s="24">
        <f>利润及利润分配表!I18/借款还本付息及还款计划表!J11</f>
        <v>0.976920646962209</v>
      </c>
      <c r="K6" s="24">
        <f>利润及利润分配表!J18/借款还本付息及还款计划表!K11</f>
        <v>1.04064834874577</v>
      </c>
      <c r="L6" s="24">
        <f>利润及利润分配表!K18/借款还本付息及还款计划表!L11</f>
        <v>1.11532859928882</v>
      </c>
      <c r="M6" s="24">
        <f>利润及利润分配表!L18/借款还本付息及还款计划表!M11</f>
        <v>1.20761838786375</v>
      </c>
      <c r="N6" s="24">
        <f>利润及利润分配表!M18/借款还本付息及还款计划表!N11</f>
        <v>1.32805176932379</v>
      </c>
      <c r="O6" s="24">
        <f>利润及利润分配表!N18/借款还本付息及还款计划表!O11</f>
        <v>1.49492316558015</v>
      </c>
      <c r="P6" s="24">
        <f>利润及利润分配表!O18/借款还本付息及还款计划表!P11</f>
        <v>1.74385591309031</v>
      </c>
      <c r="Q6" s="24">
        <f>利润及利润分配表!P18/借款还本付息及还款计划表!Q11</f>
        <v>2.15586188518274</v>
      </c>
      <c r="R6" s="24">
        <f>利润及利润分配表!Q18/借款还本付息及还款计划表!R11</f>
        <v>2.96543452237352</v>
      </c>
      <c r="S6" s="24">
        <f>利润及利润分配表!R18/借款还本付息及还款计划表!S11</f>
        <v>5.25667765992573</v>
      </c>
      <c r="T6" s="24">
        <f>利润及利润分配表!S18/借款还本付息及还款计划表!T11</f>
        <v>52.2857735518677</v>
      </c>
      <c r="U6" s="24" t="e">
        <f>利润及利润分配表!T18/借款还本付息及还款计划表!U11</f>
        <v>#DIV/0!</v>
      </c>
      <c r="V6" s="24" t="e">
        <f>利润及利润分配表!U18/借款还本付息及还款计划表!V11</f>
        <v>#DIV/0!</v>
      </c>
      <c r="W6" s="24" t="e">
        <f>利润及利润分配表!V18/借款还本付息及还款计划表!W11</f>
        <v>#DIV/0!</v>
      </c>
    </row>
    <row r="7" spans="1:23">
      <c r="A7" s="20">
        <v>2</v>
      </c>
      <c r="B7" s="25" t="s">
        <v>189</v>
      </c>
      <c r="C7" s="23"/>
      <c r="D7" s="23"/>
      <c r="E7" s="24">
        <f>(利润及利润分配表!D19-利润及利润分配表!D11)/借款还本付息及还款计划表!E9</f>
        <v>0.846526163971336</v>
      </c>
      <c r="F7" s="24">
        <f>(利润及利润分配表!E19-利润及利润分配表!E11)/借款还本付息及还款计划表!F9</f>
        <v>0.863748841475074</v>
      </c>
      <c r="G7" s="24">
        <f>(利润及利润分配表!F19-利润及利润分配表!F11)/借款还本付息及还款计划表!G9</f>
        <v>0.874852557926209</v>
      </c>
      <c r="H7" s="24">
        <f>(利润及利润分配表!G19-利润及利润分配表!G11)/借款还本付息及还款计划表!H9</f>
        <v>0.891944685899048</v>
      </c>
      <c r="I7" s="24">
        <f>(利润及利润分配表!H19-利润及利润分配表!H11)/借款还本付息及还款计划表!I9</f>
        <v>0.959522085466717</v>
      </c>
      <c r="J7" s="24">
        <f>(利润及利润分配表!I19-利润及利润分配表!I11)/借款还本付息及还款计划表!J9</f>
        <v>0.988584306570192</v>
      </c>
      <c r="K7" s="24">
        <f>(利润及利润分配表!J19-利润及利润分配表!J11)/借款还本付息及还款计划表!K9</f>
        <v>1.00184323322889</v>
      </c>
      <c r="L7" s="24">
        <f>(利润及利润分配表!K19-利润及利润分配表!K11)/借款还本付息及还款计划表!L9</f>
        <v>0.993001653564636</v>
      </c>
      <c r="M7" s="24">
        <f>(利润及利润分配表!L19-利润及利润分配表!L11)/借款还本付息及还款计划表!M9</f>
        <v>0.966903866066408</v>
      </c>
      <c r="N7" s="24">
        <f>(利润及利润分配表!M19-利润及利润分配表!M11)/借款还本付息及还款计划表!N9</f>
        <v>0.926704143205641</v>
      </c>
      <c r="O7" s="24">
        <f>(利润及利润分配表!N19-利润及利润分配表!N11)/借款还本付息及还款计划表!O9</f>
        <v>0.875673899772139</v>
      </c>
      <c r="P7" s="24">
        <f>(利润及利润分配表!O19-利润及利润分配表!O11)/借款还本付息及还款计划表!P9</f>
        <v>0.816898316188545</v>
      </c>
      <c r="Q7" s="24">
        <f>(利润及利润分配表!P19-利润及利润分配表!P11)/借款还本付息及还款计划表!Q9</f>
        <v>0.753119539135956</v>
      </c>
      <c r="R7" s="24">
        <f>(利润及利润分配表!Q19-利润及利润分配表!Q11)/借款还本付息及还款计划表!R9</f>
        <v>0.686679022260429</v>
      </c>
      <c r="S7" s="24">
        <f>(利润及利润分配表!R19-利润及利润分配表!R11)/借款还本付息及还款计划表!S9</f>
        <v>0.619516047459579</v>
      </c>
      <c r="T7" s="24">
        <f>(利润及利润分配表!S19-利润及利润分配表!S11)/借款还本付息及还款计划表!T9</f>
        <v>5.47661675363293</v>
      </c>
      <c r="U7" s="24" t="e">
        <f>(利润及利润分配表!T19-利润及利润分配表!T11)/借款还本付息及还款计划表!U9</f>
        <v>#DIV/0!</v>
      </c>
      <c r="V7" s="24" t="e">
        <f>(利润及利润分配表!U19-利润及利润分配表!U11)/借款还本付息及还款计划表!V9</f>
        <v>#DIV/0!</v>
      </c>
      <c r="W7" s="24" t="e">
        <f>(利润及利润分配表!V19-利润及利润分配表!V11)/借款还本付息及还款计划表!W9</f>
        <v>#DIV/0!</v>
      </c>
    </row>
    <row r="11" spans="3:23">
      <c r="C11" t="s">
        <v>118</v>
      </c>
      <c r="E11" s="26">
        <f>利润及利润分配表!D18</f>
        <v>3847.45092149799</v>
      </c>
      <c r="F11" s="26">
        <f>利润及利润分配表!E18</f>
        <v>3787.84051936466</v>
      </c>
      <c r="G11" s="26">
        <f>利润及利润分配表!F18</f>
        <v>3672.7096494732</v>
      </c>
      <c r="H11" s="26">
        <f>利润及利润分配表!G18</f>
        <v>3604.01848730447</v>
      </c>
      <c r="I11" s="26">
        <f>利润及利润分配表!H18</f>
        <v>3952.26887267494</v>
      </c>
      <c r="J11" s="26">
        <f>利润及利润分配表!I18</f>
        <v>3952.00129638114</v>
      </c>
      <c r="K11" s="26">
        <f>利润及利润分配表!J18</f>
        <v>3951.72836856147</v>
      </c>
      <c r="L11" s="26">
        <f>利润及利润分配表!K18</f>
        <v>3951.44998218541</v>
      </c>
      <c r="M11" s="26">
        <f>利润及利润分配表!L18</f>
        <v>3951.16602808182</v>
      </c>
      <c r="N11" s="26">
        <f>利润及利润分配表!M18</f>
        <v>3950.87639489617</v>
      </c>
      <c r="O11" s="26">
        <f>利润及利润分配表!N18</f>
        <v>3950.58096904679</v>
      </c>
      <c r="P11" s="26">
        <f>利润及利润分配表!O18</f>
        <v>3950.27963468044</v>
      </c>
      <c r="Q11" s="26">
        <f>利润及利润分配表!P18</f>
        <v>3949.97227362675</v>
      </c>
      <c r="R11" s="26">
        <f>利润及利润分配表!Q18</f>
        <v>3949.658765352</v>
      </c>
      <c r="S11" s="26">
        <f>利润及利润分配表!R18</f>
        <v>3949.33898691174</v>
      </c>
      <c r="T11" s="26">
        <f>利润及利润分配表!S18</f>
        <v>3949.01281290268</v>
      </c>
      <c r="U11" s="26">
        <f>利润及利润分配表!T18</f>
        <v>3948.68011541344</v>
      </c>
      <c r="V11" s="26">
        <f>利润及利润分配表!U18</f>
        <v>3948.34076397442</v>
      </c>
      <c r="W11" s="26">
        <f>利润及利润分配表!V18</f>
        <v>3947.99462550661</v>
      </c>
    </row>
    <row r="12" spans="3:23">
      <c r="C12" t="s">
        <v>130</v>
      </c>
      <c r="E12" s="1">
        <f>借款还本付息及还款计划表!E11</f>
        <v>5294.33688</v>
      </c>
      <c r="F12" s="1">
        <f>借款还本付息及还款计划表!F11</f>
        <v>5037.342648</v>
      </c>
      <c r="G12" s="1">
        <f>借款还本付息及还款计划表!G11</f>
        <v>4789.348416</v>
      </c>
      <c r="H12" s="1">
        <f>借款还本付息及还款计划表!H11</f>
        <v>4541.354184</v>
      </c>
      <c r="I12" s="1">
        <f>借款还本付息及还款计划表!I11</f>
        <v>4293.359952</v>
      </c>
      <c r="J12" s="1">
        <f>借款还本付息及还款计划表!J11</f>
        <v>4045.36572</v>
      </c>
      <c r="K12" s="1">
        <f>借款还本付息及还款计划表!K11</f>
        <v>3797.371488</v>
      </c>
      <c r="L12" s="1">
        <f>借款还本付息及还款计划表!L11</f>
        <v>3542.85722136508</v>
      </c>
      <c r="M12" s="1">
        <f>借款还本付息及还款计划表!M11</f>
        <v>3271.8664006693</v>
      </c>
      <c r="N12" s="1">
        <f>借款还本付息及还款计划表!N11</f>
        <v>2974.94155435512</v>
      </c>
      <c r="O12" s="1">
        <f>借款还本付息及还款计划表!O11</f>
        <v>2642.66489409418</v>
      </c>
      <c r="P12" s="1">
        <f>借款还本付息及还款计划表!P11</f>
        <v>2265.25575021855</v>
      </c>
      <c r="Q12" s="1">
        <f>借款还本付息及还款计划表!Q11</f>
        <v>1832.20098688833</v>
      </c>
      <c r="R12" s="1">
        <f>借款还本付息及还款计划表!R11</f>
        <v>1331.8988281659</v>
      </c>
      <c r="S12" s="1">
        <f>借款还本付息及还款计划表!S11</f>
        <v>751.299440903428</v>
      </c>
      <c r="T12" s="1">
        <f>借款还本付息及还款计划表!T11</f>
        <v>75.5274818490587</v>
      </c>
      <c r="U12" s="1">
        <f>借款还本付息及还款计划表!U11</f>
        <v>0</v>
      </c>
      <c r="V12" s="1">
        <f>借款还本付息及还款计划表!V11</f>
        <v>0</v>
      </c>
      <c r="W12" s="1">
        <f>借款还本付息及还款计划表!W11</f>
        <v>0</v>
      </c>
    </row>
    <row r="13" spans="3:23">
      <c r="C13" t="s">
        <v>119</v>
      </c>
      <c r="E13" s="1">
        <f>利润及利润分配表!D19</f>
        <v>7980.68812149799</v>
      </c>
      <c r="F13" s="1">
        <f>利润及利润分配表!E19</f>
        <v>7921.07771936466</v>
      </c>
      <c r="G13" s="1">
        <f>利润及利润分配表!F19</f>
        <v>7805.9468494732</v>
      </c>
      <c r="H13" s="1">
        <f>利润及利润分配表!G19</f>
        <v>7737.25568730447</v>
      </c>
      <c r="I13" s="1">
        <f>利润及利润分配表!H19</f>
        <v>8085.50607267494</v>
      </c>
      <c r="J13" s="1">
        <f>利润及利润分配表!I19</f>
        <v>8085.23849638114</v>
      </c>
      <c r="K13" s="1">
        <f>利润及利润分配表!J19</f>
        <v>8084.96556856147</v>
      </c>
      <c r="L13" s="1">
        <f>利润及利润分配表!K19</f>
        <v>8084.68718218541</v>
      </c>
      <c r="M13" s="1">
        <f>利润及利润分配表!L19</f>
        <v>8084.40322808182</v>
      </c>
      <c r="N13" s="1">
        <f>利润及利润分配表!M19</f>
        <v>8084.11359489617</v>
      </c>
      <c r="O13" s="1">
        <f>利润及利润分配表!N19</f>
        <v>8083.81816904679</v>
      </c>
      <c r="P13" s="1">
        <f>利润及利润分配表!O19</f>
        <v>8083.51683468044</v>
      </c>
      <c r="Q13" s="1">
        <f>利润及利润分配表!P19</f>
        <v>8083.20947362675</v>
      </c>
      <c r="R13" s="1">
        <f>利润及利润分配表!Q19</f>
        <v>8082.895965352</v>
      </c>
      <c r="S13" s="1">
        <f>利润及利润分配表!R19</f>
        <v>8082.57618691174</v>
      </c>
      <c r="T13" s="1">
        <f>利润及利润分配表!S19</f>
        <v>8082.25001290268</v>
      </c>
      <c r="U13" s="1">
        <f>利润及利润分配表!T19</f>
        <v>8081.91731541344</v>
      </c>
      <c r="V13" s="1">
        <f>利润及利润分配表!U19</f>
        <v>8081.57796397442</v>
      </c>
      <c r="W13" s="1">
        <f>利润及利润分配表!V19</f>
        <v>8081.23182550661</v>
      </c>
    </row>
    <row r="14" spans="3:23">
      <c r="C14" t="s">
        <v>164</v>
      </c>
      <c r="E14">
        <f>利润及利润分配表!D11</f>
        <v>0</v>
      </c>
      <c r="F14">
        <f>利润及利润分配表!E11</f>
        <v>0</v>
      </c>
      <c r="G14">
        <f>利润及利润分配表!F11</f>
        <v>0</v>
      </c>
      <c r="H14">
        <f>利润及利润分配表!G11</f>
        <v>0</v>
      </c>
      <c r="I14">
        <f>利润及利润分配表!H11</f>
        <v>0</v>
      </c>
      <c r="J14">
        <f>利润及利润分配表!I11</f>
        <v>0</v>
      </c>
      <c r="K14" s="1">
        <f>利润及利润分配表!J11</f>
        <v>30.8713761122948</v>
      </c>
      <c r="L14" s="1">
        <f>利润及利润分配表!K11</f>
        <v>81.718552164066</v>
      </c>
      <c r="M14" s="1">
        <f>利润及利润分配表!L11</f>
        <v>135.859925482503</v>
      </c>
      <c r="N14" s="1">
        <f>利润及利润分配表!M11</f>
        <v>195.18696810821</v>
      </c>
      <c r="O14" s="1">
        <f>利润及利润分配表!N11</f>
        <v>261.583214990523</v>
      </c>
      <c r="P14" s="1">
        <f>利润及利润分配表!O11</f>
        <v>337.004776892379</v>
      </c>
      <c r="Q14" s="1">
        <f>利润及利润分配表!P11</f>
        <v>423.554257347685</v>
      </c>
      <c r="R14" s="1">
        <f>利润及利润分配表!Q11</f>
        <v>523.551987437219</v>
      </c>
      <c r="S14" s="1">
        <f>利润及利润分配表!R11</f>
        <v>639.607909201662</v>
      </c>
      <c r="T14" s="1">
        <f>利润及利润分配表!S11</f>
        <v>774.697066210725</v>
      </c>
      <c r="U14" s="1">
        <f>利润及利润分配表!T11</f>
        <v>789.736023082688</v>
      </c>
      <c r="V14" s="1">
        <f>利润及利润分配表!U11</f>
        <v>789.668152794884</v>
      </c>
      <c r="W14" s="1">
        <f>利润及利润分配表!V11</f>
        <v>789.598925101322</v>
      </c>
    </row>
    <row r="15" spans="3:23">
      <c r="C15" t="s">
        <v>128</v>
      </c>
      <c r="E15" s="1">
        <f>借款还本付息及还款计划表!E9</f>
        <v>9427.57408</v>
      </c>
      <c r="F15" s="1">
        <f>借款还本付息及还款计划表!F9</f>
        <v>9170.579848</v>
      </c>
      <c r="G15" s="1">
        <f>借款还本付息及还款计划表!G9</f>
        <v>8922.585616</v>
      </c>
      <c r="H15" s="1">
        <f>借款还本付息及还款计划表!H9</f>
        <v>8674.591384</v>
      </c>
      <c r="I15" s="1">
        <f>借款还本付息及还款计划表!I9</f>
        <v>8426.597152</v>
      </c>
      <c r="J15" s="1">
        <f>借款还本付息及还款计划表!J9</f>
        <v>8178.60292</v>
      </c>
      <c r="K15" s="1">
        <f>借款还本付息及还款计划表!K9</f>
        <v>8039.27593191528</v>
      </c>
      <c r="L15" s="1">
        <f>借款还本付息及还款计划表!L9</f>
        <v>8059.37089962804</v>
      </c>
      <c r="M15" s="1">
        <f>借款还本付息及还款计划表!M9</f>
        <v>8220.61383923912</v>
      </c>
      <c r="N15" s="1">
        <f>借款还本付息及还款计划表!N9</f>
        <v>8512.88589203745</v>
      </c>
      <c r="O15" s="1">
        <f>借款还本付息及还款计划表!O9</f>
        <v>8932.81729202127</v>
      </c>
      <c r="P15" s="1">
        <f>借款还本付息及还款计划表!P9</f>
        <v>9482.83513905557</v>
      </c>
      <c r="Q15" s="1">
        <f>借款还本付息及还款计划表!Q9</f>
        <v>10170.5702989288</v>
      </c>
      <c r="R15" s="1">
        <f>借款还本付息及还款计划表!R9</f>
        <v>11008.5552825405</v>
      </c>
      <c r="S15" s="1">
        <f>借款还本付息及还款计划表!S9</f>
        <v>12014.1654251429</v>
      </c>
      <c r="T15" s="1">
        <f>借款还本付息及还款计划表!T9</f>
        <v>1334.31884600004</v>
      </c>
      <c r="U15" s="1">
        <f>借款还本付息及还款计划表!U9</f>
        <v>0</v>
      </c>
      <c r="V15" s="1">
        <f>借款还本付息及还款计划表!V9</f>
        <v>0</v>
      </c>
      <c r="W15" s="1">
        <f>借款还本付息及还款计划表!W9</f>
        <v>0</v>
      </c>
    </row>
  </sheetData>
  <mergeCells count="6">
    <mergeCell ref="C3:W3"/>
    <mergeCell ref="C4:D4"/>
    <mergeCell ref="E4:W4"/>
    <mergeCell ref="A3:A5"/>
    <mergeCell ref="B3:B5"/>
    <mergeCell ref="A1:W2"/>
  </mergeCells>
  <pageMargins left="0.7" right="0.7" top="0.75" bottom="0.75" header="0.3" footer="0.3"/>
  <pageSetup paperSize="9" orientation="portrait" horizontalDpi="1200" verticalDpi="12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D2" sqref="D2"/>
    </sheetView>
  </sheetViews>
  <sheetFormatPr defaultColWidth="9" defaultRowHeight="14.4"/>
  <cols>
    <col min="1" max="1" width="10.7777777777778" customWidth="1"/>
    <col min="3" max="3" width="12.1111111111111" customWidth="1"/>
    <col min="4" max="4" width="12.8888888888889" style="1" customWidth="1"/>
    <col min="5" max="5" width="10.3333333333333" style="1" customWidth="1"/>
    <col min="6" max="6" width="11.4444444444444" style="1" customWidth="1"/>
    <col min="8" max="8" width="11.6666666666667" customWidth="1"/>
  </cols>
  <sheetData>
    <row r="1" ht="43.95" spans="1:6">
      <c r="A1" s="2" t="s">
        <v>190</v>
      </c>
      <c r="B1" s="3" t="s">
        <v>191</v>
      </c>
      <c r="C1" s="3" t="s">
        <v>192</v>
      </c>
      <c r="D1" s="4" t="s">
        <v>193</v>
      </c>
      <c r="E1" s="4" t="s">
        <v>194</v>
      </c>
      <c r="F1" s="4" t="s">
        <v>195</v>
      </c>
    </row>
    <row r="2" ht="15.15" spans="1:6">
      <c r="A2" s="5" t="s">
        <v>196</v>
      </c>
      <c r="B2" s="6">
        <v>0</v>
      </c>
      <c r="C2" s="7">
        <f>项目投资现金流量表!F26</f>
        <v>0.0600642214724343</v>
      </c>
      <c r="D2" s="8">
        <f>项目投资现金流量表!F27</f>
        <v>59.4109221010694</v>
      </c>
      <c r="E2" s="8">
        <f>项目投资现金流量表!F29</f>
        <v>23.3765010259707</v>
      </c>
      <c r="F2" s="8"/>
    </row>
    <row r="3" ht="15.15" spans="1:14">
      <c r="A3" s="9" t="s">
        <v>10</v>
      </c>
      <c r="B3" s="10">
        <v>-0.2</v>
      </c>
      <c r="C3" s="7">
        <v>0.441404431761925</v>
      </c>
      <c r="D3" s="8">
        <v>5034.43055589517</v>
      </c>
      <c r="E3" s="8">
        <v>4.55753980090963</v>
      </c>
      <c r="F3" s="8">
        <f>((D3-$D$2)/$D$2)/(B3-$B$2)</f>
        <v>-418.695709294886</v>
      </c>
      <c r="H3" s="11"/>
      <c r="I3" s="11"/>
      <c r="J3" s="11"/>
      <c r="K3" s="11"/>
      <c r="L3" s="11"/>
      <c r="M3" s="11"/>
      <c r="N3" s="11"/>
    </row>
    <row r="4" ht="15.15" spans="1:14">
      <c r="A4" s="12"/>
      <c r="B4" s="10">
        <v>-0.1</v>
      </c>
      <c r="C4" s="7">
        <v>0.397911149336576</v>
      </c>
      <c r="D4" s="8">
        <v>4640.98181134885</v>
      </c>
      <c r="E4" s="8">
        <v>4.90891850913144</v>
      </c>
      <c r="F4" s="8">
        <f t="shared" ref="F4:F14" si="0">((D4-$D$2)/$D$2)/(B4-$B$2)</f>
        <v>-771.166433244992</v>
      </c>
      <c r="H4" s="11"/>
      <c r="I4" s="17"/>
      <c r="J4" s="18"/>
      <c r="K4" s="18"/>
      <c r="L4" s="18"/>
      <c r="M4" s="18"/>
      <c r="N4" s="18"/>
    </row>
    <row r="5" ht="15.15" spans="1:14">
      <c r="A5" s="12"/>
      <c r="B5" s="10">
        <v>0.1</v>
      </c>
      <c r="C5" s="7">
        <v>0.329397790273651</v>
      </c>
      <c r="D5" s="8">
        <v>3854.08432225622</v>
      </c>
      <c r="E5" s="8">
        <v>5.61167592557506</v>
      </c>
      <c r="F5" s="8">
        <f t="shared" si="0"/>
        <v>638.716462555434</v>
      </c>
      <c r="H5" s="11"/>
      <c r="I5" s="17"/>
      <c r="J5" s="18"/>
      <c r="K5" s="18"/>
      <c r="L5" s="18"/>
      <c r="M5" s="18"/>
      <c r="N5" s="18"/>
    </row>
    <row r="6" ht="15.15" spans="1:14">
      <c r="A6" s="5"/>
      <c r="B6" s="10">
        <v>0.2</v>
      </c>
      <c r="C6" s="7">
        <v>0.301693418840944</v>
      </c>
      <c r="D6" s="8">
        <v>3460.63557770991</v>
      </c>
      <c r="E6" s="8">
        <v>5.96305463379687</v>
      </c>
      <c r="F6" s="8">
        <f t="shared" si="0"/>
        <v>286.245738605328</v>
      </c>
      <c r="H6" s="11"/>
      <c r="I6" s="17"/>
      <c r="J6" s="18"/>
      <c r="K6" s="18"/>
      <c r="L6" s="18"/>
      <c r="M6" s="18"/>
      <c r="N6" s="18"/>
    </row>
    <row r="7" ht="15.15" spans="1:14">
      <c r="A7" s="9" t="s">
        <v>136</v>
      </c>
      <c r="B7" s="10">
        <v>-0.2</v>
      </c>
      <c r="C7" s="7">
        <v>0.238819002135434</v>
      </c>
      <c r="D7" s="8">
        <v>1638.28787105874</v>
      </c>
      <c r="E7" s="8">
        <v>7.02543563851671</v>
      </c>
      <c r="F7" s="8">
        <f t="shared" si="0"/>
        <v>-132.877667364908</v>
      </c>
      <c r="H7" s="11"/>
      <c r="I7" s="11"/>
      <c r="J7" s="11"/>
      <c r="K7" s="11"/>
      <c r="L7" s="11"/>
      <c r="M7" s="11"/>
      <c r="N7" s="11"/>
    </row>
    <row r="8" ht="15.15" spans="1:6">
      <c r="A8" s="12"/>
      <c r="B8" s="10">
        <v>-0.1</v>
      </c>
      <c r="C8" s="7">
        <v>0.302276557892126</v>
      </c>
      <c r="D8" s="8">
        <v>2942.91046893064</v>
      </c>
      <c r="E8" s="8">
        <v>5.98166657212097</v>
      </c>
      <c r="F8" s="8">
        <f t="shared" si="0"/>
        <v>-485.348391315015</v>
      </c>
    </row>
    <row r="9" ht="15.15" spans="1:6">
      <c r="A9" s="12"/>
      <c r="B9" s="10">
        <v>0.1</v>
      </c>
      <c r="C9" s="7">
        <v>0.416319155128847</v>
      </c>
      <c r="D9" s="8">
        <v>5552.15566467444</v>
      </c>
      <c r="E9" s="8">
        <v>4.73193638560031</v>
      </c>
      <c r="F9" s="8">
        <f t="shared" si="0"/>
        <v>924.534504485413</v>
      </c>
    </row>
    <row r="10" ht="15.15" spans="1:6">
      <c r="A10" s="5"/>
      <c r="B10" s="10">
        <v>0.2</v>
      </c>
      <c r="C10" s="7">
        <v>0.468616783338284</v>
      </c>
      <c r="D10" s="8">
        <v>6856.77826254633</v>
      </c>
      <c r="E10" s="8">
        <v>4.32826247579496</v>
      </c>
      <c r="F10" s="8">
        <f t="shared" si="0"/>
        <v>572.063780535305</v>
      </c>
    </row>
    <row r="11" ht="15.15" spans="1:6">
      <c r="A11" s="9" t="s">
        <v>141</v>
      </c>
      <c r="B11" s="10">
        <v>-0.2</v>
      </c>
      <c r="C11" s="7">
        <v>0.397045633987189</v>
      </c>
      <c r="D11" s="8">
        <v>5068.65352416474</v>
      </c>
      <c r="E11" s="8">
        <v>4.89681251516416</v>
      </c>
      <c r="F11" s="8">
        <f t="shared" si="0"/>
        <v>-421.575900938045</v>
      </c>
    </row>
    <row r="12" ht="15.15" spans="1:6">
      <c r="A12" s="12"/>
      <c r="B12" s="10">
        <v>-0.1</v>
      </c>
      <c r="C12" s="7">
        <v>0.379218615817874</v>
      </c>
      <c r="D12" s="8">
        <v>4658.09329548364</v>
      </c>
      <c r="E12" s="8">
        <v>5.07044316412575</v>
      </c>
      <c r="F12" s="8">
        <f t="shared" si="0"/>
        <v>-774.046624888152</v>
      </c>
    </row>
    <row r="13" ht="15.15" spans="1:6">
      <c r="A13" s="12"/>
      <c r="B13" s="10">
        <v>0.1</v>
      </c>
      <c r="C13" s="7">
        <v>0.342678338113093</v>
      </c>
      <c r="D13" s="8">
        <v>3836.97283812144</v>
      </c>
      <c r="E13" s="8">
        <v>5.46875988981163</v>
      </c>
      <c r="F13" s="8">
        <f t="shared" si="0"/>
        <v>635.836270912276</v>
      </c>
    </row>
    <row r="14" ht="15.15" spans="1:6">
      <c r="A14" s="5"/>
      <c r="B14" s="10">
        <v>0.2</v>
      </c>
      <c r="C14" s="7">
        <v>0.32392317913596</v>
      </c>
      <c r="D14" s="8">
        <v>3426.41260944033</v>
      </c>
      <c r="E14" s="8">
        <v>5.69870806769375</v>
      </c>
      <c r="F14" s="8">
        <f t="shared" si="0"/>
        <v>283.365546962168</v>
      </c>
    </row>
    <row r="16" spans="1:8">
      <c r="A16" s="13" t="s">
        <v>197</v>
      </c>
      <c r="B16" s="14">
        <f>总成本费用估算表!C9/(营业收入、营业税金及附加和增值税估算表!AC6-总成本费用估算表!C10-营业收入、营业税金及附加和增值税估算表!AC14)</f>
        <v>14.6422920734651</v>
      </c>
      <c r="C16" s="15" t="s">
        <v>198</v>
      </c>
      <c r="D16" s="15"/>
      <c r="E16" s="15"/>
      <c r="F16" s="15"/>
      <c r="G16" s="15"/>
      <c r="H16" s="16"/>
    </row>
  </sheetData>
  <mergeCells count="4">
    <mergeCell ref="C16:H16"/>
    <mergeCell ref="A3:A6"/>
    <mergeCell ref="A7:A10"/>
    <mergeCell ref="A11:A1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C34" sqref="C34"/>
    </sheetView>
  </sheetViews>
  <sheetFormatPr defaultColWidth="9" defaultRowHeight="14.4" outlineLevelCol="4"/>
  <cols>
    <col min="1" max="1" width="12" customWidth="1"/>
    <col min="2" max="2" width="21.3333333333333" customWidth="1"/>
    <col min="3" max="3" width="11.7777777777778" style="242" customWidth="1"/>
    <col min="4" max="4" width="12.3333333333333" style="242" customWidth="1"/>
    <col min="5" max="5" width="12.8888888888889" style="242" customWidth="1"/>
  </cols>
  <sheetData>
    <row r="1" ht="32" customHeight="1" spans="1:5">
      <c r="A1" s="19" t="s">
        <v>43</v>
      </c>
      <c r="B1" s="19"/>
      <c r="C1" s="19"/>
      <c r="D1" s="19"/>
      <c r="E1" s="19"/>
    </row>
    <row r="2" ht="19" customHeight="1" spans="1:5">
      <c r="A2" s="19"/>
      <c r="B2" s="19"/>
      <c r="C2" s="19"/>
      <c r="D2" s="19"/>
      <c r="E2" s="243" t="s">
        <v>44</v>
      </c>
    </row>
    <row r="3" spans="1:5">
      <c r="A3" s="244" t="s">
        <v>1</v>
      </c>
      <c r="B3" s="245" t="s">
        <v>45</v>
      </c>
      <c r="C3" s="246" t="s">
        <v>46</v>
      </c>
      <c r="D3" s="247" t="s">
        <v>47</v>
      </c>
      <c r="E3" s="248"/>
    </row>
    <row r="4" ht="15.6" spans="1:5">
      <c r="A4" s="249"/>
      <c r="B4" s="250"/>
      <c r="C4" s="251"/>
      <c r="D4" s="252">
        <v>1</v>
      </c>
      <c r="E4" s="253">
        <v>2</v>
      </c>
    </row>
    <row r="5" ht="15.6" spans="1:5">
      <c r="A5" s="254">
        <v>1</v>
      </c>
      <c r="B5" s="255" t="s">
        <v>48</v>
      </c>
      <c r="C5" s="256">
        <f>SUM(C6:C8)</f>
        <v>103530.93</v>
      </c>
      <c r="D5" s="256">
        <f>SUM(D6:D8)</f>
        <v>61998.558</v>
      </c>
      <c r="E5" s="257">
        <f>SUM(E6:E8)</f>
        <v>41532.372</v>
      </c>
    </row>
    <row r="6" ht="15.6" spans="1:5">
      <c r="A6" s="258">
        <v>1.1</v>
      </c>
      <c r="B6" s="259" t="s">
        <v>10</v>
      </c>
      <c r="C6" s="260">
        <v>98815.76</v>
      </c>
      <c r="D6" s="260">
        <f>C6*60%</f>
        <v>59289.456</v>
      </c>
      <c r="E6" s="261">
        <f>C6*40%</f>
        <v>39526.304</v>
      </c>
    </row>
    <row r="7" ht="15.6" spans="1:5">
      <c r="A7" s="258">
        <v>1.2</v>
      </c>
      <c r="B7" s="259" t="s">
        <v>49</v>
      </c>
      <c r="C7" s="260">
        <v>4515.17</v>
      </c>
      <c r="D7" s="260">
        <f>C7*60%</f>
        <v>2709.102</v>
      </c>
      <c r="E7" s="261">
        <f>C7*40%</f>
        <v>1806.068</v>
      </c>
    </row>
    <row r="8" ht="15.6" spans="1:5">
      <c r="A8" s="258">
        <v>1.3</v>
      </c>
      <c r="B8" s="259" t="s">
        <v>16</v>
      </c>
      <c r="C8" s="260">
        <f t="shared" ref="C6:C17" si="0">SUM(D8:E8)</f>
        <v>200</v>
      </c>
      <c r="D8" s="260">
        <v>0</v>
      </c>
      <c r="E8" s="261">
        <v>200</v>
      </c>
    </row>
    <row r="9" ht="15.6" spans="1:5">
      <c r="A9" s="254">
        <v>2</v>
      </c>
      <c r="B9" s="255" t="s">
        <v>50</v>
      </c>
      <c r="C9" s="256">
        <f>C10+C14</f>
        <v>103530.93</v>
      </c>
      <c r="D9" s="256">
        <f t="shared" ref="D9:E9" si="1">D10+D14</f>
        <v>61998.558</v>
      </c>
      <c r="E9" s="257">
        <f t="shared" si="1"/>
        <v>41532.372</v>
      </c>
    </row>
    <row r="10" ht="24" customHeight="1" spans="1:5">
      <c r="A10" s="249">
        <v>2.1</v>
      </c>
      <c r="B10" s="262" t="s">
        <v>51</v>
      </c>
      <c r="C10" s="263">
        <f>SUM(C11:C13)</f>
        <v>19813.152</v>
      </c>
      <c r="D10" s="263">
        <f>SUM(D11:D13)</f>
        <v>11857.8912</v>
      </c>
      <c r="E10" s="264">
        <f>SUM(E11:E13)</f>
        <v>7955.2608</v>
      </c>
    </row>
    <row r="11" ht="22.5" customHeight="1" spans="1:5">
      <c r="A11" s="258" t="s">
        <v>52</v>
      </c>
      <c r="B11" s="259" t="s">
        <v>53</v>
      </c>
      <c r="C11" s="260">
        <f t="shared" si="0"/>
        <v>15247.982</v>
      </c>
      <c r="D11" s="260">
        <f>D6-D15</f>
        <v>9148.78919999999</v>
      </c>
      <c r="E11" s="261">
        <f>E6-E15</f>
        <v>6099.1928</v>
      </c>
    </row>
    <row r="12" ht="15.75" customHeight="1" spans="1:5">
      <c r="A12" s="258" t="s">
        <v>54</v>
      </c>
      <c r="B12" s="259" t="s">
        <v>55</v>
      </c>
      <c r="C12" s="260">
        <f t="shared" si="0"/>
        <v>4515.17</v>
      </c>
      <c r="D12" s="260">
        <f>D7</f>
        <v>2709.102</v>
      </c>
      <c r="E12" s="261">
        <f>E7</f>
        <v>1806.068</v>
      </c>
    </row>
    <row r="13" ht="19.5" customHeight="1" spans="1:5">
      <c r="A13" s="258" t="s">
        <v>56</v>
      </c>
      <c r="B13" s="259" t="s">
        <v>57</v>
      </c>
      <c r="C13" s="260">
        <f t="shared" si="0"/>
        <v>50</v>
      </c>
      <c r="D13" s="260">
        <v>0</v>
      </c>
      <c r="E13" s="261">
        <f>E8*0.25</f>
        <v>50</v>
      </c>
    </row>
    <row r="14" ht="15.6" spans="1:5">
      <c r="A14" s="249">
        <v>2.2</v>
      </c>
      <c r="B14" s="262" t="s">
        <v>58</v>
      </c>
      <c r="C14" s="263">
        <f>SUM(C15:C17)</f>
        <v>83717.778</v>
      </c>
      <c r="D14" s="263">
        <f t="shared" ref="D14:E14" si="2">SUM(D15:D17)</f>
        <v>50140.6668</v>
      </c>
      <c r="E14" s="264">
        <f t="shared" si="2"/>
        <v>33577.1112</v>
      </c>
    </row>
    <row r="15" ht="20.25" customHeight="1" spans="1:5">
      <c r="A15" s="258" t="s">
        <v>59</v>
      </c>
      <c r="B15" s="259" t="s">
        <v>53</v>
      </c>
      <c r="C15" s="260">
        <f t="shared" si="0"/>
        <v>83567.778</v>
      </c>
      <c r="D15" s="260">
        <f>基础数据!D15*60%</f>
        <v>50140.6668</v>
      </c>
      <c r="E15" s="261">
        <f>基础数据!D15*40%</f>
        <v>33427.1112</v>
      </c>
    </row>
    <row r="16" ht="20.25" customHeight="1" spans="1:5">
      <c r="A16" s="258" t="s">
        <v>60</v>
      </c>
      <c r="B16" s="259" t="s">
        <v>55</v>
      </c>
      <c r="C16" s="260">
        <f t="shared" si="0"/>
        <v>0</v>
      </c>
      <c r="D16" s="260">
        <v>0</v>
      </c>
      <c r="E16" s="265">
        <v>0</v>
      </c>
    </row>
    <row r="17" ht="18" customHeight="1" spans="1:5">
      <c r="A17" s="258" t="s">
        <v>61</v>
      </c>
      <c r="B17" s="259" t="s">
        <v>57</v>
      </c>
      <c r="C17" s="260">
        <f t="shared" si="0"/>
        <v>150</v>
      </c>
      <c r="D17" s="260">
        <v>0</v>
      </c>
      <c r="E17" s="265">
        <f>E8*0.75</f>
        <v>150</v>
      </c>
    </row>
    <row r="18" ht="16.35" spans="1:5">
      <c r="A18" s="266">
        <v>2.3</v>
      </c>
      <c r="B18" s="267" t="s">
        <v>62</v>
      </c>
      <c r="C18" s="268">
        <v>0</v>
      </c>
      <c r="D18" s="268">
        <v>0</v>
      </c>
      <c r="E18" s="269">
        <v>0</v>
      </c>
    </row>
  </sheetData>
  <mergeCells count="5">
    <mergeCell ref="A1:E1"/>
    <mergeCell ref="D3:E3"/>
    <mergeCell ref="A3:A4"/>
    <mergeCell ref="B3:B4"/>
    <mergeCell ref="C3:C4"/>
  </mergeCells>
  <pageMargins left="0.7" right="0.7" top="0.75" bottom="0.75" header="0.3" footer="0.3"/>
  <pageSetup paperSize="9" orientation="portrait"/>
  <headerFooter/>
  <ignoredErrors>
    <ignoredError sqref="C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"/>
  <sheetViews>
    <sheetView workbookViewId="0">
      <selection activeCell="C7" sqref="C7"/>
    </sheetView>
  </sheetViews>
  <sheetFormatPr defaultColWidth="8.88888888888889" defaultRowHeight="15.6"/>
  <cols>
    <col min="1" max="1" width="5.66666666666667" style="218" customWidth="1"/>
    <col min="2" max="2" width="16.1111111111111" style="218" customWidth="1"/>
    <col min="3" max="20" width="10.3333333333333" style="218" customWidth="1"/>
    <col min="21" max="25" width="9.77777777777778" style="218"/>
    <col min="26" max="16384" width="8.88888888888889" style="218"/>
  </cols>
  <sheetData>
    <row r="1" ht="26.4" customHeight="1" spans="1:27">
      <c r="A1" s="219" t="s">
        <v>63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</row>
    <row r="2" ht="16.35" spans="1:27">
      <c r="A2" s="220" t="s">
        <v>44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</row>
    <row r="3" ht="13.65" customHeight="1" spans="1:27">
      <c r="A3" s="222" t="s">
        <v>1</v>
      </c>
      <c r="B3" s="223" t="s">
        <v>64</v>
      </c>
      <c r="C3" s="224" t="s">
        <v>65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36"/>
    </row>
    <row r="4" ht="14.4" spans="1:27">
      <c r="A4" s="225"/>
      <c r="B4" s="142"/>
      <c r="C4" s="142">
        <v>3</v>
      </c>
      <c r="D4" s="142">
        <v>4</v>
      </c>
      <c r="E4" s="142">
        <v>5</v>
      </c>
      <c r="F4" s="142">
        <v>6</v>
      </c>
      <c r="G4" s="142">
        <v>7</v>
      </c>
      <c r="H4" s="142">
        <v>8</v>
      </c>
      <c r="I4" s="142">
        <v>9</v>
      </c>
      <c r="J4" s="142">
        <v>10</v>
      </c>
      <c r="K4" s="142">
        <v>11</v>
      </c>
      <c r="L4" s="142">
        <v>12</v>
      </c>
      <c r="M4" s="142">
        <v>13</v>
      </c>
      <c r="N4" s="142">
        <v>14</v>
      </c>
      <c r="O4" s="142">
        <v>15</v>
      </c>
      <c r="P4" s="142">
        <v>16</v>
      </c>
      <c r="Q4" s="142">
        <v>17</v>
      </c>
      <c r="R4" s="142">
        <v>18</v>
      </c>
      <c r="S4" s="142">
        <v>19</v>
      </c>
      <c r="T4" s="142">
        <v>20</v>
      </c>
      <c r="U4" s="142">
        <v>21</v>
      </c>
      <c r="V4" s="142">
        <v>22</v>
      </c>
      <c r="W4" s="142">
        <v>23</v>
      </c>
      <c r="X4" s="142">
        <v>24</v>
      </c>
      <c r="Y4" s="142">
        <v>25</v>
      </c>
      <c r="Z4" s="142">
        <v>26</v>
      </c>
      <c r="AA4" s="237">
        <v>27</v>
      </c>
    </row>
    <row r="5" ht="14.4" spans="1:27">
      <c r="A5" s="226">
        <v>1</v>
      </c>
      <c r="B5" s="227" t="s">
        <v>66</v>
      </c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38"/>
    </row>
    <row r="6" spans="1:27">
      <c r="A6" s="225">
        <v>1.1</v>
      </c>
      <c r="B6" s="141" t="s">
        <v>67</v>
      </c>
      <c r="C6" s="148">
        <f>基础数据!D6</f>
        <v>103330.93</v>
      </c>
      <c r="D6" s="148">
        <f>C8</f>
        <v>99197.6928</v>
      </c>
      <c r="E6" s="148">
        <f>D8</f>
        <v>95064.4556</v>
      </c>
      <c r="F6" s="148">
        <f>E8</f>
        <v>90931.2184</v>
      </c>
      <c r="G6" s="148">
        <f t="shared" ref="G6:J6" si="0">F8</f>
        <v>86797.9812</v>
      </c>
      <c r="H6" s="148">
        <f t="shared" si="0"/>
        <v>82664.744</v>
      </c>
      <c r="I6" s="148">
        <f t="shared" si="0"/>
        <v>78531.5068</v>
      </c>
      <c r="J6" s="148">
        <f t="shared" si="0"/>
        <v>74398.2696</v>
      </c>
      <c r="K6" s="148">
        <f t="shared" ref="K6" si="1">J8</f>
        <v>70265.0324</v>
      </c>
      <c r="L6" s="148">
        <f t="shared" ref="L6" si="2">K8</f>
        <v>66131.7952</v>
      </c>
      <c r="M6" s="148">
        <f t="shared" ref="M6" si="3">L8</f>
        <v>61998.558</v>
      </c>
      <c r="N6" s="148">
        <f t="shared" ref="N6" si="4">M8</f>
        <v>57865.3208</v>
      </c>
      <c r="O6" s="148">
        <f t="shared" ref="O6" si="5">N8</f>
        <v>53732.0836</v>
      </c>
      <c r="P6" s="148">
        <f t="shared" ref="P6" si="6">O8</f>
        <v>49598.8464</v>
      </c>
      <c r="Q6" s="148">
        <f t="shared" ref="Q6" si="7">P8</f>
        <v>45465.6091999999</v>
      </c>
      <c r="R6" s="148">
        <f t="shared" ref="R6" si="8">Q8</f>
        <v>41332.3719999999</v>
      </c>
      <c r="S6" s="148">
        <f t="shared" ref="S6" si="9">R8</f>
        <v>37199.1347999999</v>
      </c>
      <c r="T6" s="148">
        <f t="shared" ref="T6" si="10">S8</f>
        <v>33065.8975999999</v>
      </c>
      <c r="U6" s="148">
        <f t="shared" ref="U6" si="11">T8</f>
        <v>28932.6603999999</v>
      </c>
      <c r="V6" s="148">
        <f t="shared" ref="V6" si="12">U8</f>
        <v>24799.4231999999</v>
      </c>
      <c r="W6" s="148">
        <f t="shared" ref="W6" si="13">V8</f>
        <v>20666.1859999999</v>
      </c>
      <c r="X6" s="148">
        <f t="shared" ref="X6" si="14">W8</f>
        <v>16532.9487999999</v>
      </c>
      <c r="Y6" s="148">
        <f t="shared" ref="Y6" si="15">X8</f>
        <v>12399.7115999999</v>
      </c>
      <c r="Z6" s="148">
        <f t="shared" ref="Z6" si="16">Y8</f>
        <v>8266.47439999994</v>
      </c>
      <c r="AA6" s="239">
        <f t="shared" ref="AA6" si="17">Z8</f>
        <v>4133.23719999994</v>
      </c>
    </row>
    <row r="7" spans="1:27">
      <c r="A7" s="225">
        <v>1.2</v>
      </c>
      <c r="B7" s="141" t="s">
        <v>68</v>
      </c>
      <c r="C7" s="148">
        <f>C6/25</f>
        <v>4133.2372</v>
      </c>
      <c r="D7" s="148">
        <f>C7</f>
        <v>4133.2372</v>
      </c>
      <c r="E7" s="148">
        <f t="shared" ref="E7:J7" si="18">D7</f>
        <v>4133.2372</v>
      </c>
      <c r="F7" s="148">
        <f t="shared" si="18"/>
        <v>4133.2372</v>
      </c>
      <c r="G7" s="148">
        <f t="shared" si="18"/>
        <v>4133.2372</v>
      </c>
      <c r="H7" s="148">
        <f t="shared" si="18"/>
        <v>4133.2372</v>
      </c>
      <c r="I7" s="148">
        <f t="shared" si="18"/>
        <v>4133.2372</v>
      </c>
      <c r="J7" s="148">
        <f t="shared" si="18"/>
        <v>4133.2372</v>
      </c>
      <c r="K7" s="148">
        <f t="shared" ref="K7" si="19">J7</f>
        <v>4133.2372</v>
      </c>
      <c r="L7" s="148">
        <f t="shared" ref="L7" si="20">K7</f>
        <v>4133.2372</v>
      </c>
      <c r="M7" s="148">
        <f t="shared" ref="M7" si="21">L7</f>
        <v>4133.2372</v>
      </c>
      <c r="N7" s="148">
        <f t="shared" ref="N7" si="22">M7</f>
        <v>4133.2372</v>
      </c>
      <c r="O7" s="148">
        <f t="shared" ref="O7" si="23">N7</f>
        <v>4133.2372</v>
      </c>
      <c r="P7" s="148">
        <f t="shared" ref="P7" si="24">O7</f>
        <v>4133.2372</v>
      </c>
      <c r="Q7" s="148">
        <f t="shared" ref="Q7" si="25">P7</f>
        <v>4133.2372</v>
      </c>
      <c r="R7" s="148">
        <f t="shared" ref="R7" si="26">Q7</f>
        <v>4133.2372</v>
      </c>
      <c r="S7" s="148">
        <f t="shared" ref="S7" si="27">R7</f>
        <v>4133.2372</v>
      </c>
      <c r="T7" s="148">
        <f t="shared" ref="T7" si="28">S7</f>
        <v>4133.2372</v>
      </c>
      <c r="U7" s="148">
        <f t="shared" ref="U7" si="29">T7</f>
        <v>4133.2372</v>
      </c>
      <c r="V7" s="148">
        <f t="shared" ref="V7" si="30">U7</f>
        <v>4133.2372</v>
      </c>
      <c r="W7" s="148">
        <f t="shared" ref="W7" si="31">V7</f>
        <v>4133.2372</v>
      </c>
      <c r="X7" s="148">
        <f t="shared" ref="X7" si="32">W7</f>
        <v>4133.2372</v>
      </c>
      <c r="Y7" s="148">
        <f t="shared" ref="Y7" si="33">X7</f>
        <v>4133.2372</v>
      </c>
      <c r="Z7" s="148">
        <f t="shared" ref="Z7" si="34">Y7</f>
        <v>4133.2372</v>
      </c>
      <c r="AA7" s="239">
        <f t="shared" ref="AA7" si="35">Z7</f>
        <v>4133.2372</v>
      </c>
    </row>
    <row r="8" ht="16.2" customHeight="1" spans="1:27">
      <c r="A8" s="225">
        <v>1.3</v>
      </c>
      <c r="B8" s="229" t="s">
        <v>69</v>
      </c>
      <c r="C8" s="148">
        <f>C6-C7</f>
        <v>99197.6928</v>
      </c>
      <c r="D8" s="148">
        <f>D6-D7</f>
        <v>95064.4556</v>
      </c>
      <c r="E8" s="148">
        <f>E6-E7</f>
        <v>90931.2184</v>
      </c>
      <c r="F8" s="148">
        <f>F6-F7</f>
        <v>86797.9812</v>
      </c>
      <c r="G8" s="148">
        <f t="shared" ref="G8:J8" si="36">G6-G7</f>
        <v>82664.744</v>
      </c>
      <c r="H8" s="148">
        <f t="shared" si="36"/>
        <v>78531.5068</v>
      </c>
      <c r="I8" s="148">
        <f t="shared" si="36"/>
        <v>74398.2696</v>
      </c>
      <c r="J8" s="148">
        <f t="shared" si="36"/>
        <v>70265.0324</v>
      </c>
      <c r="K8" s="148">
        <f t="shared" ref="K8:V8" si="37">K6-K7</f>
        <v>66131.7952</v>
      </c>
      <c r="L8" s="148">
        <f t="shared" si="37"/>
        <v>61998.558</v>
      </c>
      <c r="M8" s="148">
        <f t="shared" si="37"/>
        <v>57865.3208</v>
      </c>
      <c r="N8" s="148">
        <f t="shared" si="37"/>
        <v>53732.0836</v>
      </c>
      <c r="O8" s="148">
        <f t="shared" si="37"/>
        <v>49598.8464</v>
      </c>
      <c r="P8" s="148">
        <f t="shared" si="37"/>
        <v>45465.6091999999</v>
      </c>
      <c r="Q8" s="148">
        <f t="shared" si="37"/>
        <v>41332.3719999999</v>
      </c>
      <c r="R8" s="148">
        <f t="shared" si="37"/>
        <v>37199.1347999999</v>
      </c>
      <c r="S8" s="148">
        <f t="shared" si="37"/>
        <v>33065.8975999999</v>
      </c>
      <c r="T8" s="148">
        <f t="shared" si="37"/>
        <v>28932.6603999999</v>
      </c>
      <c r="U8" s="148">
        <f t="shared" si="37"/>
        <v>24799.4231999999</v>
      </c>
      <c r="V8" s="148">
        <f t="shared" si="37"/>
        <v>20666.1859999999</v>
      </c>
      <c r="W8" s="148">
        <f t="shared" ref="W8:AA8" si="38">W6-W7</f>
        <v>16532.9487999999</v>
      </c>
      <c r="X8" s="148">
        <f t="shared" si="38"/>
        <v>12399.7115999999</v>
      </c>
      <c r="Y8" s="148">
        <f t="shared" si="38"/>
        <v>8266.47439999994</v>
      </c>
      <c r="Z8" s="148">
        <f t="shared" si="38"/>
        <v>4133.23719999994</v>
      </c>
      <c r="AA8" s="239">
        <f t="shared" si="38"/>
        <v>-5.82076609134674e-11</v>
      </c>
    </row>
    <row r="9" ht="14.4" spans="1:27">
      <c r="A9" s="226">
        <v>2</v>
      </c>
      <c r="B9" s="227" t="s">
        <v>70</v>
      </c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40"/>
    </row>
    <row r="10" ht="15" customHeight="1" spans="1:27">
      <c r="A10" s="231">
        <v>2.1</v>
      </c>
      <c r="B10" s="232" t="s">
        <v>71</v>
      </c>
      <c r="C10" s="148">
        <f>C6</f>
        <v>103330.93</v>
      </c>
      <c r="D10" s="148">
        <f t="shared" ref="D10:AA10" si="39">D6</f>
        <v>99197.6928</v>
      </c>
      <c r="E10" s="148">
        <f t="shared" si="39"/>
        <v>95064.4556</v>
      </c>
      <c r="F10" s="148">
        <f t="shared" si="39"/>
        <v>90931.2184</v>
      </c>
      <c r="G10" s="148">
        <f t="shared" si="39"/>
        <v>86797.9812</v>
      </c>
      <c r="H10" s="148">
        <f t="shared" si="39"/>
        <v>82664.744</v>
      </c>
      <c r="I10" s="148">
        <f t="shared" si="39"/>
        <v>78531.5068</v>
      </c>
      <c r="J10" s="148">
        <f t="shared" si="39"/>
        <v>74398.2696</v>
      </c>
      <c r="K10" s="148">
        <f t="shared" si="39"/>
        <v>70265.0324</v>
      </c>
      <c r="L10" s="148">
        <f t="shared" si="39"/>
        <v>66131.7952</v>
      </c>
      <c r="M10" s="148">
        <f t="shared" si="39"/>
        <v>61998.558</v>
      </c>
      <c r="N10" s="148">
        <f t="shared" si="39"/>
        <v>57865.3208</v>
      </c>
      <c r="O10" s="148">
        <f t="shared" si="39"/>
        <v>53732.0836</v>
      </c>
      <c r="P10" s="148">
        <f t="shared" si="39"/>
        <v>49598.8464</v>
      </c>
      <c r="Q10" s="148">
        <f t="shared" si="39"/>
        <v>45465.6091999999</v>
      </c>
      <c r="R10" s="148">
        <f t="shared" si="39"/>
        <v>41332.3719999999</v>
      </c>
      <c r="S10" s="148">
        <f t="shared" si="39"/>
        <v>37199.1347999999</v>
      </c>
      <c r="T10" s="148">
        <f t="shared" si="39"/>
        <v>33065.8975999999</v>
      </c>
      <c r="U10" s="148">
        <f t="shared" si="39"/>
        <v>28932.6603999999</v>
      </c>
      <c r="V10" s="148">
        <f t="shared" si="39"/>
        <v>24799.4231999999</v>
      </c>
      <c r="W10" s="148">
        <f t="shared" si="39"/>
        <v>20666.1859999999</v>
      </c>
      <c r="X10" s="148">
        <f t="shared" si="39"/>
        <v>16532.9487999999</v>
      </c>
      <c r="Y10" s="148">
        <f t="shared" si="39"/>
        <v>12399.7115999999</v>
      </c>
      <c r="Z10" s="148">
        <f t="shared" si="39"/>
        <v>8266.47439999994</v>
      </c>
      <c r="AA10" s="239">
        <f t="shared" si="39"/>
        <v>4133.23719999994</v>
      </c>
    </row>
    <row r="11" ht="16.35" customHeight="1" spans="1:27">
      <c r="A11" s="231">
        <v>2.2</v>
      </c>
      <c r="B11" s="232" t="s">
        <v>72</v>
      </c>
      <c r="C11" s="148">
        <f>C7</f>
        <v>4133.2372</v>
      </c>
      <c r="D11" s="148">
        <f t="shared" ref="D11:AA11" si="40">D7</f>
        <v>4133.2372</v>
      </c>
      <c r="E11" s="148">
        <f t="shared" si="40"/>
        <v>4133.2372</v>
      </c>
      <c r="F11" s="148">
        <f t="shared" si="40"/>
        <v>4133.2372</v>
      </c>
      <c r="G11" s="148">
        <f t="shared" si="40"/>
        <v>4133.2372</v>
      </c>
      <c r="H11" s="148">
        <f t="shared" si="40"/>
        <v>4133.2372</v>
      </c>
      <c r="I11" s="148">
        <f t="shared" si="40"/>
        <v>4133.2372</v>
      </c>
      <c r="J11" s="148">
        <f t="shared" si="40"/>
        <v>4133.2372</v>
      </c>
      <c r="K11" s="148">
        <f t="shared" si="40"/>
        <v>4133.2372</v>
      </c>
      <c r="L11" s="148">
        <f t="shared" si="40"/>
        <v>4133.2372</v>
      </c>
      <c r="M11" s="148">
        <f t="shared" si="40"/>
        <v>4133.2372</v>
      </c>
      <c r="N11" s="148">
        <f t="shared" si="40"/>
        <v>4133.2372</v>
      </c>
      <c r="O11" s="148">
        <f t="shared" si="40"/>
        <v>4133.2372</v>
      </c>
      <c r="P11" s="148">
        <f t="shared" si="40"/>
        <v>4133.2372</v>
      </c>
      <c r="Q11" s="148">
        <f t="shared" si="40"/>
        <v>4133.2372</v>
      </c>
      <c r="R11" s="148">
        <f t="shared" si="40"/>
        <v>4133.2372</v>
      </c>
      <c r="S11" s="148">
        <f t="shared" si="40"/>
        <v>4133.2372</v>
      </c>
      <c r="T11" s="148">
        <f t="shared" si="40"/>
        <v>4133.2372</v>
      </c>
      <c r="U11" s="148">
        <f t="shared" si="40"/>
        <v>4133.2372</v>
      </c>
      <c r="V11" s="148">
        <f t="shared" si="40"/>
        <v>4133.2372</v>
      </c>
      <c r="W11" s="148">
        <f t="shared" si="40"/>
        <v>4133.2372</v>
      </c>
      <c r="X11" s="148">
        <f t="shared" si="40"/>
        <v>4133.2372</v>
      </c>
      <c r="Y11" s="148">
        <f t="shared" si="40"/>
        <v>4133.2372</v>
      </c>
      <c r="Z11" s="148">
        <f t="shared" si="40"/>
        <v>4133.2372</v>
      </c>
      <c r="AA11" s="239">
        <f t="shared" si="40"/>
        <v>4133.2372</v>
      </c>
    </row>
    <row r="12" ht="15.15" spans="1:27">
      <c r="A12" s="233">
        <v>2.3</v>
      </c>
      <c r="B12" s="234" t="s">
        <v>73</v>
      </c>
      <c r="C12" s="235">
        <f>C8</f>
        <v>99197.6928</v>
      </c>
      <c r="D12" s="235">
        <f t="shared" ref="D12:AA12" si="41">D8</f>
        <v>95064.4556</v>
      </c>
      <c r="E12" s="235">
        <f t="shared" si="41"/>
        <v>90931.2184</v>
      </c>
      <c r="F12" s="235">
        <f t="shared" si="41"/>
        <v>86797.9812</v>
      </c>
      <c r="G12" s="235">
        <f t="shared" si="41"/>
        <v>82664.744</v>
      </c>
      <c r="H12" s="235">
        <f t="shared" si="41"/>
        <v>78531.5068</v>
      </c>
      <c r="I12" s="235">
        <f t="shared" si="41"/>
        <v>74398.2696</v>
      </c>
      <c r="J12" s="235">
        <f t="shared" si="41"/>
        <v>70265.0324</v>
      </c>
      <c r="K12" s="235">
        <f t="shared" si="41"/>
        <v>66131.7952</v>
      </c>
      <c r="L12" s="235">
        <f t="shared" si="41"/>
        <v>61998.558</v>
      </c>
      <c r="M12" s="235">
        <f t="shared" si="41"/>
        <v>57865.3208</v>
      </c>
      <c r="N12" s="235">
        <f t="shared" si="41"/>
        <v>53732.0836</v>
      </c>
      <c r="O12" s="235">
        <f t="shared" si="41"/>
        <v>49598.8464</v>
      </c>
      <c r="P12" s="235">
        <f t="shared" si="41"/>
        <v>45465.6091999999</v>
      </c>
      <c r="Q12" s="235">
        <f t="shared" si="41"/>
        <v>41332.3719999999</v>
      </c>
      <c r="R12" s="235">
        <f t="shared" si="41"/>
        <v>37199.1347999999</v>
      </c>
      <c r="S12" s="235">
        <f t="shared" si="41"/>
        <v>33065.8975999999</v>
      </c>
      <c r="T12" s="235">
        <f t="shared" si="41"/>
        <v>28932.6603999999</v>
      </c>
      <c r="U12" s="235">
        <f t="shared" si="41"/>
        <v>24799.4231999999</v>
      </c>
      <c r="V12" s="235">
        <f t="shared" si="41"/>
        <v>20666.1859999999</v>
      </c>
      <c r="W12" s="235">
        <f t="shared" si="41"/>
        <v>16532.9487999999</v>
      </c>
      <c r="X12" s="235">
        <f t="shared" si="41"/>
        <v>12399.7115999999</v>
      </c>
      <c r="Y12" s="235">
        <f t="shared" si="41"/>
        <v>8266.47439999994</v>
      </c>
      <c r="Z12" s="235">
        <f t="shared" si="41"/>
        <v>4133.23719999994</v>
      </c>
      <c r="AA12" s="241">
        <f t="shared" si="41"/>
        <v>-5.82076609134674e-11</v>
      </c>
    </row>
  </sheetData>
  <mergeCells count="5">
    <mergeCell ref="A1:AA1"/>
    <mergeCell ref="A2:AA2"/>
    <mergeCell ref="C3:AA3"/>
    <mergeCell ref="A3:A4"/>
    <mergeCell ref="B3:B4"/>
  </mergeCells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zoomScale="85" zoomScaleNormal="85" workbookViewId="0">
      <selection activeCell="H28" sqref="H28"/>
    </sheetView>
  </sheetViews>
  <sheetFormatPr defaultColWidth="9" defaultRowHeight="9.6"/>
  <cols>
    <col min="1" max="1" width="5.55555555555556" style="195" customWidth="1"/>
    <col min="2" max="2" width="16.1111111111111" style="195" customWidth="1"/>
    <col min="3" max="3" width="11.6666666666667" style="195" customWidth="1"/>
    <col min="4" max="11" width="8.66666666666667" style="195" customWidth="1"/>
    <col min="12" max="16384" width="9" style="195"/>
  </cols>
  <sheetData>
    <row r="1" ht="26" customHeight="1" spans="1:28">
      <c r="A1" s="196" t="s">
        <v>74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</row>
    <row r="2" ht="26" customHeight="1" spans="1:28">
      <c r="A2" s="197" t="s">
        <v>44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</row>
    <row r="3" ht="26" customHeight="1" spans="1:28">
      <c r="A3" s="198" t="s">
        <v>1</v>
      </c>
      <c r="B3" s="199" t="s">
        <v>75</v>
      </c>
      <c r="C3" s="199" t="s">
        <v>46</v>
      </c>
      <c r="D3" s="199" t="s">
        <v>65</v>
      </c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213"/>
    </row>
    <row r="4" ht="26" customHeight="1" spans="1:28">
      <c r="A4" s="200"/>
      <c r="B4" s="201"/>
      <c r="C4" s="201"/>
      <c r="D4" s="201">
        <v>3</v>
      </c>
      <c r="E4" s="201">
        <v>4</v>
      </c>
      <c r="F4" s="201">
        <v>5</v>
      </c>
      <c r="G4" s="201">
        <v>6</v>
      </c>
      <c r="H4" s="201">
        <v>7</v>
      </c>
      <c r="I4" s="201">
        <v>8</v>
      </c>
      <c r="J4" s="201">
        <v>9</v>
      </c>
      <c r="K4" s="201">
        <v>10</v>
      </c>
      <c r="L4" s="201">
        <v>11</v>
      </c>
      <c r="M4" s="201">
        <v>12</v>
      </c>
      <c r="N4" s="201">
        <v>13</v>
      </c>
      <c r="O4" s="201">
        <v>14</v>
      </c>
      <c r="P4" s="201">
        <v>15</v>
      </c>
      <c r="Q4" s="201">
        <v>16</v>
      </c>
      <c r="R4" s="201">
        <v>17</v>
      </c>
      <c r="S4" s="201">
        <v>18</v>
      </c>
      <c r="T4" s="201">
        <v>19</v>
      </c>
      <c r="U4" s="201">
        <v>20</v>
      </c>
      <c r="V4" s="201">
        <v>21</v>
      </c>
      <c r="W4" s="201">
        <v>22</v>
      </c>
      <c r="X4" s="201">
        <v>23</v>
      </c>
      <c r="Y4" s="201">
        <v>24</v>
      </c>
      <c r="Z4" s="201">
        <v>25</v>
      </c>
      <c r="AA4" s="201">
        <v>26</v>
      </c>
      <c r="AB4" s="214">
        <v>27</v>
      </c>
    </row>
    <row r="5" ht="26" customHeight="1" spans="1:28">
      <c r="A5" s="202">
        <v>1</v>
      </c>
      <c r="B5" s="203" t="s">
        <v>76</v>
      </c>
      <c r="C5" s="204">
        <f>SUM(D5:AB5)</f>
        <v>11210.6049031328</v>
      </c>
      <c r="D5" s="204">
        <v>350</v>
      </c>
      <c r="E5" s="204">
        <f>D5*1.02</f>
        <v>357</v>
      </c>
      <c r="F5" s="204">
        <f t="shared" ref="F5:AB5" si="0">E5*1.02</f>
        <v>364.14</v>
      </c>
      <c r="G5" s="204">
        <f t="shared" si="0"/>
        <v>371.4228</v>
      </c>
      <c r="H5" s="204">
        <f t="shared" si="0"/>
        <v>378.851256</v>
      </c>
      <c r="I5" s="204">
        <f t="shared" si="0"/>
        <v>386.42828112</v>
      </c>
      <c r="J5" s="204">
        <f t="shared" si="0"/>
        <v>394.1568467424</v>
      </c>
      <c r="K5" s="204">
        <f t="shared" si="0"/>
        <v>402.039983677248</v>
      </c>
      <c r="L5" s="204">
        <f t="shared" si="0"/>
        <v>410.080783350793</v>
      </c>
      <c r="M5" s="204">
        <f t="shared" si="0"/>
        <v>418.282399017809</v>
      </c>
      <c r="N5" s="204">
        <f t="shared" si="0"/>
        <v>426.648046998165</v>
      </c>
      <c r="O5" s="204">
        <f t="shared" si="0"/>
        <v>435.181007938128</v>
      </c>
      <c r="P5" s="204">
        <f t="shared" si="0"/>
        <v>443.884628096891</v>
      </c>
      <c r="Q5" s="204">
        <f t="shared" si="0"/>
        <v>452.762320658829</v>
      </c>
      <c r="R5" s="204">
        <f t="shared" si="0"/>
        <v>461.817567072005</v>
      </c>
      <c r="S5" s="204">
        <f t="shared" si="0"/>
        <v>471.053918413445</v>
      </c>
      <c r="T5" s="204">
        <f t="shared" si="0"/>
        <v>480.474996781714</v>
      </c>
      <c r="U5" s="204">
        <f t="shared" si="0"/>
        <v>490.084496717349</v>
      </c>
      <c r="V5" s="204">
        <f t="shared" si="0"/>
        <v>499.886186651696</v>
      </c>
      <c r="W5" s="204">
        <f t="shared" si="0"/>
        <v>509.88391038473</v>
      </c>
      <c r="X5" s="204">
        <f t="shared" si="0"/>
        <v>520.081588592424</v>
      </c>
      <c r="Y5" s="204">
        <f t="shared" si="0"/>
        <v>530.483220364273</v>
      </c>
      <c r="Z5" s="204">
        <f t="shared" si="0"/>
        <v>541.092884771558</v>
      </c>
      <c r="AA5" s="204">
        <f t="shared" si="0"/>
        <v>551.914742466989</v>
      </c>
      <c r="AB5" s="215">
        <f t="shared" si="0"/>
        <v>562.953037316329</v>
      </c>
    </row>
    <row r="6" ht="26" customHeight="1" spans="1:28">
      <c r="A6" s="202">
        <v>2</v>
      </c>
      <c r="B6" s="205" t="s">
        <v>77</v>
      </c>
      <c r="C6" s="204">
        <f t="shared" ref="C6:C8" si="1">SUM(D6:AB6)</f>
        <v>103330.93</v>
      </c>
      <c r="D6" s="204">
        <f>固定资产折旧摊销计算表!C11</f>
        <v>4133.2372</v>
      </c>
      <c r="E6" s="204">
        <f>固定资产折旧摊销计算表!D11</f>
        <v>4133.2372</v>
      </c>
      <c r="F6" s="204">
        <f>固定资产折旧摊销计算表!E11</f>
        <v>4133.2372</v>
      </c>
      <c r="G6" s="204">
        <f>固定资产折旧摊销计算表!F11</f>
        <v>4133.2372</v>
      </c>
      <c r="H6" s="204">
        <f>固定资产折旧摊销计算表!G11</f>
        <v>4133.2372</v>
      </c>
      <c r="I6" s="204">
        <f>固定资产折旧摊销计算表!H11</f>
        <v>4133.2372</v>
      </c>
      <c r="J6" s="204">
        <f>固定资产折旧摊销计算表!I11</f>
        <v>4133.2372</v>
      </c>
      <c r="K6" s="204">
        <f>固定资产折旧摊销计算表!J11</f>
        <v>4133.2372</v>
      </c>
      <c r="L6" s="204">
        <f>固定资产折旧摊销计算表!K11</f>
        <v>4133.2372</v>
      </c>
      <c r="M6" s="204">
        <f>固定资产折旧摊销计算表!L11</f>
        <v>4133.2372</v>
      </c>
      <c r="N6" s="204">
        <f>固定资产折旧摊销计算表!M11</f>
        <v>4133.2372</v>
      </c>
      <c r="O6" s="204">
        <f>固定资产折旧摊销计算表!N11</f>
        <v>4133.2372</v>
      </c>
      <c r="P6" s="204">
        <f>固定资产折旧摊销计算表!O11</f>
        <v>4133.2372</v>
      </c>
      <c r="Q6" s="204">
        <f>固定资产折旧摊销计算表!P11</f>
        <v>4133.2372</v>
      </c>
      <c r="R6" s="204">
        <f>固定资产折旧摊销计算表!Q11</f>
        <v>4133.2372</v>
      </c>
      <c r="S6" s="204">
        <f>固定资产折旧摊销计算表!R11</f>
        <v>4133.2372</v>
      </c>
      <c r="T6" s="204">
        <f>固定资产折旧摊销计算表!S11</f>
        <v>4133.2372</v>
      </c>
      <c r="U6" s="204">
        <f>固定资产折旧摊销计算表!T11</f>
        <v>4133.2372</v>
      </c>
      <c r="V6" s="204">
        <f>固定资产折旧摊销计算表!U11</f>
        <v>4133.2372</v>
      </c>
      <c r="W6" s="204">
        <f>固定资产折旧摊销计算表!V11</f>
        <v>4133.2372</v>
      </c>
      <c r="X6" s="204">
        <f>固定资产折旧摊销计算表!W11</f>
        <v>4133.2372</v>
      </c>
      <c r="Y6" s="204">
        <f>固定资产折旧摊销计算表!X11</f>
        <v>4133.2372</v>
      </c>
      <c r="Z6" s="204">
        <f>固定资产折旧摊销计算表!Y11</f>
        <v>4133.2372</v>
      </c>
      <c r="AA6" s="204">
        <f>固定资产折旧摊销计算表!Z11</f>
        <v>4133.2372</v>
      </c>
      <c r="AB6" s="215">
        <f>固定资产折旧摊销计算表!AA11</f>
        <v>4133.2372</v>
      </c>
    </row>
    <row r="7" ht="26" customHeight="1" spans="1:28">
      <c r="A7" s="202">
        <v>3</v>
      </c>
      <c r="B7" s="205" t="s">
        <v>78</v>
      </c>
      <c r="C7" s="204">
        <f t="shared" si="1"/>
        <v>50486.991846509</v>
      </c>
      <c r="D7" s="204">
        <f>借款还本付息及还款计划表!E11</f>
        <v>5294.33688</v>
      </c>
      <c r="E7" s="204">
        <f>借款还本付息及还款计划表!F11</f>
        <v>5037.342648</v>
      </c>
      <c r="F7" s="204">
        <f>借款还本付息及还款计划表!G11</f>
        <v>4789.348416</v>
      </c>
      <c r="G7" s="204">
        <f>借款还本付息及还款计划表!H11</f>
        <v>4541.354184</v>
      </c>
      <c r="H7" s="204">
        <f>借款还本付息及还款计划表!I11</f>
        <v>4293.359952</v>
      </c>
      <c r="I7" s="204">
        <f>借款还本付息及还款计划表!J11</f>
        <v>4045.36572</v>
      </c>
      <c r="J7" s="204">
        <f>借款还本付息及还款计划表!K11</f>
        <v>3797.371488</v>
      </c>
      <c r="K7" s="204">
        <f>借款还本付息及还款计划表!L11</f>
        <v>3542.85722136508</v>
      </c>
      <c r="L7" s="204">
        <f>借款还本付息及还款计划表!M11</f>
        <v>3271.8664006693</v>
      </c>
      <c r="M7" s="204">
        <f>借款还本付息及还款计划表!N11</f>
        <v>2974.94155435512</v>
      </c>
      <c r="N7" s="204">
        <f>借款还本付息及还款计划表!O11</f>
        <v>2642.66489409418</v>
      </c>
      <c r="O7" s="204">
        <f>借款还本付息及还款计划表!P11</f>
        <v>2265.25575021855</v>
      </c>
      <c r="P7" s="204">
        <f>借款还本付息及还款计划表!Q11</f>
        <v>1832.20098688833</v>
      </c>
      <c r="Q7" s="204">
        <f>借款还本付息及还款计划表!R11</f>
        <v>1331.8988281659</v>
      </c>
      <c r="R7" s="204">
        <f>借款还本付息及还款计划表!S11</f>
        <v>751.299440903428</v>
      </c>
      <c r="S7" s="204">
        <f>借款还本付息及还款计划表!T11</f>
        <v>75.5274818490587</v>
      </c>
      <c r="T7" s="204">
        <f>借款还本付息及还款计划表!U11</f>
        <v>0</v>
      </c>
      <c r="U7" s="204">
        <f>借款还本付息及还款计划表!V11</f>
        <v>0</v>
      </c>
      <c r="V7" s="204">
        <f>借款还本付息及还款计划表!W11</f>
        <v>0</v>
      </c>
      <c r="W7" s="204">
        <f>借款还本付息及还款计划表!X11</f>
        <v>0</v>
      </c>
      <c r="X7" s="204">
        <f>借款还本付息及还款计划表!Y11</f>
        <v>0</v>
      </c>
      <c r="Y7" s="204">
        <f>借款还本付息及还款计划表!Z11</f>
        <v>0</v>
      </c>
      <c r="Z7" s="204">
        <f>借款还本付息及还款计划表!AA11</f>
        <v>0</v>
      </c>
      <c r="AA7" s="204">
        <f>借款还本付息及还款计划表!AB11</f>
        <v>0</v>
      </c>
      <c r="AB7" s="215">
        <f>借款还本付息及还款计划表!AC11</f>
        <v>0</v>
      </c>
    </row>
    <row r="8" ht="38" customHeight="1" spans="1:28">
      <c r="A8" s="206">
        <v>4</v>
      </c>
      <c r="B8" s="207" t="s">
        <v>79</v>
      </c>
      <c r="C8" s="208">
        <f t="shared" si="1"/>
        <v>165028.526749642</v>
      </c>
      <c r="D8" s="208">
        <f>SUM(D5:D7)</f>
        <v>9777.57408</v>
      </c>
      <c r="E8" s="208">
        <f t="shared" ref="E8:AB8" si="2">SUM(E5:E7)</f>
        <v>9527.579848</v>
      </c>
      <c r="F8" s="208">
        <f t="shared" si="2"/>
        <v>9286.725616</v>
      </c>
      <c r="G8" s="208">
        <f t="shared" si="2"/>
        <v>9046.014184</v>
      </c>
      <c r="H8" s="208">
        <f t="shared" si="2"/>
        <v>8805.448408</v>
      </c>
      <c r="I8" s="208">
        <f t="shared" si="2"/>
        <v>8565.03120112</v>
      </c>
      <c r="J8" s="208">
        <f t="shared" si="2"/>
        <v>8324.7655347424</v>
      </c>
      <c r="K8" s="208">
        <f t="shared" si="2"/>
        <v>8078.13440504233</v>
      </c>
      <c r="L8" s="208">
        <f t="shared" si="2"/>
        <v>7815.1843840201</v>
      </c>
      <c r="M8" s="208">
        <f t="shared" si="2"/>
        <v>7526.46115337292</v>
      </c>
      <c r="N8" s="208">
        <f t="shared" si="2"/>
        <v>7202.55014109234</v>
      </c>
      <c r="O8" s="208">
        <f t="shared" si="2"/>
        <v>6833.67395815668</v>
      </c>
      <c r="P8" s="208">
        <f t="shared" si="2"/>
        <v>6409.32281498522</v>
      </c>
      <c r="Q8" s="208">
        <f t="shared" si="2"/>
        <v>5917.89834882473</v>
      </c>
      <c r="R8" s="208">
        <f t="shared" si="2"/>
        <v>5346.35420797543</v>
      </c>
      <c r="S8" s="208">
        <f t="shared" si="2"/>
        <v>4679.8186002625</v>
      </c>
      <c r="T8" s="208">
        <f t="shared" si="2"/>
        <v>4613.71219678171</v>
      </c>
      <c r="U8" s="208">
        <f t="shared" si="2"/>
        <v>4623.32169671735</v>
      </c>
      <c r="V8" s="208">
        <f t="shared" si="2"/>
        <v>4633.1233866517</v>
      </c>
      <c r="W8" s="208">
        <f t="shared" si="2"/>
        <v>4643.12111038473</v>
      </c>
      <c r="X8" s="208">
        <f t="shared" si="2"/>
        <v>4653.31878859242</v>
      </c>
      <c r="Y8" s="208">
        <f t="shared" si="2"/>
        <v>4663.72042036427</v>
      </c>
      <c r="Z8" s="208">
        <f t="shared" si="2"/>
        <v>4674.33008477156</v>
      </c>
      <c r="AA8" s="208">
        <f t="shared" si="2"/>
        <v>4685.15194246699</v>
      </c>
      <c r="AB8" s="216">
        <f t="shared" si="2"/>
        <v>4696.19023731633</v>
      </c>
    </row>
    <row r="9" s="194" customFormat="1" ht="26" customHeight="1" spans="1:28">
      <c r="A9" s="202">
        <v>5</v>
      </c>
      <c r="B9" s="205" t="s">
        <v>80</v>
      </c>
      <c r="C9" s="204">
        <f t="shared" ref="C6:C10" si="3">SUM(D9:K9)</f>
        <v>68407.2341093651</v>
      </c>
      <c r="D9" s="204">
        <f>D6+D7</f>
        <v>9427.57408</v>
      </c>
      <c r="E9" s="204">
        <f t="shared" ref="E9:K9" si="4">E6+E7</f>
        <v>9170.579848</v>
      </c>
      <c r="F9" s="204">
        <f t="shared" si="4"/>
        <v>8922.585616</v>
      </c>
      <c r="G9" s="204">
        <f t="shared" si="4"/>
        <v>8674.591384</v>
      </c>
      <c r="H9" s="204">
        <f t="shared" si="4"/>
        <v>8426.597152</v>
      </c>
      <c r="I9" s="204">
        <f t="shared" si="4"/>
        <v>8178.60292</v>
      </c>
      <c r="J9" s="204">
        <f t="shared" si="4"/>
        <v>7930.608688</v>
      </c>
      <c r="K9" s="204">
        <f t="shared" si="4"/>
        <v>7676.09442136508</v>
      </c>
      <c r="L9" s="204">
        <f t="shared" ref="L9:AB9" si="5">L6+L7</f>
        <v>7405.1036006693</v>
      </c>
      <c r="M9" s="204">
        <f t="shared" si="5"/>
        <v>7108.17875435512</v>
      </c>
      <c r="N9" s="204">
        <f t="shared" si="5"/>
        <v>6775.90209409418</v>
      </c>
      <c r="O9" s="204">
        <f t="shared" si="5"/>
        <v>6398.49295021855</v>
      </c>
      <c r="P9" s="204">
        <f t="shared" si="5"/>
        <v>5965.43818688833</v>
      </c>
      <c r="Q9" s="204">
        <f t="shared" si="5"/>
        <v>5465.1360281659</v>
      </c>
      <c r="R9" s="204">
        <f t="shared" si="5"/>
        <v>4884.53664090343</v>
      </c>
      <c r="S9" s="204">
        <f t="shared" si="5"/>
        <v>4208.76468184906</v>
      </c>
      <c r="T9" s="204">
        <f t="shared" si="5"/>
        <v>4133.2372</v>
      </c>
      <c r="U9" s="204">
        <f t="shared" si="5"/>
        <v>4133.2372</v>
      </c>
      <c r="V9" s="204">
        <f t="shared" si="5"/>
        <v>4133.2372</v>
      </c>
      <c r="W9" s="204">
        <f t="shared" si="5"/>
        <v>4133.2372</v>
      </c>
      <c r="X9" s="204">
        <f t="shared" si="5"/>
        <v>4133.2372</v>
      </c>
      <c r="Y9" s="204">
        <f t="shared" si="5"/>
        <v>4133.2372</v>
      </c>
      <c r="Z9" s="204">
        <f t="shared" si="5"/>
        <v>4133.2372</v>
      </c>
      <c r="AA9" s="204">
        <f t="shared" si="5"/>
        <v>4133.2372</v>
      </c>
      <c r="AB9" s="215">
        <f t="shared" si="5"/>
        <v>4133.2372</v>
      </c>
    </row>
    <row r="10" s="194" customFormat="1" ht="26" customHeight="1" spans="1:28">
      <c r="A10" s="209">
        <v>6</v>
      </c>
      <c r="B10" s="210" t="s">
        <v>81</v>
      </c>
      <c r="C10" s="211">
        <f t="shared" si="3"/>
        <v>3004.03916753965</v>
      </c>
      <c r="D10" s="211">
        <f>D5</f>
        <v>350</v>
      </c>
      <c r="E10" s="211">
        <f t="shared" ref="E10:K10" si="6">E5</f>
        <v>357</v>
      </c>
      <c r="F10" s="211">
        <f t="shared" si="6"/>
        <v>364.14</v>
      </c>
      <c r="G10" s="211">
        <f t="shared" si="6"/>
        <v>371.4228</v>
      </c>
      <c r="H10" s="211">
        <f t="shared" si="6"/>
        <v>378.851256</v>
      </c>
      <c r="I10" s="211">
        <f t="shared" si="6"/>
        <v>386.42828112</v>
      </c>
      <c r="J10" s="211">
        <f t="shared" si="6"/>
        <v>394.1568467424</v>
      </c>
      <c r="K10" s="211">
        <f t="shared" si="6"/>
        <v>402.039983677248</v>
      </c>
      <c r="L10" s="211">
        <f t="shared" ref="L10:AB10" si="7">L5</f>
        <v>410.080783350793</v>
      </c>
      <c r="M10" s="211">
        <f t="shared" si="7"/>
        <v>418.282399017809</v>
      </c>
      <c r="N10" s="211">
        <f t="shared" si="7"/>
        <v>426.648046998165</v>
      </c>
      <c r="O10" s="211">
        <f t="shared" si="7"/>
        <v>435.181007938128</v>
      </c>
      <c r="P10" s="211">
        <f t="shared" si="7"/>
        <v>443.884628096891</v>
      </c>
      <c r="Q10" s="211">
        <f t="shared" si="7"/>
        <v>452.762320658829</v>
      </c>
      <c r="R10" s="211">
        <f t="shared" si="7"/>
        <v>461.817567072005</v>
      </c>
      <c r="S10" s="211">
        <f t="shared" si="7"/>
        <v>471.053918413445</v>
      </c>
      <c r="T10" s="211">
        <f t="shared" si="7"/>
        <v>480.474996781714</v>
      </c>
      <c r="U10" s="211">
        <f t="shared" si="7"/>
        <v>490.084496717349</v>
      </c>
      <c r="V10" s="211">
        <f t="shared" si="7"/>
        <v>499.886186651696</v>
      </c>
      <c r="W10" s="211">
        <f t="shared" si="7"/>
        <v>509.88391038473</v>
      </c>
      <c r="X10" s="211">
        <f t="shared" si="7"/>
        <v>520.081588592424</v>
      </c>
      <c r="Y10" s="211">
        <f t="shared" si="7"/>
        <v>530.483220364273</v>
      </c>
      <c r="Z10" s="211">
        <f t="shared" si="7"/>
        <v>541.092884771558</v>
      </c>
      <c r="AA10" s="211">
        <f t="shared" si="7"/>
        <v>551.914742466989</v>
      </c>
      <c r="AB10" s="217">
        <f t="shared" si="7"/>
        <v>562.953037316329</v>
      </c>
    </row>
    <row r="12" spans="4:4">
      <c r="D12" s="212"/>
    </row>
  </sheetData>
  <mergeCells count="6">
    <mergeCell ref="A1:AB1"/>
    <mergeCell ref="A2:AB2"/>
    <mergeCell ref="D3:AB3"/>
    <mergeCell ref="A3:A4"/>
    <mergeCell ref="B3:B4"/>
    <mergeCell ref="C3:C4"/>
  </mergeCells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"/>
  <sheetViews>
    <sheetView workbookViewId="0">
      <selection activeCell="H38" sqref="H38"/>
    </sheetView>
  </sheetViews>
  <sheetFormatPr defaultColWidth="9" defaultRowHeight="14.4"/>
  <cols>
    <col min="1" max="1" width="5.66666666666667" style="154" customWidth="1"/>
    <col min="2" max="2" width="24.2222222222222" style="154" customWidth="1"/>
    <col min="3" max="3" width="7.77777777777778" style="154" customWidth="1"/>
    <col min="4" max="4" width="11.2222222222222" style="154" customWidth="1"/>
    <col min="5" max="5" width="10.3333333333333" style="154" customWidth="1"/>
    <col min="6" max="6" width="9.22222222222222" style="154" customWidth="1"/>
    <col min="7" max="10" width="9" style="154" customWidth="1"/>
    <col min="11" max="11" width="10.6666666666667" style="154" customWidth="1"/>
    <col min="12" max="12" width="10.1111111111111" style="154" customWidth="1"/>
    <col min="13" max="13" width="10.3333333333333" style="154" customWidth="1"/>
    <col min="14" max="14" width="9.22222222222222" style="154" customWidth="1"/>
    <col min="15" max="18" width="9" style="154" customWidth="1"/>
    <col min="19" max="19" width="10.6666666666667" style="154" customWidth="1"/>
    <col min="20" max="20" width="10.3333333333333" style="154" customWidth="1"/>
    <col min="21" max="21" width="9.22222222222222" style="154" customWidth="1"/>
    <col min="22" max="25" width="9" style="154" customWidth="1"/>
    <col min="26" max="26" width="10.6666666666667" style="154" customWidth="1"/>
    <col min="27" max="27" width="9" style="154" customWidth="1"/>
    <col min="28" max="28" width="10.6666666666667" style="154" customWidth="1"/>
    <col min="29" max="29" width="14.6666666666667" style="154" customWidth="1"/>
    <col min="30" max="16384" width="9" style="154"/>
  </cols>
  <sheetData>
    <row r="1" ht="18" customHeight="1" spans="1:29">
      <c r="A1" s="155" t="s">
        <v>82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</row>
    <row r="2" ht="15.15" spans="1:29">
      <c r="A2" s="156" t="s">
        <v>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</row>
    <row r="3" customHeight="1" spans="1:29">
      <c r="A3" s="157" t="s">
        <v>83</v>
      </c>
      <c r="B3" s="158" t="s">
        <v>84</v>
      </c>
      <c r="C3" s="158" t="s">
        <v>85</v>
      </c>
      <c r="D3" s="159" t="s">
        <v>86</v>
      </c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87" t="s">
        <v>46</v>
      </c>
    </row>
    <row r="4" spans="1:29">
      <c r="A4" s="160"/>
      <c r="B4" s="161"/>
      <c r="C4" s="161"/>
      <c r="D4" s="162">
        <v>3</v>
      </c>
      <c r="E4" s="162">
        <v>4</v>
      </c>
      <c r="F4" s="162">
        <v>5</v>
      </c>
      <c r="G4" s="162">
        <v>6</v>
      </c>
      <c r="H4" s="162">
        <v>7</v>
      </c>
      <c r="I4" s="162">
        <v>8</v>
      </c>
      <c r="J4" s="162">
        <v>9</v>
      </c>
      <c r="K4" s="162">
        <v>10</v>
      </c>
      <c r="L4" s="162">
        <v>11</v>
      </c>
      <c r="M4" s="162">
        <v>12</v>
      </c>
      <c r="N4" s="162">
        <v>13</v>
      </c>
      <c r="O4" s="162">
        <v>14</v>
      </c>
      <c r="P4" s="162">
        <v>15</v>
      </c>
      <c r="Q4" s="162">
        <v>16</v>
      </c>
      <c r="R4" s="162">
        <v>17</v>
      </c>
      <c r="S4" s="162">
        <v>18</v>
      </c>
      <c r="T4" s="162">
        <v>19</v>
      </c>
      <c r="U4" s="162">
        <v>20</v>
      </c>
      <c r="V4" s="162">
        <v>21</v>
      </c>
      <c r="W4" s="162">
        <v>22</v>
      </c>
      <c r="X4" s="162">
        <v>23</v>
      </c>
      <c r="Y4" s="162">
        <v>24</v>
      </c>
      <c r="Z4" s="162">
        <v>25</v>
      </c>
      <c r="AA4" s="162">
        <v>26</v>
      </c>
      <c r="AB4" s="162">
        <v>27</v>
      </c>
      <c r="AC4" s="188"/>
    </row>
    <row r="5" s="151" customFormat="1" spans="1:29">
      <c r="A5" s="163" t="s">
        <v>87</v>
      </c>
      <c r="B5" s="164" t="s">
        <v>88</v>
      </c>
      <c r="C5" s="165"/>
      <c r="D5" s="166">
        <f>D6+D9+D13</f>
        <v>8448.88488736466</v>
      </c>
      <c r="E5" s="166">
        <f t="shared" ref="E5:Z5" si="0">E6+E9+E13</f>
        <v>8455.88488736466</v>
      </c>
      <c r="F5" s="166">
        <f t="shared" si="0"/>
        <v>8463.02488736466</v>
      </c>
      <c r="G5" s="166">
        <f t="shared" si="0"/>
        <v>8470.30768736466</v>
      </c>
      <c r="H5" s="166">
        <f t="shared" si="0"/>
        <v>8477.73614336466</v>
      </c>
      <c r="I5" s="166">
        <f t="shared" si="0"/>
        <v>8485.31316848466</v>
      </c>
      <c r="J5" s="166">
        <f t="shared" si="0"/>
        <v>8493.04173410706</v>
      </c>
      <c r="K5" s="166">
        <f t="shared" si="0"/>
        <v>8500.92487104191</v>
      </c>
      <c r="L5" s="166">
        <f t="shared" si="0"/>
        <v>8508.96567071545</v>
      </c>
      <c r="M5" s="166">
        <f t="shared" si="0"/>
        <v>8517.16728638247</v>
      </c>
      <c r="N5" s="166">
        <f t="shared" si="0"/>
        <v>8525.53293436282</v>
      </c>
      <c r="O5" s="166">
        <f t="shared" si="0"/>
        <v>8534.06589530279</v>
      </c>
      <c r="P5" s="166">
        <f t="shared" si="0"/>
        <v>8542.76951546155</v>
      </c>
      <c r="Q5" s="166">
        <f t="shared" si="0"/>
        <v>8551.64720802349</v>
      </c>
      <c r="R5" s="166">
        <f t="shared" si="0"/>
        <v>8560.70245443666</v>
      </c>
      <c r="S5" s="166">
        <f t="shared" si="0"/>
        <v>8569.9388057781</v>
      </c>
      <c r="T5" s="166">
        <f t="shared" si="0"/>
        <v>8579.35988414637</v>
      </c>
      <c r="U5" s="166">
        <f t="shared" si="0"/>
        <v>8588.96938408201</v>
      </c>
      <c r="V5" s="166">
        <f t="shared" si="0"/>
        <v>8598.77107401635</v>
      </c>
      <c r="W5" s="166">
        <f t="shared" si="0"/>
        <v>8608.76879774939</v>
      </c>
      <c r="X5" s="166">
        <f t="shared" si="0"/>
        <v>8618.96647595708</v>
      </c>
      <c r="Y5" s="166">
        <f t="shared" si="0"/>
        <v>8629.36810772893</v>
      </c>
      <c r="Z5" s="166">
        <f t="shared" si="0"/>
        <v>8639.97777213622</v>
      </c>
      <c r="AA5" s="166">
        <f t="shared" ref="AA5" si="1">AA6+AA9+AA13</f>
        <v>8650.79962983165</v>
      </c>
      <c r="AB5" s="166">
        <f t="shared" ref="AB5" si="2">AB6+AB9+AB13</f>
        <v>8661.83792468099</v>
      </c>
      <c r="AC5" s="189">
        <f>SUM(D5:AB5)</f>
        <v>213682.727087249</v>
      </c>
    </row>
    <row r="6" s="151" customFormat="1" spans="1:29">
      <c r="A6" s="167">
        <v>1</v>
      </c>
      <c r="B6" s="164" t="s">
        <v>89</v>
      </c>
      <c r="C6" s="165"/>
      <c r="D6" s="166">
        <f>D7*D8</f>
        <v>1345.71816</v>
      </c>
      <c r="E6" s="166">
        <f>E7*E8</f>
        <v>1794.29088</v>
      </c>
      <c r="F6" s="166">
        <f>F7*F8</f>
        <v>2691.43632</v>
      </c>
      <c r="G6" s="166">
        <f>G7*G8</f>
        <v>3140.00904</v>
      </c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89">
        <f>SUM(D6:AB6)</f>
        <v>8971.4544</v>
      </c>
    </row>
    <row r="7" s="151" customFormat="1" spans="1:29">
      <c r="A7" s="168">
        <v>1.1</v>
      </c>
      <c r="B7" s="169" t="s">
        <v>90</v>
      </c>
      <c r="C7" s="162"/>
      <c r="D7" s="146">
        <f>((1756+2741+7512+4863)*4207+(1756+2741+7512)*1560)/10000</f>
        <v>8971.4544</v>
      </c>
      <c r="E7" s="146">
        <f>((1756+2741+7512+4863)*4207+(1756+2741+7512)*1560)/10000</f>
        <v>8971.4544</v>
      </c>
      <c r="F7" s="146">
        <f>((1756+2741+7512+4863)*4207+(1756+2741+7512)*1560)/10000</f>
        <v>8971.4544</v>
      </c>
      <c r="G7" s="146">
        <f>((1756+2741+7512+4863)*4207+(1756+2741+7512)*1560)/10000</f>
        <v>8971.4544</v>
      </c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89"/>
    </row>
    <row r="8" s="151" customFormat="1" spans="1:29">
      <c r="A8" s="168">
        <v>1.2</v>
      </c>
      <c r="B8" s="169" t="s">
        <v>91</v>
      </c>
      <c r="C8" s="162"/>
      <c r="D8" s="146">
        <v>0.15</v>
      </c>
      <c r="E8" s="146">
        <v>0.2</v>
      </c>
      <c r="F8" s="146">
        <v>0.3</v>
      </c>
      <c r="G8" s="146">
        <v>0.35</v>
      </c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89">
        <f>SUM(D8:AB8)</f>
        <v>1</v>
      </c>
    </row>
    <row r="9" s="151" customFormat="1" spans="1:29">
      <c r="A9" s="167">
        <v>2</v>
      </c>
      <c r="B9" s="164" t="s">
        <v>92</v>
      </c>
      <c r="C9" s="165"/>
      <c r="D9" s="166">
        <f>D10*D11*D12</f>
        <v>69.204</v>
      </c>
      <c r="E9" s="166">
        <f t="shared" ref="E9:Z9" si="3">E10*E11*E12</f>
        <v>164.70552</v>
      </c>
      <c r="F9" s="166">
        <f t="shared" si="3"/>
        <v>311.9993136</v>
      </c>
      <c r="G9" s="166">
        <f t="shared" si="3"/>
        <v>489.59892288</v>
      </c>
      <c r="H9" s="166">
        <f t="shared" si="3"/>
        <v>499.3909013376</v>
      </c>
      <c r="I9" s="166">
        <f t="shared" si="3"/>
        <v>509.378719364352</v>
      </c>
      <c r="J9" s="166">
        <f t="shared" si="3"/>
        <v>519.566293751639</v>
      </c>
      <c r="K9" s="166">
        <f t="shared" si="3"/>
        <v>529.957619626672</v>
      </c>
      <c r="L9" s="166">
        <f t="shared" si="3"/>
        <v>540.556772019205</v>
      </c>
      <c r="M9" s="166">
        <f t="shared" si="3"/>
        <v>551.367907459589</v>
      </c>
      <c r="N9" s="166">
        <f t="shared" si="3"/>
        <v>562.395265608781</v>
      </c>
      <c r="O9" s="166">
        <f t="shared" si="3"/>
        <v>573.643170920957</v>
      </c>
      <c r="P9" s="166">
        <f t="shared" si="3"/>
        <v>585.116034339376</v>
      </c>
      <c r="Q9" s="166">
        <f t="shared" si="3"/>
        <v>596.818355026163</v>
      </c>
      <c r="R9" s="166">
        <f t="shared" si="3"/>
        <v>608.754722126687</v>
      </c>
      <c r="S9" s="166">
        <f t="shared" si="3"/>
        <v>620.92981656922</v>
      </c>
      <c r="T9" s="166">
        <f t="shared" si="3"/>
        <v>633.348412900605</v>
      </c>
      <c r="U9" s="166">
        <f t="shared" si="3"/>
        <v>646.015381158617</v>
      </c>
      <c r="V9" s="166">
        <f t="shared" si="3"/>
        <v>658.935688781789</v>
      </c>
      <c r="W9" s="166">
        <f t="shared" si="3"/>
        <v>672.114402557425</v>
      </c>
      <c r="X9" s="166">
        <f t="shared" si="3"/>
        <v>685.556690608574</v>
      </c>
      <c r="Y9" s="166">
        <f t="shared" si="3"/>
        <v>699.267824420745</v>
      </c>
      <c r="Z9" s="166">
        <f t="shared" si="3"/>
        <v>713.25318090916</v>
      </c>
      <c r="AA9" s="166">
        <f t="shared" ref="AA9" si="4">AA10*AA11*AA12</f>
        <v>727.518244527343</v>
      </c>
      <c r="AB9" s="166">
        <f t="shared" ref="AB9" si="5">AB10*AB11*AB12</f>
        <v>742.06860941789</v>
      </c>
      <c r="AC9" s="189">
        <f t="shared" ref="AC9" si="6">SUM(D9:AB9)</f>
        <v>13911.4617699124</v>
      </c>
    </row>
    <row r="10" spans="1:29">
      <c r="A10" s="168"/>
      <c r="B10" s="169" t="s">
        <v>93</v>
      </c>
      <c r="C10" s="162"/>
      <c r="D10" s="146">
        <f>(4207+1560)/1000</f>
        <v>5.767</v>
      </c>
      <c r="E10" s="146">
        <f>D10</f>
        <v>5.767</v>
      </c>
      <c r="F10" s="146">
        <f t="shared" ref="F10:Z12" si="7">E10</f>
        <v>5.767</v>
      </c>
      <c r="G10" s="146">
        <f t="shared" si="7"/>
        <v>5.767</v>
      </c>
      <c r="H10" s="146">
        <f t="shared" si="7"/>
        <v>5.767</v>
      </c>
      <c r="I10" s="146">
        <f t="shared" si="7"/>
        <v>5.767</v>
      </c>
      <c r="J10" s="146">
        <f t="shared" si="7"/>
        <v>5.767</v>
      </c>
      <c r="K10" s="146">
        <f t="shared" si="7"/>
        <v>5.767</v>
      </c>
      <c r="L10" s="146">
        <f t="shared" si="7"/>
        <v>5.767</v>
      </c>
      <c r="M10" s="146">
        <f t="shared" si="7"/>
        <v>5.767</v>
      </c>
      <c r="N10" s="146">
        <f t="shared" si="7"/>
        <v>5.767</v>
      </c>
      <c r="O10" s="146">
        <f t="shared" si="7"/>
        <v>5.767</v>
      </c>
      <c r="P10" s="146">
        <f t="shared" si="7"/>
        <v>5.767</v>
      </c>
      <c r="Q10" s="146">
        <f t="shared" si="7"/>
        <v>5.767</v>
      </c>
      <c r="R10" s="146">
        <f t="shared" si="7"/>
        <v>5.767</v>
      </c>
      <c r="S10" s="146">
        <f t="shared" si="7"/>
        <v>5.767</v>
      </c>
      <c r="T10" s="146">
        <f t="shared" si="7"/>
        <v>5.767</v>
      </c>
      <c r="U10" s="146">
        <f t="shared" si="7"/>
        <v>5.767</v>
      </c>
      <c r="V10" s="146">
        <f t="shared" si="7"/>
        <v>5.767</v>
      </c>
      <c r="W10" s="146">
        <f t="shared" si="7"/>
        <v>5.767</v>
      </c>
      <c r="X10" s="146">
        <f t="shared" si="7"/>
        <v>5.767</v>
      </c>
      <c r="Y10" s="146">
        <f t="shared" si="7"/>
        <v>5.767</v>
      </c>
      <c r="Z10" s="146">
        <f t="shared" si="7"/>
        <v>5.767</v>
      </c>
      <c r="AA10" s="146">
        <f t="shared" ref="AA10:AB10" si="8">Z10</f>
        <v>5.767</v>
      </c>
      <c r="AB10" s="146">
        <f t="shared" si="8"/>
        <v>5.767</v>
      </c>
      <c r="AC10" s="188"/>
    </row>
    <row r="11" s="152" customFormat="1" spans="1:29">
      <c r="A11" s="170"/>
      <c r="B11" s="171" t="s">
        <v>94</v>
      </c>
      <c r="C11" s="172"/>
      <c r="D11" s="172">
        <v>80</v>
      </c>
      <c r="E11" s="172">
        <f>D11*1.02</f>
        <v>81.6</v>
      </c>
      <c r="F11" s="172">
        <f t="shared" ref="F11:Z11" si="9">E11*1.02</f>
        <v>83.232</v>
      </c>
      <c r="G11" s="172">
        <f t="shared" si="9"/>
        <v>84.89664</v>
      </c>
      <c r="H11" s="172">
        <f t="shared" si="9"/>
        <v>86.5945728</v>
      </c>
      <c r="I11" s="172">
        <f t="shared" si="9"/>
        <v>88.326464256</v>
      </c>
      <c r="J11" s="172">
        <f t="shared" si="9"/>
        <v>90.09299354112</v>
      </c>
      <c r="K11" s="172">
        <f t="shared" si="9"/>
        <v>91.8948534119424</v>
      </c>
      <c r="L11" s="172">
        <f t="shared" si="9"/>
        <v>93.7327504801813</v>
      </c>
      <c r="M11" s="172">
        <f t="shared" si="9"/>
        <v>95.6074054897849</v>
      </c>
      <c r="N11" s="172">
        <f t="shared" si="9"/>
        <v>97.5195535995806</v>
      </c>
      <c r="O11" s="172">
        <f t="shared" si="9"/>
        <v>99.4699446715722</v>
      </c>
      <c r="P11" s="172">
        <f t="shared" si="9"/>
        <v>101.459343565004</v>
      </c>
      <c r="Q11" s="172">
        <f t="shared" si="9"/>
        <v>103.488530436304</v>
      </c>
      <c r="R11" s="172">
        <f t="shared" si="9"/>
        <v>105.55830104503</v>
      </c>
      <c r="S11" s="172">
        <f t="shared" si="9"/>
        <v>107.66946706593</v>
      </c>
      <c r="T11" s="172">
        <f t="shared" si="9"/>
        <v>109.822856407249</v>
      </c>
      <c r="U11" s="172">
        <f t="shared" si="9"/>
        <v>112.019313535394</v>
      </c>
      <c r="V11" s="172">
        <f t="shared" si="9"/>
        <v>114.259699806102</v>
      </c>
      <c r="W11" s="172">
        <f t="shared" si="9"/>
        <v>116.544893802224</v>
      </c>
      <c r="X11" s="172">
        <f t="shared" si="9"/>
        <v>118.875791678268</v>
      </c>
      <c r="Y11" s="172">
        <f t="shared" si="9"/>
        <v>121.253307511834</v>
      </c>
      <c r="Z11" s="172">
        <f t="shared" si="9"/>
        <v>123.67837366207</v>
      </c>
      <c r="AA11" s="172">
        <f t="shared" ref="AA11:AB11" si="10">Z11*1.02</f>
        <v>126.151941135312</v>
      </c>
      <c r="AB11" s="172">
        <f t="shared" si="10"/>
        <v>128.674979958018</v>
      </c>
      <c r="AC11" s="190"/>
    </row>
    <row r="12" s="153" customFormat="1" spans="1:29">
      <c r="A12" s="173"/>
      <c r="B12" s="174" t="s">
        <v>95</v>
      </c>
      <c r="C12" s="175"/>
      <c r="D12" s="175">
        <v>0.15</v>
      </c>
      <c r="E12" s="175">
        <f>20%+D12</f>
        <v>0.35</v>
      </c>
      <c r="F12" s="175">
        <f>30%+E12</f>
        <v>0.65</v>
      </c>
      <c r="G12" s="175">
        <f>35%+F12</f>
        <v>1</v>
      </c>
      <c r="H12" s="175">
        <f>G12</f>
        <v>1</v>
      </c>
      <c r="I12" s="175">
        <f t="shared" si="7"/>
        <v>1</v>
      </c>
      <c r="J12" s="175">
        <f t="shared" si="7"/>
        <v>1</v>
      </c>
      <c r="K12" s="175">
        <f t="shared" si="7"/>
        <v>1</v>
      </c>
      <c r="L12" s="175">
        <f t="shared" si="7"/>
        <v>1</v>
      </c>
      <c r="M12" s="175">
        <f t="shared" si="7"/>
        <v>1</v>
      </c>
      <c r="N12" s="175">
        <f t="shared" si="7"/>
        <v>1</v>
      </c>
      <c r="O12" s="175">
        <f t="shared" si="7"/>
        <v>1</v>
      </c>
      <c r="P12" s="175">
        <f t="shared" si="7"/>
        <v>1</v>
      </c>
      <c r="Q12" s="175">
        <f t="shared" si="7"/>
        <v>1</v>
      </c>
      <c r="R12" s="175">
        <f t="shared" si="7"/>
        <v>1</v>
      </c>
      <c r="S12" s="175">
        <f t="shared" si="7"/>
        <v>1</v>
      </c>
      <c r="T12" s="175">
        <f t="shared" si="7"/>
        <v>1</v>
      </c>
      <c r="U12" s="175">
        <f t="shared" si="7"/>
        <v>1</v>
      </c>
      <c r="V12" s="175">
        <f t="shared" si="7"/>
        <v>1</v>
      </c>
      <c r="W12" s="175">
        <f t="shared" si="7"/>
        <v>1</v>
      </c>
      <c r="X12" s="175">
        <f t="shared" si="7"/>
        <v>1</v>
      </c>
      <c r="Y12" s="175">
        <f t="shared" si="7"/>
        <v>1</v>
      </c>
      <c r="Z12" s="175">
        <f t="shared" si="7"/>
        <v>1</v>
      </c>
      <c r="AA12" s="175">
        <f t="shared" ref="AA12:AB12" si="11">Z12</f>
        <v>1</v>
      </c>
      <c r="AB12" s="175">
        <f t="shared" si="11"/>
        <v>1</v>
      </c>
      <c r="AC12" s="191"/>
    </row>
    <row r="13" s="151" customFormat="1" spans="1:29">
      <c r="A13" s="167">
        <v>3</v>
      </c>
      <c r="B13" s="164" t="s">
        <v>96</v>
      </c>
      <c r="C13" s="165"/>
      <c r="D13" s="166">
        <f>(基础数据!$D$5*6%*((1+6%)^25)/(((1+6%)^25)-1))-(D6+D9-总成本费用估算表!D5)</f>
        <v>7033.96272736466</v>
      </c>
      <c r="E13" s="166">
        <f>(基础数据!$D$5*6%*((1+6%)^25)/(((1+6%)^25)-1))-(E6+E9-总成本费用估算表!E5)</f>
        <v>6496.88848736466</v>
      </c>
      <c r="F13" s="166">
        <f>(基础数据!$D$5*6%*((1+6%)^25)/(((1+6%)^25)-1))-(F6+F9-总成本费用估算表!F5)</f>
        <v>5459.58925376466</v>
      </c>
      <c r="G13" s="166">
        <f>(基础数据!$D$5*6%*((1+6%)^25)/(((1+6%)^25)-1))-(G6+G9-总成本费用估算表!G5)</f>
        <v>4840.69972448466</v>
      </c>
      <c r="H13" s="166">
        <f>(基础数据!$D$5*6%*((1+6%)^25)/(((1+6%)^25)-1))-(H6+H9-总成本费用估算表!H5)</f>
        <v>7978.34524202706</v>
      </c>
      <c r="I13" s="166">
        <f>(基础数据!$D$5*6%*((1+6%)^25)/(((1+6%)^25)-1))-(I6+I9-总成本费用估算表!I5)</f>
        <v>7975.93444912031</v>
      </c>
      <c r="J13" s="166">
        <f>(基础数据!$D$5*6%*((1+6%)^25)/(((1+6%)^25)-1))-(J6+J9-总成本费用估算表!J5)</f>
        <v>7973.47544035542</v>
      </c>
      <c r="K13" s="166">
        <f>(基础数据!$D$5*6%*((1+6%)^25)/(((1+6%)^25)-1))-(K6+K9-总成本费用估算表!K5)</f>
        <v>7970.96725141523</v>
      </c>
      <c r="L13" s="166">
        <f>(基础数据!$D$5*6%*((1+6%)^25)/(((1+6%)^25)-1))-(L6+L9-总成本费用估算表!L5)</f>
        <v>7968.40889869625</v>
      </c>
      <c r="M13" s="166">
        <f>(基础数据!$D$5*6%*((1+6%)^25)/(((1+6%)^25)-1))-(M6+M9-总成本费用估算表!M5)</f>
        <v>7965.79937892288</v>
      </c>
      <c r="N13" s="166">
        <f>(基础数据!$D$5*6%*((1+6%)^25)/(((1+6%)^25)-1))-(N6+N9-总成本费用估算表!N5)</f>
        <v>7963.13766875404</v>
      </c>
      <c r="O13" s="166">
        <f>(基础数据!$D$5*6%*((1+6%)^25)/(((1+6%)^25)-1))-(O6+O9-总成本费用估算表!O5)</f>
        <v>7960.42272438183</v>
      </c>
      <c r="P13" s="166">
        <f>(基础数据!$D$5*6%*((1+6%)^25)/(((1+6%)^25)-1))-(P6+P9-总成本费用估算表!P5)</f>
        <v>7957.65348112217</v>
      </c>
      <c r="Q13" s="166">
        <f>(基础数据!$D$5*6%*((1+6%)^25)/(((1+6%)^25)-1))-(Q6+Q9-总成本费用估算表!Q5)</f>
        <v>7954.82885299732</v>
      </c>
      <c r="R13" s="166">
        <f>(基础数据!$D$5*6%*((1+6%)^25)/(((1+6%)^25)-1))-(R6+R9-总成本费用估算表!R5)</f>
        <v>7951.94773230998</v>
      </c>
      <c r="S13" s="166">
        <f>(基础数据!$D$5*6%*((1+6%)^25)/(((1+6%)^25)-1))-(S6+S9-总成本费用估算表!S5)</f>
        <v>7949.00898920888</v>
      </c>
      <c r="T13" s="166">
        <f>(基础数据!$D$5*6%*((1+6%)^25)/(((1+6%)^25)-1))-(T6+T9-总成本费用估算表!T5)</f>
        <v>7946.01147124577</v>
      </c>
      <c r="U13" s="166">
        <f>(基础数据!$D$5*6%*((1+6%)^25)/(((1+6%)^25)-1))-(U6+U9-总成本费用估算表!U5)</f>
        <v>7942.95400292339</v>
      </c>
      <c r="V13" s="166">
        <f>(基础数据!$D$5*6%*((1+6%)^25)/(((1+6%)^25)-1))-(V6+V9-总成本费用估算表!V5)</f>
        <v>7939.83538523457</v>
      </c>
      <c r="W13" s="166">
        <f>(基础数据!$D$5*6%*((1+6%)^25)/(((1+6%)^25)-1))-(W6+W9-总成本费用估算表!W5)</f>
        <v>7936.65439519196</v>
      </c>
      <c r="X13" s="166">
        <f>(基础数据!$D$5*6%*((1+6%)^25)/(((1+6%)^25)-1))-(X6+X9-总成本费用估算表!X5)</f>
        <v>7933.40978534851</v>
      </c>
      <c r="Y13" s="166">
        <f>(基础数据!$D$5*6%*((1+6%)^25)/(((1+6%)^25)-1))-(Y6+Y9-总成本费用估算表!Y5)</f>
        <v>7930.10028330819</v>
      </c>
      <c r="Z13" s="166">
        <f>(基础数据!$D$5*6%*((1+6%)^25)/(((1+6%)^25)-1))-(Z6+Z9-总成本费用估算表!Z5)</f>
        <v>7926.72459122706</v>
      </c>
      <c r="AA13" s="166">
        <f>(基础数据!$D$5*6%*((1+6%)^25)/(((1+6%)^25)-1))-(AA6+AA9-总成本费用估算表!AA5)</f>
        <v>7923.2813853043</v>
      </c>
      <c r="AB13" s="166">
        <f>(基础数据!$D$5*6%*((1+6%)^25)/(((1+6%)^25)-1))-(AB6+AB9-总成本费用估算表!AB5)</f>
        <v>7919.7693152631</v>
      </c>
      <c r="AC13" s="189">
        <f t="shared" ref="AC13:AC19" si="12">SUM(D13:AB13)</f>
        <v>190799.810917337</v>
      </c>
    </row>
    <row r="14" s="151" customFormat="1" spans="1:29">
      <c r="A14" s="163" t="s">
        <v>97</v>
      </c>
      <c r="B14" s="165" t="s">
        <v>98</v>
      </c>
      <c r="C14" s="176"/>
      <c r="D14" s="177">
        <f>D15+D18+D19</f>
        <v>118.196765866667</v>
      </c>
      <c r="E14" s="177">
        <f t="shared" ref="E14:Z14" si="13">E15+E18+E19</f>
        <v>177.807168</v>
      </c>
      <c r="F14" s="177">
        <f t="shared" si="13"/>
        <v>292.938037891459</v>
      </c>
      <c r="G14" s="177">
        <f t="shared" si="13"/>
        <v>361.629200060195</v>
      </c>
      <c r="H14" s="177">
        <f t="shared" si="13"/>
        <v>13.3788146897228</v>
      </c>
      <c r="I14" s="177">
        <f t="shared" si="13"/>
        <v>13.6463909835173</v>
      </c>
      <c r="J14" s="177">
        <f t="shared" si="13"/>
        <v>13.9193188031876</v>
      </c>
      <c r="K14" s="177">
        <f t="shared" si="13"/>
        <v>14.1977051792514</v>
      </c>
      <c r="L14" s="177">
        <f t="shared" si="13"/>
        <v>14.4816592828364</v>
      </c>
      <c r="M14" s="177">
        <f t="shared" si="13"/>
        <v>14.7712924684931</v>
      </c>
      <c r="N14" s="177">
        <f t="shared" si="13"/>
        <v>15.0667183178629</v>
      </c>
      <c r="O14" s="177">
        <f t="shared" si="13"/>
        <v>15.3680526842203</v>
      </c>
      <c r="P14" s="177">
        <f t="shared" si="13"/>
        <v>15.6754137379047</v>
      </c>
      <c r="Q14" s="177">
        <f t="shared" si="13"/>
        <v>15.9889220126627</v>
      </c>
      <c r="R14" s="177">
        <f t="shared" si="13"/>
        <v>16.308700452916</v>
      </c>
      <c r="S14" s="177">
        <f t="shared" si="13"/>
        <v>16.6348744619742</v>
      </c>
      <c r="T14" s="177">
        <f t="shared" si="13"/>
        <v>16.9675719512138</v>
      </c>
      <c r="U14" s="177">
        <f t="shared" si="13"/>
        <v>17.3069233902381</v>
      </c>
      <c r="V14" s="177">
        <f t="shared" si="13"/>
        <v>17.6530618580428</v>
      </c>
      <c r="W14" s="177">
        <f t="shared" si="13"/>
        <v>18.0061230952037</v>
      </c>
      <c r="X14" s="177">
        <f t="shared" si="13"/>
        <v>18.3662455571078</v>
      </c>
      <c r="Y14" s="177">
        <f t="shared" si="13"/>
        <v>18.7335704682499</v>
      </c>
      <c r="Z14" s="177">
        <f t="shared" si="13"/>
        <v>19.1082418776149</v>
      </c>
      <c r="AA14" s="177">
        <f t="shared" ref="AA14" si="14">AA15+AA18+AA19</f>
        <v>19.4904067151672</v>
      </c>
      <c r="AB14" s="177">
        <f t="shared" ref="AB14" si="15">AB15+AB18+AB19</f>
        <v>19.8802148494705</v>
      </c>
      <c r="AC14" s="189">
        <f t="shared" si="12"/>
        <v>1295.52139465518</v>
      </c>
    </row>
    <row r="15" spans="1:29">
      <c r="A15" s="178">
        <v>1</v>
      </c>
      <c r="B15" s="179" t="s">
        <v>99</v>
      </c>
      <c r="C15" s="180"/>
      <c r="D15" s="181">
        <f>D16-D17</f>
        <v>105.532826666667</v>
      </c>
      <c r="E15" s="181">
        <f t="shared" ref="E15:M15" si="16">E16-E17</f>
        <v>158.7564</v>
      </c>
      <c r="F15" s="181">
        <f t="shared" si="16"/>
        <v>261.551819545946</v>
      </c>
      <c r="G15" s="181">
        <f t="shared" si="16"/>
        <v>322.883214339459</v>
      </c>
      <c r="H15" s="181">
        <f t="shared" si="16"/>
        <v>11.9453702586811</v>
      </c>
      <c r="I15" s="181">
        <f t="shared" si="16"/>
        <v>12.1842776638547</v>
      </c>
      <c r="J15" s="181">
        <f t="shared" si="16"/>
        <v>12.4279632171318</v>
      </c>
      <c r="K15" s="181">
        <f t="shared" si="16"/>
        <v>12.6765224814744</v>
      </c>
      <c r="L15" s="181">
        <f t="shared" si="16"/>
        <v>12.9300529311039</v>
      </c>
      <c r="M15" s="181">
        <f t="shared" si="16"/>
        <v>13.1886539897259</v>
      </c>
      <c r="N15" s="181">
        <f t="shared" ref="N15:Z15" si="17">N16-N17</f>
        <v>13.4524270695205</v>
      </c>
      <c r="O15" s="181">
        <f t="shared" si="17"/>
        <v>13.7214756109109</v>
      </c>
      <c r="P15" s="181">
        <f t="shared" si="17"/>
        <v>13.9959051231292</v>
      </c>
      <c r="Q15" s="181">
        <f t="shared" si="17"/>
        <v>14.2758232255917</v>
      </c>
      <c r="R15" s="181">
        <f t="shared" si="17"/>
        <v>14.5613396901036</v>
      </c>
      <c r="S15" s="181">
        <f t="shared" si="17"/>
        <v>14.8525664839056</v>
      </c>
      <c r="T15" s="181">
        <f t="shared" si="17"/>
        <v>15.1496178135838</v>
      </c>
      <c r="U15" s="181">
        <f t="shared" si="17"/>
        <v>15.4526101698554</v>
      </c>
      <c r="V15" s="181">
        <f t="shared" si="17"/>
        <v>15.7616623732525</v>
      </c>
      <c r="W15" s="181">
        <f t="shared" si="17"/>
        <v>16.0768956207176</v>
      </c>
      <c r="X15" s="181">
        <f t="shared" si="17"/>
        <v>16.398433533132</v>
      </c>
      <c r="Y15" s="181">
        <f t="shared" si="17"/>
        <v>16.7264022037945</v>
      </c>
      <c r="Z15" s="181">
        <f t="shared" si="17"/>
        <v>17.0609302478705</v>
      </c>
      <c r="AA15" s="181">
        <f t="shared" ref="AA15:AB15" si="18">AA16-AA17</f>
        <v>17.4021488528279</v>
      </c>
      <c r="AB15" s="181">
        <f t="shared" si="18"/>
        <v>17.7501918298844</v>
      </c>
      <c r="AC15" s="192">
        <f t="shared" si="12"/>
        <v>1156.71553094212</v>
      </c>
    </row>
    <row r="16" spans="1:29">
      <c r="A16" s="178">
        <v>1.1</v>
      </c>
      <c r="B16" s="179" t="s">
        <v>100</v>
      </c>
      <c r="C16" s="182">
        <v>0.11</v>
      </c>
      <c r="D16" s="181">
        <f>(D6+D9)/(1+$C$16)*$C$16</f>
        <v>140.217511351351</v>
      </c>
      <c r="E16" s="181">
        <f t="shared" ref="E16:Z16" si="19">(E6+E9)/(1+$C$16)*$C$16</f>
        <v>194.134778378378</v>
      </c>
      <c r="F16" s="181">
        <f t="shared" si="19"/>
        <v>297.637765491892</v>
      </c>
      <c r="G16" s="181">
        <f t="shared" si="19"/>
        <v>359.690879204324</v>
      </c>
      <c r="H16" s="181">
        <f t="shared" si="19"/>
        <v>49.4891884208432</v>
      </c>
      <c r="I16" s="181">
        <f t="shared" si="19"/>
        <v>50.4789721892601</v>
      </c>
      <c r="J16" s="181">
        <f t="shared" si="19"/>
        <v>51.4885516330453</v>
      </c>
      <c r="K16" s="181">
        <f t="shared" si="19"/>
        <v>52.5183226657062</v>
      </c>
      <c r="L16" s="181">
        <f t="shared" si="19"/>
        <v>53.5686891190203</v>
      </c>
      <c r="M16" s="181">
        <f t="shared" si="19"/>
        <v>54.6400629014007</v>
      </c>
      <c r="N16" s="181">
        <f t="shared" si="19"/>
        <v>55.7328641594287</v>
      </c>
      <c r="O16" s="181">
        <f t="shared" si="19"/>
        <v>56.8475214426173</v>
      </c>
      <c r="P16" s="181">
        <f t="shared" si="19"/>
        <v>57.9844718714697</v>
      </c>
      <c r="Q16" s="181">
        <f t="shared" si="19"/>
        <v>59.144161308899</v>
      </c>
      <c r="R16" s="181">
        <f t="shared" si="19"/>
        <v>60.3270445350771</v>
      </c>
      <c r="S16" s="181">
        <f t="shared" si="19"/>
        <v>61.5335854257785</v>
      </c>
      <c r="T16" s="181">
        <f t="shared" si="19"/>
        <v>62.7642571342942</v>
      </c>
      <c r="U16" s="181">
        <f t="shared" si="19"/>
        <v>64.01954227698</v>
      </c>
      <c r="V16" s="181">
        <f t="shared" si="19"/>
        <v>65.2999331225196</v>
      </c>
      <c r="W16" s="181">
        <f t="shared" si="19"/>
        <v>66.60593178497</v>
      </c>
      <c r="X16" s="181">
        <f t="shared" si="19"/>
        <v>67.9380504206695</v>
      </c>
      <c r="Y16" s="181">
        <f t="shared" si="19"/>
        <v>69.2968114290828</v>
      </c>
      <c r="Z16" s="181">
        <f t="shared" si="19"/>
        <v>70.6827476576645</v>
      </c>
      <c r="AA16" s="181">
        <f t="shared" ref="AA16:AB16" si="20">(AA6+AA9)/(1+$C$16)*$C$16</f>
        <v>72.0964026108178</v>
      </c>
      <c r="AB16" s="181">
        <f t="shared" si="20"/>
        <v>73.5383306630341</v>
      </c>
      <c r="AC16" s="192">
        <f t="shared" si="12"/>
        <v>2267.67637719852</v>
      </c>
    </row>
    <row r="17" spans="1:29">
      <c r="A17" s="178">
        <v>1.2</v>
      </c>
      <c r="B17" s="179" t="s">
        <v>101</v>
      </c>
      <c r="C17" s="182">
        <v>0.11</v>
      </c>
      <c r="D17" s="181">
        <f>总成本费用估算表!D5/(1+$C$17)*$C$17</f>
        <v>34.6846846846847</v>
      </c>
      <c r="E17" s="181">
        <f>总成本费用估算表!E5/(1+$C$17)*$C$17</f>
        <v>35.3783783783784</v>
      </c>
      <c r="F17" s="181">
        <f>总成本费用估算表!F5/(1+$C$17)*$C$17</f>
        <v>36.0859459459459</v>
      </c>
      <c r="G17" s="181">
        <f>总成本费用估算表!G5/(1+$C$17)*$C$17</f>
        <v>36.8076648648649</v>
      </c>
      <c r="H17" s="181">
        <f>总成本费用估算表!H5/(1+$C$17)*$C$17</f>
        <v>37.5438181621622</v>
      </c>
      <c r="I17" s="181">
        <f>总成本费用估算表!I5/(1+$C$17)*$C$17</f>
        <v>38.2946945254054</v>
      </c>
      <c r="J17" s="181">
        <f>总成本费用估算表!J5/(1+$C$17)*$C$17</f>
        <v>39.0605884159135</v>
      </c>
      <c r="K17" s="181">
        <f>总成本费用估算表!K5/(1+$C$17)*$C$17</f>
        <v>39.8418001842318</v>
      </c>
      <c r="L17" s="181">
        <f>总成本费用估算表!L5/(1+$C$17)*$C$17</f>
        <v>40.6386361879164</v>
      </c>
      <c r="M17" s="181">
        <f>总成本费用估算表!M5/(1+$C$17)*$C$17</f>
        <v>41.4514089116748</v>
      </c>
      <c r="N17" s="181">
        <f>总成本费用估算表!N5/(1+$C$17)*$C$17</f>
        <v>42.2804370899082</v>
      </c>
      <c r="O17" s="181">
        <f>总成本费用估算表!O5/(1+$C$17)*$C$17</f>
        <v>43.1260458317064</v>
      </c>
      <c r="P17" s="181">
        <f>总成本费用估算表!P5/(1+$C$17)*$C$17</f>
        <v>43.9885667483405</v>
      </c>
      <c r="Q17" s="181">
        <f>总成本费用估算表!Q5/(1+$C$17)*$C$17</f>
        <v>44.8683380833073</v>
      </c>
      <c r="R17" s="181">
        <f>总成本费用估算表!R5/(1+$C$17)*$C$17</f>
        <v>45.7657048449735</v>
      </c>
      <c r="S17" s="181">
        <f>总成本费用估算表!S5/(1+$C$17)*$C$17</f>
        <v>46.681018941873</v>
      </c>
      <c r="T17" s="181">
        <f>总成本费用估算表!T5/(1+$C$17)*$C$17</f>
        <v>47.6146393207104</v>
      </c>
      <c r="U17" s="181">
        <f>总成本费用估算表!U5/(1+$C$17)*$C$17</f>
        <v>48.5669321071246</v>
      </c>
      <c r="V17" s="181">
        <f>总成本费用估算表!V5/(1+$C$17)*$C$17</f>
        <v>49.5382707492671</v>
      </c>
      <c r="W17" s="181">
        <f>总成本费用估算表!W5/(1+$C$17)*$C$17</f>
        <v>50.5290361642525</v>
      </c>
      <c r="X17" s="181">
        <f>总成本费用估算表!X5/(1+$C$17)*$C$17</f>
        <v>51.5396168875375</v>
      </c>
      <c r="Y17" s="181">
        <f>总成本费用估算表!Y5/(1+$C$17)*$C$17</f>
        <v>52.5704092252883</v>
      </c>
      <c r="Z17" s="181">
        <f>总成本费用估算表!Z5/(1+$C$17)*$C$17</f>
        <v>53.621817409794</v>
      </c>
      <c r="AA17" s="181">
        <f>总成本费用估算表!AA5/(1+$C$17)*$C$17</f>
        <v>54.6942537579899</v>
      </c>
      <c r="AB17" s="181">
        <f>总成本费用估算表!AB5/(1+$C$17)*$C$17</f>
        <v>55.7881388331497</v>
      </c>
      <c r="AC17" s="192">
        <f t="shared" si="12"/>
        <v>1110.9608462564</v>
      </c>
    </row>
    <row r="18" ht="28.8" spans="1:29">
      <c r="A18" s="178">
        <v>2</v>
      </c>
      <c r="B18" s="179" t="s">
        <v>102</v>
      </c>
      <c r="C18" s="182">
        <v>0.07</v>
      </c>
      <c r="D18" s="181">
        <f>D15*$C$18</f>
        <v>7.38729786666667</v>
      </c>
      <c r="E18" s="181">
        <f t="shared" ref="E18:Z18" si="21">E15*$C$18</f>
        <v>11.112948</v>
      </c>
      <c r="F18" s="181">
        <f t="shared" si="21"/>
        <v>18.3086273682162</v>
      </c>
      <c r="G18" s="181">
        <f t="shared" si="21"/>
        <v>22.6018250037622</v>
      </c>
      <c r="H18" s="181">
        <f t="shared" si="21"/>
        <v>0.836175918107676</v>
      </c>
      <c r="I18" s="181">
        <f t="shared" si="21"/>
        <v>0.852899436469829</v>
      </c>
      <c r="J18" s="181">
        <f t="shared" si="21"/>
        <v>0.869957425199225</v>
      </c>
      <c r="K18" s="181">
        <f t="shared" si="21"/>
        <v>0.887356573703212</v>
      </c>
      <c r="L18" s="181">
        <f t="shared" si="21"/>
        <v>0.905103705177273</v>
      </c>
      <c r="M18" s="181">
        <f t="shared" si="21"/>
        <v>0.923205779280817</v>
      </c>
      <c r="N18" s="181">
        <f t="shared" si="21"/>
        <v>0.941669894866434</v>
      </c>
      <c r="O18" s="181">
        <f t="shared" si="21"/>
        <v>0.960503292763766</v>
      </c>
      <c r="P18" s="181">
        <f t="shared" si="21"/>
        <v>0.979713358619041</v>
      </c>
      <c r="Q18" s="181">
        <f t="shared" si="21"/>
        <v>0.999307625791417</v>
      </c>
      <c r="R18" s="181">
        <f t="shared" si="21"/>
        <v>1.01929377830725</v>
      </c>
      <c r="S18" s="181">
        <f t="shared" si="21"/>
        <v>1.03967965387339</v>
      </c>
      <c r="T18" s="181">
        <f t="shared" si="21"/>
        <v>1.06047324695086</v>
      </c>
      <c r="U18" s="181">
        <f t="shared" si="21"/>
        <v>1.08168271188988</v>
      </c>
      <c r="V18" s="181">
        <f t="shared" si="21"/>
        <v>1.10331636612768</v>
      </c>
      <c r="W18" s="181">
        <f t="shared" si="21"/>
        <v>1.12538269345023</v>
      </c>
      <c r="X18" s="181">
        <f t="shared" si="21"/>
        <v>1.14789034731924</v>
      </c>
      <c r="Y18" s="181">
        <f t="shared" si="21"/>
        <v>1.17084815426562</v>
      </c>
      <c r="Z18" s="181">
        <f t="shared" si="21"/>
        <v>1.19426511735093</v>
      </c>
      <c r="AA18" s="181">
        <f t="shared" ref="AA18:AB18" si="22">AA15*$C$18</f>
        <v>1.21815041969795</v>
      </c>
      <c r="AB18" s="181">
        <f t="shared" si="22"/>
        <v>1.24251342809191</v>
      </c>
      <c r="AC18" s="192">
        <f t="shared" si="12"/>
        <v>80.9700871659487</v>
      </c>
    </row>
    <row r="19" ht="29.55" spans="1:29">
      <c r="A19" s="183">
        <v>3</v>
      </c>
      <c r="B19" s="184" t="s">
        <v>103</v>
      </c>
      <c r="C19" s="185">
        <v>0.05</v>
      </c>
      <c r="D19" s="186">
        <f>D15*$C$19</f>
        <v>5.27664133333333</v>
      </c>
      <c r="E19" s="186">
        <f t="shared" ref="E19:Z19" si="23">E15*$C$19</f>
        <v>7.93782</v>
      </c>
      <c r="F19" s="186">
        <f t="shared" si="23"/>
        <v>13.0775909772973</v>
      </c>
      <c r="G19" s="186">
        <f t="shared" si="23"/>
        <v>16.144160716973</v>
      </c>
      <c r="H19" s="186">
        <f t="shared" si="23"/>
        <v>0.597268512934054</v>
      </c>
      <c r="I19" s="186">
        <f t="shared" si="23"/>
        <v>0.609213883192735</v>
      </c>
      <c r="J19" s="186">
        <f t="shared" si="23"/>
        <v>0.621398160856589</v>
      </c>
      <c r="K19" s="186">
        <f t="shared" si="23"/>
        <v>0.633826124073723</v>
      </c>
      <c r="L19" s="186">
        <f t="shared" si="23"/>
        <v>0.646502646555195</v>
      </c>
      <c r="M19" s="186">
        <f t="shared" si="23"/>
        <v>0.659432699486298</v>
      </c>
      <c r="N19" s="186">
        <f t="shared" si="23"/>
        <v>0.672621353476024</v>
      </c>
      <c r="O19" s="186">
        <f t="shared" si="23"/>
        <v>0.686073780545547</v>
      </c>
      <c r="P19" s="186">
        <f t="shared" si="23"/>
        <v>0.699795256156458</v>
      </c>
      <c r="Q19" s="186">
        <f t="shared" si="23"/>
        <v>0.713791161279584</v>
      </c>
      <c r="R19" s="186">
        <f t="shared" si="23"/>
        <v>0.72806698450518</v>
      </c>
      <c r="S19" s="186">
        <f t="shared" si="23"/>
        <v>0.742628324195279</v>
      </c>
      <c r="T19" s="186">
        <f t="shared" si="23"/>
        <v>0.757480890679188</v>
      </c>
      <c r="U19" s="186">
        <f t="shared" si="23"/>
        <v>0.772630508492771</v>
      </c>
      <c r="V19" s="186">
        <f t="shared" si="23"/>
        <v>0.788083118662625</v>
      </c>
      <c r="W19" s="186">
        <f t="shared" si="23"/>
        <v>0.803844781035878</v>
      </c>
      <c r="X19" s="186">
        <f t="shared" si="23"/>
        <v>0.819921676656598</v>
      </c>
      <c r="Y19" s="186">
        <f t="shared" si="23"/>
        <v>0.836320110189727</v>
      </c>
      <c r="Z19" s="186">
        <f t="shared" si="23"/>
        <v>0.853046512393523</v>
      </c>
      <c r="AA19" s="186">
        <f t="shared" ref="AA19:AB19" si="24">AA15*$C$19</f>
        <v>0.870107442641394</v>
      </c>
      <c r="AB19" s="186">
        <f t="shared" si="24"/>
        <v>0.887509591494219</v>
      </c>
      <c r="AC19" s="193">
        <f t="shared" si="12"/>
        <v>57.8357765471062</v>
      </c>
    </row>
  </sheetData>
  <mergeCells count="6">
    <mergeCell ref="A1:AC1"/>
    <mergeCell ref="A2:AC2"/>
    <mergeCell ref="D3:AB3"/>
    <mergeCell ref="A3:A4"/>
    <mergeCell ref="B3:B4"/>
    <mergeCell ref="C3:C4"/>
  </mergeCells>
  <pageMargins left="0.700694444444445" right="0.700694444444445" top="0.751388888888889" bottom="0.751388888888889" header="0.297916666666667" footer="0.297916666666667"/>
  <pageSetup paperSize="9" orientation="landscape"/>
  <headerFooter/>
  <ignoredErrors>
    <ignoredError sqref="H11:AB1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workbookViewId="0">
      <selection activeCell="T38" sqref="T38"/>
    </sheetView>
  </sheetViews>
  <sheetFormatPr defaultColWidth="9" defaultRowHeight="15.6"/>
  <cols>
    <col min="1" max="1" width="5.55555555555556" style="136" customWidth="1"/>
    <col min="2" max="2" width="22.3333333333333" style="136" customWidth="1"/>
    <col min="3" max="3" width="10.3333333333333" style="136" customWidth="1"/>
    <col min="4" max="4" width="8.66666666666667" style="136" customWidth="1"/>
    <col min="5" max="7" width="9.44444444444444" style="136" customWidth="1"/>
    <col min="8" max="22" width="9.66666666666667" style="136" customWidth="1"/>
    <col min="23" max="26" width="9.77777777777778" style="136"/>
    <col min="27" max="27" width="10.4444444444444" style="136" customWidth="1"/>
    <col min="28" max="28" width="9.77777777777778" style="136"/>
    <col min="29" max="16384" width="9" style="136"/>
  </cols>
  <sheetData>
    <row r="1" ht="22.35" customHeight="1" spans="1:28">
      <c r="A1" s="137" t="s">
        <v>104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</row>
    <row r="2" spans="1:28">
      <c r="A2" s="139" t="s">
        <v>44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ht="14.4" spans="1:28">
      <c r="A3" s="141" t="s">
        <v>1</v>
      </c>
      <c r="B3" s="141" t="s">
        <v>75</v>
      </c>
      <c r="C3" s="141" t="s">
        <v>46</v>
      </c>
      <c r="D3" s="141" t="s">
        <v>65</v>
      </c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</row>
    <row r="4" ht="14.4" spans="1:28">
      <c r="A4" s="142"/>
      <c r="B4" s="142"/>
      <c r="C4" s="142"/>
      <c r="D4" s="142">
        <v>3</v>
      </c>
      <c r="E4" s="142">
        <v>4</v>
      </c>
      <c r="F4" s="142">
        <v>5</v>
      </c>
      <c r="G4" s="142">
        <v>6</v>
      </c>
      <c r="H4" s="142">
        <v>7</v>
      </c>
      <c r="I4" s="142">
        <v>8</v>
      </c>
      <c r="J4" s="142">
        <v>9</v>
      </c>
      <c r="K4" s="142">
        <v>10</v>
      </c>
      <c r="L4" s="142">
        <v>11</v>
      </c>
      <c r="M4" s="142">
        <v>12</v>
      </c>
      <c r="N4" s="142">
        <v>13</v>
      </c>
      <c r="O4" s="142">
        <v>14</v>
      </c>
      <c r="P4" s="142">
        <v>15</v>
      </c>
      <c r="Q4" s="142">
        <v>16</v>
      </c>
      <c r="R4" s="142">
        <v>17</v>
      </c>
      <c r="S4" s="142">
        <v>18</v>
      </c>
      <c r="T4" s="142">
        <v>19</v>
      </c>
      <c r="U4" s="142">
        <v>20</v>
      </c>
      <c r="V4" s="142">
        <v>21</v>
      </c>
      <c r="W4" s="142">
        <v>22</v>
      </c>
      <c r="X4" s="142">
        <v>23</v>
      </c>
      <c r="Y4" s="142">
        <v>24</v>
      </c>
      <c r="Z4" s="142">
        <v>25</v>
      </c>
      <c r="AA4" s="142">
        <v>26</v>
      </c>
      <c r="AB4" s="142">
        <v>27</v>
      </c>
    </row>
    <row r="5" ht="14.4" spans="1:28">
      <c r="A5" s="142">
        <v>1</v>
      </c>
      <c r="B5" s="143" t="s">
        <v>105</v>
      </c>
      <c r="C5" s="144">
        <f>SUM(D5:AB5)</f>
        <v>213682.727087249</v>
      </c>
      <c r="D5" s="144">
        <f>营业收入、营业税金及附加和增值税估算表!D5</f>
        <v>8448.88488736466</v>
      </c>
      <c r="E5" s="144">
        <f>营业收入、营业税金及附加和增值税估算表!E5</f>
        <v>8455.88488736466</v>
      </c>
      <c r="F5" s="144">
        <f>营业收入、营业税金及附加和增值税估算表!F5</f>
        <v>8463.02488736466</v>
      </c>
      <c r="G5" s="144">
        <f>营业收入、营业税金及附加和增值税估算表!G5</f>
        <v>8470.30768736466</v>
      </c>
      <c r="H5" s="144">
        <f>营业收入、营业税金及附加和增值税估算表!H5</f>
        <v>8477.73614336466</v>
      </c>
      <c r="I5" s="144">
        <f>营业收入、营业税金及附加和增值税估算表!I5</f>
        <v>8485.31316848466</v>
      </c>
      <c r="J5" s="144">
        <f>营业收入、营业税金及附加和增值税估算表!J5</f>
        <v>8493.04173410706</v>
      </c>
      <c r="K5" s="144">
        <f>营业收入、营业税金及附加和增值税估算表!K5</f>
        <v>8500.92487104191</v>
      </c>
      <c r="L5" s="144">
        <f>营业收入、营业税金及附加和增值税估算表!L5</f>
        <v>8508.96567071545</v>
      </c>
      <c r="M5" s="144">
        <f>营业收入、营业税金及附加和增值税估算表!M5</f>
        <v>8517.16728638247</v>
      </c>
      <c r="N5" s="144">
        <f>营业收入、营业税金及附加和增值税估算表!N5</f>
        <v>8525.53293436282</v>
      </c>
      <c r="O5" s="144">
        <f>营业收入、营业税金及附加和增值税估算表!O5</f>
        <v>8534.06589530279</v>
      </c>
      <c r="P5" s="144">
        <f>营业收入、营业税金及附加和增值税估算表!P5</f>
        <v>8542.76951546155</v>
      </c>
      <c r="Q5" s="144">
        <f>营业收入、营业税金及附加和增值税估算表!Q5</f>
        <v>8551.64720802349</v>
      </c>
      <c r="R5" s="144">
        <f>营业收入、营业税金及附加和增值税估算表!R5</f>
        <v>8560.70245443666</v>
      </c>
      <c r="S5" s="144">
        <f>营业收入、营业税金及附加和增值税估算表!S5</f>
        <v>8569.9388057781</v>
      </c>
      <c r="T5" s="144">
        <f>营业收入、营业税金及附加和增值税估算表!T5</f>
        <v>8579.35988414637</v>
      </c>
      <c r="U5" s="144">
        <f>营业收入、营业税金及附加和增值税估算表!U5</f>
        <v>8588.96938408201</v>
      </c>
      <c r="V5" s="144">
        <f>营业收入、营业税金及附加和增值税估算表!V5</f>
        <v>8598.77107401635</v>
      </c>
      <c r="W5" s="144">
        <f>营业收入、营业税金及附加和增值税估算表!W5</f>
        <v>8608.76879774939</v>
      </c>
      <c r="X5" s="144">
        <f>营业收入、营业税金及附加和增值税估算表!X5</f>
        <v>8618.96647595708</v>
      </c>
      <c r="Y5" s="144">
        <f>营业收入、营业税金及附加和增值税估算表!Y5</f>
        <v>8629.36810772893</v>
      </c>
      <c r="Z5" s="144">
        <f>营业收入、营业税金及附加和增值税估算表!Z5</f>
        <v>8639.97777213622</v>
      </c>
      <c r="AA5" s="144">
        <f>营业收入、营业税金及附加和增值税估算表!AA5</f>
        <v>8650.79962983165</v>
      </c>
      <c r="AB5" s="144">
        <f>营业收入、营业税金及附加和增值税估算表!AB5</f>
        <v>8661.83792468099</v>
      </c>
    </row>
    <row r="6" ht="14.4" spans="1:28">
      <c r="A6" s="142">
        <v>2</v>
      </c>
      <c r="B6" s="143" t="s">
        <v>106</v>
      </c>
      <c r="C6" s="144">
        <f t="shared" ref="C6:C19" si="0">SUM(D6:AB6)</f>
        <v>1295.52139465518</v>
      </c>
      <c r="D6" s="145">
        <f>营业收入、营业税金及附加和增值税估算表!D14</f>
        <v>118.196765866667</v>
      </c>
      <c r="E6" s="145">
        <f>营业收入、营业税金及附加和增值税估算表!E14</f>
        <v>177.807168</v>
      </c>
      <c r="F6" s="145">
        <f>营业收入、营业税金及附加和增值税估算表!F14</f>
        <v>292.938037891459</v>
      </c>
      <c r="G6" s="145">
        <f>营业收入、营业税金及附加和增值税估算表!G14</f>
        <v>361.629200060195</v>
      </c>
      <c r="H6" s="145">
        <f>营业收入、营业税金及附加和增值税估算表!H14</f>
        <v>13.3788146897228</v>
      </c>
      <c r="I6" s="145">
        <f>营业收入、营业税金及附加和增值税估算表!I14</f>
        <v>13.6463909835173</v>
      </c>
      <c r="J6" s="145">
        <f>营业收入、营业税金及附加和增值税估算表!J14</f>
        <v>13.9193188031876</v>
      </c>
      <c r="K6" s="145">
        <f>营业收入、营业税金及附加和增值税估算表!K14</f>
        <v>14.1977051792514</v>
      </c>
      <c r="L6" s="145">
        <f>营业收入、营业税金及附加和增值税估算表!L14</f>
        <v>14.4816592828364</v>
      </c>
      <c r="M6" s="145">
        <f>营业收入、营业税金及附加和增值税估算表!M14</f>
        <v>14.7712924684931</v>
      </c>
      <c r="N6" s="145">
        <f>营业收入、营业税金及附加和增值税估算表!N14</f>
        <v>15.0667183178629</v>
      </c>
      <c r="O6" s="145">
        <f>营业收入、营业税金及附加和增值税估算表!O14</f>
        <v>15.3680526842203</v>
      </c>
      <c r="P6" s="145">
        <f>营业收入、营业税金及附加和增值税估算表!P14</f>
        <v>15.6754137379047</v>
      </c>
      <c r="Q6" s="145">
        <f>营业收入、营业税金及附加和增值税估算表!Q14</f>
        <v>15.9889220126627</v>
      </c>
      <c r="R6" s="145">
        <f>营业收入、营业税金及附加和增值税估算表!R14</f>
        <v>16.308700452916</v>
      </c>
      <c r="S6" s="145">
        <f>营业收入、营业税金及附加和增值税估算表!S14</f>
        <v>16.6348744619742</v>
      </c>
      <c r="T6" s="145">
        <f>营业收入、营业税金及附加和增值税估算表!T14</f>
        <v>16.9675719512138</v>
      </c>
      <c r="U6" s="145">
        <f>营业收入、营业税金及附加和增值税估算表!U14</f>
        <v>17.3069233902381</v>
      </c>
      <c r="V6" s="145">
        <f>营业收入、营业税金及附加和增值税估算表!V14</f>
        <v>17.6530618580428</v>
      </c>
      <c r="W6" s="145">
        <f>营业收入、营业税金及附加和增值税估算表!W14</f>
        <v>18.0061230952037</v>
      </c>
      <c r="X6" s="145">
        <f>营业收入、营业税金及附加和增值税估算表!X14</f>
        <v>18.3662455571078</v>
      </c>
      <c r="Y6" s="145">
        <f>营业收入、营业税金及附加和增值税估算表!Y14</f>
        <v>18.7335704682499</v>
      </c>
      <c r="Z6" s="145">
        <f>营业收入、营业税金及附加和增值税估算表!Z14</f>
        <v>19.1082418776149</v>
      </c>
      <c r="AA6" s="145">
        <f>营业收入、营业税金及附加和增值税估算表!AA14</f>
        <v>19.4904067151672</v>
      </c>
      <c r="AB6" s="145">
        <f>营业收入、营业税金及附加和增值税估算表!AB14</f>
        <v>19.8802148494705</v>
      </c>
    </row>
    <row r="7" ht="14.4" spans="1:28">
      <c r="A7" s="142">
        <v>3</v>
      </c>
      <c r="B7" s="143" t="s">
        <v>107</v>
      </c>
      <c r="C7" s="144">
        <f t="shared" si="0"/>
        <v>165028.526749642</v>
      </c>
      <c r="D7" s="146">
        <f>总成本费用估算表!D8</f>
        <v>9777.57408</v>
      </c>
      <c r="E7" s="146">
        <f>总成本费用估算表!E8</f>
        <v>9527.579848</v>
      </c>
      <c r="F7" s="146">
        <f>总成本费用估算表!F8</f>
        <v>9286.725616</v>
      </c>
      <c r="G7" s="146">
        <f>总成本费用估算表!G8</f>
        <v>9046.014184</v>
      </c>
      <c r="H7" s="146">
        <f>总成本费用估算表!H8</f>
        <v>8805.448408</v>
      </c>
      <c r="I7" s="146">
        <f>总成本费用估算表!I8</f>
        <v>8565.03120112</v>
      </c>
      <c r="J7" s="146">
        <f>总成本费用估算表!J8</f>
        <v>8324.7655347424</v>
      </c>
      <c r="K7" s="146">
        <f>总成本费用估算表!K8</f>
        <v>8078.13440504233</v>
      </c>
      <c r="L7" s="146">
        <f>总成本费用估算表!L8</f>
        <v>7815.1843840201</v>
      </c>
      <c r="M7" s="146">
        <f>总成本费用估算表!M8</f>
        <v>7526.46115337292</v>
      </c>
      <c r="N7" s="146">
        <f>总成本费用估算表!N8</f>
        <v>7202.55014109234</v>
      </c>
      <c r="O7" s="146">
        <f>总成本费用估算表!O8</f>
        <v>6833.67395815668</v>
      </c>
      <c r="P7" s="146">
        <f>总成本费用估算表!P8</f>
        <v>6409.32281498522</v>
      </c>
      <c r="Q7" s="146">
        <f>总成本费用估算表!Q8</f>
        <v>5917.89834882473</v>
      </c>
      <c r="R7" s="146">
        <f>总成本费用估算表!R8</f>
        <v>5346.35420797543</v>
      </c>
      <c r="S7" s="146">
        <f>总成本费用估算表!S8</f>
        <v>4679.8186002625</v>
      </c>
      <c r="T7" s="146">
        <f>总成本费用估算表!T8</f>
        <v>4613.71219678171</v>
      </c>
      <c r="U7" s="146">
        <f>总成本费用估算表!U8</f>
        <v>4623.32169671735</v>
      </c>
      <c r="V7" s="146">
        <f>总成本费用估算表!V8</f>
        <v>4633.1233866517</v>
      </c>
      <c r="W7" s="146">
        <f>总成本费用估算表!W8</f>
        <v>4643.12111038473</v>
      </c>
      <c r="X7" s="146">
        <f>总成本费用估算表!X8</f>
        <v>4653.31878859242</v>
      </c>
      <c r="Y7" s="146">
        <f>总成本费用估算表!Y8</f>
        <v>4663.72042036427</v>
      </c>
      <c r="Z7" s="146">
        <f>总成本费用估算表!Z8</f>
        <v>4674.33008477156</v>
      </c>
      <c r="AA7" s="146">
        <f>总成本费用估算表!AA8</f>
        <v>4685.15194246699</v>
      </c>
      <c r="AB7" s="146">
        <f>总成本费用估算表!AB8</f>
        <v>4696.19023731633</v>
      </c>
    </row>
    <row r="8" ht="14.4" spans="1:28">
      <c r="A8" s="142">
        <v>4</v>
      </c>
      <c r="B8" s="143" t="s">
        <v>108</v>
      </c>
      <c r="C8" s="144">
        <f t="shared" si="0"/>
        <v>47358.6789429524</v>
      </c>
      <c r="D8" s="145">
        <f>D5-D6-D7</f>
        <v>-1446.88595850201</v>
      </c>
      <c r="E8" s="145">
        <f t="shared" ref="E8:AB8" si="1">E5-E6-E7</f>
        <v>-1249.50212863534</v>
      </c>
      <c r="F8" s="145">
        <f t="shared" si="1"/>
        <v>-1116.6387665268</v>
      </c>
      <c r="G8" s="145">
        <f t="shared" si="1"/>
        <v>-937.335696695534</v>
      </c>
      <c r="H8" s="145">
        <f t="shared" si="1"/>
        <v>-341.09107932506</v>
      </c>
      <c r="I8" s="145">
        <f t="shared" si="1"/>
        <v>-93.3644236188557</v>
      </c>
      <c r="J8" s="145">
        <f t="shared" si="1"/>
        <v>154.356880561474</v>
      </c>
      <c r="K8" s="145">
        <f t="shared" si="1"/>
        <v>408.59276082033</v>
      </c>
      <c r="L8" s="145">
        <f t="shared" si="1"/>
        <v>679.299627412516</v>
      </c>
      <c r="M8" s="145">
        <f t="shared" si="1"/>
        <v>975.934840541052</v>
      </c>
      <c r="N8" s="145">
        <f t="shared" si="1"/>
        <v>1307.91607495262</v>
      </c>
      <c r="O8" s="145">
        <f t="shared" si="1"/>
        <v>1685.02388446189</v>
      </c>
      <c r="P8" s="145">
        <f t="shared" si="1"/>
        <v>2117.77128673843</v>
      </c>
      <c r="Q8" s="145">
        <f t="shared" si="1"/>
        <v>2617.7599371861</v>
      </c>
      <c r="R8" s="145">
        <f t="shared" si="1"/>
        <v>3198.03954600831</v>
      </c>
      <c r="S8" s="145">
        <f t="shared" si="1"/>
        <v>3873.48533105362</v>
      </c>
      <c r="T8" s="145">
        <f t="shared" si="1"/>
        <v>3948.68011541344</v>
      </c>
      <c r="U8" s="145">
        <f t="shared" si="1"/>
        <v>3948.34076397442</v>
      </c>
      <c r="V8" s="145">
        <f t="shared" si="1"/>
        <v>3947.99462550661</v>
      </c>
      <c r="W8" s="145">
        <f t="shared" si="1"/>
        <v>3947.64156426946</v>
      </c>
      <c r="X8" s="145">
        <f t="shared" si="1"/>
        <v>3947.28144180755</v>
      </c>
      <c r="Y8" s="145">
        <f t="shared" si="1"/>
        <v>3946.91411689641</v>
      </c>
      <c r="Z8" s="145">
        <f t="shared" si="1"/>
        <v>3946.53944548705</v>
      </c>
      <c r="AA8" s="145">
        <f t="shared" si="1"/>
        <v>3946.15728064949</v>
      </c>
      <c r="AB8" s="145">
        <f t="shared" si="1"/>
        <v>3945.76747251519</v>
      </c>
    </row>
    <row r="9" ht="13.65" customHeight="1" spans="1:28">
      <c r="A9" s="142">
        <v>5</v>
      </c>
      <c r="B9" s="143" t="s">
        <v>109</v>
      </c>
      <c r="C9" s="144">
        <f t="shared" si="0"/>
        <v>12706.6634496632</v>
      </c>
      <c r="D9" s="144">
        <v>0</v>
      </c>
      <c r="E9" s="144">
        <f>D8*-1</f>
        <v>1446.88595850201</v>
      </c>
      <c r="F9" s="144">
        <f>E9+-1*E8</f>
        <v>2696.38808713734</v>
      </c>
      <c r="G9" s="144">
        <f>F9+-1*F8</f>
        <v>3813.02685366414</v>
      </c>
      <c r="H9" s="144">
        <f>G9+-1*G8</f>
        <v>4750.36255035968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4">
        <v>0</v>
      </c>
      <c r="U9" s="144">
        <v>0</v>
      </c>
      <c r="V9" s="144">
        <v>0</v>
      </c>
      <c r="W9" s="144">
        <v>0</v>
      </c>
      <c r="X9" s="144">
        <v>0</v>
      </c>
      <c r="Y9" s="144">
        <v>0</v>
      </c>
      <c r="Z9" s="144">
        <v>0</v>
      </c>
      <c r="AA9" s="144">
        <v>0</v>
      </c>
      <c r="AB9" s="144">
        <v>0</v>
      </c>
    </row>
    <row r="10" ht="14.4" spans="1:28">
      <c r="A10" s="142">
        <v>6</v>
      </c>
      <c r="B10" s="143" t="s">
        <v>110</v>
      </c>
      <c r="C10" s="144">
        <f t="shared" si="0"/>
        <v>52543.496996256</v>
      </c>
      <c r="D10" s="146">
        <f>IF(D8-D9&gt;=0,D8-D9,0)</f>
        <v>0</v>
      </c>
      <c r="E10" s="146">
        <f t="shared" ref="E10:X10" si="2">IF(E8-E9&gt;=0,E8-E9,0)</f>
        <v>0</v>
      </c>
      <c r="F10" s="146">
        <f t="shared" si="2"/>
        <v>0</v>
      </c>
      <c r="G10" s="146">
        <f t="shared" si="2"/>
        <v>0</v>
      </c>
      <c r="H10" s="146">
        <f t="shared" si="2"/>
        <v>0</v>
      </c>
      <c r="I10" s="146">
        <f t="shared" si="2"/>
        <v>0</v>
      </c>
      <c r="J10" s="146">
        <f t="shared" si="2"/>
        <v>154.356880561474</v>
      </c>
      <c r="K10" s="146">
        <f t="shared" si="2"/>
        <v>408.59276082033</v>
      </c>
      <c r="L10" s="146">
        <f t="shared" si="2"/>
        <v>679.299627412516</v>
      </c>
      <c r="M10" s="146">
        <f t="shared" si="2"/>
        <v>975.934840541052</v>
      </c>
      <c r="N10" s="146">
        <f t="shared" si="2"/>
        <v>1307.91607495262</v>
      </c>
      <c r="O10" s="146">
        <f t="shared" si="2"/>
        <v>1685.02388446189</v>
      </c>
      <c r="P10" s="146">
        <f t="shared" si="2"/>
        <v>2117.77128673843</v>
      </c>
      <c r="Q10" s="146">
        <f t="shared" si="2"/>
        <v>2617.7599371861</v>
      </c>
      <c r="R10" s="146">
        <f t="shared" si="2"/>
        <v>3198.03954600831</v>
      </c>
      <c r="S10" s="146">
        <f t="shared" si="2"/>
        <v>3873.48533105362</v>
      </c>
      <c r="T10" s="146">
        <f t="shared" si="2"/>
        <v>3948.68011541344</v>
      </c>
      <c r="U10" s="146">
        <f t="shared" si="2"/>
        <v>3948.34076397442</v>
      </c>
      <c r="V10" s="146">
        <f t="shared" si="2"/>
        <v>3947.99462550661</v>
      </c>
      <c r="W10" s="146">
        <f t="shared" si="2"/>
        <v>3947.64156426946</v>
      </c>
      <c r="X10" s="146">
        <f t="shared" si="2"/>
        <v>3947.28144180755</v>
      </c>
      <c r="Y10" s="146">
        <f t="shared" ref="Y10" si="3">IF(Y8-Y9&gt;=0,Y8-Y9,0)</f>
        <v>3946.91411689641</v>
      </c>
      <c r="Z10" s="146">
        <f t="shared" ref="Z10" si="4">IF(Z8-Z9&gt;=0,Z8-Z9,0)</f>
        <v>3946.53944548705</v>
      </c>
      <c r="AA10" s="146">
        <f t="shared" ref="AA10" si="5">IF(AA8-AA9&gt;=0,AA8-AA9,0)</f>
        <v>3946.15728064949</v>
      </c>
      <c r="AB10" s="146">
        <f t="shared" ref="AB10" si="6">IF(AB8-AB9&gt;=0,AB8-AB9,0)</f>
        <v>3945.76747251519</v>
      </c>
    </row>
    <row r="11" spans="1:28">
      <c r="A11" s="142">
        <v>7</v>
      </c>
      <c r="B11" s="147" t="s">
        <v>111</v>
      </c>
      <c r="C11" s="144">
        <f t="shared" si="0"/>
        <v>10508.6993992512</v>
      </c>
      <c r="D11" s="146">
        <v>0</v>
      </c>
      <c r="E11" s="146">
        <v>0</v>
      </c>
      <c r="F11" s="146">
        <v>0</v>
      </c>
      <c r="G11" s="146">
        <v>0</v>
      </c>
      <c r="H11" s="146">
        <v>0</v>
      </c>
      <c r="I11" s="146">
        <v>0</v>
      </c>
      <c r="J11" s="146">
        <f>J8*0.2</f>
        <v>30.8713761122948</v>
      </c>
      <c r="K11" s="146">
        <f t="shared" ref="K11:AB11" si="7">K8*0.2</f>
        <v>81.718552164066</v>
      </c>
      <c r="L11" s="146">
        <f t="shared" si="7"/>
        <v>135.859925482503</v>
      </c>
      <c r="M11" s="146">
        <f t="shared" si="7"/>
        <v>195.18696810821</v>
      </c>
      <c r="N11" s="146">
        <f t="shared" si="7"/>
        <v>261.583214990523</v>
      </c>
      <c r="O11" s="146">
        <f t="shared" si="7"/>
        <v>337.004776892379</v>
      </c>
      <c r="P11" s="146">
        <f t="shared" si="7"/>
        <v>423.554257347685</v>
      </c>
      <c r="Q11" s="146">
        <f t="shared" si="7"/>
        <v>523.551987437219</v>
      </c>
      <c r="R11" s="146">
        <f t="shared" si="7"/>
        <v>639.607909201662</v>
      </c>
      <c r="S11" s="146">
        <f t="shared" si="7"/>
        <v>774.697066210725</v>
      </c>
      <c r="T11" s="146">
        <f t="shared" si="7"/>
        <v>789.736023082688</v>
      </c>
      <c r="U11" s="146">
        <f t="shared" si="7"/>
        <v>789.668152794884</v>
      </c>
      <c r="V11" s="146">
        <f t="shared" si="7"/>
        <v>789.598925101322</v>
      </c>
      <c r="W11" s="146">
        <f t="shared" si="7"/>
        <v>789.528312853891</v>
      </c>
      <c r="X11" s="146">
        <f t="shared" si="7"/>
        <v>789.45628836151</v>
      </c>
      <c r="Y11" s="146">
        <f t="shared" si="7"/>
        <v>789.382823379281</v>
      </c>
      <c r="Z11" s="146">
        <f t="shared" si="7"/>
        <v>789.30788909741</v>
      </c>
      <c r="AA11" s="146">
        <f t="shared" si="7"/>
        <v>789.231456129899</v>
      </c>
      <c r="AB11" s="146">
        <f t="shared" si="7"/>
        <v>789.153494503038</v>
      </c>
    </row>
    <row r="12" ht="14.4" spans="1:28">
      <c r="A12" s="142">
        <v>8</v>
      </c>
      <c r="B12" s="143" t="s">
        <v>112</v>
      </c>
      <c r="C12" s="144">
        <f t="shared" si="0"/>
        <v>42034.7975970048</v>
      </c>
      <c r="D12" s="148">
        <f>IF(D8-D11&lt;0,0,D8-D11)</f>
        <v>0</v>
      </c>
      <c r="E12" s="148">
        <f t="shared" ref="E12:AB12" si="8">IF(E8-E11&lt;0,0,E8-E11)</f>
        <v>0</v>
      </c>
      <c r="F12" s="148">
        <f t="shared" si="8"/>
        <v>0</v>
      </c>
      <c r="G12" s="148">
        <f t="shared" si="8"/>
        <v>0</v>
      </c>
      <c r="H12" s="148">
        <f t="shared" si="8"/>
        <v>0</v>
      </c>
      <c r="I12" s="148">
        <f t="shared" si="8"/>
        <v>0</v>
      </c>
      <c r="J12" s="148">
        <f t="shared" si="8"/>
        <v>123.485504449179</v>
      </c>
      <c r="K12" s="148">
        <f t="shared" si="8"/>
        <v>326.874208656264</v>
      </c>
      <c r="L12" s="148">
        <f t="shared" si="8"/>
        <v>543.439701930013</v>
      </c>
      <c r="M12" s="148">
        <f t="shared" si="8"/>
        <v>780.747872432842</v>
      </c>
      <c r="N12" s="148">
        <f t="shared" si="8"/>
        <v>1046.33285996209</v>
      </c>
      <c r="O12" s="148">
        <f t="shared" si="8"/>
        <v>1348.01910756951</v>
      </c>
      <c r="P12" s="148">
        <f t="shared" si="8"/>
        <v>1694.21702939074</v>
      </c>
      <c r="Q12" s="148">
        <f t="shared" si="8"/>
        <v>2094.20794974888</v>
      </c>
      <c r="R12" s="148">
        <f t="shared" si="8"/>
        <v>2558.43163680665</v>
      </c>
      <c r="S12" s="148">
        <f t="shared" si="8"/>
        <v>3098.7882648429</v>
      </c>
      <c r="T12" s="148">
        <f t="shared" si="8"/>
        <v>3158.94409233075</v>
      </c>
      <c r="U12" s="148">
        <f t="shared" si="8"/>
        <v>3158.67261117954</v>
      </c>
      <c r="V12" s="148">
        <f t="shared" si="8"/>
        <v>3158.39570040529</v>
      </c>
      <c r="W12" s="148">
        <f t="shared" si="8"/>
        <v>3158.11325141557</v>
      </c>
      <c r="X12" s="148">
        <f t="shared" si="8"/>
        <v>3157.82515344604</v>
      </c>
      <c r="Y12" s="148">
        <f t="shared" si="8"/>
        <v>3157.53129351713</v>
      </c>
      <c r="Z12" s="148">
        <f t="shared" si="8"/>
        <v>3157.23155638964</v>
      </c>
      <c r="AA12" s="148">
        <f t="shared" si="8"/>
        <v>3156.9258245196</v>
      </c>
      <c r="AB12" s="148">
        <f t="shared" si="8"/>
        <v>3156.61397801215</v>
      </c>
    </row>
    <row r="13" ht="14.4" spans="1:28">
      <c r="A13" s="142">
        <v>9</v>
      </c>
      <c r="B13" s="143" t="s">
        <v>113</v>
      </c>
      <c r="C13" s="144">
        <f t="shared" si="0"/>
        <v>152622.850164989</v>
      </c>
      <c r="D13" s="144">
        <v>0</v>
      </c>
      <c r="E13" s="144">
        <f>D17</f>
        <v>0</v>
      </c>
      <c r="F13" s="144">
        <f t="shared" ref="F13:K13" si="9">E17</f>
        <v>0</v>
      </c>
      <c r="G13" s="144">
        <f t="shared" si="9"/>
        <v>0</v>
      </c>
      <c r="H13" s="144">
        <f t="shared" si="9"/>
        <v>0</v>
      </c>
      <c r="I13" s="144">
        <f t="shared" ref="I13" si="10">H17</f>
        <v>0</v>
      </c>
      <c r="J13" s="144">
        <f t="shared" ref="J13" si="11">I17</f>
        <v>0</v>
      </c>
      <c r="K13" s="144">
        <f t="shared" ref="K13" si="12">J17</f>
        <v>108.667243915278</v>
      </c>
      <c r="L13" s="144">
        <f t="shared" ref="L13" si="13">K17</f>
        <v>383.276478262957</v>
      </c>
      <c r="M13" s="144">
        <f t="shared" ref="M13" si="14">L17</f>
        <v>815.510238569813</v>
      </c>
      <c r="N13" s="144">
        <f t="shared" ref="N13" si="15">M17</f>
        <v>1404.70713768234</v>
      </c>
      <c r="O13" s="144">
        <f t="shared" ref="O13" si="16">N17</f>
        <v>2156.9151979271</v>
      </c>
      <c r="P13" s="144">
        <f t="shared" ref="P13" si="17">O17</f>
        <v>3084.34218883702</v>
      </c>
      <c r="Q13" s="144">
        <f t="shared" ref="Q13" si="18">P17</f>
        <v>4205.13211204043</v>
      </c>
      <c r="R13" s="144">
        <f t="shared" ref="R13" si="19">Q17</f>
        <v>5543.41925437459</v>
      </c>
      <c r="S13" s="144">
        <f t="shared" ref="S13" si="20">R17</f>
        <v>7129.62878423949</v>
      </c>
      <c r="T13" s="144">
        <f t="shared" ref="T13" si="21">S17</f>
        <v>9001.0070031925</v>
      </c>
      <c r="U13" s="144">
        <f t="shared" ref="U13" si="22">T17</f>
        <v>10700.7569640605</v>
      </c>
      <c r="V13" s="144">
        <f t="shared" ref="V13" si="23">U17</f>
        <v>12196.2980262112</v>
      </c>
      <c r="W13" s="144">
        <f t="shared" ref="W13" si="24">V17</f>
        <v>13512.1304794225</v>
      </c>
      <c r="X13" s="144">
        <f t="shared" ref="X13" si="25">W17</f>
        <v>14669.8144831375</v>
      </c>
      <c r="Y13" s="144">
        <f t="shared" ref="Y13" si="26">X17</f>
        <v>15688.3228801935</v>
      </c>
      <c r="Z13" s="144">
        <f t="shared" ref="Z13" si="27">Y17</f>
        <v>16584.3516728654</v>
      </c>
      <c r="AA13" s="144">
        <f t="shared" ref="AA13" si="28">Z17</f>
        <v>17372.5932417444</v>
      </c>
      <c r="AB13" s="144">
        <f t="shared" ref="AB13" si="29">AA17</f>
        <v>18065.9767783123</v>
      </c>
    </row>
    <row r="14" ht="14.4" spans="1:28">
      <c r="A14" s="142">
        <v>10</v>
      </c>
      <c r="B14" s="143" t="s">
        <v>114</v>
      </c>
      <c r="C14" s="144">
        <f t="shared" si="0"/>
        <v>194657.647761994</v>
      </c>
      <c r="D14" s="148">
        <f>D12+D13</f>
        <v>0</v>
      </c>
      <c r="E14" s="148">
        <f>E12+E13</f>
        <v>0</v>
      </c>
      <c r="F14" s="148">
        <f t="shared" ref="F14:K14" si="30">F12+F13</f>
        <v>0</v>
      </c>
      <c r="G14" s="148">
        <f t="shared" si="30"/>
        <v>0</v>
      </c>
      <c r="H14" s="148">
        <f t="shared" si="30"/>
        <v>0</v>
      </c>
      <c r="I14" s="148">
        <f t="shared" ref="I14:Z14" si="31">I12+I13</f>
        <v>0</v>
      </c>
      <c r="J14" s="148">
        <f t="shared" si="31"/>
        <v>123.485504449179</v>
      </c>
      <c r="K14" s="148">
        <f t="shared" si="31"/>
        <v>435.541452571542</v>
      </c>
      <c r="L14" s="148">
        <f t="shared" si="31"/>
        <v>926.71618019297</v>
      </c>
      <c r="M14" s="148">
        <f t="shared" si="31"/>
        <v>1596.25811100265</v>
      </c>
      <c r="N14" s="148">
        <f t="shared" si="31"/>
        <v>2451.03999764443</v>
      </c>
      <c r="O14" s="148">
        <f t="shared" si="31"/>
        <v>3504.93430549661</v>
      </c>
      <c r="P14" s="148">
        <f t="shared" si="31"/>
        <v>4778.55921822776</v>
      </c>
      <c r="Q14" s="148">
        <f t="shared" si="31"/>
        <v>6299.34006178931</v>
      </c>
      <c r="R14" s="148">
        <f t="shared" si="31"/>
        <v>8101.85089118124</v>
      </c>
      <c r="S14" s="148">
        <f t="shared" si="31"/>
        <v>10228.4170490824</v>
      </c>
      <c r="T14" s="148">
        <f t="shared" si="31"/>
        <v>12159.9510955233</v>
      </c>
      <c r="U14" s="148">
        <f t="shared" si="31"/>
        <v>13859.42957524</v>
      </c>
      <c r="V14" s="148">
        <f t="shared" si="31"/>
        <v>15354.6937266165</v>
      </c>
      <c r="W14" s="148">
        <f t="shared" si="31"/>
        <v>16670.2437308381</v>
      </c>
      <c r="X14" s="148">
        <f t="shared" si="31"/>
        <v>17827.6396365835</v>
      </c>
      <c r="Y14" s="148">
        <f t="shared" si="31"/>
        <v>18845.8541737106</v>
      </c>
      <c r="Z14" s="148">
        <f t="shared" si="31"/>
        <v>19741.583229255</v>
      </c>
      <c r="AA14" s="148">
        <f t="shared" ref="AA14:AB14" si="32">AA12+AA13</f>
        <v>20529.519066264</v>
      </c>
      <c r="AB14" s="148">
        <f t="shared" si="32"/>
        <v>21222.5907563245</v>
      </c>
    </row>
    <row r="15" ht="28.8" spans="1:28">
      <c r="A15" s="142">
        <v>11</v>
      </c>
      <c r="B15" s="143" t="s">
        <v>115</v>
      </c>
      <c r="C15" s="144">
        <f t="shared" si="0"/>
        <v>23358.9177314392</v>
      </c>
      <c r="D15" s="148">
        <f>IF(D14*0.12&lt;0,0,D14*0.12)</f>
        <v>0</v>
      </c>
      <c r="E15" s="148">
        <f t="shared" ref="E15:H15" si="33">IF(E14*0.12&lt;0,0,E14*0.12)</f>
        <v>0</v>
      </c>
      <c r="F15" s="148">
        <f t="shared" si="33"/>
        <v>0</v>
      </c>
      <c r="G15" s="148">
        <f t="shared" si="33"/>
        <v>0</v>
      </c>
      <c r="H15" s="148">
        <f t="shared" si="33"/>
        <v>0</v>
      </c>
      <c r="I15" s="148">
        <f t="shared" ref="I15" si="34">IF(I14*0.12&lt;0,0,I14*0.12)</f>
        <v>0</v>
      </c>
      <c r="J15" s="148">
        <f t="shared" ref="J15" si="35">IF(J14*0.12&lt;0,0,J14*0.12)</f>
        <v>14.8182605339015</v>
      </c>
      <c r="K15" s="148">
        <f t="shared" ref="K15" si="36">IF(K14*0.12&lt;0,0,K14*0.12)</f>
        <v>52.264974308585</v>
      </c>
      <c r="L15" s="148">
        <f t="shared" ref="L15" si="37">IF(L14*0.12&lt;0,0,L14*0.12)</f>
        <v>111.205941623156</v>
      </c>
      <c r="M15" s="148">
        <f t="shared" ref="M15" si="38">IF(M14*0.12&lt;0,0,M14*0.12)</f>
        <v>191.550973320319</v>
      </c>
      <c r="N15" s="148">
        <f t="shared" ref="N15" si="39">IF(N14*0.12&lt;0,0,N14*0.12)</f>
        <v>294.124799717332</v>
      </c>
      <c r="O15" s="148">
        <f t="shared" ref="O15" si="40">IF(O14*0.12&lt;0,0,O14*0.12)</f>
        <v>420.592116659593</v>
      </c>
      <c r="P15" s="148">
        <f t="shared" ref="P15" si="41">IF(P14*0.12&lt;0,0,P14*0.12)</f>
        <v>573.427106187331</v>
      </c>
      <c r="Q15" s="148">
        <f t="shared" ref="Q15" si="42">IF(Q14*0.12&lt;0,0,Q14*0.12)</f>
        <v>755.920807414717</v>
      </c>
      <c r="R15" s="148">
        <f t="shared" ref="R15" si="43">IF(R14*0.12&lt;0,0,R14*0.12)</f>
        <v>972.222106941749</v>
      </c>
      <c r="S15" s="148">
        <f t="shared" ref="S15" si="44">IF(S14*0.12&lt;0,0,S14*0.12)</f>
        <v>1227.41004588989</v>
      </c>
      <c r="T15" s="148">
        <f t="shared" ref="T15" si="45">IF(T14*0.12&lt;0,0,T14*0.12)</f>
        <v>1459.19413146279</v>
      </c>
      <c r="U15" s="148">
        <f t="shared" ref="U15" si="46">IF(U14*0.12&lt;0,0,U14*0.12)</f>
        <v>1663.1315490288</v>
      </c>
      <c r="V15" s="148">
        <f t="shared" ref="V15" si="47">IF(V14*0.12&lt;0,0,V14*0.12)</f>
        <v>1842.56324719398</v>
      </c>
      <c r="W15" s="148">
        <f t="shared" ref="W15" si="48">IF(W14*0.12&lt;0,0,W14*0.12)</f>
        <v>2000.42924770057</v>
      </c>
      <c r="X15" s="148">
        <f t="shared" ref="X15" si="49">IF(X14*0.12&lt;0,0,X14*0.12)</f>
        <v>2139.31675639003</v>
      </c>
      <c r="Y15" s="148">
        <f t="shared" ref="Y15" si="50">IF(Y14*0.12&lt;0,0,Y14*0.12)</f>
        <v>2261.50250084528</v>
      </c>
      <c r="Z15" s="148">
        <f t="shared" ref="Z15" si="51">IF(Z14*0.12&lt;0,0,Z14*0.12)</f>
        <v>2368.9899875106</v>
      </c>
      <c r="AA15" s="148">
        <f t="shared" ref="AA15" si="52">IF(AA14*0.12&lt;0,0,AA14*0.12)</f>
        <v>2463.54228795168</v>
      </c>
      <c r="AB15" s="148">
        <f t="shared" ref="AB15" si="53">IF(AB14*0.12&lt;0,0,AB14*0.12)</f>
        <v>2546.71089075894</v>
      </c>
    </row>
    <row r="16" ht="14.4" spans="1:28">
      <c r="A16" s="142">
        <v>12</v>
      </c>
      <c r="B16" s="143" t="s">
        <v>116</v>
      </c>
      <c r="C16" s="144">
        <f t="shared" si="0"/>
        <v>171298.730030554</v>
      </c>
      <c r="D16" s="148">
        <f>D14-D15</f>
        <v>0</v>
      </c>
      <c r="E16" s="148">
        <f t="shared" ref="E16:K16" si="54">E14-E15</f>
        <v>0</v>
      </c>
      <c r="F16" s="148">
        <f t="shared" si="54"/>
        <v>0</v>
      </c>
      <c r="G16" s="148">
        <f t="shared" si="54"/>
        <v>0</v>
      </c>
      <c r="H16" s="148">
        <f t="shared" si="54"/>
        <v>0</v>
      </c>
      <c r="I16" s="148">
        <f t="shared" ref="I16:Z16" si="55">I14-I15</f>
        <v>0</v>
      </c>
      <c r="J16" s="148">
        <f t="shared" si="55"/>
        <v>108.667243915278</v>
      </c>
      <c r="K16" s="148">
        <f t="shared" si="55"/>
        <v>383.276478262957</v>
      </c>
      <c r="L16" s="148">
        <f t="shared" si="55"/>
        <v>815.510238569813</v>
      </c>
      <c r="M16" s="148">
        <f t="shared" si="55"/>
        <v>1404.70713768234</v>
      </c>
      <c r="N16" s="148">
        <f t="shared" si="55"/>
        <v>2156.9151979271</v>
      </c>
      <c r="O16" s="148">
        <f t="shared" si="55"/>
        <v>3084.34218883702</v>
      </c>
      <c r="P16" s="148">
        <f t="shared" si="55"/>
        <v>4205.13211204043</v>
      </c>
      <c r="Q16" s="148">
        <f t="shared" si="55"/>
        <v>5543.41925437459</v>
      </c>
      <c r="R16" s="148">
        <f t="shared" si="55"/>
        <v>7129.62878423949</v>
      </c>
      <c r="S16" s="148">
        <f t="shared" si="55"/>
        <v>9001.0070031925</v>
      </c>
      <c r="T16" s="148">
        <f t="shared" si="55"/>
        <v>10700.7569640605</v>
      </c>
      <c r="U16" s="148">
        <f t="shared" si="55"/>
        <v>12196.2980262112</v>
      </c>
      <c r="V16" s="148">
        <f t="shared" si="55"/>
        <v>13512.1304794225</v>
      </c>
      <c r="W16" s="148">
        <f t="shared" si="55"/>
        <v>14669.8144831375</v>
      </c>
      <c r="X16" s="148">
        <f t="shared" si="55"/>
        <v>15688.3228801935</v>
      </c>
      <c r="Y16" s="148">
        <f t="shared" si="55"/>
        <v>16584.3516728654</v>
      </c>
      <c r="Z16" s="148">
        <f t="shared" si="55"/>
        <v>17372.5932417444</v>
      </c>
      <c r="AA16" s="148">
        <f t="shared" ref="AA16:AB16" si="56">AA14-AA15</f>
        <v>18065.9767783123</v>
      </c>
      <c r="AB16" s="148">
        <f t="shared" si="56"/>
        <v>18675.8798655655</v>
      </c>
    </row>
    <row r="17" ht="14.4" spans="1:28">
      <c r="A17" s="142">
        <v>13</v>
      </c>
      <c r="B17" s="143" t="s">
        <v>117</v>
      </c>
      <c r="C17" s="144">
        <f t="shared" si="0"/>
        <v>171298.730030554</v>
      </c>
      <c r="D17" s="148">
        <f>D16</f>
        <v>0</v>
      </c>
      <c r="E17" s="148">
        <f t="shared" ref="E17:K17" si="57">E16</f>
        <v>0</v>
      </c>
      <c r="F17" s="148">
        <f t="shared" si="57"/>
        <v>0</v>
      </c>
      <c r="G17" s="148">
        <f t="shared" si="57"/>
        <v>0</v>
      </c>
      <c r="H17" s="148">
        <f t="shared" si="57"/>
        <v>0</v>
      </c>
      <c r="I17" s="148">
        <f t="shared" ref="I17:Z17" si="58">I16</f>
        <v>0</v>
      </c>
      <c r="J17" s="148">
        <f t="shared" si="58"/>
        <v>108.667243915278</v>
      </c>
      <c r="K17" s="148">
        <f t="shared" si="58"/>
        <v>383.276478262957</v>
      </c>
      <c r="L17" s="148">
        <f t="shared" si="58"/>
        <v>815.510238569813</v>
      </c>
      <c r="M17" s="148">
        <f t="shared" si="58"/>
        <v>1404.70713768234</v>
      </c>
      <c r="N17" s="148">
        <f t="shared" si="58"/>
        <v>2156.9151979271</v>
      </c>
      <c r="O17" s="148">
        <f t="shared" si="58"/>
        <v>3084.34218883702</v>
      </c>
      <c r="P17" s="148">
        <f t="shared" si="58"/>
        <v>4205.13211204043</v>
      </c>
      <c r="Q17" s="148">
        <f t="shared" si="58"/>
        <v>5543.41925437459</v>
      </c>
      <c r="R17" s="148">
        <f t="shared" si="58"/>
        <v>7129.62878423949</v>
      </c>
      <c r="S17" s="148">
        <f t="shared" si="58"/>
        <v>9001.0070031925</v>
      </c>
      <c r="T17" s="148">
        <f t="shared" si="58"/>
        <v>10700.7569640605</v>
      </c>
      <c r="U17" s="148">
        <f t="shared" si="58"/>
        <v>12196.2980262112</v>
      </c>
      <c r="V17" s="148">
        <f t="shared" si="58"/>
        <v>13512.1304794225</v>
      </c>
      <c r="W17" s="148">
        <f t="shared" si="58"/>
        <v>14669.8144831375</v>
      </c>
      <c r="X17" s="148">
        <f t="shared" si="58"/>
        <v>15688.3228801935</v>
      </c>
      <c r="Y17" s="148">
        <f t="shared" si="58"/>
        <v>16584.3516728654</v>
      </c>
      <c r="Z17" s="148">
        <f t="shared" si="58"/>
        <v>17372.5932417444</v>
      </c>
      <c r="AA17" s="148">
        <f t="shared" ref="AA17:AB17" si="59">AA16</f>
        <v>18065.9767783123</v>
      </c>
      <c r="AB17" s="148">
        <f t="shared" si="59"/>
        <v>18675.8798655655</v>
      </c>
    </row>
    <row r="18" spans="1:28">
      <c r="A18" s="142">
        <v>14</v>
      </c>
      <c r="B18" s="143" t="s">
        <v>118</v>
      </c>
      <c r="C18" s="144">
        <f t="shared" si="0"/>
        <v>97845.6707894613</v>
      </c>
      <c r="D18" s="144">
        <f>D8+借款还本付息及还款计划表!E11</f>
        <v>3847.45092149799</v>
      </c>
      <c r="E18" s="144">
        <f>E8+借款还本付息及还款计划表!F11</f>
        <v>3787.84051936466</v>
      </c>
      <c r="F18" s="144">
        <f>F8+借款还本付息及还款计划表!G11</f>
        <v>3672.7096494732</v>
      </c>
      <c r="G18" s="144">
        <f>G8+借款还本付息及还款计划表!H11</f>
        <v>3604.01848730447</v>
      </c>
      <c r="H18" s="144">
        <f>H8+借款还本付息及还款计划表!I11</f>
        <v>3952.26887267494</v>
      </c>
      <c r="I18" s="144">
        <f>I8+借款还本付息及还款计划表!J11</f>
        <v>3952.00129638114</v>
      </c>
      <c r="J18" s="144">
        <f>J8+借款还本付息及还款计划表!K11</f>
        <v>3951.72836856147</v>
      </c>
      <c r="K18" s="144">
        <f>K8+借款还本付息及还款计划表!L11</f>
        <v>3951.44998218541</v>
      </c>
      <c r="L18" s="144">
        <f>L8+借款还本付息及还款计划表!M11</f>
        <v>3951.16602808182</v>
      </c>
      <c r="M18" s="144">
        <f>M8+借款还本付息及还款计划表!N11</f>
        <v>3950.87639489617</v>
      </c>
      <c r="N18" s="144">
        <f>N8+借款还本付息及还款计划表!O11</f>
        <v>3950.58096904679</v>
      </c>
      <c r="O18" s="144">
        <f>O8+借款还本付息及还款计划表!P11</f>
        <v>3950.27963468044</v>
      </c>
      <c r="P18" s="144">
        <f>P8+借款还本付息及还款计划表!Q11</f>
        <v>3949.97227362675</v>
      </c>
      <c r="Q18" s="144">
        <f>Q8+借款还本付息及还款计划表!R11</f>
        <v>3949.658765352</v>
      </c>
      <c r="R18" s="144">
        <f>R8+借款还本付息及还款计划表!S11</f>
        <v>3949.33898691174</v>
      </c>
      <c r="S18" s="144">
        <f>S8+借款还本付息及还款计划表!T11</f>
        <v>3949.01281290268</v>
      </c>
      <c r="T18" s="144">
        <f>T8+借款还本付息及还款计划表!U11</f>
        <v>3948.68011541344</v>
      </c>
      <c r="U18" s="144">
        <f>U8+借款还本付息及还款计划表!V11</f>
        <v>3948.34076397442</v>
      </c>
      <c r="V18" s="144">
        <f>V8+借款还本付息及还款计划表!W11</f>
        <v>3947.99462550661</v>
      </c>
      <c r="W18" s="144">
        <f>W8+借款还本付息及还款计划表!X11</f>
        <v>3947.64156426946</v>
      </c>
      <c r="X18" s="144">
        <f>X8+借款还本付息及还款计划表!Y11</f>
        <v>3947.28144180755</v>
      </c>
      <c r="Y18" s="144">
        <f>Y8+借款还本付息及还款计划表!Z11</f>
        <v>3946.91411689641</v>
      </c>
      <c r="Z18" s="144">
        <f>Z8+借款还本付息及还款计划表!AA11</f>
        <v>3946.53944548705</v>
      </c>
      <c r="AA18" s="144">
        <f>AA8+借款还本付息及还款计划表!AB11</f>
        <v>3946.15728064949</v>
      </c>
      <c r="AB18" s="144">
        <f>AB8+借款还本付息及还款计划表!AC11</f>
        <v>3945.76747251519</v>
      </c>
    </row>
    <row r="19" spans="1:28">
      <c r="A19" s="142">
        <v>15</v>
      </c>
      <c r="B19" s="143" t="s">
        <v>119</v>
      </c>
      <c r="C19" s="144">
        <f t="shared" si="0"/>
        <v>201176.600789461</v>
      </c>
      <c r="D19" s="146">
        <f>D18+固定资产折旧摊销计算表!C11</f>
        <v>7980.68812149799</v>
      </c>
      <c r="E19" s="146">
        <f>E18+固定资产折旧摊销计算表!D11</f>
        <v>7921.07771936466</v>
      </c>
      <c r="F19" s="146">
        <f>F18+固定资产折旧摊销计算表!E11</f>
        <v>7805.9468494732</v>
      </c>
      <c r="G19" s="146">
        <f>G18+固定资产折旧摊销计算表!F11</f>
        <v>7737.25568730447</v>
      </c>
      <c r="H19" s="146">
        <f>H18+固定资产折旧摊销计算表!G11</f>
        <v>8085.50607267494</v>
      </c>
      <c r="I19" s="146">
        <f>I18+固定资产折旧摊销计算表!H11</f>
        <v>8085.23849638114</v>
      </c>
      <c r="J19" s="146">
        <f>J18+固定资产折旧摊销计算表!I11</f>
        <v>8084.96556856147</v>
      </c>
      <c r="K19" s="146">
        <f>K18+固定资产折旧摊销计算表!J11</f>
        <v>8084.68718218541</v>
      </c>
      <c r="L19" s="146">
        <f>L18+固定资产折旧摊销计算表!K11</f>
        <v>8084.40322808182</v>
      </c>
      <c r="M19" s="146">
        <f>M18+固定资产折旧摊销计算表!L11</f>
        <v>8084.11359489617</v>
      </c>
      <c r="N19" s="146">
        <f>N18+固定资产折旧摊销计算表!M11</f>
        <v>8083.81816904679</v>
      </c>
      <c r="O19" s="146">
        <f>O18+固定资产折旧摊销计算表!N11</f>
        <v>8083.51683468044</v>
      </c>
      <c r="P19" s="146">
        <f>P18+固定资产折旧摊销计算表!O11</f>
        <v>8083.20947362675</v>
      </c>
      <c r="Q19" s="146">
        <f>Q18+固定资产折旧摊销计算表!P11</f>
        <v>8082.895965352</v>
      </c>
      <c r="R19" s="146">
        <f>R18+固定资产折旧摊销计算表!Q11</f>
        <v>8082.57618691174</v>
      </c>
      <c r="S19" s="146">
        <f>S18+固定资产折旧摊销计算表!R11</f>
        <v>8082.25001290268</v>
      </c>
      <c r="T19" s="146">
        <f>T18+固定资产折旧摊销计算表!S11</f>
        <v>8081.91731541344</v>
      </c>
      <c r="U19" s="146">
        <f>U18+固定资产折旧摊销计算表!T11</f>
        <v>8081.57796397442</v>
      </c>
      <c r="V19" s="146">
        <f>V18+固定资产折旧摊销计算表!U11</f>
        <v>8081.23182550661</v>
      </c>
      <c r="W19" s="146">
        <f>W18+固定资产折旧摊销计算表!V11</f>
        <v>8080.87876426946</v>
      </c>
      <c r="X19" s="146">
        <f>X18+固定资产折旧摊销计算表!W11</f>
        <v>8080.51864180755</v>
      </c>
      <c r="Y19" s="146">
        <f>Y18+固定资产折旧摊销计算表!X11</f>
        <v>8080.15131689641</v>
      </c>
      <c r="Z19" s="146">
        <f>Z18+固定资产折旧摊销计算表!Y11</f>
        <v>8079.77664548705</v>
      </c>
      <c r="AA19" s="146">
        <f>AA18+固定资产折旧摊销计算表!Z11</f>
        <v>8079.39448064949</v>
      </c>
      <c r="AB19" s="146">
        <f>AB18+固定资产折旧摊销计算表!AA11</f>
        <v>8079.00467251519</v>
      </c>
    </row>
    <row r="20" hidden="1" spans="2:3">
      <c r="B20" s="149" t="s">
        <v>120</v>
      </c>
      <c r="C20" s="150">
        <f>C18/25/基础数据!D5</f>
        <v>0.0378034547895827</v>
      </c>
    </row>
    <row r="21" hidden="1" spans="2:3">
      <c r="B21" s="149" t="s">
        <v>121</v>
      </c>
      <c r="C21" s="150">
        <f>C8/25/项目总投资使用计划与资金筹措表!C10</f>
        <v>0.0956105902643908</v>
      </c>
    </row>
  </sheetData>
  <mergeCells count="6">
    <mergeCell ref="A1:AB1"/>
    <mergeCell ref="A2:AB2"/>
    <mergeCell ref="D3:AB3"/>
    <mergeCell ref="A3:A4"/>
    <mergeCell ref="B3:B4"/>
    <mergeCell ref="C3:C4"/>
  </mergeCells>
  <pageMargins left="0.699305555555556" right="0.699305555555556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3"/>
  <sheetViews>
    <sheetView tabSelected="1" workbookViewId="0">
      <selection activeCell="T10" sqref="T10"/>
    </sheetView>
  </sheetViews>
  <sheetFormatPr defaultColWidth="9" defaultRowHeight="12"/>
  <cols>
    <col min="1" max="1" width="5" style="112" customWidth="1"/>
    <col min="2" max="2" width="16.3333333333333" style="112" customWidth="1"/>
    <col min="3" max="12" width="8.88888888888889" style="112" customWidth="1"/>
    <col min="13" max="16384" width="9" style="112"/>
  </cols>
  <sheetData>
    <row r="1" s="111" customFormat="1" ht="31" customHeight="1" spans="1:23">
      <c r="A1" s="113" t="s">
        <v>122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ht="14.4" customHeight="1" spans="1:23">
      <c r="A2" s="115" t="s">
        <v>44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</row>
    <row r="3" ht="14.4" spans="1:23">
      <c r="A3" s="117" t="s">
        <v>1</v>
      </c>
      <c r="B3" s="118" t="s">
        <v>123</v>
      </c>
      <c r="C3" s="119" t="s">
        <v>124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31"/>
    </row>
    <row r="4" spans="1:23">
      <c r="A4" s="120"/>
      <c r="B4" s="121"/>
      <c r="C4" s="121" t="s">
        <v>47</v>
      </c>
      <c r="D4" s="121"/>
      <c r="E4" s="121" t="s">
        <v>65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32"/>
    </row>
    <row r="5" ht="13.2" spans="1:23">
      <c r="A5" s="120"/>
      <c r="B5" s="121"/>
      <c r="C5" s="122">
        <v>1</v>
      </c>
      <c r="D5" s="122">
        <v>2</v>
      </c>
      <c r="E5" s="122">
        <v>3</v>
      </c>
      <c r="F5" s="122">
        <v>4</v>
      </c>
      <c r="G5" s="122">
        <v>5</v>
      </c>
      <c r="H5" s="122">
        <v>6</v>
      </c>
      <c r="I5" s="122">
        <v>7</v>
      </c>
      <c r="J5" s="122">
        <v>8</v>
      </c>
      <c r="K5" s="122">
        <v>9</v>
      </c>
      <c r="L5" s="122">
        <v>10</v>
      </c>
      <c r="M5" s="122">
        <v>11</v>
      </c>
      <c r="N5" s="122">
        <v>12</v>
      </c>
      <c r="O5" s="122">
        <v>13</v>
      </c>
      <c r="P5" s="122">
        <v>14</v>
      </c>
      <c r="Q5" s="122">
        <v>15</v>
      </c>
      <c r="R5" s="122">
        <v>16</v>
      </c>
      <c r="S5" s="122">
        <v>17</v>
      </c>
      <c r="T5" s="122">
        <v>18</v>
      </c>
      <c r="U5" s="122">
        <v>19</v>
      </c>
      <c r="V5" s="122">
        <v>20</v>
      </c>
      <c r="W5" s="133">
        <v>21</v>
      </c>
    </row>
    <row r="6" ht="18" customHeight="1" spans="1:23">
      <c r="A6" s="123">
        <v>1</v>
      </c>
      <c r="B6" s="124" t="s">
        <v>125</v>
      </c>
      <c r="C6" s="125">
        <v>0</v>
      </c>
      <c r="D6" s="125">
        <f>C12</f>
        <v>52849.7688</v>
      </c>
      <c r="E6" s="125">
        <f>D12-项目总投资使用计划与资金筹措表!E17</f>
        <v>88088.948</v>
      </c>
      <c r="F6" s="125">
        <f>E12</f>
        <v>83955.7108</v>
      </c>
      <c r="G6" s="125">
        <f t="shared" ref="G6:L6" si="0">F12</f>
        <v>79822.4736</v>
      </c>
      <c r="H6" s="125">
        <f t="shared" si="0"/>
        <v>75689.2364</v>
      </c>
      <c r="I6" s="125">
        <f t="shared" si="0"/>
        <v>71555.9992</v>
      </c>
      <c r="J6" s="125">
        <f t="shared" si="0"/>
        <v>67422.762</v>
      </c>
      <c r="K6" s="125">
        <f t="shared" si="0"/>
        <v>63289.5248</v>
      </c>
      <c r="L6" s="125">
        <f t="shared" si="0"/>
        <v>59047.6203560847</v>
      </c>
      <c r="M6" s="125">
        <f t="shared" ref="M6" si="1">L12</f>
        <v>54531.1066778218</v>
      </c>
      <c r="N6" s="125">
        <f t="shared" ref="N6" si="2">M12</f>
        <v>49582.3592392519</v>
      </c>
      <c r="O6" s="125">
        <f t="shared" ref="O6" si="3">N12</f>
        <v>44044.4149015696</v>
      </c>
      <c r="P6" s="125">
        <f t="shared" ref="P6" si="4">O12</f>
        <v>37754.2625036425</v>
      </c>
      <c r="Q6" s="125">
        <f t="shared" ref="Q6" si="5">P12</f>
        <v>30536.6831148055</v>
      </c>
      <c r="R6" s="125">
        <f t="shared" ref="R6" si="6">Q12</f>
        <v>22198.3138027651</v>
      </c>
      <c r="S6" s="125">
        <f t="shared" ref="S6" si="7">R12</f>
        <v>12521.6573483905</v>
      </c>
      <c r="T6" s="125">
        <f t="shared" ref="T6" si="8">S12</f>
        <v>1258.79136415098</v>
      </c>
      <c r="U6" s="125">
        <f t="shared" ref="U6" si="9">T12</f>
        <v>0</v>
      </c>
      <c r="V6" s="125">
        <v>0</v>
      </c>
      <c r="W6" s="134">
        <v>0</v>
      </c>
    </row>
    <row r="7" ht="18" customHeight="1" spans="1:23">
      <c r="A7" s="123">
        <v>2</v>
      </c>
      <c r="B7" s="124" t="s">
        <v>126</v>
      </c>
      <c r="C7" s="125">
        <f>项目总投资使用计划与资金筹措表!D14</f>
        <v>50140.6668</v>
      </c>
      <c r="D7" s="125">
        <f>项目总投资使用计划与资金筹措表!E14</f>
        <v>33577.1112</v>
      </c>
      <c r="E7" s="125">
        <v>0</v>
      </c>
      <c r="F7" s="125">
        <v>0</v>
      </c>
      <c r="G7" s="125">
        <v>0</v>
      </c>
      <c r="H7" s="125">
        <v>0</v>
      </c>
      <c r="I7" s="125">
        <v>0</v>
      </c>
      <c r="J7" s="125">
        <v>0</v>
      </c>
      <c r="K7" s="125">
        <v>0</v>
      </c>
      <c r="L7" s="125">
        <v>0</v>
      </c>
      <c r="M7" s="125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  <c r="S7" s="125">
        <v>0</v>
      </c>
      <c r="T7" s="125">
        <v>0</v>
      </c>
      <c r="U7" s="125">
        <v>0</v>
      </c>
      <c r="V7" s="125">
        <v>0</v>
      </c>
      <c r="W7" s="134">
        <v>0</v>
      </c>
    </row>
    <row r="8" ht="18" customHeight="1" spans="1:23">
      <c r="A8" s="123">
        <v>3</v>
      </c>
      <c r="B8" s="124" t="s">
        <v>127</v>
      </c>
      <c r="C8" s="125">
        <f>项目总投资使用计划与资金筹措表!D12</f>
        <v>2709.102</v>
      </c>
      <c r="D8" s="125">
        <f>项目总投资使用计划与资金筹措表!E12+项目总投资使用计划与资金筹措表!E17*4%</f>
        <v>1812.068</v>
      </c>
      <c r="E8" s="125">
        <f>E6*基础数据!$D$28</f>
        <v>5285.33688</v>
      </c>
      <c r="F8" s="125">
        <f>F6*基础数据!$D$28</f>
        <v>5037.342648</v>
      </c>
      <c r="G8" s="125">
        <f>G6*基础数据!$D$28</f>
        <v>4789.348416</v>
      </c>
      <c r="H8" s="125">
        <f>H6*基础数据!$D$28</f>
        <v>4541.354184</v>
      </c>
      <c r="I8" s="125">
        <f>I6*基础数据!$D$28</f>
        <v>4293.359952</v>
      </c>
      <c r="J8" s="125">
        <f>J6*基础数据!$D$28</f>
        <v>4045.36572</v>
      </c>
      <c r="K8" s="125">
        <f>K6*基础数据!$D$28</f>
        <v>3797.371488</v>
      </c>
      <c r="L8" s="125">
        <f>L6*基础数据!$D$28</f>
        <v>3542.85722136508</v>
      </c>
      <c r="M8" s="125">
        <f>M6*基础数据!$D$28</f>
        <v>3271.8664006693</v>
      </c>
      <c r="N8" s="125">
        <f>N6*基础数据!$D$28</f>
        <v>2974.94155435512</v>
      </c>
      <c r="O8" s="125">
        <f>O6*基础数据!$D$28</f>
        <v>2642.66489409418</v>
      </c>
      <c r="P8" s="125">
        <f>P6*基础数据!$D$28</f>
        <v>2265.25575021855</v>
      </c>
      <c r="Q8" s="125">
        <f>Q6*基础数据!$D$28</f>
        <v>1832.20098688833</v>
      </c>
      <c r="R8" s="125">
        <f>R6*基础数据!$D$28</f>
        <v>1331.8988281659</v>
      </c>
      <c r="S8" s="125">
        <f>S6*基础数据!$D$28</f>
        <v>751.299440903428</v>
      </c>
      <c r="T8" s="125">
        <f>T6*基础数据!$D$28</f>
        <v>75.5274818490587</v>
      </c>
      <c r="U8" s="125">
        <f>U6*基础数据!$D$28</f>
        <v>0</v>
      </c>
      <c r="V8" s="125">
        <f>V6*基础数据!$D$28</f>
        <v>0</v>
      </c>
      <c r="W8" s="134">
        <f>W6*基础数据!$D$28</f>
        <v>0</v>
      </c>
    </row>
    <row r="9" ht="18" customHeight="1" spans="1:23">
      <c r="A9" s="123">
        <v>4</v>
      </c>
      <c r="B9" s="124" t="s">
        <v>128</v>
      </c>
      <c r="C9" s="125">
        <f t="shared" ref="C9:E9" si="10">SUM(C10:C11)</f>
        <v>0</v>
      </c>
      <c r="D9" s="125">
        <f t="shared" si="10"/>
        <v>0</v>
      </c>
      <c r="E9" s="125">
        <f t="shared" si="10"/>
        <v>9427.57408</v>
      </c>
      <c r="F9" s="125">
        <f t="shared" ref="F9:L9" si="11">SUM(F10:F11)</f>
        <v>9170.579848</v>
      </c>
      <c r="G9" s="125">
        <f t="shared" si="11"/>
        <v>8922.585616</v>
      </c>
      <c r="H9" s="125">
        <f t="shared" si="11"/>
        <v>8674.591384</v>
      </c>
      <c r="I9" s="125">
        <f t="shared" si="11"/>
        <v>8426.597152</v>
      </c>
      <c r="J9" s="125">
        <f t="shared" si="11"/>
        <v>8178.60292</v>
      </c>
      <c r="K9" s="125">
        <f t="shared" si="11"/>
        <v>8039.27593191528</v>
      </c>
      <c r="L9" s="125">
        <f t="shared" si="11"/>
        <v>8059.37089962804</v>
      </c>
      <c r="M9" s="125">
        <f t="shared" ref="M9:W9" si="12">SUM(M10:M11)</f>
        <v>8220.61383923912</v>
      </c>
      <c r="N9" s="125">
        <f t="shared" si="12"/>
        <v>8512.88589203745</v>
      </c>
      <c r="O9" s="125">
        <f t="shared" si="12"/>
        <v>8932.81729202127</v>
      </c>
      <c r="P9" s="125">
        <f t="shared" si="12"/>
        <v>9482.83513905557</v>
      </c>
      <c r="Q9" s="125">
        <f t="shared" si="12"/>
        <v>10170.5702989288</v>
      </c>
      <c r="R9" s="125">
        <f t="shared" si="12"/>
        <v>11008.5552825405</v>
      </c>
      <c r="S9" s="125">
        <f t="shared" si="12"/>
        <v>12014.1654251429</v>
      </c>
      <c r="T9" s="125">
        <f t="shared" si="12"/>
        <v>1334.31884600004</v>
      </c>
      <c r="U9" s="125">
        <v>0</v>
      </c>
      <c r="V9" s="125">
        <v>0</v>
      </c>
      <c r="W9" s="134">
        <v>0</v>
      </c>
    </row>
    <row r="10" ht="18" customHeight="1" spans="1:23">
      <c r="A10" s="123">
        <v>4.1</v>
      </c>
      <c r="B10" s="124" t="s">
        <v>129</v>
      </c>
      <c r="C10" s="125">
        <v>0</v>
      </c>
      <c r="D10" s="125">
        <v>0</v>
      </c>
      <c r="E10" s="125">
        <f>利润及利润分配表!D17+固定资产折旧摊销计算表!C11</f>
        <v>4133.2372</v>
      </c>
      <c r="F10" s="125">
        <f>利润及利润分配表!E17+固定资产折旧摊销计算表!D11</f>
        <v>4133.2372</v>
      </c>
      <c r="G10" s="125">
        <f>利润及利润分配表!F17+固定资产折旧摊销计算表!E11</f>
        <v>4133.2372</v>
      </c>
      <c r="H10" s="125">
        <f>利润及利润分配表!G17+固定资产折旧摊销计算表!F11</f>
        <v>4133.2372</v>
      </c>
      <c r="I10" s="125">
        <f>利润及利润分配表!H17+固定资产折旧摊销计算表!G11</f>
        <v>4133.2372</v>
      </c>
      <c r="J10" s="125">
        <f>利润及利润分配表!I17+固定资产折旧摊销计算表!H11</f>
        <v>4133.2372</v>
      </c>
      <c r="K10" s="125">
        <f>利润及利润分配表!J17+固定资产折旧摊销计算表!I11</f>
        <v>4241.90444391528</v>
      </c>
      <c r="L10" s="125">
        <f>利润及利润分配表!K17+固定资产折旧摊销计算表!J11</f>
        <v>4516.51367826296</v>
      </c>
      <c r="M10" s="125">
        <f>利润及利润分配表!L17+固定资产折旧摊销计算表!K11</f>
        <v>4948.74743856981</v>
      </c>
      <c r="N10" s="125">
        <f>利润及利润分配表!M17+固定资产折旧摊销计算表!L11</f>
        <v>5537.94433768234</v>
      </c>
      <c r="O10" s="125">
        <f>利润及利润分配表!N17+固定资产折旧摊销计算表!M11</f>
        <v>6290.1523979271</v>
      </c>
      <c r="P10" s="125">
        <f>利润及利润分配表!O17+固定资产折旧摊销计算表!N11</f>
        <v>7217.57938883702</v>
      </c>
      <c r="Q10" s="125">
        <f>利润及利润分配表!P17+固定资产折旧摊销计算表!O11</f>
        <v>8338.36931204043</v>
      </c>
      <c r="R10" s="125">
        <f>利润及利润分配表!Q17+固定资产折旧摊销计算表!P11</f>
        <v>9676.65645437459</v>
      </c>
      <c r="S10" s="125">
        <f>利润及利润分配表!R17+固定资产折旧摊销计算表!Q11</f>
        <v>11262.8659842395</v>
      </c>
      <c r="T10" s="125">
        <f>S12</f>
        <v>1258.79136415098</v>
      </c>
      <c r="U10" s="125">
        <v>0</v>
      </c>
      <c r="V10" s="125">
        <v>0</v>
      </c>
      <c r="W10" s="125">
        <v>0</v>
      </c>
    </row>
    <row r="11" ht="18" customHeight="1" spans="1:23">
      <c r="A11" s="123">
        <v>4.2</v>
      </c>
      <c r="B11" s="124" t="s">
        <v>130</v>
      </c>
      <c r="C11" s="125">
        <v>0</v>
      </c>
      <c r="D11" s="125">
        <v>0</v>
      </c>
      <c r="E11" s="125">
        <f>D12*基础数据!$D$28</f>
        <v>5294.33688</v>
      </c>
      <c r="F11" s="125">
        <f>E12*基础数据!$D$28</f>
        <v>5037.342648</v>
      </c>
      <c r="G11" s="125">
        <f>F12*基础数据!$D$28</f>
        <v>4789.348416</v>
      </c>
      <c r="H11" s="125">
        <f>G12*基础数据!$D$28</f>
        <v>4541.354184</v>
      </c>
      <c r="I11" s="125">
        <f>H12*基础数据!$D$28</f>
        <v>4293.359952</v>
      </c>
      <c r="J11" s="125">
        <f>I12*基础数据!$D$28</f>
        <v>4045.36572</v>
      </c>
      <c r="K11" s="125">
        <f>J12*基础数据!$D$28</f>
        <v>3797.371488</v>
      </c>
      <c r="L11" s="125">
        <f>K12*基础数据!$D$28</f>
        <v>3542.85722136508</v>
      </c>
      <c r="M11" s="125">
        <f>L12*基础数据!$D$28</f>
        <v>3271.8664006693</v>
      </c>
      <c r="N11" s="125">
        <f>M12*基础数据!$D$28</f>
        <v>2974.94155435512</v>
      </c>
      <c r="O11" s="125">
        <f>N12*基础数据!$D$28</f>
        <v>2642.66489409418</v>
      </c>
      <c r="P11" s="125">
        <f>O12*基础数据!$D$28</f>
        <v>2265.25575021855</v>
      </c>
      <c r="Q11" s="125">
        <f>P12*基础数据!$D$28</f>
        <v>1832.20098688833</v>
      </c>
      <c r="R11" s="125">
        <f>Q12*基础数据!$D$28</f>
        <v>1331.8988281659</v>
      </c>
      <c r="S11" s="125">
        <f>R12*基础数据!$D$28</f>
        <v>751.299440903428</v>
      </c>
      <c r="T11" s="125">
        <f>S12*基础数据!$D$28</f>
        <v>75.5274818490587</v>
      </c>
      <c r="U11" s="125">
        <f>T12*基础数据!$D$28</f>
        <v>0</v>
      </c>
      <c r="V11" s="125">
        <f>U12*基础数据!$D$28</f>
        <v>0</v>
      </c>
      <c r="W11" s="134">
        <f>V12*基础数据!$D$28</f>
        <v>0</v>
      </c>
    </row>
    <row r="12" ht="18" customHeight="1" spans="1:23">
      <c r="A12" s="126">
        <v>5</v>
      </c>
      <c r="B12" s="127" t="s">
        <v>131</v>
      </c>
      <c r="C12" s="128">
        <f>C6+C7+C8-C9</f>
        <v>52849.7688</v>
      </c>
      <c r="D12" s="128">
        <f>D6+D7+D8-D9</f>
        <v>88238.948</v>
      </c>
      <c r="E12" s="128">
        <f>E6-E10</f>
        <v>83955.7108</v>
      </c>
      <c r="F12" s="128">
        <f>E12-F10</f>
        <v>79822.4736</v>
      </c>
      <c r="G12" s="128">
        <f t="shared" ref="G12:L12" si="13">F12-G10</f>
        <v>75689.2364</v>
      </c>
      <c r="H12" s="128">
        <f t="shared" si="13"/>
        <v>71555.9992</v>
      </c>
      <c r="I12" s="128">
        <f t="shared" si="13"/>
        <v>67422.762</v>
      </c>
      <c r="J12" s="128">
        <f t="shared" si="13"/>
        <v>63289.5248</v>
      </c>
      <c r="K12" s="128">
        <f t="shared" si="13"/>
        <v>59047.6203560847</v>
      </c>
      <c r="L12" s="128">
        <f t="shared" si="13"/>
        <v>54531.1066778218</v>
      </c>
      <c r="M12" s="128">
        <f t="shared" ref="M12" si="14">L12-M10</f>
        <v>49582.3592392519</v>
      </c>
      <c r="N12" s="128">
        <f t="shared" ref="N12" si="15">M12-N10</f>
        <v>44044.4149015696</v>
      </c>
      <c r="O12" s="128">
        <f t="shared" ref="O12" si="16">N12-O10</f>
        <v>37754.2625036425</v>
      </c>
      <c r="P12" s="128">
        <f t="shared" ref="P12" si="17">O12-P10</f>
        <v>30536.6831148055</v>
      </c>
      <c r="Q12" s="128">
        <f t="shared" ref="Q12" si="18">P12-Q10</f>
        <v>22198.3138027651</v>
      </c>
      <c r="R12" s="128">
        <f t="shared" ref="R12" si="19">Q12-R10</f>
        <v>12521.6573483905</v>
      </c>
      <c r="S12" s="128">
        <f t="shared" ref="S12" si="20">R12-S10</f>
        <v>1258.79136415098</v>
      </c>
      <c r="T12" s="128">
        <f t="shared" ref="T12" si="21">S12-T10</f>
        <v>0</v>
      </c>
      <c r="U12" s="128">
        <f t="shared" ref="U12" si="22">T12-U10</f>
        <v>0</v>
      </c>
      <c r="V12" s="128">
        <f t="shared" ref="V12" si="23">U12-V10</f>
        <v>0</v>
      </c>
      <c r="W12" s="135">
        <v>0</v>
      </c>
    </row>
    <row r="13" spans="1:23">
      <c r="A13" s="129" t="s">
        <v>132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</row>
  </sheetData>
  <mergeCells count="8">
    <mergeCell ref="A1:W1"/>
    <mergeCell ref="A2:W2"/>
    <mergeCell ref="C3:W3"/>
    <mergeCell ref="C4:D4"/>
    <mergeCell ref="E4:W4"/>
    <mergeCell ref="A13:W13"/>
    <mergeCell ref="A3:A5"/>
    <mergeCell ref="B3:B5"/>
  </mergeCells>
  <pageMargins left="0.700694444444445" right="0.700694444444445" top="0.751388888888889" bottom="0.751388888888889" header="0.297916666666667" footer="0.297916666666667"/>
  <pageSetup paperSize="8" scale="94" fitToHeight="0" orientation="landscape"/>
  <headerFooter/>
  <ignoredErrors>
    <ignoredError sqref="E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4"/>
  <sheetViews>
    <sheetView workbookViewId="0">
      <pane ySplit="4" topLeftCell="A11" activePane="bottomLeft" state="frozen"/>
      <selection/>
      <selection pane="bottomLeft" activeCell="E40" sqref="E40"/>
    </sheetView>
  </sheetViews>
  <sheetFormatPr defaultColWidth="9" defaultRowHeight="13.2"/>
  <cols>
    <col min="1" max="1" width="5.66666666666667" style="39" customWidth="1"/>
    <col min="2" max="2" width="17.8888888888889" style="39" customWidth="1"/>
    <col min="3" max="3" width="10.6666666666667" style="39" customWidth="1"/>
    <col min="4" max="10" width="12.7777777777778" style="39" customWidth="1"/>
    <col min="11" max="11" width="12.7777777777778" style="70" customWidth="1"/>
    <col min="12" max="13" width="12.7777777777778" style="39" customWidth="1"/>
    <col min="14" max="14" width="11.6666666666667" style="39" customWidth="1"/>
    <col min="15" max="30" width="12.7777777777778" style="39" customWidth="1"/>
    <col min="31" max="16384" width="9" style="39"/>
  </cols>
  <sheetData>
    <row r="1" ht="25" customHeight="1" spans="1:30">
      <c r="A1" s="71" t="s">
        <v>133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</row>
    <row r="2" ht="13.95" spans="1:30">
      <c r="A2" s="72" t="s">
        <v>44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</row>
    <row r="3" spans="1:30">
      <c r="A3" s="73" t="s">
        <v>1</v>
      </c>
      <c r="B3" s="74" t="s">
        <v>134</v>
      </c>
      <c r="C3" s="74" t="s">
        <v>46</v>
      </c>
      <c r="D3" s="74" t="s">
        <v>47</v>
      </c>
      <c r="E3" s="74"/>
      <c r="F3" s="75" t="s">
        <v>65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100"/>
    </row>
    <row r="4" spans="1:30">
      <c r="A4" s="76"/>
      <c r="B4" s="42"/>
      <c r="C4" s="42"/>
      <c r="D4" s="42">
        <v>1</v>
      </c>
      <c r="E4" s="42">
        <v>2</v>
      </c>
      <c r="F4" s="42">
        <v>3</v>
      </c>
      <c r="G4" s="42">
        <v>4</v>
      </c>
      <c r="H4" s="42">
        <v>5</v>
      </c>
      <c r="I4" s="42">
        <v>6</v>
      </c>
      <c r="J4" s="42">
        <v>7</v>
      </c>
      <c r="K4" s="42">
        <v>8</v>
      </c>
      <c r="L4" s="42">
        <v>9</v>
      </c>
      <c r="M4" s="42">
        <v>10</v>
      </c>
      <c r="N4" s="42">
        <v>11</v>
      </c>
      <c r="O4" s="42">
        <v>12</v>
      </c>
      <c r="P4" s="42">
        <v>13</v>
      </c>
      <c r="Q4" s="42">
        <v>14</v>
      </c>
      <c r="R4" s="42">
        <v>15</v>
      </c>
      <c r="S4" s="42">
        <v>16</v>
      </c>
      <c r="T4" s="42">
        <v>17</v>
      </c>
      <c r="U4" s="42">
        <v>18</v>
      </c>
      <c r="V4" s="42">
        <v>19</v>
      </c>
      <c r="W4" s="42">
        <v>20</v>
      </c>
      <c r="X4" s="42">
        <v>21</v>
      </c>
      <c r="Y4" s="42">
        <v>22</v>
      </c>
      <c r="Z4" s="42">
        <v>23</v>
      </c>
      <c r="AA4" s="42">
        <v>24</v>
      </c>
      <c r="AB4" s="42">
        <v>25</v>
      </c>
      <c r="AC4" s="42">
        <v>26</v>
      </c>
      <c r="AD4" s="101">
        <v>27</v>
      </c>
    </row>
    <row r="5" ht="16" customHeight="1" spans="1:30">
      <c r="A5" s="77">
        <v>1</v>
      </c>
      <c r="B5" s="78" t="s">
        <v>135</v>
      </c>
      <c r="C5" s="79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102"/>
    </row>
    <row r="6" ht="16" customHeight="1" spans="1:30">
      <c r="A6" s="80">
        <v>1.1</v>
      </c>
      <c r="B6" s="49" t="s">
        <v>136</v>
      </c>
      <c r="C6" s="49">
        <f>SUM(D6:AD6)</f>
        <v>213682.727087249</v>
      </c>
      <c r="D6" s="49"/>
      <c r="E6" s="49"/>
      <c r="F6" s="49">
        <f>营业收入、营业税金及附加和增值税估算表!D5</f>
        <v>8448.88488736466</v>
      </c>
      <c r="G6" s="49">
        <f>营业收入、营业税金及附加和增值税估算表!E5</f>
        <v>8455.88488736466</v>
      </c>
      <c r="H6" s="49">
        <f>营业收入、营业税金及附加和增值税估算表!F5</f>
        <v>8463.02488736466</v>
      </c>
      <c r="I6" s="49">
        <f>营业收入、营业税金及附加和增值税估算表!G5</f>
        <v>8470.30768736466</v>
      </c>
      <c r="J6" s="49">
        <f>营业收入、营业税金及附加和增值税估算表!H5</f>
        <v>8477.73614336466</v>
      </c>
      <c r="K6" s="49">
        <f>营业收入、营业税金及附加和增值税估算表!I5</f>
        <v>8485.31316848466</v>
      </c>
      <c r="L6" s="49">
        <f>营业收入、营业税金及附加和增值税估算表!J5</f>
        <v>8493.04173410706</v>
      </c>
      <c r="M6" s="49">
        <f>营业收入、营业税金及附加和增值税估算表!K5</f>
        <v>8500.92487104191</v>
      </c>
      <c r="N6" s="49">
        <f>营业收入、营业税金及附加和增值税估算表!L5</f>
        <v>8508.96567071545</v>
      </c>
      <c r="O6" s="49">
        <f>营业收入、营业税金及附加和增值税估算表!M5</f>
        <v>8517.16728638247</v>
      </c>
      <c r="P6" s="49">
        <f>营业收入、营业税金及附加和增值税估算表!N5</f>
        <v>8525.53293436282</v>
      </c>
      <c r="Q6" s="49">
        <f>营业收入、营业税金及附加和增值税估算表!O5</f>
        <v>8534.06589530279</v>
      </c>
      <c r="R6" s="49">
        <f>营业收入、营业税金及附加和增值税估算表!P5</f>
        <v>8542.76951546155</v>
      </c>
      <c r="S6" s="49">
        <f>营业收入、营业税金及附加和增值税估算表!Q5</f>
        <v>8551.64720802349</v>
      </c>
      <c r="T6" s="49">
        <f>营业收入、营业税金及附加和增值税估算表!R5</f>
        <v>8560.70245443666</v>
      </c>
      <c r="U6" s="49">
        <f>营业收入、营业税金及附加和增值税估算表!S5</f>
        <v>8569.9388057781</v>
      </c>
      <c r="V6" s="49">
        <f>营业收入、营业税金及附加和增值税估算表!T5</f>
        <v>8579.35988414637</v>
      </c>
      <c r="W6" s="49">
        <f>营业收入、营业税金及附加和增值税估算表!U5</f>
        <v>8588.96938408201</v>
      </c>
      <c r="X6" s="49">
        <f>营业收入、营业税金及附加和增值税估算表!V5</f>
        <v>8598.77107401635</v>
      </c>
      <c r="Y6" s="49">
        <f>营业收入、营业税金及附加和增值税估算表!W5</f>
        <v>8608.76879774939</v>
      </c>
      <c r="Z6" s="49">
        <f>营业收入、营业税金及附加和增值税估算表!X5</f>
        <v>8618.96647595708</v>
      </c>
      <c r="AA6" s="49">
        <f>营业收入、营业税金及附加和增值税估算表!Y5</f>
        <v>8629.36810772893</v>
      </c>
      <c r="AB6" s="49">
        <f>营业收入、营业税金及附加和增值税估算表!Z5</f>
        <v>8639.97777213622</v>
      </c>
      <c r="AC6" s="49">
        <f>营业收入、营业税金及附加和增值税估算表!AA5</f>
        <v>8650.79962983165</v>
      </c>
      <c r="AD6" s="103">
        <f>营业收入、营业税金及附加和增值税估算表!AB5</f>
        <v>8661.83792468099</v>
      </c>
    </row>
    <row r="7" ht="16" customHeight="1" spans="1:30">
      <c r="A7" s="80">
        <v>1.2</v>
      </c>
      <c r="B7" s="50" t="s">
        <v>137</v>
      </c>
      <c r="C7" s="49">
        <f t="shared" ref="C7:C20" si="0">SUM(D7:AD7)</f>
        <v>200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103">
        <f>基础数据!D13</f>
        <v>200</v>
      </c>
    </row>
    <row r="8" ht="16" customHeight="1" spans="1:30">
      <c r="A8" s="80">
        <v>1.3</v>
      </c>
      <c r="B8" s="49" t="s">
        <v>138</v>
      </c>
      <c r="C8" s="49">
        <f t="shared" si="0"/>
        <v>-5.82076609134674e-11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103">
        <f>固定资产折旧摊销计算表!AA12</f>
        <v>-5.82076609134674e-11</v>
      </c>
    </row>
    <row r="9" ht="16" customHeight="1" spans="1:30">
      <c r="A9" s="80"/>
      <c r="B9" s="49" t="s">
        <v>139</v>
      </c>
      <c r="C9" s="49">
        <f t="shared" si="0"/>
        <v>213882.727087249</v>
      </c>
      <c r="D9" s="49">
        <f t="shared" ref="D9:M9" si="1">SUM(D6:D8)</f>
        <v>0</v>
      </c>
      <c r="E9" s="49">
        <f t="shared" si="1"/>
        <v>0</v>
      </c>
      <c r="F9" s="49">
        <f t="shared" si="1"/>
        <v>8448.88488736466</v>
      </c>
      <c r="G9" s="49">
        <f t="shared" ref="G9:AD9" si="2">SUM(G6:G8)</f>
        <v>8455.88488736466</v>
      </c>
      <c r="H9" s="49">
        <f t="shared" si="2"/>
        <v>8463.02488736466</v>
      </c>
      <c r="I9" s="49">
        <f t="shared" si="2"/>
        <v>8470.30768736466</v>
      </c>
      <c r="J9" s="49">
        <f t="shared" si="2"/>
        <v>8477.73614336466</v>
      </c>
      <c r="K9" s="49">
        <f t="shared" si="2"/>
        <v>8485.31316848466</v>
      </c>
      <c r="L9" s="49">
        <f t="shared" si="2"/>
        <v>8493.04173410706</v>
      </c>
      <c r="M9" s="49">
        <f t="shared" si="2"/>
        <v>8500.92487104191</v>
      </c>
      <c r="N9" s="49">
        <f t="shared" si="2"/>
        <v>8508.96567071545</v>
      </c>
      <c r="O9" s="49">
        <f t="shared" si="2"/>
        <v>8517.16728638247</v>
      </c>
      <c r="P9" s="49">
        <f t="shared" si="2"/>
        <v>8525.53293436282</v>
      </c>
      <c r="Q9" s="49">
        <f t="shared" si="2"/>
        <v>8534.06589530279</v>
      </c>
      <c r="R9" s="49">
        <f t="shared" si="2"/>
        <v>8542.76951546155</v>
      </c>
      <c r="S9" s="49">
        <f t="shared" si="2"/>
        <v>8551.64720802349</v>
      </c>
      <c r="T9" s="49">
        <f t="shared" si="2"/>
        <v>8560.70245443666</v>
      </c>
      <c r="U9" s="49">
        <f t="shared" si="2"/>
        <v>8569.9388057781</v>
      </c>
      <c r="V9" s="49">
        <f t="shared" si="2"/>
        <v>8579.35988414637</v>
      </c>
      <c r="W9" s="49">
        <f t="shared" si="2"/>
        <v>8588.96938408201</v>
      </c>
      <c r="X9" s="49">
        <f t="shared" si="2"/>
        <v>8598.77107401635</v>
      </c>
      <c r="Y9" s="49">
        <f t="shared" si="2"/>
        <v>8608.76879774939</v>
      </c>
      <c r="Z9" s="49">
        <f t="shared" si="2"/>
        <v>8618.96647595708</v>
      </c>
      <c r="AA9" s="49">
        <f t="shared" si="2"/>
        <v>8629.36810772893</v>
      </c>
      <c r="AB9" s="49">
        <f t="shared" si="2"/>
        <v>8639.97777213622</v>
      </c>
      <c r="AC9" s="49">
        <f t="shared" si="2"/>
        <v>8650.79962983165</v>
      </c>
      <c r="AD9" s="103">
        <f t="shared" si="2"/>
        <v>8861.83792468093</v>
      </c>
    </row>
    <row r="10" ht="16" customHeight="1" spans="1:30">
      <c r="A10" s="77">
        <v>2</v>
      </c>
      <c r="B10" s="81" t="s">
        <v>140</v>
      </c>
      <c r="C10" s="82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104"/>
    </row>
    <row r="11" ht="16" customHeight="1" spans="1:30">
      <c r="A11" s="80">
        <v>2.1</v>
      </c>
      <c r="B11" s="49" t="s">
        <v>10</v>
      </c>
      <c r="C11" s="49">
        <f t="shared" si="0"/>
        <v>98815.76</v>
      </c>
      <c r="D11" s="49">
        <f>项目总投资使用计划与资金筹措表!D6</f>
        <v>59289.456</v>
      </c>
      <c r="E11" s="49">
        <f>项目总投资使用计划与资金筹措表!E6</f>
        <v>39526.304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103"/>
    </row>
    <row r="12" ht="16" customHeight="1" spans="1:30">
      <c r="A12" s="80">
        <v>2.2</v>
      </c>
      <c r="B12" s="49" t="s">
        <v>16</v>
      </c>
      <c r="C12" s="49">
        <f t="shared" si="0"/>
        <v>200</v>
      </c>
      <c r="D12" s="49"/>
      <c r="E12" s="49"/>
      <c r="F12" s="49">
        <f>基础数据!D13</f>
        <v>200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103"/>
    </row>
    <row r="13" ht="16" customHeight="1" spans="1:30">
      <c r="A13" s="80">
        <v>2.3</v>
      </c>
      <c r="B13" s="49" t="s">
        <v>141</v>
      </c>
      <c r="C13" s="49">
        <f t="shared" si="0"/>
        <v>11210.6049031328</v>
      </c>
      <c r="D13" s="49"/>
      <c r="E13" s="49"/>
      <c r="F13" s="49">
        <f>总成本费用估算表!D5</f>
        <v>350</v>
      </c>
      <c r="G13" s="49">
        <f>总成本费用估算表!E5</f>
        <v>357</v>
      </c>
      <c r="H13" s="49">
        <f>总成本费用估算表!F5</f>
        <v>364.14</v>
      </c>
      <c r="I13" s="49">
        <f>总成本费用估算表!G5</f>
        <v>371.4228</v>
      </c>
      <c r="J13" s="49">
        <f>总成本费用估算表!H5</f>
        <v>378.851256</v>
      </c>
      <c r="K13" s="49">
        <f>总成本费用估算表!I5</f>
        <v>386.42828112</v>
      </c>
      <c r="L13" s="49">
        <f>总成本费用估算表!J5</f>
        <v>394.1568467424</v>
      </c>
      <c r="M13" s="49">
        <f>总成本费用估算表!K5</f>
        <v>402.039983677248</v>
      </c>
      <c r="N13" s="49">
        <f>总成本费用估算表!L5</f>
        <v>410.080783350793</v>
      </c>
      <c r="O13" s="49">
        <f>总成本费用估算表!M5</f>
        <v>418.282399017809</v>
      </c>
      <c r="P13" s="49">
        <f>总成本费用估算表!N5</f>
        <v>426.648046998165</v>
      </c>
      <c r="Q13" s="49">
        <f>总成本费用估算表!O5</f>
        <v>435.181007938128</v>
      </c>
      <c r="R13" s="49">
        <f>总成本费用估算表!P5</f>
        <v>443.884628096891</v>
      </c>
      <c r="S13" s="49">
        <f>总成本费用估算表!Q5</f>
        <v>452.762320658829</v>
      </c>
      <c r="T13" s="49">
        <f>总成本费用估算表!R5</f>
        <v>461.817567072005</v>
      </c>
      <c r="U13" s="49">
        <f>总成本费用估算表!S5</f>
        <v>471.053918413445</v>
      </c>
      <c r="V13" s="49">
        <f>总成本费用估算表!T5</f>
        <v>480.474996781714</v>
      </c>
      <c r="W13" s="49">
        <f>总成本费用估算表!U5</f>
        <v>490.084496717349</v>
      </c>
      <c r="X13" s="49">
        <f>总成本费用估算表!V5</f>
        <v>499.886186651696</v>
      </c>
      <c r="Y13" s="49">
        <f>总成本费用估算表!W5</f>
        <v>509.88391038473</v>
      </c>
      <c r="Z13" s="49">
        <f>总成本费用估算表!X5</f>
        <v>520.081588592424</v>
      </c>
      <c r="AA13" s="49">
        <f>总成本费用估算表!Y5</f>
        <v>530.483220364273</v>
      </c>
      <c r="AB13" s="49">
        <f>总成本费用估算表!Z5</f>
        <v>541.092884771558</v>
      </c>
      <c r="AC13" s="49">
        <f>总成本费用估算表!AA5</f>
        <v>551.914742466989</v>
      </c>
      <c r="AD13" s="103">
        <f>总成本费用估算表!AB5</f>
        <v>562.953037316329</v>
      </c>
    </row>
    <row r="14" ht="16" customHeight="1" spans="1:30">
      <c r="A14" s="80">
        <v>2.4</v>
      </c>
      <c r="B14" s="50" t="s">
        <v>106</v>
      </c>
      <c r="C14" s="49">
        <f t="shared" si="0"/>
        <v>1295.52139465518</v>
      </c>
      <c r="D14" s="49"/>
      <c r="E14" s="49"/>
      <c r="F14" s="49">
        <f>营业收入、营业税金及附加和增值税估算表!D14</f>
        <v>118.196765866667</v>
      </c>
      <c r="G14" s="49">
        <f>营业收入、营业税金及附加和增值税估算表!E14</f>
        <v>177.807168</v>
      </c>
      <c r="H14" s="49">
        <f>营业收入、营业税金及附加和增值税估算表!F14</f>
        <v>292.938037891459</v>
      </c>
      <c r="I14" s="49">
        <f>营业收入、营业税金及附加和增值税估算表!G14</f>
        <v>361.629200060195</v>
      </c>
      <c r="J14" s="49">
        <f>营业收入、营业税金及附加和增值税估算表!H14</f>
        <v>13.3788146897228</v>
      </c>
      <c r="K14" s="49">
        <f>营业收入、营业税金及附加和增值税估算表!I14</f>
        <v>13.6463909835173</v>
      </c>
      <c r="L14" s="49">
        <f>营业收入、营业税金及附加和增值税估算表!J14</f>
        <v>13.9193188031876</v>
      </c>
      <c r="M14" s="49">
        <f>营业收入、营业税金及附加和增值税估算表!K14</f>
        <v>14.1977051792514</v>
      </c>
      <c r="N14" s="49">
        <f>营业收入、营业税金及附加和增值税估算表!L14</f>
        <v>14.4816592828364</v>
      </c>
      <c r="O14" s="49">
        <f>营业收入、营业税金及附加和增值税估算表!M14</f>
        <v>14.7712924684931</v>
      </c>
      <c r="P14" s="49">
        <f>营业收入、营业税金及附加和增值税估算表!N14</f>
        <v>15.0667183178629</v>
      </c>
      <c r="Q14" s="49">
        <f>营业收入、营业税金及附加和增值税估算表!O14</f>
        <v>15.3680526842203</v>
      </c>
      <c r="R14" s="49">
        <f>营业收入、营业税金及附加和增值税估算表!P14</f>
        <v>15.6754137379047</v>
      </c>
      <c r="S14" s="49">
        <f>营业收入、营业税金及附加和增值税估算表!Q14</f>
        <v>15.9889220126627</v>
      </c>
      <c r="T14" s="49">
        <f>营业收入、营业税金及附加和增值税估算表!R14</f>
        <v>16.308700452916</v>
      </c>
      <c r="U14" s="49">
        <f>营业收入、营业税金及附加和增值税估算表!S14</f>
        <v>16.6348744619742</v>
      </c>
      <c r="V14" s="49">
        <f>营业收入、营业税金及附加和增值税估算表!T14</f>
        <v>16.9675719512138</v>
      </c>
      <c r="W14" s="49">
        <f>营业收入、营业税金及附加和增值税估算表!U14</f>
        <v>17.3069233902381</v>
      </c>
      <c r="X14" s="49">
        <f>营业收入、营业税金及附加和增值税估算表!V14</f>
        <v>17.6530618580428</v>
      </c>
      <c r="Y14" s="49">
        <f>营业收入、营业税金及附加和增值税估算表!W14</f>
        <v>18.0061230952037</v>
      </c>
      <c r="Z14" s="49">
        <f>营业收入、营业税金及附加和增值税估算表!X14</f>
        <v>18.3662455571078</v>
      </c>
      <c r="AA14" s="49">
        <f>营业收入、营业税金及附加和增值税估算表!Y14</f>
        <v>18.7335704682499</v>
      </c>
      <c r="AB14" s="49">
        <f>营业收入、营业税金及附加和增值税估算表!Z14</f>
        <v>19.1082418776149</v>
      </c>
      <c r="AC14" s="49">
        <f>营业收入、营业税金及附加和增值税估算表!AA14</f>
        <v>19.4904067151672</v>
      </c>
      <c r="AD14" s="103">
        <f>营业收入、营业税金及附加和增值税估算表!AB14</f>
        <v>19.8802148494705</v>
      </c>
    </row>
    <row r="15" ht="16" customHeight="1" spans="1:30">
      <c r="A15" s="80"/>
      <c r="B15" s="49" t="s">
        <v>142</v>
      </c>
      <c r="C15" s="49">
        <f t="shared" si="0"/>
        <v>111521.886297788</v>
      </c>
      <c r="D15" s="54">
        <f t="shared" ref="D15:M15" si="3">SUM(D11:D14)</f>
        <v>59289.456</v>
      </c>
      <c r="E15" s="54">
        <f t="shared" si="3"/>
        <v>39526.304</v>
      </c>
      <c r="F15" s="54">
        <f t="shared" si="3"/>
        <v>668.196765866667</v>
      </c>
      <c r="G15" s="54">
        <f t="shared" si="3"/>
        <v>534.807168</v>
      </c>
      <c r="H15" s="54">
        <f t="shared" si="3"/>
        <v>657.078037891459</v>
      </c>
      <c r="I15" s="54">
        <f t="shared" si="3"/>
        <v>733.052000060195</v>
      </c>
      <c r="J15" s="54">
        <f t="shared" si="3"/>
        <v>392.230070689723</v>
      </c>
      <c r="K15" s="54">
        <f t="shared" si="3"/>
        <v>400.074672103517</v>
      </c>
      <c r="L15" s="54">
        <f t="shared" si="3"/>
        <v>408.076165545588</v>
      </c>
      <c r="M15" s="54">
        <f t="shared" si="3"/>
        <v>416.237688856499</v>
      </c>
      <c r="N15" s="54">
        <f t="shared" ref="N15:AD15" si="4">SUM(N11:N14)</f>
        <v>424.562442633629</v>
      </c>
      <c r="O15" s="54">
        <f t="shared" si="4"/>
        <v>433.053691486302</v>
      </c>
      <c r="P15" s="54">
        <f t="shared" si="4"/>
        <v>441.714765316028</v>
      </c>
      <c r="Q15" s="54">
        <f t="shared" si="4"/>
        <v>450.549060622349</v>
      </c>
      <c r="R15" s="54">
        <f t="shared" si="4"/>
        <v>459.560041834796</v>
      </c>
      <c r="S15" s="54">
        <f t="shared" si="4"/>
        <v>468.751242671491</v>
      </c>
      <c r="T15" s="54">
        <f t="shared" si="4"/>
        <v>478.126267524921</v>
      </c>
      <c r="U15" s="54">
        <f t="shared" si="4"/>
        <v>487.68879287542</v>
      </c>
      <c r="V15" s="54">
        <f t="shared" si="4"/>
        <v>497.442568732928</v>
      </c>
      <c r="W15" s="54">
        <f t="shared" si="4"/>
        <v>507.391420107587</v>
      </c>
      <c r="X15" s="54">
        <f t="shared" si="4"/>
        <v>517.539248509738</v>
      </c>
      <c r="Y15" s="54">
        <f t="shared" si="4"/>
        <v>527.890033479933</v>
      </c>
      <c r="Z15" s="54">
        <f t="shared" si="4"/>
        <v>538.447834149532</v>
      </c>
      <c r="AA15" s="54">
        <f t="shared" si="4"/>
        <v>549.216790832523</v>
      </c>
      <c r="AB15" s="54">
        <f t="shared" si="4"/>
        <v>560.201126649173</v>
      </c>
      <c r="AC15" s="54">
        <f t="shared" si="4"/>
        <v>571.405149182156</v>
      </c>
      <c r="AD15" s="105">
        <f t="shared" si="4"/>
        <v>582.8332521658</v>
      </c>
    </row>
    <row r="16" ht="16" customHeight="1" spans="1:30">
      <c r="A16" s="80">
        <v>3</v>
      </c>
      <c r="B16" s="49" t="s">
        <v>143</v>
      </c>
      <c r="C16" s="49">
        <f t="shared" si="0"/>
        <v>102360.840789461</v>
      </c>
      <c r="D16" s="54">
        <f t="shared" ref="D16:M16" si="5">D9-D15</f>
        <v>-59289.456</v>
      </c>
      <c r="E16" s="83">
        <f t="shared" si="5"/>
        <v>-39526.304</v>
      </c>
      <c r="F16" s="49">
        <f t="shared" si="5"/>
        <v>7780.68812149799</v>
      </c>
      <c r="G16" s="49">
        <f t="shared" si="5"/>
        <v>7921.07771936466</v>
      </c>
      <c r="H16" s="49">
        <f t="shared" si="5"/>
        <v>7805.9468494732</v>
      </c>
      <c r="I16" s="49">
        <f t="shared" si="5"/>
        <v>7737.25568730446</v>
      </c>
      <c r="J16" s="49">
        <f t="shared" si="5"/>
        <v>8085.50607267494</v>
      </c>
      <c r="K16" s="49">
        <f t="shared" si="5"/>
        <v>8085.23849638114</v>
      </c>
      <c r="L16" s="49">
        <f t="shared" si="5"/>
        <v>8084.96556856147</v>
      </c>
      <c r="M16" s="49">
        <f t="shared" si="5"/>
        <v>8084.68718218541</v>
      </c>
      <c r="N16" s="49">
        <f t="shared" ref="N16:AD16" si="6">N9-N15</f>
        <v>8084.40322808182</v>
      </c>
      <c r="O16" s="49">
        <f t="shared" si="6"/>
        <v>8084.11359489617</v>
      </c>
      <c r="P16" s="49">
        <f t="shared" si="6"/>
        <v>8083.8181690468</v>
      </c>
      <c r="Q16" s="49">
        <f t="shared" si="6"/>
        <v>8083.51683468044</v>
      </c>
      <c r="R16" s="49">
        <f t="shared" si="6"/>
        <v>8083.20947362675</v>
      </c>
      <c r="S16" s="49">
        <f t="shared" si="6"/>
        <v>8082.895965352</v>
      </c>
      <c r="T16" s="49">
        <f t="shared" si="6"/>
        <v>8082.57618691174</v>
      </c>
      <c r="U16" s="49">
        <f t="shared" si="6"/>
        <v>8082.25001290268</v>
      </c>
      <c r="V16" s="49">
        <f t="shared" si="6"/>
        <v>8081.91731541345</v>
      </c>
      <c r="W16" s="49">
        <f t="shared" si="6"/>
        <v>8081.57796397442</v>
      </c>
      <c r="X16" s="49">
        <f t="shared" si="6"/>
        <v>8081.23182550662</v>
      </c>
      <c r="Y16" s="49">
        <f t="shared" si="6"/>
        <v>8080.87876426946</v>
      </c>
      <c r="Z16" s="49">
        <f t="shared" si="6"/>
        <v>8080.51864180755</v>
      </c>
      <c r="AA16" s="49">
        <f t="shared" si="6"/>
        <v>8080.15131689641</v>
      </c>
      <c r="AB16" s="49">
        <f t="shared" si="6"/>
        <v>8079.77664548704</v>
      </c>
      <c r="AC16" s="49">
        <f t="shared" si="6"/>
        <v>8079.39448064949</v>
      </c>
      <c r="AD16" s="103">
        <f t="shared" si="6"/>
        <v>8279.00467251513</v>
      </c>
    </row>
    <row r="17" ht="16" customHeight="1" spans="1:30">
      <c r="A17" s="80">
        <v>4</v>
      </c>
      <c r="B17" s="50" t="s">
        <v>144</v>
      </c>
      <c r="C17" s="49">
        <f t="shared" si="0"/>
        <v>102360.840789461</v>
      </c>
      <c r="D17" s="54">
        <f>D16</f>
        <v>-59289.456</v>
      </c>
      <c r="E17" s="83">
        <f t="shared" ref="E17:M17" si="7">E16</f>
        <v>-39526.304</v>
      </c>
      <c r="F17" s="49">
        <f t="shared" si="7"/>
        <v>7780.68812149799</v>
      </c>
      <c r="G17" s="49">
        <f t="shared" si="7"/>
        <v>7921.07771936466</v>
      </c>
      <c r="H17" s="49">
        <f t="shared" si="7"/>
        <v>7805.9468494732</v>
      </c>
      <c r="I17" s="49">
        <f t="shared" si="7"/>
        <v>7737.25568730446</v>
      </c>
      <c r="J17" s="49">
        <f t="shared" si="7"/>
        <v>8085.50607267494</v>
      </c>
      <c r="K17" s="49">
        <f t="shared" si="7"/>
        <v>8085.23849638114</v>
      </c>
      <c r="L17" s="49">
        <f t="shared" si="7"/>
        <v>8084.96556856147</v>
      </c>
      <c r="M17" s="49">
        <f t="shared" si="7"/>
        <v>8084.68718218541</v>
      </c>
      <c r="N17" s="49">
        <f t="shared" ref="N17:AD17" si="8">N16</f>
        <v>8084.40322808182</v>
      </c>
      <c r="O17" s="49">
        <f t="shared" si="8"/>
        <v>8084.11359489617</v>
      </c>
      <c r="P17" s="49">
        <f t="shared" si="8"/>
        <v>8083.8181690468</v>
      </c>
      <c r="Q17" s="49">
        <f t="shared" si="8"/>
        <v>8083.51683468044</v>
      </c>
      <c r="R17" s="49">
        <f t="shared" si="8"/>
        <v>8083.20947362675</v>
      </c>
      <c r="S17" s="49">
        <f t="shared" si="8"/>
        <v>8082.895965352</v>
      </c>
      <c r="T17" s="49">
        <f t="shared" si="8"/>
        <v>8082.57618691174</v>
      </c>
      <c r="U17" s="49">
        <f t="shared" si="8"/>
        <v>8082.25001290268</v>
      </c>
      <c r="V17" s="49">
        <f t="shared" si="8"/>
        <v>8081.91731541345</v>
      </c>
      <c r="W17" s="49">
        <f t="shared" si="8"/>
        <v>8081.57796397442</v>
      </c>
      <c r="X17" s="49">
        <f t="shared" si="8"/>
        <v>8081.23182550662</v>
      </c>
      <c r="Y17" s="49">
        <f t="shared" si="8"/>
        <v>8080.87876426946</v>
      </c>
      <c r="Z17" s="49">
        <f t="shared" si="8"/>
        <v>8080.51864180755</v>
      </c>
      <c r="AA17" s="49">
        <f t="shared" si="8"/>
        <v>8080.15131689641</v>
      </c>
      <c r="AB17" s="49">
        <f t="shared" si="8"/>
        <v>8079.77664548704</v>
      </c>
      <c r="AC17" s="49">
        <f t="shared" si="8"/>
        <v>8079.39448064949</v>
      </c>
      <c r="AD17" s="103">
        <f t="shared" si="8"/>
        <v>8279.00467251513</v>
      </c>
    </row>
    <row r="18" ht="16" customHeight="1" spans="1:30">
      <c r="A18" s="80">
        <v>5</v>
      </c>
      <c r="B18" s="50" t="s">
        <v>145</v>
      </c>
      <c r="C18" s="49"/>
      <c r="D18" s="54">
        <f>D17</f>
        <v>-59289.456</v>
      </c>
      <c r="E18" s="54">
        <f t="shared" ref="E18:M18" si="9">D18+E17</f>
        <v>-98815.76</v>
      </c>
      <c r="F18" s="54">
        <f t="shared" si="9"/>
        <v>-91035.071878502</v>
      </c>
      <c r="G18" s="54">
        <f t="shared" si="9"/>
        <v>-83113.9941591373</v>
      </c>
      <c r="H18" s="54">
        <f t="shared" si="9"/>
        <v>-75308.0473096641</v>
      </c>
      <c r="I18" s="54">
        <f t="shared" si="9"/>
        <v>-67570.7916223597</v>
      </c>
      <c r="J18" s="54">
        <f t="shared" si="9"/>
        <v>-59485.2855496847</v>
      </c>
      <c r="K18" s="54">
        <f t="shared" si="9"/>
        <v>-51400.0470533036</v>
      </c>
      <c r="L18" s="54">
        <f t="shared" si="9"/>
        <v>-43315.0814847421</v>
      </c>
      <c r="M18" s="54">
        <f t="shared" si="9"/>
        <v>-35230.3943025567</v>
      </c>
      <c r="N18" s="54">
        <f t="shared" ref="N18" si="10">M18+N17</f>
        <v>-27145.9910744749</v>
      </c>
      <c r="O18" s="54">
        <f t="shared" ref="O18" si="11">N18+O17</f>
        <v>-19061.8774795787</v>
      </c>
      <c r="P18" s="54">
        <f t="shared" ref="P18" si="12">O18+P17</f>
        <v>-10978.0593105319</v>
      </c>
      <c r="Q18" s="54">
        <f t="shared" ref="Q18" si="13">P18+Q17</f>
        <v>-2894.54247585149</v>
      </c>
      <c r="R18" s="54">
        <f t="shared" ref="R18" si="14">Q18+R17</f>
        <v>5188.66699777526</v>
      </c>
      <c r="S18" s="54">
        <f t="shared" ref="S18" si="15">R18+S17</f>
        <v>13271.5629631273</v>
      </c>
      <c r="T18" s="54">
        <f t="shared" ref="T18" si="16">S18+T17</f>
        <v>21354.139150039</v>
      </c>
      <c r="U18" s="54">
        <f t="shared" ref="U18" si="17">T18+U17</f>
        <v>29436.3891629417</v>
      </c>
      <c r="V18" s="54">
        <f t="shared" ref="V18" si="18">U18+V17</f>
        <v>37518.3064783551</v>
      </c>
      <c r="W18" s="54">
        <f t="shared" ref="W18" si="19">V18+W17</f>
        <v>45599.8844423296</v>
      </c>
      <c r="X18" s="54">
        <f t="shared" ref="X18" si="20">W18+X17</f>
        <v>53681.1162678362</v>
      </c>
      <c r="Y18" s="54">
        <f t="shared" ref="Y18" si="21">X18+Y17</f>
        <v>61761.9950321056</v>
      </c>
      <c r="Z18" s="54">
        <f t="shared" ref="Z18" si="22">Y18+Z17</f>
        <v>69842.5136739132</v>
      </c>
      <c r="AA18" s="54">
        <f t="shared" ref="AA18" si="23">Z18+AA17</f>
        <v>77922.6649908096</v>
      </c>
      <c r="AB18" s="54">
        <f t="shared" ref="AB18" si="24">AA18+AB17</f>
        <v>86002.4416362966</v>
      </c>
      <c r="AC18" s="54">
        <f t="shared" ref="AC18" si="25">AB18+AC17</f>
        <v>94081.8361169461</v>
      </c>
      <c r="AD18" s="105">
        <f t="shared" ref="AD18" si="26">AC18+AD17</f>
        <v>102360.840789461</v>
      </c>
    </row>
    <row r="19" ht="16" customHeight="1" spans="1:30">
      <c r="A19" s="80">
        <v>6</v>
      </c>
      <c r="B19" s="50" t="s">
        <v>146</v>
      </c>
      <c r="C19" s="49">
        <f t="shared" si="0"/>
        <v>24461.4176973653</v>
      </c>
      <c r="D19" s="54"/>
      <c r="E19" s="54"/>
      <c r="F19" s="54">
        <f>利润及利润分配表!D18*0.25</f>
        <v>961.862730374499</v>
      </c>
      <c r="G19" s="54">
        <f>利润及利润分配表!E18*0.25</f>
        <v>946.960129841165</v>
      </c>
      <c r="H19" s="54">
        <f>利润及利润分配表!F18*0.25</f>
        <v>918.1774123683</v>
      </c>
      <c r="I19" s="54">
        <f>利润及利润分配表!G18*0.25</f>
        <v>901.004621826116</v>
      </c>
      <c r="J19" s="54">
        <f>利润及利润分配表!H18*0.25</f>
        <v>988.067218168735</v>
      </c>
      <c r="K19" s="54">
        <f>利润及利润分配表!I18*0.25</f>
        <v>988.000324095286</v>
      </c>
      <c r="L19" s="54">
        <f>利润及利润分配表!J18*0.25</f>
        <v>987.932092140368</v>
      </c>
      <c r="M19" s="54">
        <f>利润及利润分配表!K18*0.25</f>
        <v>987.862495546353</v>
      </c>
      <c r="N19" s="54">
        <f>利润及利润分配表!L18*0.25</f>
        <v>987.791507020455</v>
      </c>
      <c r="O19" s="54">
        <f>利润及利润分配表!M18*0.25</f>
        <v>987.719098724042</v>
      </c>
      <c r="P19" s="54">
        <f>利润及利润分配表!N18*0.25</f>
        <v>987.645242261698</v>
      </c>
      <c r="Q19" s="54">
        <f>利润及利润分配表!O18*0.25</f>
        <v>987.569908670111</v>
      </c>
      <c r="R19" s="54">
        <f>利润及利润分配表!P18*0.25</f>
        <v>987.493068406689</v>
      </c>
      <c r="S19" s="54">
        <f>利润及利润分配表!Q18*0.25</f>
        <v>987.414691338</v>
      </c>
      <c r="T19" s="54">
        <f>利润及利润分配表!R18*0.25</f>
        <v>987.334746727935</v>
      </c>
      <c r="U19" s="54">
        <f>利润及利润分配表!S18*0.25</f>
        <v>987.25320322567</v>
      </c>
      <c r="V19" s="54">
        <f>利润及利润分配表!T18*0.25</f>
        <v>987.17002885336</v>
      </c>
      <c r="W19" s="54">
        <f>利润及利润分配表!U18*0.25</f>
        <v>987.085190993605</v>
      </c>
      <c r="X19" s="54">
        <f>利润及利润分配表!V18*0.25</f>
        <v>986.998656376652</v>
      </c>
      <c r="Y19" s="54">
        <f>利润及利润分配表!W18*0.25</f>
        <v>986.910391067364</v>
      </c>
      <c r="Z19" s="54">
        <f>利润及利润分配表!X18*0.25</f>
        <v>986.820360451887</v>
      </c>
      <c r="AA19" s="54">
        <f>利润及利润分配表!Y18*0.25</f>
        <v>986.728529224102</v>
      </c>
      <c r="AB19" s="54">
        <f>利润及利润分配表!Z18*0.25</f>
        <v>986.634861371762</v>
      </c>
      <c r="AC19" s="54">
        <f>利润及利润分配表!AA18*0.25</f>
        <v>986.539320162374</v>
      </c>
      <c r="AD19" s="105">
        <f>利润及利润分配表!AB18*0.25</f>
        <v>986.441868128798</v>
      </c>
    </row>
    <row r="20" ht="16" customHeight="1" spans="1:30">
      <c r="A20" s="80">
        <v>7</v>
      </c>
      <c r="B20" s="50" t="s">
        <v>147</v>
      </c>
      <c r="C20" s="49">
        <f t="shared" si="0"/>
        <v>77899.4230920959</v>
      </c>
      <c r="D20" s="54">
        <f>D16-D19</f>
        <v>-59289.456</v>
      </c>
      <c r="E20" s="54">
        <f t="shared" ref="E20:M20" si="27">E16-E19</f>
        <v>-39526.304</v>
      </c>
      <c r="F20" s="54">
        <f t="shared" si="27"/>
        <v>6818.82539112349</v>
      </c>
      <c r="G20" s="54">
        <f t="shared" si="27"/>
        <v>6974.11758952349</v>
      </c>
      <c r="H20" s="54">
        <f t="shared" si="27"/>
        <v>6887.7694371049</v>
      </c>
      <c r="I20" s="54">
        <f t="shared" si="27"/>
        <v>6836.25106547834</v>
      </c>
      <c r="J20" s="54">
        <f t="shared" si="27"/>
        <v>7097.4388545062</v>
      </c>
      <c r="K20" s="54">
        <f t="shared" si="27"/>
        <v>7097.23817228585</v>
      </c>
      <c r="L20" s="54">
        <f t="shared" si="27"/>
        <v>7097.0334764211</v>
      </c>
      <c r="M20" s="54">
        <f t="shared" si="27"/>
        <v>7096.82468663906</v>
      </c>
      <c r="N20" s="54">
        <f t="shared" ref="N20:AD20" si="28">N16-N19</f>
        <v>7096.61172106136</v>
      </c>
      <c r="O20" s="54">
        <f t="shared" si="28"/>
        <v>7096.39449617213</v>
      </c>
      <c r="P20" s="54">
        <f t="shared" si="28"/>
        <v>7096.1729267851</v>
      </c>
      <c r="Q20" s="54">
        <f t="shared" si="28"/>
        <v>7095.94692601033</v>
      </c>
      <c r="R20" s="54">
        <f t="shared" si="28"/>
        <v>7095.71640522006</v>
      </c>
      <c r="S20" s="54">
        <f t="shared" si="28"/>
        <v>7095.481274014</v>
      </c>
      <c r="T20" s="54">
        <f t="shared" si="28"/>
        <v>7095.24144018381</v>
      </c>
      <c r="U20" s="54">
        <f t="shared" si="28"/>
        <v>7094.99680967701</v>
      </c>
      <c r="V20" s="54">
        <f t="shared" si="28"/>
        <v>7094.74728656009</v>
      </c>
      <c r="W20" s="54">
        <f t="shared" si="28"/>
        <v>7094.49277298081</v>
      </c>
      <c r="X20" s="54">
        <f t="shared" si="28"/>
        <v>7094.23316912997</v>
      </c>
      <c r="Y20" s="54">
        <f t="shared" si="28"/>
        <v>7093.9683732021</v>
      </c>
      <c r="Z20" s="54">
        <f t="shared" si="28"/>
        <v>7093.69828135566</v>
      </c>
      <c r="AA20" s="54">
        <f t="shared" si="28"/>
        <v>7093.42278767231</v>
      </c>
      <c r="AB20" s="54">
        <f t="shared" si="28"/>
        <v>7093.14178411528</v>
      </c>
      <c r="AC20" s="54">
        <f t="shared" si="28"/>
        <v>7092.85516048712</v>
      </c>
      <c r="AD20" s="105">
        <f t="shared" si="28"/>
        <v>7292.56280438634</v>
      </c>
    </row>
    <row r="21" ht="16" customHeight="1" spans="1:30">
      <c r="A21" s="80">
        <v>8</v>
      </c>
      <c r="B21" s="50" t="s">
        <v>148</v>
      </c>
      <c r="C21" s="49"/>
      <c r="D21" s="54">
        <f>D20</f>
        <v>-59289.456</v>
      </c>
      <c r="E21" s="54">
        <f t="shared" ref="E21:M21" si="29">D21+E20</f>
        <v>-98815.76</v>
      </c>
      <c r="F21" s="54">
        <f t="shared" ref="F21:K21" si="30">E21+F20</f>
        <v>-91996.9346088765</v>
      </c>
      <c r="G21" s="54">
        <f t="shared" si="30"/>
        <v>-85022.817019353</v>
      </c>
      <c r="H21" s="54">
        <f t="shared" si="30"/>
        <v>-78135.0475822481</v>
      </c>
      <c r="I21" s="54">
        <f t="shared" si="30"/>
        <v>-71298.7965167698</v>
      </c>
      <c r="J21" s="54">
        <f t="shared" si="30"/>
        <v>-64201.3576622636</v>
      </c>
      <c r="K21" s="54">
        <f t="shared" si="30"/>
        <v>-57104.1194899777</v>
      </c>
      <c r="L21" s="54">
        <f t="shared" si="29"/>
        <v>-50007.0860135566</v>
      </c>
      <c r="M21" s="54">
        <f t="shared" si="29"/>
        <v>-42910.2613269176</v>
      </c>
      <c r="N21" s="54">
        <f t="shared" ref="N21" si="31">M21+N20</f>
        <v>-35813.6496058562</v>
      </c>
      <c r="O21" s="54">
        <f t="shared" ref="O21" si="32">N21+O20</f>
        <v>-28717.2551096841</v>
      </c>
      <c r="P21" s="54">
        <f t="shared" ref="P21" si="33">O21+P20</f>
        <v>-21621.082182899</v>
      </c>
      <c r="Q21" s="54">
        <f t="shared" ref="Q21" si="34">P21+Q20</f>
        <v>-14525.1352568886</v>
      </c>
      <c r="R21" s="54">
        <f t="shared" ref="R21" si="35">Q21+R20</f>
        <v>-7429.41885166857</v>
      </c>
      <c r="S21" s="54">
        <f t="shared" ref="S21" si="36">R21+S20</f>
        <v>-333.937577654568</v>
      </c>
      <c r="T21" s="54">
        <f t="shared" ref="T21" si="37">S21+T20</f>
        <v>6761.30386252924</v>
      </c>
      <c r="U21" s="54">
        <f t="shared" ref="U21" si="38">T21+U20</f>
        <v>13856.3006722062</v>
      </c>
      <c r="V21" s="54">
        <f t="shared" ref="V21" si="39">U21+V20</f>
        <v>20951.0479587663</v>
      </c>
      <c r="W21" s="54">
        <f t="shared" ref="W21" si="40">V21+W20</f>
        <v>28045.5407317472</v>
      </c>
      <c r="X21" s="54">
        <f t="shared" ref="X21" si="41">W21+X20</f>
        <v>35139.7739008771</v>
      </c>
      <c r="Y21" s="54">
        <f t="shared" ref="Y21" si="42">X21+Y20</f>
        <v>42233.7422740792</v>
      </c>
      <c r="Z21" s="54">
        <f t="shared" ref="Z21" si="43">Y21+Z20</f>
        <v>49327.4405554349</v>
      </c>
      <c r="AA21" s="54">
        <f t="shared" ref="AA21" si="44">Z21+AA20</f>
        <v>56420.8633431072</v>
      </c>
      <c r="AB21" s="54">
        <f t="shared" ref="AB21" si="45">AA21+AB20</f>
        <v>63514.0051272225</v>
      </c>
      <c r="AC21" s="54">
        <f t="shared" ref="AC21" si="46">AB21+AC20</f>
        <v>70606.8602877096</v>
      </c>
      <c r="AD21" s="105">
        <f t="shared" ref="AD21" si="47">AC21+AD20</f>
        <v>77899.4230920959</v>
      </c>
    </row>
    <row r="22" s="68" customFormat="1" ht="16" customHeight="1" spans="1:30">
      <c r="A22" s="84">
        <v>9</v>
      </c>
      <c r="B22" s="50" t="s">
        <v>149</v>
      </c>
      <c r="C22" s="85">
        <f t="shared" ref="C22:C24" si="48">SUM(D22:AD22)</f>
        <v>59.4109221010694</v>
      </c>
      <c r="D22" s="85">
        <f>D17*D34</f>
        <v>-55933.4490566038</v>
      </c>
      <c r="E22" s="85">
        <f t="shared" ref="E22:M22" si="49">E17*E34</f>
        <v>-35178.2698469206</v>
      </c>
      <c r="F22" s="85">
        <f t="shared" si="49"/>
        <v>6532.81578207009</v>
      </c>
      <c r="G22" s="85">
        <f t="shared" si="49"/>
        <v>6274.23546752461</v>
      </c>
      <c r="H22" s="85">
        <f t="shared" si="49"/>
        <v>5833.0575802269</v>
      </c>
      <c r="I22" s="85">
        <f t="shared" si="49"/>
        <v>5454.45995084211</v>
      </c>
      <c r="J22" s="85">
        <f t="shared" si="49"/>
        <v>5377.32333086906</v>
      </c>
      <c r="K22" s="85">
        <f t="shared" si="49"/>
        <v>5072.77865787871</v>
      </c>
      <c r="L22" s="85">
        <f t="shared" si="49"/>
        <v>4785.47869772469</v>
      </c>
      <c r="M22" s="85">
        <f t="shared" si="49"/>
        <v>4514.44709552493</v>
      </c>
      <c r="N22" s="85">
        <f t="shared" ref="N22:AD22" si="50">N17*N34</f>
        <v>4258.76277078925</v>
      </c>
      <c r="O22" s="85">
        <f t="shared" si="50"/>
        <v>4017.55678833972</v>
      </c>
      <c r="P22" s="85">
        <f t="shared" si="50"/>
        <v>3790.00940636168</v>
      </c>
      <c r="Q22" s="85">
        <f t="shared" si="50"/>
        <v>3575.34729155848</v>
      </c>
      <c r="R22" s="85">
        <f t="shared" si="50"/>
        <v>3372.84089195096</v>
      </c>
      <c r="S22" s="85">
        <f t="shared" si="50"/>
        <v>3181.80195839779</v>
      </c>
      <c r="T22" s="85">
        <f t="shared" si="50"/>
        <v>3001.58120641808</v>
      </c>
      <c r="U22" s="85">
        <f t="shared" si="50"/>
        <v>2831.56611037438</v>
      </c>
      <c r="V22" s="85">
        <f t="shared" si="50"/>
        <v>2671.17882252331</v>
      </c>
      <c r="W22" s="85">
        <f t="shared" si="50"/>
        <v>2519.87420986564</v>
      </c>
      <c r="X22" s="85">
        <f t="shared" si="50"/>
        <v>2377.13800212757</v>
      </c>
      <c r="Y22" s="85">
        <f t="shared" si="50"/>
        <v>2242.48504458223</v>
      </c>
      <c r="Z22" s="85">
        <f t="shared" si="50"/>
        <v>2115.45764977692</v>
      </c>
      <c r="AA22" s="85">
        <f t="shared" si="50"/>
        <v>1995.62404256718</v>
      </c>
      <c r="AB22" s="85">
        <f t="shared" si="50"/>
        <v>1882.57689317584</v>
      </c>
      <c r="AC22" s="85">
        <f t="shared" si="50"/>
        <v>1775.93193329439</v>
      </c>
      <c r="AD22" s="106">
        <f t="shared" si="50"/>
        <v>1716.80024086096</v>
      </c>
    </row>
    <row r="23" s="69" customFormat="1" ht="16" customHeight="1" spans="1:30">
      <c r="A23" s="86">
        <v>10</v>
      </c>
      <c r="B23" s="50" t="s">
        <v>150</v>
      </c>
      <c r="C23" s="49"/>
      <c r="D23" s="87">
        <f>D22</f>
        <v>-55933.4490566038</v>
      </c>
      <c r="E23" s="87">
        <f>D23+E22</f>
        <v>-91111.7189035244</v>
      </c>
      <c r="F23" s="87">
        <f t="shared" ref="F23:M23" si="51">E23+F22</f>
        <v>-84578.9031214543</v>
      </c>
      <c r="G23" s="87">
        <f t="shared" si="51"/>
        <v>-78304.6676539297</v>
      </c>
      <c r="H23" s="87">
        <f t="shared" si="51"/>
        <v>-72471.6100737028</v>
      </c>
      <c r="I23" s="87">
        <f t="shared" si="51"/>
        <v>-67017.1501228607</v>
      </c>
      <c r="J23" s="87">
        <f t="shared" si="51"/>
        <v>-61639.8267919916</v>
      </c>
      <c r="K23" s="87">
        <f t="shared" si="51"/>
        <v>-56567.0481341129</v>
      </c>
      <c r="L23" s="87">
        <f t="shared" si="51"/>
        <v>-51781.5694363882</v>
      </c>
      <c r="M23" s="87">
        <f t="shared" si="51"/>
        <v>-47267.1223408633</v>
      </c>
      <c r="N23" s="87">
        <f t="shared" ref="N23" si="52">M23+N22</f>
        <v>-43008.359570074</v>
      </c>
      <c r="O23" s="87">
        <f t="shared" ref="O23" si="53">N23+O22</f>
        <v>-38990.8027817343</v>
      </c>
      <c r="P23" s="87">
        <f t="shared" ref="P23" si="54">O23+P22</f>
        <v>-35200.7933753726</v>
      </c>
      <c r="Q23" s="87">
        <f t="shared" ref="Q23" si="55">P23+Q22</f>
        <v>-31625.4460838142</v>
      </c>
      <c r="R23" s="87">
        <f t="shared" ref="R23" si="56">Q23+R22</f>
        <v>-28252.6051918632</v>
      </c>
      <c r="S23" s="87">
        <f t="shared" ref="S23" si="57">R23+S22</f>
        <v>-25070.8032334654</v>
      </c>
      <c r="T23" s="87">
        <f t="shared" ref="T23" si="58">S23+T22</f>
        <v>-22069.2220270473</v>
      </c>
      <c r="U23" s="87">
        <f t="shared" ref="U23" si="59">T23+U22</f>
        <v>-19237.6559166729</v>
      </c>
      <c r="V23" s="87">
        <f t="shared" ref="V23" si="60">U23+V22</f>
        <v>-16566.4770941496</v>
      </c>
      <c r="W23" s="87">
        <f t="shared" ref="W23" si="61">V23+W22</f>
        <v>-14046.602884284</v>
      </c>
      <c r="X23" s="87">
        <f t="shared" ref="X23" si="62">W23+X22</f>
        <v>-11669.4648821564</v>
      </c>
      <c r="Y23" s="87">
        <f t="shared" ref="Y23" si="63">X23+Y22</f>
        <v>-9426.9798375742</v>
      </c>
      <c r="Z23" s="87">
        <f t="shared" ref="Z23" si="64">Y23+Z22</f>
        <v>-7311.52218779728</v>
      </c>
      <c r="AA23" s="87">
        <f t="shared" ref="AA23" si="65">Z23+AA22</f>
        <v>-5315.8981452301</v>
      </c>
      <c r="AB23" s="87">
        <f t="shared" ref="AB23" si="66">AA23+AB22</f>
        <v>-3433.32125205427</v>
      </c>
      <c r="AC23" s="87">
        <f t="shared" ref="AC23" si="67">AB23+AC22</f>
        <v>-1657.38931875988</v>
      </c>
      <c r="AD23" s="107">
        <f t="shared" ref="AD23" si="68">AC23+AD22</f>
        <v>59.4109221010804</v>
      </c>
    </row>
    <row r="24" s="38" customFormat="1" ht="16" customHeight="1" spans="1:30">
      <c r="A24" s="86">
        <v>11</v>
      </c>
      <c r="B24" s="50" t="s">
        <v>151</v>
      </c>
      <c r="C24" s="87">
        <f t="shared" si="48"/>
        <v>-11008.8780101371</v>
      </c>
      <c r="D24" s="87">
        <f>D20*D34</f>
        <v>-55933.4490566038</v>
      </c>
      <c r="E24" s="87">
        <f t="shared" ref="E24:M24" si="69">E20*E34</f>
        <v>-35178.2698469206</v>
      </c>
      <c r="F24" s="87">
        <f t="shared" si="69"/>
        <v>5725.21728601756</v>
      </c>
      <c r="G24" s="87">
        <f t="shared" si="69"/>
        <v>5524.15434933838</v>
      </c>
      <c r="H24" s="87">
        <f t="shared" si="69"/>
        <v>5146.94200469368</v>
      </c>
      <c r="I24" s="87">
        <f t="shared" si="69"/>
        <v>4819.28724570092</v>
      </c>
      <c r="J24" s="87">
        <f t="shared" si="69"/>
        <v>4720.20219868891</v>
      </c>
      <c r="K24" s="87">
        <f t="shared" si="69"/>
        <v>4452.8950316516</v>
      </c>
      <c r="L24" s="87">
        <f t="shared" si="69"/>
        <v>4200.7232103148</v>
      </c>
      <c r="M24" s="87">
        <f t="shared" si="69"/>
        <v>3962.82983770152</v>
      </c>
      <c r="N24" s="87">
        <f t="shared" ref="N24:AD24" si="70">N20*N34</f>
        <v>3738.40652720308</v>
      </c>
      <c r="O24" s="87">
        <f t="shared" si="70"/>
        <v>3526.69065645399</v>
      </c>
      <c r="P24" s="87">
        <f t="shared" si="70"/>
        <v>3326.96277665729</v>
      </c>
      <c r="Q24" s="87">
        <f t="shared" si="70"/>
        <v>3138.54416856134</v>
      </c>
      <c r="R24" s="87">
        <f t="shared" si="70"/>
        <v>2960.79453678632</v>
      </c>
      <c r="S24" s="87">
        <f t="shared" si="70"/>
        <v>2793.10983466919</v>
      </c>
      <c r="T24" s="87">
        <f t="shared" si="70"/>
        <v>2634.92021223889</v>
      </c>
      <c r="U24" s="87">
        <f t="shared" si="70"/>
        <v>2485.68808035185</v>
      </c>
      <c r="V24" s="87">
        <f t="shared" si="70"/>
        <v>2344.90628441235</v>
      </c>
      <c r="W24" s="87">
        <f t="shared" si="70"/>
        <v>2212.09638147458</v>
      </c>
      <c r="X24" s="87">
        <f t="shared" si="70"/>
        <v>2086.80701487431</v>
      </c>
      <c r="Y24" s="87">
        <f t="shared" si="70"/>
        <v>1968.61238086935</v>
      </c>
      <c r="Z24" s="87">
        <f t="shared" si="70"/>
        <v>1857.11078208049</v>
      </c>
      <c r="AA24" s="87">
        <f t="shared" si="70"/>
        <v>1751.92326281954</v>
      </c>
      <c r="AB24" s="87">
        <f t="shared" si="70"/>
        <v>1652.69232166881</v>
      </c>
      <c r="AC24" s="87">
        <f t="shared" si="70"/>
        <v>1559.0806969396</v>
      </c>
      <c r="AD24" s="107">
        <f t="shared" si="70"/>
        <v>1512.24381121899</v>
      </c>
    </row>
    <row r="25" s="38" customFormat="1" ht="16" customHeight="1" spans="1:30">
      <c r="A25" s="86">
        <v>12</v>
      </c>
      <c r="B25" s="50" t="s">
        <v>152</v>
      </c>
      <c r="C25" s="49"/>
      <c r="D25" s="87">
        <f>D24</f>
        <v>-55933.4490566038</v>
      </c>
      <c r="E25" s="87">
        <f>D25+E24</f>
        <v>-91111.7189035244</v>
      </c>
      <c r="F25" s="87">
        <f t="shared" ref="F25:M25" si="71">E25+F24</f>
        <v>-85386.5016175068</v>
      </c>
      <c r="G25" s="87">
        <f t="shared" si="71"/>
        <v>-79862.3472681685</v>
      </c>
      <c r="H25" s="87">
        <f t="shared" si="71"/>
        <v>-74715.4052634748</v>
      </c>
      <c r="I25" s="87">
        <f t="shared" si="71"/>
        <v>-69896.1180177739</v>
      </c>
      <c r="J25" s="87">
        <f t="shared" si="71"/>
        <v>-65175.915819085</v>
      </c>
      <c r="K25" s="87">
        <f t="shared" si="71"/>
        <v>-60723.0207874334</v>
      </c>
      <c r="L25" s="87">
        <f t="shared" si="71"/>
        <v>-56522.2975771186</v>
      </c>
      <c r="M25" s="87">
        <f t="shared" si="71"/>
        <v>-52559.467739417</v>
      </c>
      <c r="N25" s="87">
        <f t="shared" ref="N25" si="72">M25+N24</f>
        <v>-48821.061212214</v>
      </c>
      <c r="O25" s="87">
        <f t="shared" ref="O25" si="73">N25+O24</f>
        <v>-45294.37055576</v>
      </c>
      <c r="P25" s="87">
        <f t="shared" ref="P25" si="74">O25+P24</f>
        <v>-41967.4077791027</v>
      </c>
      <c r="Q25" s="87">
        <f t="shared" ref="Q25" si="75">P25+Q24</f>
        <v>-38828.8636105413</v>
      </c>
      <c r="R25" s="87">
        <f t="shared" ref="R25" si="76">Q25+R24</f>
        <v>-35868.069073755</v>
      </c>
      <c r="S25" s="87">
        <f t="shared" ref="S25" si="77">R25+S24</f>
        <v>-33074.9592390858</v>
      </c>
      <c r="T25" s="87">
        <f t="shared" ref="T25" si="78">S25+T24</f>
        <v>-30440.0390268469</v>
      </c>
      <c r="U25" s="87">
        <f t="shared" ref="U25" si="79">T25+U24</f>
        <v>-27954.3509464951</v>
      </c>
      <c r="V25" s="87">
        <f t="shared" ref="V25" si="80">U25+V24</f>
        <v>-25609.4446620827</v>
      </c>
      <c r="W25" s="87">
        <f t="shared" ref="W25" si="81">V25+W24</f>
        <v>-23397.3482806082</v>
      </c>
      <c r="X25" s="87">
        <f t="shared" ref="X25" si="82">W25+X24</f>
        <v>-21310.5412657338</v>
      </c>
      <c r="Y25" s="87">
        <f t="shared" ref="Y25" si="83">X25+Y24</f>
        <v>-19341.9288848645</v>
      </c>
      <c r="Z25" s="87">
        <f t="shared" ref="Z25" si="84">Y25+Z24</f>
        <v>-17484.818102784</v>
      </c>
      <c r="AA25" s="87">
        <f t="shared" ref="AA25" si="85">Z25+AA24</f>
        <v>-15732.8948399645</v>
      </c>
      <c r="AB25" s="87">
        <f t="shared" ref="AB25" si="86">AA25+AB24</f>
        <v>-14080.2025182957</v>
      </c>
      <c r="AC25" s="87">
        <f t="shared" ref="AC25" si="87">AB25+AC24</f>
        <v>-12521.1218213561</v>
      </c>
      <c r="AD25" s="107">
        <f t="shared" ref="AD25" si="88">AC25+AD24</f>
        <v>-11008.8780101371</v>
      </c>
    </row>
    <row r="26" ht="16" customHeight="1" spans="1:30">
      <c r="A26" s="88" t="s">
        <v>153</v>
      </c>
      <c r="B26" s="89"/>
      <c r="C26" s="48" t="s">
        <v>154</v>
      </c>
      <c r="D26" s="41" t="s">
        <v>155</v>
      </c>
      <c r="E26" s="63"/>
      <c r="F26" s="67">
        <f>IRR(D17:AD17)</f>
        <v>0.0600642214724343</v>
      </c>
      <c r="G26" s="90"/>
      <c r="H26" s="91"/>
      <c r="I26" s="91"/>
      <c r="J26" s="67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108"/>
    </row>
    <row r="27" ht="16" customHeight="1" spans="1:30">
      <c r="A27" s="92"/>
      <c r="B27" s="93"/>
      <c r="C27" s="48"/>
      <c r="D27" s="41" t="s">
        <v>156</v>
      </c>
      <c r="E27" s="63"/>
      <c r="F27" s="54">
        <f>C22</f>
        <v>59.4109221010694</v>
      </c>
      <c r="G27" s="90"/>
      <c r="H27" s="91"/>
      <c r="I27" s="91"/>
      <c r="J27" s="54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108"/>
    </row>
    <row r="28" ht="16" customHeight="1" spans="1:30">
      <c r="A28" s="92"/>
      <c r="B28" s="93"/>
      <c r="C28" s="48"/>
      <c r="D28" s="63" t="s">
        <v>157</v>
      </c>
      <c r="E28" s="63"/>
      <c r="F28" s="54">
        <f>11-1-(M18/N17)</f>
        <v>14.3578225019976</v>
      </c>
      <c r="G28" s="90"/>
      <c r="H28" s="62"/>
      <c r="I28" s="62"/>
      <c r="J28" s="54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108"/>
    </row>
    <row r="29" ht="16" customHeight="1" spans="1:30">
      <c r="A29" s="92"/>
      <c r="B29" s="93"/>
      <c r="C29" s="48"/>
      <c r="D29" s="63" t="s">
        <v>158</v>
      </c>
      <c r="E29" s="63"/>
      <c r="F29" s="54">
        <f>15-1-(Q23/R22)</f>
        <v>23.3765010259707</v>
      </c>
      <c r="G29" s="90"/>
      <c r="H29" s="62"/>
      <c r="I29" s="62"/>
      <c r="J29" s="54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108"/>
    </row>
    <row r="30" ht="16" customHeight="1" spans="1:30">
      <c r="A30" s="92"/>
      <c r="B30" s="93"/>
      <c r="C30" s="94" t="s">
        <v>159</v>
      </c>
      <c r="D30" s="41" t="s">
        <v>155</v>
      </c>
      <c r="E30" s="63"/>
      <c r="F30" s="67">
        <f>IRR(D20:AD20)</f>
        <v>0.0476989750882162</v>
      </c>
      <c r="G30" s="48"/>
      <c r="H30" s="63"/>
      <c r="I30" s="63"/>
      <c r="J30" s="54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109"/>
    </row>
    <row r="31" ht="16" customHeight="1" spans="1:30">
      <c r="A31" s="92"/>
      <c r="B31" s="93"/>
      <c r="C31" s="95"/>
      <c r="D31" s="41" t="s">
        <v>156</v>
      </c>
      <c r="E31" s="63"/>
      <c r="F31" s="54">
        <f>C24</f>
        <v>-11008.8780101371</v>
      </c>
      <c r="G31" s="48"/>
      <c r="H31" s="63"/>
      <c r="I31" s="63"/>
      <c r="J31" s="54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109"/>
    </row>
    <row r="32" ht="16" customHeight="1" spans="1:30">
      <c r="A32" s="92"/>
      <c r="B32" s="93"/>
      <c r="C32" s="95"/>
      <c r="D32" s="63" t="s">
        <v>157</v>
      </c>
      <c r="E32" s="63"/>
      <c r="F32" s="54">
        <f>12-1+(-N21/O20)</f>
        <v>16.0467388228169</v>
      </c>
      <c r="G32" s="48"/>
      <c r="H32" s="63"/>
      <c r="I32" s="63"/>
      <c r="J32" s="54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109"/>
    </row>
    <row r="33" ht="16" customHeight="1" spans="1:30">
      <c r="A33" s="96"/>
      <c r="B33" s="97"/>
      <c r="C33" s="98"/>
      <c r="D33" s="63" t="s">
        <v>158</v>
      </c>
      <c r="E33" s="63"/>
      <c r="F33" s="54">
        <f>18-1-(T25/U24)</f>
        <v>29.2461218153076</v>
      </c>
      <c r="G33" s="48"/>
      <c r="H33" s="63"/>
      <c r="I33" s="63"/>
      <c r="J33" s="54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109"/>
    </row>
    <row r="34" ht="16" customHeight="1" spans="1:30">
      <c r="A34" s="99" t="s">
        <v>160</v>
      </c>
      <c r="B34" s="65"/>
      <c r="C34" s="65"/>
      <c r="D34" s="65">
        <f>1/1.06</f>
        <v>0.943396226415094</v>
      </c>
      <c r="E34" s="65">
        <f>D34*$D$34</f>
        <v>0.88999644001424</v>
      </c>
      <c r="F34" s="65">
        <f t="shared" ref="F34:M34" si="89">E34*$D$34</f>
        <v>0.839619283032301</v>
      </c>
      <c r="G34" s="65">
        <f t="shared" si="89"/>
        <v>0.79209366323802</v>
      </c>
      <c r="H34" s="65">
        <f t="shared" si="89"/>
        <v>0.747258172866057</v>
      </c>
      <c r="I34" s="65">
        <f t="shared" si="89"/>
        <v>0.704960540439676</v>
      </c>
      <c r="J34" s="65">
        <f t="shared" si="89"/>
        <v>0.665057113622336</v>
      </c>
      <c r="K34" s="65">
        <f t="shared" si="89"/>
        <v>0.627412371341826</v>
      </c>
      <c r="L34" s="65">
        <f t="shared" si="89"/>
        <v>0.591898463530025</v>
      </c>
      <c r="M34" s="65">
        <f t="shared" si="89"/>
        <v>0.558394776915118</v>
      </c>
      <c r="N34" s="65">
        <f t="shared" ref="N34" si="90">M34*$D$34</f>
        <v>0.52678752539162</v>
      </c>
      <c r="O34" s="65">
        <f t="shared" ref="O34" si="91">N34*$D$34</f>
        <v>0.496969363577</v>
      </c>
      <c r="P34" s="65">
        <f t="shared" ref="P34" si="92">O34*$D$34</f>
        <v>0.468839022242453</v>
      </c>
      <c r="Q34" s="65">
        <f t="shared" ref="Q34" si="93">P34*$D$34</f>
        <v>0.442300964379673</v>
      </c>
      <c r="R34" s="65">
        <f t="shared" ref="R34" si="94">Q34*$D$34</f>
        <v>0.41726506073554</v>
      </c>
      <c r="S34" s="65">
        <f t="shared" ref="S34" si="95">R34*$D$34</f>
        <v>0.393646283712774</v>
      </c>
      <c r="T34" s="65">
        <f t="shared" ref="T34" si="96">S34*$D$34</f>
        <v>0.371364418596956</v>
      </c>
      <c r="U34" s="65">
        <f t="shared" ref="U34" si="97">T34*$D$34</f>
        <v>0.350343791129204</v>
      </c>
      <c r="V34" s="65">
        <f t="shared" ref="V34" si="98">U34*$D$34</f>
        <v>0.330513010499249</v>
      </c>
      <c r="W34" s="65">
        <f t="shared" ref="W34" si="99">V34*$D$34</f>
        <v>0.311804726886084</v>
      </c>
      <c r="X34" s="65">
        <f t="shared" ref="X34" si="100">W34*$D$34</f>
        <v>0.294155402722721</v>
      </c>
      <c r="Y34" s="65">
        <f t="shared" ref="Y34" si="101">X34*$D$34</f>
        <v>0.277505096908227</v>
      </c>
      <c r="Z34" s="65">
        <f t="shared" ref="Z34" si="102">Y34*$D$34</f>
        <v>0.261797261234176</v>
      </c>
      <c r="AA34" s="65">
        <f t="shared" ref="AA34" si="103">Z34*$D$34</f>
        <v>0.246978548334129</v>
      </c>
      <c r="AB34" s="65">
        <f t="shared" ref="AB34" si="104">AA34*$D$34</f>
        <v>0.232998630503895</v>
      </c>
      <c r="AC34" s="65">
        <f t="shared" ref="AC34" si="105">AB34*$D$34</f>
        <v>0.219810028777259</v>
      </c>
      <c r="AD34" s="110">
        <f t="shared" ref="AD34" si="106">AC34*$D$34</f>
        <v>0.20736795167666</v>
      </c>
    </row>
  </sheetData>
  <mergeCells count="21">
    <mergeCell ref="A1:AD1"/>
    <mergeCell ref="A2:AD2"/>
    <mergeCell ref="D3:E3"/>
    <mergeCell ref="F3:AD3"/>
    <mergeCell ref="D5:AD5"/>
    <mergeCell ref="D10:AD10"/>
    <mergeCell ref="D26:E26"/>
    <mergeCell ref="D27:E27"/>
    <mergeCell ref="D28:E28"/>
    <mergeCell ref="D29:E29"/>
    <mergeCell ref="D30:E30"/>
    <mergeCell ref="D31:E31"/>
    <mergeCell ref="D32:E32"/>
    <mergeCell ref="D33:E33"/>
    <mergeCell ref="A34:B34"/>
    <mergeCell ref="A3:A4"/>
    <mergeCell ref="B3:B4"/>
    <mergeCell ref="C3:C4"/>
    <mergeCell ref="C26:C29"/>
    <mergeCell ref="C30:C33"/>
    <mergeCell ref="A26:B33"/>
  </mergeCells>
  <pageMargins left="0.700694444444445" right="0.700694444444445" top="0.751388888888889" bottom="0.751388888888889" header="0.297916666666667" footer="0.297916666666667"/>
  <pageSetup paperSize="9" orientation="landscape"/>
  <headerFooter/>
  <ignoredErrors>
    <ignoredError sqref="D22:AD22 D24:AD2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"/>
  <sheetViews>
    <sheetView workbookViewId="0">
      <pane ySplit="4" topLeftCell="A5" activePane="bottomLeft" state="frozen"/>
      <selection/>
      <selection pane="bottomLeft" activeCell="G10" sqref="G10"/>
    </sheetView>
  </sheetViews>
  <sheetFormatPr defaultColWidth="9" defaultRowHeight="13.2"/>
  <cols>
    <col min="1" max="1" width="5.77777777777778" style="39" customWidth="1"/>
    <col min="2" max="2" width="16.7777777777778" style="39" customWidth="1"/>
    <col min="3" max="3" width="11.3333333333333" style="39" customWidth="1"/>
    <col min="4" max="4" width="10.6666666666667" style="39" customWidth="1"/>
    <col min="5" max="5" width="11.6666666666667" style="39" customWidth="1"/>
    <col min="6" max="12" width="12.7777777777778" style="39" customWidth="1"/>
    <col min="13" max="13" width="11.6666666666667" style="39" customWidth="1"/>
    <col min="14" max="21" width="9.62962962962963" style="39"/>
    <col min="22" max="22" width="9" style="39"/>
    <col min="23" max="26" width="9.62962962962963" style="39"/>
    <col min="27" max="30" width="11.1111111111111" style="39" customWidth="1"/>
    <col min="31" max="16384" width="9" style="39"/>
  </cols>
  <sheetData>
    <row r="1" ht="17.4" spans="1:30">
      <c r="A1" s="40" t="s">
        <v>161</v>
      </c>
      <c r="B1" s="40"/>
      <c r="C1" s="40"/>
      <c r="D1" s="40"/>
      <c r="E1" s="40"/>
      <c r="F1" s="40"/>
      <c r="G1" s="40"/>
      <c r="H1" s="40"/>
      <c r="I1" s="40"/>
      <c r="J1" s="40"/>
      <c r="K1" s="66"/>
      <c r="L1" s="66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0">
      <c r="A2" s="41" t="s">
        <v>44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 spans="1:30">
      <c r="A3" s="42" t="s">
        <v>1</v>
      </c>
      <c r="B3" s="42" t="s">
        <v>134</v>
      </c>
      <c r="C3" s="42" t="s">
        <v>46</v>
      </c>
      <c r="D3" s="42" t="s">
        <v>47</v>
      </c>
      <c r="E3" s="42"/>
      <c r="F3" s="43" t="s">
        <v>65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30">
      <c r="A4" s="42"/>
      <c r="B4" s="42"/>
      <c r="C4" s="42"/>
      <c r="D4" s="42">
        <v>1</v>
      </c>
      <c r="E4" s="42">
        <v>2</v>
      </c>
      <c r="F4" s="42">
        <v>3</v>
      </c>
      <c r="G4" s="42">
        <v>4</v>
      </c>
      <c r="H4" s="42">
        <v>5</v>
      </c>
      <c r="I4" s="42">
        <v>6</v>
      </c>
      <c r="J4" s="42">
        <v>7</v>
      </c>
      <c r="K4" s="42">
        <v>8</v>
      </c>
      <c r="L4" s="42">
        <v>9</v>
      </c>
      <c r="M4" s="42">
        <v>10</v>
      </c>
      <c r="N4" s="42">
        <v>11</v>
      </c>
      <c r="O4" s="42">
        <v>12</v>
      </c>
      <c r="P4" s="42">
        <v>13</v>
      </c>
      <c r="Q4" s="42">
        <v>14</v>
      </c>
      <c r="R4" s="42">
        <v>15</v>
      </c>
      <c r="S4" s="42">
        <v>16</v>
      </c>
      <c r="T4" s="42">
        <v>17</v>
      </c>
      <c r="U4" s="42">
        <v>18</v>
      </c>
      <c r="V4" s="42">
        <v>19</v>
      </c>
      <c r="W4" s="42">
        <v>20</v>
      </c>
      <c r="X4" s="42">
        <v>21</v>
      </c>
      <c r="Y4" s="42">
        <v>22</v>
      </c>
      <c r="Z4" s="42">
        <v>23</v>
      </c>
      <c r="AA4" s="42">
        <v>24</v>
      </c>
      <c r="AB4" s="42">
        <v>25</v>
      </c>
      <c r="AC4" s="42">
        <v>26</v>
      </c>
      <c r="AD4" s="42">
        <v>27</v>
      </c>
    </row>
    <row r="5" ht="21" customHeight="1" spans="1:30">
      <c r="A5" s="44">
        <v>1</v>
      </c>
      <c r="B5" s="45" t="s">
        <v>135</v>
      </c>
      <c r="C5" s="46"/>
      <c r="D5" s="46"/>
      <c r="E5" s="46"/>
      <c r="F5" s="47">
        <f>SUM(F6:F8)</f>
        <v>8448.88488736466</v>
      </c>
      <c r="G5" s="47">
        <f t="shared" ref="G5:P5" si="0">SUM(G6:G8)</f>
        <v>8455.88488736466</v>
      </c>
      <c r="H5" s="47">
        <f t="shared" si="0"/>
        <v>8463.02488736466</v>
      </c>
      <c r="I5" s="47">
        <f t="shared" si="0"/>
        <v>8470.30768736466</v>
      </c>
      <c r="J5" s="47">
        <f t="shared" si="0"/>
        <v>8477.73614336466</v>
      </c>
      <c r="K5" s="47">
        <f t="shared" si="0"/>
        <v>8485.31316848466</v>
      </c>
      <c r="L5" s="47">
        <f t="shared" si="0"/>
        <v>8493.04173410706</v>
      </c>
      <c r="M5" s="47">
        <f t="shared" si="0"/>
        <v>8500.92487104191</v>
      </c>
      <c r="N5" s="47">
        <f t="shared" si="0"/>
        <v>8508.96567071545</v>
      </c>
      <c r="O5" s="47">
        <f t="shared" si="0"/>
        <v>8517.16728638247</v>
      </c>
      <c r="P5" s="47">
        <f t="shared" si="0"/>
        <v>8525.53293436282</v>
      </c>
      <c r="Q5" s="47">
        <f t="shared" ref="Q5:AD5" si="1">SUM(Q6:Q8)</f>
        <v>8534.06589530279</v>
      </c>
      <c r="R5" s="47">
        <f t="shared" si="1"/>
        <v>8542.76951546155</v>
      </c>
      <c r="S5" s="47">
        <f t="shared" si="1"/>
        <v>8551.64720802349</v>
      </c>
      <c r="T5" s="47">
        <f t="shared" si="1"/>
        <v>8560.70245443666</v>
      </c>
      <c r="U5" s="47">
        <f t="shared" si="1"/>
        <v>8569.9388057781</v>
      </c>
      <c r="V5" s="47">
        <f t="shared" si="1"/>
        <v>8579.35988414637</v>
      </c>
      <c r="W5" s="47">
        <f t="shared" si="1"/>
        <v>8588.96938408201</v>
      </c>
      <c r="X5" s="47">
        <f t="shared" si="1"/>
        <v>8598.77107401635</v>
      </c>
      <c r="Y5" s="47">
        <f t="shared" si="1"/>
        <v>8608.76879774939</v>
      </c>
      <c r="Z5" s="47">
        <f t="shared" si="1"/>
        <v>8618.96647595708</v>
      </c>
      <c r="AA5" s="47">
        <f t="shared" si="1"/>
        <v>8629.36810772893</v>
      </c>
      <c r="AB5" s="47">
        <f t="shared" si="1"/>
        <v>8639.97777213622</v>
      </c>
      <c r="AC5" s="47">
        <f t="shared" si="1"/>
        <v>8650.79962983165</v>
      </c>
      <c r="AD5" s="47">
        <f t="shared" si="1"/>
        <v>8861.83792468093</v>
      </c>
    </row>
    <row r="6" ht="21" customHeight="1" spans="1:30">
      <c r="A6" s="48">
        <v>1.1</v>
      </c>
      <c r="B6" s="49" t="s">
        <v>136</v>
      </c>
      <c r="C6" s="49">
        <f>SUM(D6:AD6)</f>
        <v>213682.727087249</v>
      </c>
      <c r="D6" s="49"/>
      <c r="E6" s="49"/>
      <c r="F6" s="49">
        <f>项目投资现金流量表!F6</f>
        <v>8448.88488736466</v>
      </c>
      <c r="G6" s="49">
        <f>项目投资现金流量表!G6</f>
        <v>8455.88488736466</v>
      </c>
      <c r="H6" s="49">
        <f>项目投资现金流量表!H6</f>
        <v>8463.02488736466</v>
      </c>
      <c r="I6" s="49">
        <f>项目投资现金流量表!I6</f>
        <v>8470.30768736466</v>
      </c>
      <c r="J6" s="49">
        <f>项目投资现金流量表!J6</f>
        <v>8477.73614336466</v>
      </c>
      <c r="K6" s="49">
        <f>项目投资现金流量表!K6</f>
        <v>8485.31316848466</v>
      </c>
      <c r="L6" s="49">
        <f>项目投资现金流量表!L6</f>
        <v>8493.04173410706</v>
      </c>
      <c r="M6" s="49">
        <f>项目投资现金流量表!M6</f>
        <v>8500.92487104191</v>
      </c>
      <c r="N6" s="49">
        <f>项目投资现金流量表!N6</f>
        <v>8508.96567071545</v>
      </c>
      <c r="O6" s="49">
        <f>项目投资现金流量表!O6</f>
        <v>8517.16728638247</v>
      </c>
      <c r="P6" s="49">
        <f>项目投资现金流量表!P6</f>
        <v>8525.53293436282</v>
      </c>
      <c r="Q6" s="49">
        <f>项目投资现金流量表!Q6</f>
        <v>8534.06589530279</v>
      </c>
      <c r="R6" s="49">
        <f>项目投资现金流量表!R6</f>
        <v>8542.76951546155</v>
      </c>
      <c r="S6" s="49">
        <f>项目投资现金流量表!S6</f>
        <v>8551.64720802349</v>
      </c>
      <c r="T6" s="49">
        <f>项目投资现金流量表!T6</f>
        <v>8560.70245443666</v>
      </c>
      <c r="U6" s="49">
        <f>项目投资现金流量表!U6</f>
        <v>8569.9388057781</v>
      </c>
      <c r="V6" s="49">
        <f>项目投资现金流量表!V6</f>
        <v>8579.35988414637</v>
      </c>
      <c r="W6" s="49">
        <f>项目投资现金流量表!W6</f>
        <v>8588.96938408201</v>
      </c>
      <c r="X6" s="49">
        <f>项目投资现金流量表!X6</f>
        <v>8598.77107401635</v>
      </c>
      <c r="Y6" s="49">
        <f>项目投资现金流量表!Y6</f>
        <v>8608.76879774939</v>
      </c>
      <c r="Z6" s="49">
        <f>项目投资现金流量表!Z6</f>
        <v>8618.96647595708</v>
      </c>
      <c r="AA6" s="49">
        <f>项目投资现金流量表!AA6</f>
        <v>8629.36810772893</v>
      </c>
      <c r="AB6" s="49">
        <f>项目投资现金流量表!AB6</f>
        <v>8639.97777213622</v>
      </c>
      <c r="AC6" s="49">
        <f>项目投资现金流量表!AC6</f>
        <v>8650.79962983165</v>
      </c>
      <c r="AD6" s="49">
        <f>项目投资现金流量表!AD6</f>
        <v>8661.83792468099</v>
      </c>
    </row>
    <row r="7" ht="21" customHeight="1" spans="1:30">
      <c r="A7" s="48">
        <v>1.2</v>
      </c>
      <c r="B7" s="50" t="s">
        <v>137</v>
      </c>
      <c r="C7" s="49">
        <f>SUM(D7:AD7)</f>
        <v>200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>
        <f>项目投资现金流量表!AD7</f>
        <v>200</v>
      </c>
    </row>
    <row r="8" ht="21" customHeight="1" spans="1:30">
      <c r="A8" s="48">
        <v>1.3</v>
      </c>
      <c r="B8" s="49" t="s">
        <v>138</v>
      </c>
      <c r="C8" s="49">
        <f>SUM(D8:AD8)</f>
        <v>-5.82076609134674e-11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>
        <f>项目投资现金流量表!AD8</f>
        <v>-5.82076609134674e-11</v>
      </c>
    </row>
    <row r="9" ht="21" customHeight="1" spans="1:30">
      <c r="A9" s="44">
        <v>2</v>
      </c>
      <c r="B9" s="51" t="s">
        <v>140</v>
      </c>
      <c r="C9" s="52"/>
      <c r="D9" s="53">
        <f>SUM(D10:D16)</f>
        <v>11857.8912</v>
      </c>
      <c r="E9" s="53">
        <f>SUM(E10:E16)</f>
        <v>7955.2608</v>
      </c>
      <c r="F9" s="53">
        <f>SUM(F10:F16)</f>
        <v>10095.7708458667</v>
      </c>
      <c r="G9" s="53">
        <f t="shared" ref="G9:R9" si="2">SUM(G10:G16)</f>
        <v>9705.387016</v>
      </c>
      <c r="H9" s="53">
        <f t="shared" si="2"/>
        <v>9579.66365389146</v>
      </c>
      <c r="I9" s="53">
        <f t="shared" si="2"/>
        <v>9407.64338406019</v>
      </c>
      <c r="J9" s="53">
        <f t="shared" si="2"/>
        <v>8818.82722268972</v>
      </c>
      <c r="K9" s="53">
        <f t="shared" si="2"/>
        <v>8578.67759210352</v>
      </c>
      <c r="L9" s="53">
        <f t="shared" si="2"/>
        <v>8478.22347357316</v>
      </c>
      <c r="M9" s="53">
        <f t="shared" si="2"/>
        <v>8557.3271406486</v>
      </c>
      <c r="N9" s="53">
        <f t="shared" si="2"/>
        <v>8781.03620735525</v>
      </c>
      <c r="O9" s="53">
        <f t="shared" si="2"/>
        <v>9141.12655163196</v>
      </c>
      <c r="P9" s="53">
        <f t="shared" si="2"/>
        <v>9636.11527232783</v>
      </c>
      <c r="Q9" s="53">
        <f t="shared" si="2"/>
        <v>10270.3889765703</v>
      </c>
      <c r="R9" s="53">
        <f t="shared" si="2"/>
        <v>11053.6845981112</v>
      </c>
      <c r="S9" s="53">
        <f t="shared" ref="S9:AD9" si="3">SUM(S10:S16)</f>
        <v>12000.8585126492</v>
      </c>
      <c r="T9" s="53">
        <f t="shared" si="3"/>
        <v>13131.8996018695</v>
      </c>
      <c r="U9" s="53">
        <f t="shared" si="3"/>
        <v>2596.70470508618</v>
      </c>
      <c r="V9" s="53">
        <f t="shared" si="3"/>
        <v>1287.17859181562</v>
      </c>
      <c r="W9" s="53">
        <f t="shared" si="3"/>
        <v>1297.05957290247</v>
      </c>
      <c r="X9" s="53">
        <f t="shared" si="3"/>
        <v>1307.13817361106</v>
      </c>
      <c r="Y9" s="53">
        <f t="shared" si="3"/>
        <v>1317.41834633382</v>
      </c>
      <c r="Z9" s="53">
        <f t="shared" si="3"/>
        <v>1327.90412251104</v>
      </c>
      <c r="AA9" s="53">
        <f t="shared" si="3"/>
        <v>1338.5996142118</v>
      </c>
      <c r="AB9" s="53">
        <f t="shared" si="3"/>
        <v>1349.50901574658</v>
      </c>
      <c r="AC9" s="53">
        <f t="shared" si="3"/>
        <v>1360.63660531206</v>
      </c>
      <c r="AD9" s="53">
        <f t="shared" si="3"/>
        <v>1371.98674666884</v>
      </c>
    </row>
    <row r="10" ht="21" customHeight="1" spans="1:30">
      <c r="A10" s="48">
        <v>2.1</v>
      </c>
      <c r="B10" s="49" t="s">
        <v>51</v>
      </c>
      <c r="C10" s="49">
        <f t="shared" ref="C9:C18" si="4">SUM(D10:AD10)</f>
        <v>19813.152</v>
      </c>
      <c r="D10" s="49">
        <f>项目总投资使用计划与资金筹措表!D10</f>
        <v>11857.8912</v>
      </c>
      <c r="E10" s="49">
        <f>项目总投资使用计划与资金筹措表!E10</f>
        <v>7955.2608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ht="21" customHeight="1" spans="1:30">
      <c r="A11" s="48">
        <v>2.2</v>
      </c>
      <c r="B11" s="49" t="s">
        <v>16</v>
      </c>
      <c r="C11" s="49">
        <f t="shared" si="4"/>
        <v>200</v>
      </c>
      <c r="D11" s="49"/>
      <c r="E11" s="49"/>
      <c r="F11" s="49">
        <f>项目投资现金流量表!F12</f>
        <v>200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ht="21" customHeight="1" spans="1:30">
      <c r="A12" s="48">
        <v>2.3</v>
      </c>
      <c r="B12" s="49" t="s">
        <v>162</v>
      </c>
      <c r="C12" s="49">
        <f t="shared" si="4"/>
        <v>50486.991846509</v>
      </c>
      <c r="D12" s="49"/>
      <c r="E12" s="49"/>
      <c r="F12" s="49">
        <f>借款还本付息及还款计划表!E11</f>
        <v>5294.33688</v>
      </c>
      <c r="G12" s="49">
        <f>借款还本付息及还款计划表!F11</f>
        <v>5037.342648</v>
      </c>
      <c r="H12" s="49">
        <f>借款还本付息及还款计划表!G11</f>
        <v>4789.348416</v>
      </c>
      <c r="I12" s="49">
        <f>借款还本付息及还款计划表!H11</f>
        <v>4541.354184</v>
      </c>
      <c r="J12" s="49">
        <f>借款还本付息及还款计划表!I11</f>
        <v>4293.359952</v>
      </c>
      <c r="K12" s="49">
        <f>借款还本付息及还款计划表!J11</f>
        <v>4045.36572</v>
      </c>
      <c r="L12" s="49">
        <f>借款还本付息及还款计划表!K11</f>
        <v>3797.371488</v>
      </c>
      <c r="M12" s="49">
        <f>借款还本付息及还款计划表!L11</f>
        <v>3542.85722136508</v>
      </c>
      <c r="N12" s="49">
        <f>借款还本付息及还款计划表!M11</f>
        <v>3271.8664006693</v>
      </c>
      <c r="O12" s="49">
        <f>借款还本付息及还款计划表!N11</f>
        <v>2974.94155435512</v>
      </c>
      <c r="P12" s="49">
        <f>借款还本付息及还款计划表!O11</f>
        <v>2642.66489409418</v>
      </c>
      <c r="Q12" s="49">
        <f>借款还本付息及还款计划表!P11</f>
        <v>2265.25575021855</v>
      </c>
      <c r="R12" s="49">
        <f>借款还本付息及还款计划表!Q11</f>
        <v>1832.20098688833</v>
      </c>
      <c r="S12" s="49">
        <f>借款还本付息及还款计划表!R11</f>
        <v>1331.8988281659</v>
      </c>
      <c r="T12" s="49">
        <f>借款还本付息及还款计划表!S11</f>
        <v>751.299440903428</v>
      </c>
      <c r="U12" s="49">
        <f>借款还本付息及还款计划表!T11</f>
        <v>75.5274818490587</v>
      </c>
      <c r="V12" s="49">
        <f>借款还本付息及还款计划表!U11</f>
        <v>0</v>
      </c>
      <c r="W12" s="49">
        <f>借款还本付息及还款计划表!V11</f>
        <v>0</v>
      </c>
      <c r="X12" s="49">
        <f>借款还本付息及还款计划表!W11</f>
        <v>0</v>
      </c>
      <c r="Y12" s="49">
        <f>借款还本付息及还款计划表!X11</f>
        <v>0</v>
      </c>
      <c r="Z12" s="49">
        <f>借款还本付息及还款计划表!Y11</f>
        <v>0</v>
      </c>
      <c r="AA12" s="49">
        <f>借款还本付息及还款计划表!Z11</f>
        <v>0</v>
      </c>
      <c r="AB12" s="49">
        <f>借款还本付息及还款计划表!AA11</f>
        <v>0</v>
      </c>
      <c r="AC12" s="49">
        <f>借款还本付息及还款计划表!AB11</f>
        <v>0</v>
      </c>
      <c r="AD12" s="49">
        <f>借款还本付息及还款计划表!AC11</f>
        <v>0</v>
      </c>
    </row>
    <row r="13" ht="21" customHeight="1" spans="1:30">
      <c r="A13" s="48">
        <v>2.4</v>
      </c>
      <c r="B13" s="49" t="s">
        <v>163</v>
      </c>
      <c r="C13" s="49">
        <f t="shared" si="4"/>
        <v>88088.948</v>
      </c>
      <c r="D13" s="49"/>
      <c r="E13" s="49"/>
      <c r="F13" s="49">
        <f>借款还本付息及还款计划表!E10</f>
        <v>4133.2372</v>
      </c>
      <c r="G13" s="49">
        <f>借款还本付息及还款计划表!F10</f>
        <v>4133.2372</v>
      </c>
      <c r="H13" s="49">
        <f>借款还本付息及还款计划表!G10</f>
        <v>4133.2372</v>
      </c>
      <c r="I13" s="49">
        <f>借款还本付息及还款计划表!H10</f>
        <v>4133.2372</v>
      </c>
      <c r="J13" s="49">
        <f>借款还本付息及还款计划表!I10</f>
        <v>4133.2372</v>
      </c>
      <c r="K13" s="49">
        <f>借款还本付息及还款计划表!J10</f>
        <v>4133.2372</v>
      </c>
      <c r="L13" s="49">
        <f>借款还本付息及还款计划表!K10</f>
        <v>4241.90444391528</v>
      </c>
      <c r="M13" s="49">
        <f>借款还本付息及还款计划表!L10</f>
        <v>4516.51367826296</v>
      </c>
      <c r="N13" s="49">
        <f>借款还本付息及还款计划表!M10</f>
        <v>4948.74743856981</v>
      </c>
      <c r="O13" s="49">
        <f>借款还本付息及还款计划表!N10</f>
        <v>5537.94433768234</v>
      </c>
      <c r="P13" s="49">
        <f>借款还本付息及还款计划表!O10</f>
        <v>6290.1523979271</v>
      </c>
      <c r="Q13" s="49">
        <f>借款还本付息及还款计划表!P10</f>
        <v>7217.57938883702</v>
      </c>
      <c r="R13" s="49">
        <f>借款还本付息及还款计划表!Q10</f>
        <v>8338.36931204043</v>
      </c>
      <c r="S13" s="49">
        <f>借款还本付息及还款计划表!R10</f>
        <v>9676.65645437459</v>
      </c>
      <c r="T13" s="49">
        <f>借款还本付息及还款计划表!S10</f>
        <v>11262.8659842395</v>
      </c>
      <c r="U13" s="49">
        <f>借款还本付息及还款计划表!T10</f>
        <v>1258.79136415098</v>
      </c>
      <c r="V13" s="49">
        <f>借款还本付息及还款计划表!U10</f>
        <v>0</v>
      </c>
      <c r="W13" s="49">
        <f>借款还本付息及还款计划表!V10</f>
        <v>0</v>
      </c>
      <c r="X13" s="49">
        <f>借款还本付息及还款计划表!W10</f>
        <v>0</v>
      </c>
      <c r="Y13" s="49">
        <f>借款还本付息及还款计划表!X10</f>
        <v>0</v>
      </c>
      <c r="Z13" s="49">
        <f>借款还本付息及还款计划表!Y10</f>
        <v>0</v>
      </c>
      <c r="AA13" s="49">
        <f>借款还本付息及还款计划表!Z10</f>
        <v>0</v>
      </c>
      <c r="AB13" s="49">
        <f>借款还本付息及还款计划表!AA10</f>
        <v>0</v>
      </c>
      <c r="AC13" s="49">
        <f>借款还本付息及还款计划表!AB10</f>
        <v>0</v>
      </c>
      <c r="AD13" s="49">
        <f>借款还本付息及还款计划表!AC10</f>
        <v>0</v>
      </c>
    </row>
    <row r="14" ht="21" customHeight="1" spans="1:30">
      <c r="A14" s="48">
        <v>2.5</v>
      </c>
      <c r="B14" s="49" t="s">
        <v>141</v>
      </c>
      <c r="C14" s="49">
        <f t="shared" si="4"/>
        <v>11210.6049031328</v>
      </c>
      <c r="D14" s="49"/>
      <c r="E14" s="49"/>
      <c r="F14" s="49">
        <f>总成本费用估算表!D5</f>
        <v>350</v>
      </c>
      <c r="G14" s="49">
        <f>总成本费用估算表!E5</f>
        <v>357</v>
      </c>
      <c r="H14" s="49">
        <f>总成本费用估算表!F5</f>
        <v>364.14</v>
      </c>
      <c r="I14" s="49">
        <f>总成本费用估算表!G5</f>
        <v>371.4228</v>
      </c>
      <c r="J14" s="49">
        <f>总成本费用估算表!H5</f>
        <v>378.851256</v>
      </c>
      <c r="K14" s="49">
        <f>总成本费用估算表!I5</f>
        <v>386.42828112</v>
      </c>
      <c r="L14" s="49">
        <f>总成本费用估算表!J5</f>
        <v>394.1568467424</v>
      </c>
      <c r="M14" s="49">
        <f>总成本费用估算表!K5</f>
        <v>402.039983677248</v>
      </c>
      <c r="N14" s="49">
        <f>总成本费用估算表!L5</f>
        <v>410.080783350793</v>
      </c>
      <c r="O14" s="49">
        <f>总成本费用估算表!M5</f>
        <v>418.282399017809</v>
      </c>
      <c r="P14" s="49">
        <f>总成本费用估算表!N5</f>
        <v>426.648046998165</v>
      </c>
      <c r="Q14" s="49">
        <f>总成本费用估算表!O5</f>
        <v>435.181007938128</v>
      </c>
      <c r="R14" s="49">
        <f>总成本费用估算表!P5</f>
        <v>443.884628096891</v>
      </c>
      <c r="S14" s="49">
        <f>总成本费用估算表!Q5</f>
        <v>452.762320658829</v>
      </c>
      <c r="T14" s="49">
        <f>总成本费用估算表!R5</f>
        <v>461.817567072005</v>
      </c>
      <c r="U14" s="49">
        <f>总成本费用估算表!S5</f>
        <v>471.053918413445</v>
      </c>
      <c r="V14" s="49">
        <f>总成本费用估算表!T5</f>
        <v>480.474996781714</v>
      </c>
      <c r="W14" s="49">
        <f>总成本费用估算表!U5</f>
        <v>490.084496717349</v>
      </c>
      <c r="X14" s="49">
        <f>总成本费用估算表!V5</f>
        <v>499.886186651696</v>
      </c>
      <c r="Y14" s="49">
        <f>总成本费用估算表!W5</f>
        <v>509.88391038473</v>
      </c>
      <c r="Z14" s="49">
        <f>总成本费用估算表!X5</f>
        <v>520.081588592424</v>
      </c>
      <c r="AA14" s="49">
        <f>总成本费用估算表!Y5</f>
        <v>530.483220364273</v>
      </c>
      <c r="AB14" s="49">
        <f>总成本费用估算表!Z5</f>
        <v>541.092884771558</v>
      </c>
      <c r="AC14" s="49">
        <f>总成本费用估算表!AA5</f>
        <v>551.914742466989</v>
      </c>
      <c r="AD14" s="49">
        <f>总成本费用估算表!AB5</f>
        <v>562.953037316329</v>
      </c>
    </row>
    <row r="15" ht="21" customHeight="1" spans="1:30">
      <c r="A15" s="48">
        <v>2.6</v>
      </c>
      <c r="B15" s="50" t="s">
        <v>106</v>
      </c>
      <c r="C15" s="49">
        <f t="shared" si="4"/>
        <v>1295.52139465518</v>
      </c>
      <c r="D15" s="49"/>
      <c r="E15" s="49"/>
      <c r="F15" s="49">
        <f>营业收入、营业税金及附加和增值税估算表!D14</f>
        <v>118.196765866667</v>
      </c>
      <c r="G15" s="49">
        <f>营业收入、营业税金及附加和增值税估算表!E14</f>
        <v>177.807168</v>
      </c>
      <c r="H15" s="49">
        <f>营业收入、营业税金及附加和增值税估算表!F14</f>
        <v>292.938037891459</v>
      </c>
      <c r="I15" s="49">
        <f>营业收入、营业税金及附加和增值税估算表!G14</f>
        <v>361.629200060195</v>
      </c>
      <c r="J15" s="49">
        <f>营业收入、营业税金及附加和增值税估算表!H14</f>
        <v>13.3788146897228</v>
      </c>
      <c r="K15" s="49">
        <f>营业收入、营业税金及附加和增值税估算表!I14</f>
        <v>13.6463909835173</v>
      </c>
      <c r="L15" s="49">
        <f>营业收入、营业税金及附加和增值税估算表!J14</f>
        <v>13.9193188031876</v>
      </c>
      <c r="M15" s="49">
        <f>营业收入、营业税金及附加和增值税估算表!K14</f>
        <v>14.1977051792514</v>
      </c>
      <c r="N15" s="49">
        <f>营业收入、营业税金及附加和增值税估算表!L14</f>
        <v>14.4816592828364</v>
      </c>
      <c r="O15" s="49">
        <f>营业收入、营业税金及附加和增值税估算表!M14</f>
        <v>14.7712924684931</v>
      </c>
      <c r="P15" s="49">
        <f>营业收入、营业税金及附加和增值税估算表!N14</f>
        <v>15.0667183178629</v>
      </c>
      <c r="Q15" s="49">
        <f>营业收入、营业税金及附加和增值税估算表!O14</f>
        <v>15.3680526842203</v>
      </c>
      <c r="R15" s="49">
        <f>营业收入、营业税金及附加和增值税估算表!P14</f>
        <v>15.6754137379047</v>
      </c>
      <c r="S15" s="49">
        <f>营业收入、营业税金及附加和增值税估算表!Q14</f>
        <v>15.9889220126627</v>
      </c>
      <c r="T15" s="49">
        <f>营业收入、营业税金及附加和增值税估算表!R14</f>
        <v>16.308700452916</v>
      </c>
      <c r="U15" s="49">
        <f>营业收入、营业税金及附加和增值税估算表!S14</f>
        <v>16.6348744619742</v>
      </c>
      <c r="V15" s="49">
        <f>营业收入、营业税金及附加和增值税估算表!T14</f>
        <v>16.9675719512138</v>
      </c>
      <c r="W15" s="49">
        <f>营业收入、营业税金及附加和增值税估算表!U14</f>
        <v>17.3069233902381</v>
      </c>
      <c r="X15" s="49">
        <f>营业收入、营业税金及附加和增值税估算表!V14</f>
        <v>17.6530618580428</v>
      </c>
      <c r="Y15" s="49">
        <f>营业收入、营业税金及附加和增值税估算表!W14</f>
        <v>18.0061230952037</v>
      </c>
      <c r="Z15" s="49">
        <f>营业收入、营业税金及附加和增值税估算表!X14</f>
        <v>18.3662455571078</v>
      </c>
      <c r="AA15" s="49">
        <f>营业收入、营业税金及附加和增值税估算表!Y14</f>
        <v>18.7335704682499</v>
      </c>
      <c r="AB15" s="49">
        <f>营业收入、营业税金及附加和增值税估算表!Z14</f>
        <v>19.1082418776149</v>
      </c>
      <c r="AC15" s="49">
        <f>营业收入、营业税金及附加和增值税估算表!AA14</f>
        <v>19.4904067151672</v>
      </c>
      <c r="AD15" s="49">
        <f>营业收入、营业税金及附加和增值税估算表!AB14</f>
        <v>19.8802148494705</v>
      </c>
    </row>
    <row r="16" ht="21" customHeight="1" spans="1:30">
      <c r="A16" s="48">
        <v>2.7</v>
      </c>
      <c r="B16" s="49" t="s">
        <v>164</v>
      </c>
      <c r="C16" s="49">
        <f t="shared" si="4"/>
        <v>10508.6993992512</v>
      </c>
      <c r="D16" s="54"/>
      <c r="E16" s="54"/>
      <c r="F16" s="54">
        <f>利润及利润分配表!D11</f>
        <v>0</v>
      </c>
      <c r="G16" s="54">
        <f>利润及利润分配表!E11</f>
        <v>0</v>
      </c>
      <c r="H16" s="54">
        <f>利润及利润分配表!F11</f>
        <v>0</v>
      </c>
      <c r="I16" s="54">
        <f>利润及利润分配表!G11</f>
        <v>0</v>
      </c>
      <c r="J16" s="54">
        <f>利润及利润分配表!H11</f>
        <v>0</v>
      </c>
      <c r="K16" s="54">
        <f>利润及利润分配表!I11</f>
        <v>0</v>
      </c>
      <c r="L16" s="54">
        <f>利润及利润分配表!J11</f>
        <v>30.8713761122948</v>
      </c>
      <c r="M16" s="54">
        <f>利润及利润分配表!K11</f>
        <v>81.718552164066</v>
      </c>
      <c r="N16" s="54">
        <f>利润及利润分配表!L11</f>
        <v>135.859925482503</v>
      </c>
      <c r="O16" s="54">
        <f>利润及利润分配表!M11</f>
        <v>195.18696810821</v>
      </c>
      <c r="P16" s="54">
        <f>利润及利润分配表!N11</f>
        <v>261.583214990523</v>
      </c>
      <c r="Q16" s="54">
        <f>利润及利润分配表!O11</f>
        <v>337.004776892379</v>
      </c>
      <c r="R16" s="54">
        <f>利润及利润分配表!P11</f>
        <v>423.554257347685</v>
      </c>
      <c r="S16" s="54">
        <f>利润及利润分配表!Q11</f>
        <v>523.551987437219</v>
      </c>
      <c r="T16" s="54">
        <f>利润及利润分配表!R11</f>
        <v>639.607909201662</v>
      </c>
      <c r="U16" s="54">
        <f>利润及利润分配表!S11</f>
        <v>774.697066210725</v>
      </c>
      <c r="V16" s="54">
        <f>利润及利润分配表!T11</f>
        <v>789.736023082688</v>
      </c>
      <c r="W16" s="54">
        <f>利润及利润分配表!U11</f>
        <v>789.668152794884</v>
      </c>
      <c r="X16" s="54">
        <f>利润及利润分配表!V11</f>
        <v>789.598925101322</v>
      </c>
      <c r="Y16" s="54">
        <f>利润及利润分配表!W11</f>
        <v>789.528312853891</v>
      </c>
      <c r="Z16" s="54">
        <f>利润及利润分配表!X11</f>
        <v>789.45628836151</v>
      </c>
      <c r="AA16" s="54">
        <f>利润及利润分配表!Y11</f>
        <v>789.382823379281</v>
      </c>
      <c r="AB16" s="54">
        <f>利润及利润分配表!Z11</f>
        <v>789.30788909741</v>
      </c>
      <c r="AC16" s="54">
        <f>利润及利润分配表!AA11</f>
        <v>789.231456129899</v>
      </c>
      <c r="AD16" s="54">
        <f>利润及利润分配表!AB11</f>
        <v>789.153494503038</v>
      </c>
    </row>
    <row r="17" ht="28" customHeight="1" spans="1:30">
      <c r="A17" s="55">
        <v>3</v>
      </c>
      <c r="B17" s="56" t="s">
        <v>165</v>
      </c>
      <c r="C17" s="57">
        <f t="shared" si="4"/>
        <v>32278.8095437011</v>
      </c>
      <c r="D17" s="58">
        <f t="shared" ref="D17:I17" si="5">D5-D9</f>
        <v>-11857.8912</v>
      </c>
      <c r="E17" s="58">
        <f t="shared" si="5"/>
        <v>-7955.2608</v>
      </c>
      <c r="F17" s="58">
        <f t="shared" si="5"/>
        <v>-1646.88595850201</v>
      </c>
      <c r="G17" s="58">
        <f t="shared" si="5"/>
        <v>-1249.50212863534</v>
      </c>
      <c r="H17" s="58">
        <f t="shared" si="5"/>
        <v>-1116.6387665268</v>
      </c>
      <c r="I17" s="58">
        <f t="shared" si="5"/>
        <v>-937.335696695534</v>
      </c>
      <c r="J17" s="58">
        <f t="shared" ref="J17:Q17" si="6">J5-J9</f>
        <v>-341.09107932506</v>
      </c>
      <c r="K17" s="58">
        <f t="shared" si="6"/>
        <v>-93.3644236188557</v>
      </c>
      <c r="L17" s="58">
        <f t="shared" si="6"/>
        <v>14.8182605339025</v>
      </c>
      <c r="M17" s="58">
        <f t="shared" si="6"/>
        <v>-56.4022696066932</v>
      </c>
      <c r="N17" s="58">
        <f t="shared" si="6"/>
        <v>-272.070536639802</v>
      </c>
      <c r="O17" s="58">
        <f t="shared" si="6"/>
        <v>-623.959265249494</v>
      </c>
      <c r="P17" s="58">
        <f t="shared" si="6"/>
        <v>-1110.58233796501</v>
      </c>
      <c r="Q17" s="58">
        <f t="shared" si="6"/>
        <v>-1736.3230812675</v>
      </c>
      <c r="R17" s="58">
        <f t="shared" ref="R17:AD17" si="7">R5-R9</f>
        <v>-2510.91508264969</v>
      </c>
      <c r="S17" s="58">
        <f t="shared" si="7"/>
        <v>-3449.21130462571</v>
      </c>
      <c r="T17" s="58">
        <f t="shared" si="7"/>
        <v>-4571.19714743284</v>
      </c>
      <c r="U17" s="58">
        <f t="shared" si="7"/>
        <v>5973.23410069192</v>
      </c>
      <c r="V17" s="58">
        <f t="shared" si="7"/>
        <v>7292.18129233075</v>
      </c>
      <c r="W17" s="58">
        <f t="shared" si="7"/>
        <v>7291.90981117954</v>
      </c>
      <c r="X17" s="58">
        <f t="shared" si="7"/>
        <v>7291.63290040529</v>
      </c>
      <c r="Y17" s="58">
        <f t="shared" si="7"/>
        <v>7291.35045141556</v>
      </c>
      <c r="Z17" s="58">
        <f t="shared" si="7"/>
        <v>7291.06235344604</v>
      </c>
      <c r="AA17" s="58">
        <f t="shared" si="7"/>
        <v>7290.76849351712</v>
      </c>
      <c r="AB17" s="58">
        <f t="shared" si="7"/>
        <v>7290.46875638964</v>
      </c>
      <c r="AC17" s="58">
        <f t="shared" si="7"/>
        <v>7290.1630245196</v>
      </c>
      <c r="AD17" s="58">
        <f t="shared" si="7"/>
        <v>7489.8511780121</v>
      </c>
    </row>
    <row r="18" ht="21" customHeight="1" spans="1:30">
      <c r="A18" s="55">
        <v>4</v>
      </c>
      <c r="B18" s="56" t="s">
        <v>148</v>
      </c>
      <c r="C18" s="59"/>
      <c r="D18" s="58">
        <f>D17</f>
        <v>-11857.8912</v>
      </c>
      <c r="E18" s="58">
        <f t="shared" ref="E18:M18" si="8">D18+E17</f>
        <v>-19813.152</v>
      </c>
      <c r="F18" s="58">
        <f t="shared" si="8"/>
        <v>-21460.037958502</v>
      </c>
      <c r="G18" s="58">
        <f t="shared" si="8"/>
        <v>-22709.5400871373</v>
      </c>
      <c r="H18" s="58">
        <f t="shared" si="8"/>
        <v>-23826.1788536641</v>
      </c>
      <c r="I18" s="58">
        <f t="shared" si="8"/>
        <v>-24763.5145503597</v>
      </c>
      <c r="J18" s="58">
        <f t="shared" si="8"/>
        <v>-25104.6056296847</v>
      </c>
      <c r="K18" s="58">
        <f t="shared" si="8"/>
        <v>-25197.9700533036</v>
      </c>
      <c r="L18" s="58">
        <f t="shared" si="8"/>
        <v>-25183.1517927697</v>
      </c>
      <c r="M18" s="58">
        <f t="shared" si="8"/>
        <v>-25239.5540623764</v>
      </c>
      <c r="N18" s="58">
        <f t="shared" ref="N18" si="9">M18+N17</f>
        <v>-25511.6245990162</v>
      </c>
      <c r="O18" s="58">
        <f t="shared" ref="O18" si="10">N18+O17</f>
        <v>-26135.5838642657</v>
      </c>
      <c r="P18" s="58">
        <f t="shared" ref="P18" si="11">O18+P17</f>
        <v>-27246.1662022307</v>
      </c>
      <c r="Q18" s="58">
        <f t="shared" ref="Q18" si="12">P18+Q17</f>
        <v>-28982.4892834982</v>
      </c>
      <c r="R18" s="58">
        <f t="shared" ref="R18" si="13">Q18+R17</f>
        <v>-31493.4043661479</v>
      </c>
      <c r="S18" s="58">
        <f t="shared" ref="S18" si="14">R18+S17</f>
        <v>-34942.6156707736</v>
      </c>
      <c r="T18" s="58">
        <f t="shared" ref="T18" si="15">S18+T17</f>
        <v>-39513.8128182064</v>
      </c>
      <c r="U18" s="58">
        <f t="shared" ref="U18" si="16">T18+U17</f>
        <v>-33540.5787175145</v>
      </c>
      <c r="V18" s="58">
        <f t="shared" ref="V18" si="17">U18+V17</f>
        <v>-26248.3974251837</v>
      </c>
      <c r="W18" s="58">
        <f t="shared" ref="W18" si="18">V18+W17</f>
        <v>-18956.4876140042</v>
      </c>
      <c r="X18" s="58">
        <f t="shared" ref="X18" si="19">W18+X17</f>
        <v>-11664.8547135989</v>
      </c>
      <c r="Y18" s="58">
        <f t="shared" ref="Y18" si="20">X18+Y17</f>
        <v>-4373.50426218336</v>
      </c>
      <c r="Z18" s="58">
        <f t="shared" ref="Z18" si="21">Y18+Z17</f>
        <v>2917.55809126268</v>
      </c>
      <c r="AA18" s="58">
        <f t="shared" ref="AA18" si="22">Z18+AA17</f>
        <v>10208.3265847798</v>
      </c>
      <c r="AB18" s="58">
        <f t="shared" ref="AB18" si="23">AA18+AB17</f>
        <v>17498.7953411694</v>
      </c>
      <c r="AC18" s="58">
        <f t="shared" ref="AC18" si="24">AB18+AC17</f>
        <v>24788.958365689</v>
      </c>
      <c r="AD18" s="58">
        <f t="shared" ref="AD18" si="25">AC18+AD17</f>
        <v>32278.8095437011</v>
      </c>
    </row>
    <row r="19" s="38" customFormat="1" ht="21" customHeight="1" spans="1:30">
      <c r="A19" s="60">
        <v>5</v>
      </c>
      <c r="B19" s="56" t="s">
        <v>151</v>
      </c>
      <c r="C19" s="57">
        <f t="shared" ref="C19" si="26">SUM(D19:AD19)</f>
        <v>-8779.3353573741</v>
      </c>
      <c r="D19" s="61">
        <f t="shared" ref="D19:M19" si="27">D17*D25</f>
        <v>-11186.6898113208</v>
      </c>
      <c r="E19" s="61">
        <f t="shared" si="27"/>
        <v>-7080.15379138484</v>
      </c>
      <c r="F19" s="61">
        <f t="shared" si="27"/>
        <v>-1382.75720771342</v>
      </c>
      <c r="G19" s="61">
        <f t="shared" si="27"/>
        <v>-989.722718294469</v>
      </c>
      <c r="H19" s="61">
        <f t="shared" si="27"/>
        <v>-834.417444426224</v>
      </c>
      <c r="I19" s="61">
        <f t="shared" si="27"/>
        <v>-660.784679315884</v>
      </c>
      <c r="J19" s="61">
        <f t="shared" si="27"/>
        <v>-226.845048698252</v>
      </c>
      <c r="K19" s="61">
        <f t="shared" si="27"/>
        <v>-58.577994421669</v>
      </c>
      <c r="L19" s="61">
        <f t="shared" si="27"/>
        <v>8.7709056422045</v>
      </c>
      <c r="M19" s="61">
        <f t="shared" si="27"/>
        <v>-31.4947327545358</v>
      </c>
      <c r="N19" s="61">
        <f t="shared" ref="N19:AD19" si="28">N17*N25</f>
        <v>-143.323364728451</v>
      </c>
      <c r="O19" s="61">
        <f t="shared" si="28"/>
        <v>-310.088638949014</v>
      </c>
      <c r="P19" s="61">
        <f t="shared" si="28"/>
        <v>-520.684337451251</v>
      </c>
      <c r="Q19" s="61">
        <f t="shared" si="28"/>
        <v>-767.977373319303</v>
      </c>
      <c r="R19" s="61">
        <f t="shared" si="28"/>
        <v>-1047.7171344636</v>
      </c>
      <c r="S19" s="61">
        <f t="shared" si="28"/>
        <v>-1357.769211806</v>
      </c>
      <c r="T19" s="61">
        <f t="shared" si="28"/>
        <v>-1697.57997094846</v>
      </c>
      <c r="U19" s="61">
        <f t="shared" si="28"/>
        <v>2092.68548013865</v>
      </c>
      <c r="V19" s="61">
        <f t="shared" si="28"/>
        <v>2410.16079203454</v>
      </c>
      <c r="W19" s="61">
        <f t="shared" si="28"/>
        <v>2273.65194715279</v>
      </c>
      <c r="X19" s="61">
        <f t="shared" si="28"/>
        <v>2144.87321232496</v>
      </c>
      <c r="Y19" s="61">
        <f t="shared" si="28"/>
        <v>2023.38691361192</v>
      </c>
      <c r="Z19" s="61">
        <f t="shared" si="28"/>
        <v>1908.78015561978</v>
      </c>
      <c r="AA19" s="61">
        <f t="shared" si="28"/>
        <v>1800.66341876906</v>
      </c>
      <c r="AB19" s="61">
        <f t="shared" si="28"/>
        <v>1698.66923597022</v>
      </c>
      <c r="AC19" s="61">
        <f t="shared" si="28"/>
        <v>1602.45094421056</v>
      </c>
      <c r="AD19" s="61">
        <f t="shared" si="28"/>
        <v>1553.15509714739</v>
      </c>
    </row>
    <row r="20" s="38" customFormat="1" ht="21" customHeight="1" spans="1:30">
      <c r="A20" s="60">
        <v>6</v>
      </c>
      <c r="B20" s="56" t="s">
        <v>152</v>
      </c>
      <c r="C20" s="59"/>
      <c r="D20" s="61">
        <f>D19</f>
        <v>-11186.6898113208</v>
      </c>
      <c r="E20" s="61">
        <f>D20+E19</f>
        <v>-18266.8436027056</v>
      </c>
      <c r="F20" s="61">
        <f t="shared" ref="F20:M20" si="29">E20+F19</f>
        <v>-19649.600810419</v>
      </c>
      <c r="G20" s="61">
        <f t="shared" si="29"/>
        <v>-20639.3235287135</v>
      </c>
      <c r="H20" s="61">
        <f t="shared" si="29"/>
        <v>-21473.7409731397</v>
      </c>
      <c r="I20" s="61">
        <f t="shared" si="29"/>
        <v>-22134.5256524556</v>
      </c>
      <c r="J20" s="61">
        <f t="shared" si="29"/>
        <v>-22361.3707011538</v>
      </c>
      <c r="K20" s="61">
        <f t="shared" si="29"/>
        <v>-22419.9486955755</v>
      </c>
      <c r="L20" s="61">
        <f t="shared" si="29"/>
        <v>-22411.1777899333</v>
      </c>
      <c r="M20" s="61">
        <f t="shared" si="29"/>
        <v>-22442.6725226878</v>
      </c>
      <c r="N20" s="61">
        <f t="shared" ref="N20" si="30">M20+N19</f>
        <v>-22585.9958874163</v>
      </c>
      <c r="O20" s="61">
        <f t="shared" ref="O20" si="31">N20+O19</f>
        <v>-22896.0845263653</v>
      </c>
      <c r="P20" s="61">
        <f t="shared" ref="P20" si="32">O20+P19</f>
        <v>-23416.7688638166</v>
      </c>
      <c r="Q20" s="61">
        <f t="shared" ref="Q20" si="33">P20+Q19</f>
        <v>-24184.7462371359</v>
      </c>
      <c r="R20" s="61">
        <f t="shared" ref="R20" si="34">Q20+R19</f>
        <v>-25232.4633715995</v>
      </c>
      <c r="S20" s="61">
        <f t="shared" ref="S20" si="35">R20+S19</f>
        <v>-26590.2325834055</v>
      </c>
      <c r="T20" s="61">
        <f t="shared" ref="T20" si="36">S20+T19</f>
        <v>-28287.8125543539</v>
      </c>
      <c r="U20" s="61">
        <f t="shared" ref="U20" si="37">T20+U19</f>
        <v>-26195.1270742153</v>
      </c>
      <c r="V20" s="61">
        <f t="shared" ref="V20" si="38">U20+V19</f>
        <v>-23784.9662821807</v>
      </c>
      <c r="W20" s="61">
        <f t="shared" ref="W20" si="39">V20+W19</f>
        <v>-21511.3143350279</v>
      </c>
      <c r="X20" s="61">
        <f t="shared" ref="X20" si="40">W20+X19</f>
        <v>-19366.441122703</v>
      </c>
      <c r="Y20" s="61">
        <f t="shared" ref="Y20" si="41">X20+Y19</f>
        <v>-17343.0542090911</v>
      </c>
      <c r="Z20" s="61">
        <f t="shared" ref="Z20" si="42">Y20+Z19</f>
        <v>-15434.2740534713</v>
      </c>
      <c r="AA20" s="61">
        <f t="shared" ref="AA20" si="43">Z20+AA19</f>
        <v>-13633.6106347022</v>
      </c>
      <c r="AB20" s="61">
        <f t="shared" ref="AB20" si="44">AA20+AB19</f>
        <v>-11934.941398732</v>
      </c>
      <c r="AC20" s="61">
        <f t="shared" ref="AC20" si="45">AB20+AC19</f>
        <v>-10332.4904545214</v>
      </c>
      <c r="AD20" s="61">
        <f t="shared" ref="AD20" si="46">AC20+AD19</f>
        <v>-8779.33535737405</v>
      </c>
    </row>
    <row r="21" ht="21" customHeight="1" spans="1:30">
      <c r="A21" s="48" t="s">
        <v>153</v>
      </c>
      <c r="B21" s="48"/>
      <c r="C21" s="62"/>
      <c r="D21" s="62"/>
      <c r="E21" s="62"/>
      <c r="F21" s="48" t="s">
        <v>159</v>
      </c>
      <c r="G21" s="41" t="s">
        <v>155</v>
      </c>
      <c r="H21" s="63"/>
      <c r="I21" s="67">
        <f>IRR(D17:AD17)</f>
        <v>0.0372902063247611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</row>
    <row r="22" ht="21" customHeight="1" spans="1:30">
      <c r="A22" s="48"/>
      <c r="B22" s="48"/>
      <c r="C22" s="62"/>
      <c r="D22" s="62"/>
      <c r="E22" s="62"/>
      <c r="F22" s="48"/>
      <c r="G22" s="41" t="s">
        <v>156</v>
      </c>
      <c r="H22" s="63"/>
      <c r="I22" s="54">
        <f>C19</f>
        <v>-8779.3353573741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</row>
    <row r="23" ht="21" customHeight="1" spans="1:30">
      <c r="A23" s="48"/>
      <c r="B23" s="48"/>
      <c r="C23" s="62"/>
      <c r="D23" s="62"/>
      <c r="E23" s="62"/>
      <c r="F23" s="48"/>
      <c r="G23" s="63" t="s">
        <v>157</v>
      </c>
      <c r="H23" s="63"/>
      <c r="I23" s="54">
        <f>23-1+(-Y18/Z17)</f>
        <v>22.5998445837068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</row>
    <row r="24" ht="21" customHeight="1" spans="1:30">
      <c r="A24" s="48"/>
      <c r="B24" s="48"/>
      <c r="C24" s="62"/>
      <c r="D24" s="62"/>
      <c r="E24" s="62"/>
      <c r="F24" s="48"/>
      <c r="G24" s="63" t="s">
        <v>158</v>
      </c>
      <c r="H24" s="63"/>
      <c r="I24" s="54">
        <f>27-1-(AC20/AD19)</f>
        <v>32.652581235125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 ht="21" customHeight="1" spans="1:30">
      <c r="A25" s="64" t="s">
        <v>160</v>
      </c>
      <c r="B25" s="65"/>
      <c r="C25" s="65"/>
      <c r="D25" s="65">
        <f>1/1.06</f>
        <v>0.943396226415094</v>
      </c>
      <c r="E25" s="65">
        <f>D25*$D$25</f>
        <v>0.88999644001424</v>
      </c>
      <c r="F25" s="65">
        <f t="shared" ref="F25:M25" si="47">E25*$D$25</f>
        <v>0.839619283032301</v>
      </c>
      <c r="G25" s="65">
        <f t="shared" si="47"/>
        <v>0.79209366323802</v>
      </c>
      <c r="H25" s="65">
        <f t="shared" si="47"/>
        <v>0.747258172866057</v>
      </c>
      <c r="I25" s="65">
        <f t="shared" si="47"/>
        <v>0.704960540439676</v>
      </c>
      <c r="J25" s="65">
        <f t="shared" si="47"/>
        <v>0.665057113622336</v>
      </c>
      <c r="K25" s="65">
        <f t="shared" si="47"/>
        <v>0.627412371341826</v>
      </c>
      <c r="L25" s="65">
        <f t="shared" si="47"/>
        <v>0.591898463530025</v>
      </c>
      <c r="M25" s="65">
        <f t="shared" si="47"/>
        <v>0.558394776915118</v>
      </c>
      <c r="N25" s="65">
        <f t="shared" ref="N25" si="48">M25*$D$25</f>
        <v>0.52678752539162</v>
      </c>
      <c r="O25" s="65">
        <f t="shared" ref="O25" si="49">N25*$D$25</f>
        <v>0.496969363577</v>
      </c>
      <c r="P25" s="65">
        <f t="shared" ref="P25" si="50">O25*$D$25</f>
        <v>0.468839022242453</v>
      </c>
      <c r="Q25" s="65">
        <f t="shared" ref="Q25" si="51">P25*$D$25</f>
        <v>0.442300964379673</v>
      </c>
      <c r="R25" s="65">
        <f t="shared" ref="R25" si="52">Q25*$D$25</f>
        <v>0.41726506073554</v>
      </c>
      <c r="S25" s="65">
        <f t="shared" ref="S25" si="53">R25*$D$25</f>
        <v>0.393646283712774</v>
      </c>
      <c r="T25" s="65">
        <f t="shared" ref="T25" si="54">S25*$D$25</f>
        <v>0.371364418596956</v>
      </c>
      <c r="U25" s="65">
        <f t="shared" ref="U25" si="55">T25*$D$25</f>
        <v>0.350343791129204</v>
      </c>
      <c r="V25" s="65">
        <f t="shared" ref="V25" si="56">U25*$D$25</f>
        <v>0.330513010499249</v>
      </c>
      <c r="W25" s="65">
        <f t="shared" ref="W25" si="57">V25*$D$25</f>
        <v>0.311804726886084</v>
      </c>
      <c r="X25" s="65">
        <f t="shared" ref="X25" si="58">W25*$D$25</f>
        <v>0.294155402722721</v>
      </c>
      <c r="Y25" s="65">
        <f t="shared" ref="Y25" si="59">X25*$D$25</f>
        <v>0.277505096908227</v>
      </c>
      <c r="Z25" s="65">
        <f t="shared" ref="Z25" si="60">Y25*$D$25</f>
        <v>0.261797261234176</v>
      </c>
      <c r="AA25" s="65">
        <f t="shared" ref="AA25" si="61">Z25*$D$25</f>
        <v>0.246978548334129</v>
      </c>
      <c r="AB25" s="65">
        <f t="shared" ref="AB25" si="62">AA25*$D$25</f>
        <v>0.232998630503895</v>
      </c>
      <c r="AC25" s="65">
        <f t="shared" ref="AC25" si="63">AB25*$D$25</f>
        <v>0.219810028777259</v>
      </c>
      <c r="AD25" s="65">
        <f t="shared" ref="AD25" si="64">AC25*$D$25</f>
        <v>0.20736795167666</v>
      </c>
    </row>
  </sheetData>
  <mergeCells count="14">
    <mergeCell ref="A1:AD1"/>
    <mergeCell ref="A2:AD2"/>
    <mergeCell ref="D3:E3"/>
    <mergeCell ref="F3:AD3"/>
    <mergeCell ref="G21:H21"/>
    <mergeCell ref="G22:H22"/>
    <mergeCell ref="G23:H23"/>
    <mergeCell ref="G24:H24"/>
    <mergeCell ref="A25:B25"/>
    <mergeCell ref="A3:A4"/>
    <mergeCell ref="B3:B4"/>
    <mergeCell ref="C3:C4"/>
    <mergeCell ref="F21:F24"/>
    <mergeCell ref="A21:B24"/>
  </mergeCells>
  <pageMargins left="0.700694444444445" right="0.700694444444445" top="0.751388888888889" bottom="0.751388888888889" header="0.297916666666667" footer="0.297916666666667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基础数据</vt:lpstr>
      <vt:lpstr>项目总投资使用计划与资金筹措表</vt:lpstr>
      <vt:lpstr>固定资产折旧摊销计算表</vt:lpstr>
      <vt:lpstr>总成本费用估算表</vt:lpstr>
      <vt:lpstr>营业收入、营业税金及附加和增值税估算表</vt:lpstr>
      <vt:lpstr>利润及利润分配表</vt:lpstr>
      <vt:lpstr>借款还本付息及还款计划表</vt:lpstr>
      <vt:lpstr>项目投资现金流量表</vt:lpstr>
      <vt:lpstr>资本金现金流量表 </vt:lpstr>
      <vt:lpstr>财务计划现金流量表</vt:lpstr>
      <vt:lpstr>利息及偿债备付率</vt:lpstr>
      <vt:lpstr>敏感性分析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水木年华</cp:lastModifiedBy>
  <dcterms:created xsi:type="dcterms:W3CDTF">2018-10-19T00:59:00Z</dcterms:created>
  <dcterms:modified xsi:type="dcterms:W3CDTF">2021-12-26T14:16:22Z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  <property fmtid="{D5CDD505-2E9C-101B-9397-08002B2CF9AE}" pid="4" name="ICV">
    <vt:lpwstr>B8CDE01176EC48F989D36A32541832D7</vt:lpwstr>
  </property>
</Properties>
</file>