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pple/Downloads/"/>
    </mc:Choice>
  </mc:AlternateContent>
  <xr:revisionPtr revIDLastSave="0" documentId="13_ncr:1_{CA5A727A-6484-E74F-AC5F-BC7137CEBB1B}" xr6:coauthVersionLast="47" xr6:coauthVersionMax="47" xr10:uidLastSave="{00000000-0000-0000-0000-000000000000}"/>
  <bookViews>
    <workbookView xWindow="0" yWindow="460" windowWidth="25600" windowHeight="14460" firstSheet="12" activeTab="16" xr2:uid="{00000000-000D-0000-FFFF-FFFF00000000}"/>
  </bookViews>
  <sheets>
    <sheet name="April 2022" sheetId="1" r:id="rId1"/>
    <sheet name="May 2022" sheetId="2" r:id="rId2"/>
    <sheet name="June 2022" sheetId="3" r:id="rId3"/>
    <sheet name="July 2022" sheetId="4" r:id="rId4"/>
    <sheet name="August 2022" sheetId="5" r:id="rId5"/>
    <sheet name="September 2022" sheetId="6" r:id="rId6"/>
    <sheet name="October 2022" sheetId="7" r:id="rId7"/>
    <sheet name="November 2022" sheetId="8" r:id="rId8"/>
    <sheet name="December 2022" sheetId="9" r:id="rId9"/>
    <sheet name="January 2023" sheetId="10" r:id="rId10"/>
    <sheet name="February 2023" sheetId="11" r:id="rId11"/>
    <sheet name="March 2023" sheetId="12" r:id="rId12"/>
    <sheet name="April 2023" sheetId="13" r:id="rId13"/>
    <sheet name="May 2023" sheetId="14" r:id="rId14"/>
    <sheet name="June 2023" sheetId="15" r:id="rId15"/>
    <sheet name="July 2023" sheetId="16" r:id="rId16"/>
    <sheet name="August 2023" sheetId="17" r:id="rId17"/>
    <sheet name="September 2023" sheetId="18" r:id="rId18"/>
    <sheet name="MAINTENANCE CHARGES" sheetId="19" r:id="rId19"/>
    <sheet name="FUEL AND DISCOUNTS" sheetId="20" r:id="rId20"/>
  </sheets>
  <definedNames>
    <definedName name="Z_A64C97BC_AE2C_4C56_9A9A_CCB58ADC1319_.wvu.FilterData" localSheetId="7" hidden="1">'November 2022'!$A$79:$W$101</definedName>
  </definedNames>
  <calcPr calcId="191029"/>
  <customWorkbookViews>
    <customWorkbookView name="Filter 1" guid="{A64C97BC-AE2C-4C56-9A9A-CCB58ADC131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19" i="20" l="1"/>
  <c r="E1819" i="20"/>
  <c r="D1819" i="20"/>
  <c r="C1817" i="20"/>
  <c r="C1816" i="20"/>
  <c r="C1815" i="20"/>
  <c r="C1814" i="20"/>
  <c r="C1813" i="20"/>
  <c r="C1812" i="20"/>
  <c r="C1811" i="20"/>
  <c r="C1810" i="20"/>
  <c r="C1809" i="20"/>
  <c r="C1808" i="20"/>
  <c r="C1807" i="20"/>
  <c r="C1806" i="20"/>
  <c r="C1805" i="20"/>
  <c r="C1804" i="20"/>
  <c r="C1803" i="20"/>
  <c r="C1802" i="20"/>
  <c r="C1801" i="20"/>
  <c r="C1800" i="20"/>
  <c r="C1799" i="20"/>
  <c r="C1798" i="20"/>
  <c r="C1797" i="20"/>
  <c r="C1819" i="20" s="1"/>
  <c r="F1793" i="20"/>
  <c r="E1793" i="20"/>
  <c r="D1793" i="20"/>
  <c r="C1791" i="20"/>
  <c r="C1790" i="20"/>
  <c r="C1789" i="20"/>
  <c r="C1788" i="20"/>
  <c r="C1787" i="20"/>
  <c r="C1786" i="20"/>
  <c r="C1785" i="20"/>
  <c r="C1784" i="20"/>
  <c r="C1783" i="20"/>
  <c r="C1782" i="20"/>
  <c r="C1781" i="20"/>
  <c r="C1780" i="20"/>
  <c r="C1779" i="20"/>
  <c r="C1778" i="20"/>
  <c r="C1777" i="20"/>
  <c r="C1776" i="20"/>
  <c r="C1775" i="20"/>
  <c r="C1774" i="20"/>
  <c r="C1773" i="20"/>
  <c r="C1772" i="20"/>
  <c r="C1793" i="20" s="1"/>
  <c r="C1771" i="20"/>
  <c r="F1767" i="20"/>
  <c r="E1767" i="20"/>
  <c r="D1767" i="20"/>
  <c r="C1765" i="20"/>
  <c r="C1764" i="20"/>
  <c r="C1763" i="20"/>
  <c r="C1762" i="20"/>
  <c r="C1761" i="20"/>
  <c r="C1760" i="20"/>
  <c r="C1759" i="20"/>
  <c r="C1758" i="20"/>
  <c r="C1757" i="20"/>
  <c r="C1756" i="20"/>
  <c r="C1755" i="20"/>
  <c r="C1753" i="20"/>
  <c r="C1752" i="20"/>
  <c r="C1751" i="20"/>
  <c r="C1750" i="20"/>
  <c r="C1749" i="20"/>
  <c r="C1748" i="20"/>
  <c r="C1747" i="20"/>
  <c r="C1746" i="20"/>
  <c r="C1745" i="20"/>
  <c r="C1743" i="20"/>
  <c r="C1767" i="20" s="1"/>
  <c r="F1739" i="20"/>
  <c r="E1739" i="20"/>
  <c r="D1739" i="20"/>
  <c r="C1737" i="20"/>
  <c r="C1736" i="20"/>
  <c r="C1735" i="20"/>
  <c r="C1734" i="20"/>
  <c r="C1733" i="20"/>
  <c r="C1732" i="20"/>
  <c r="C1731" i="20"/>
  <c r="C1730" i="20"/>
  <c r="C1729" i="20"/>
  <c r="C1728" i="20"/>
  <c r="C1727" i="20"/>
  <c r="C1726" i="20"/>
  <c r="C1725" i="20"/>
  <c r="C1724" i="20"/>
  <c r="C1723" i="20"/>
  <c r="C1722" i="20"/>
  <c r="C1721" i="20"/>
  <c r="C1720" i="20"/>
  <c r="C1719" i="20"/>
  <c r="C1718" i="20"/>
  <c r="C1717" i="20"/>
  <c r="C1716" i="20"/>
  <c r="C1715" i="20"/>
  <c r="C1739" i="20" s="1"/>
  <c r="F1711" i="20"/>
  <c r="E1711" i="20"/>
  <c r="D1711" i="20"/>
  <c r="C1709" i="20"/>
  <c r="C1708" i="20"/>
  <c r="C1707" i="20"/>
  <c r="C1706" i="20"/>
  <c r="C1705" i="20"/>
  <c r="C1704" i="20"/>
  <c r="C1703" i="20"/>
  <c r="C1702" i="20"/>
  <c r="C1701" i="20"/>
  <c r="C1700" i="20"/>
  <c r="C1699" i="20"/>
  <c r="C1697" i="20"/>
  <c r="C1696" i="20"/>
  <c r="C1695" i="20"/>
  <c r="C1694" i="20"/>
  <c r="C1693" i="20"/>
  <c r="C1692" i="20"/>
  <c r="C1691" i="20"/>
  <c r="C1690" i="20"/>
  <c r="C1689" i="20"/>
  <c r="C1688" i="20"/>
  <c r="C1687" i="20"/>
  <c r="C1711" i="20" s="1"/>
  <c r="F1683" i="20"/>
  <c r="E1683" i="20"/>
  <c r="D1683" i="20"/>
  <c r="C1681" i="20"/>
  <c r="C1680" i="20"/>
  <c r="C1679" i="20"/>
  <c r="C1678" i="20"/>
  <c r="C1677" i="20"/>
  <c r="C1676" i="20"/>
  <c r="C1675" i="20"/>
  <c r="C1674" i="20"/>
  <c r="C1673" i="20"/>
  <c r="C1672" i="20"/>
  <c r="C1671" i="20"/>
  <c r="C1670" i="20"/>
  <c r="C1669" i="20"/>
  <c r="C1668" i="20"/>
  <c r="C1667" i="20"/>
  <c r="C1666" i="20"/>
  <c r="C1665" i="20"/>
  <c r="C1664" i="20"/>
  <c r="C1663" i="20"/>
  <c r="C1662" i="20"/>
  <c r="C1661" i="20"/>
  <c r="C1683" i="20" s="1"/>
  <c r="C1660" i="20"/>
  <c r="C1658" i="20"/>
  <c r="F1654" i="20"/>
  <c r="E1654" i="20"/>
  <c r="D1654" i="20"/>
  <c r="C1652" i="20"/>
  <c r="C1651" i="20"/>
  <c r="C1650" i="20"/>
  <c r="C1649" i="20"/>
  <c r="C1648" i="20"/>
  <c r="C1647" i="20"/>
  <c r="C1646" i="20"/>
  <c r="C1645" i="20"/>
  <c r="C1644" i="20"/>
  <c r="C1643" i="20"/>
  <c r="C1642" i="20"/>
  <c r="C1641" i="20"/>
  <c r="C1640" i="20"/>
  <c r="C1639" i="20"/>
  <c r="C1638" i="20"/>
  <c r="C1637" i="20"/>
  <c r="C1636" i="20"/>
  <c r="C1635" i="20"/>
  <c r="C1634" i="20"/>
  <c r="C1633" i="20"/>
  <c r="C1632" i="20"/>
  <c r="C1631" i="20"/>
  <c r="G1630" i="20"/>
  <c r="C1630" i="20" s="1"/>
  <c r="C1629" i="20"/>
  <c r="C1654" i="20" s="1"/>
  <c r="F1625" i="20"/>
  <c r="E1625" i="20"/>
  <c r="D1625" i="20"/>
  <c r="C1623" i="20"/>
  <c r="C1622" i="20"/>
  <c r="C1621" i="20"/>
  <c r="C1620" i="20"/>
  <c r="C1619" i="20"/>
  <c r="C1618" i="20"/>
  <c r="C1617" i="20"/>
  <c r="C1616" i="20"/>
  <c r="C1615" i="20"/>
  <c r="C1614" i="20"/>
  <c r="C1613" i="20"/>
  <c r="C1612" i="20"/>
  <c r="C1611" i="20"/>
  <c r="C1610" i="20"/>
  <c r="C1609" i="20"/>
  <c r="C1608" i="20"/>
  <c r="C1607" i="20"/>
  <c r="C1606" i="20"/>
  <c r="C1605" i="20"/>
  <c r="C1604" i="20"/>
  <c r="C1603" i="20"/>
  <c r="C1602" i="20"/>
  <c r="C1601" i="20"/>
  <c r="C1600" i="20"/>
  <c r="F1596" i="20"/>
  <c r="E1596" i="20"/>
  <c r="D1596" i="20"/>
  <c r="C1594" i="20"/>
  <c r="C1593" i="20"/>
  <c r="C1592" i="20"/>
  <c r="C1591" i="20"/>
  <c r="C1590" i="20"/>
  <c r="C1589" i="20"/>
  <c r="C1588" i="20"/>
  <c r="C1587" i="20"/>
  <c r="C1586" i="20"/>
  <c r="C1585" i="20"/>
  <c r="C1584" i="20"/>
  <c r="C1583" i="20"/>
  <c r="C1582" i="20"/>
  <c r="C1581" i="20"/>
  <c r="C1580" i="20"/>
  <c r="C1579" i="20"/>
  <c r="C1578" i="20"/>
  <c r="C1577" i="20"/>
  <c r="C1576" i="20"/>
  <c r="C1575" i="20"/>
  <c r="C1574" i="20"/>
  <c r="C1573" i="20"/>
  <c r="C1572" i="20"/>
  <c r="C1571" i="20"/>
  <c r="F1567" i="20"/>
  <c r="E1567" i="20"/>
  <c r="D1567" i="20"/>
  <c r="C1567" i="20"/>
  <c r="F1537" i="20"/>
  <c r="E1537" i="20"/>
  <c r="D1537" i="20"/>
  <c r="C1537" i="20"/>
  <c r="F1507" i="20"/>
  <c r="E1507" i="20"/>
  <c r="D1507" i="20"/>
  <c r="C1505" i="20"/>
  <c r="C1504" i="20"/>
  <c r="C1503" i="20"/>
  <c r="C1502" i="20"/>
  <c r="C1501" i="20"/>
  <c r="C1500" i="20"/>
  <c r="C1499" i="20"/>
  <c r="C1498" i="20"/>
  <c r="C1497" i="20"/>
  <c r="C1496" i="20"/>
  <c r="C1495" i="20"/>
  <c r="C1494" i="20"/>
  <c r="C1493" i="20"/>
  <c r="C1492" i="20"/>
  <c r="C1491" i="20"/>
  <c r="C1490" i="20"/>
  <c r="C1489" i="20"/>
  <c r="C1488" i="20"/>
  <c r="C1487" i="20"/>
  <c r="C1486" i="20"/>
  <c r="C1485" i="20"/>
  <c r="C1484" i="20"/>
  <c r="C1483" i="20"/>
  <c r="C1482" i="20"/>
  <c r="C1481" i="20"/>
  <c r="F1477" i="20"/>
  <c r="E1477" i="20"/>
  <c r="D1477" i="20"/>
  <c r="C1475" i="20"/>
  <c r="C1474" i="20"/>
  <c r="C1473" i="20"/>
  <c r="C1472" i="20"/>
  <c r="C1471" i="20"/>
  <c r="C1470" i="20"/>
  <c r="C1469" i="20"/>
  <c r="C1468" i="20"/>
  <c r="C1467" i="20"/>
  <c r="C1466" i="20"/>
  <c r="C1465" i="20"/>
  <c r="C1464" i="20"/>
  <c r="C1463" i="20"/>
  <c r="C1462" i="20"/>
  <c r="C1461" i="20"/>
  <c r="C1460" i="20"/>
  <c r="C1459" i="20"/>
  <c r="C1458" i="20"/>
  <c r="C1457" i="20"/>
  <c r="C1456" i="20"/>
  <c r="C1455" i="20"/>
  <c r="C1454" i="20"/>
  <c r="C1453" i="20"/>
  <c r="C1452" i="20"/>
  <c r="C1451" i="20"/>
  <c r="C1450" i="20"/>
  <c r="F1446" i="20"/>
  <c r="E1446" i="20"/>
  <c r="D1446" i="20"/>
  <c r="C1446" i="20"/>
  <c r="F1415" i="20"/>
  <c r="E1415" i="20"/>
  <c r="D1415" i="20"/>
  <c r="C1413" i="20"/>
  <c r="C1412" i="20"/>
  <c r="C1411" i="20"/>
  <c r="C1410" i="20"/>
  <c r="C1409" i="20"/>
  <c r="C1408" i="20"/>
  <c r="C1407" i="20"/>
  <c r="C1406" i="20"/>
  <c r="C1405" i="20"/>
  <c r="C1404" i="20"/>
  <c r="C1403" i="20"/>
  <c r="C1402" i="20"/>
  <c r="C1401" i="20"/>
  <c r="C1400" i="20"/>
  <c r="C1399" i="20"/>
  <c r="C1398" i="20"/>
  <c r="C1415" i="20" s="1"/>
  <c r="C1397" i="20"/>
  <c r="C1396" i="20"/>
  <c r="C1395" i="20"/>
  <c r="C1394" i="20"/>
  <c r="C1393" i="20"/>
  <c r="C1392" i="20"/>
  <c r="C1391" i="20"/>
  <c r="C1390" i="20"/>
  <c r="C1389" i="20"/>
  <c r="C1388" i="20"/>
  <c r="F1384" i="20"/>
  <c r="E1384" i="20"/>
  <c r="D1384" i="20"/>
  <c r="C1382" i="20"/>
  <c r="C1381" i="20"/>
  <c r="C1380" i="20"/>
  <c r="C1379" i="20"/>
  <c r="C1378" i="20"/>
  <c r="C1377" i="20"/>
  <c r="C1376" i="20"/>
  <c r="C1375" i="20"/>
  <c r="C1374" i="20"/>
  <c r="C1373" i="20"/>
  <c r="C1372" i="20"/>
  <c r="C1371" i="20"/>
  <c r="C1370" i="20"/>
  <c r="C1369" i="20"/>
  <c r="C1368" i="20"/>
  <c r="C1367" i="20"/>
  <c r="C1384" i="20" s="1"/>
  <c r="C1366" i="20"/>
  <c r="C1365" i="20"/>
  <c r="C1364" i="20"/>
  <c r="C1363" i="20"/>
  <c r="C1362" i="20"/>
  <c r="C1361" i="20"/>
  <c r="C1360" i="20"/>
  <c r="C1359" i="20"/>
  <c r="E1358" i="20"/>
  <c r="C1358" i="20"/>
  <c r="C1357" i="20"/>
  <c r="F1353" i="20"/>
  <c r="E1353" i="20"/>
  <c r="D1353" i="20"/>
  <c r="C1351" i="20"/>
  <c r="C1350" i="20"/>
  <c r="C1349" i="20"/>
  <c r="C1348" i="20"/>
  <c r="C1347" i="20"/>
  <c r="C1346" i="20"/>
  <c r="C1345" i="20"/>
  <c r="C1344" i="20"/>
  <c r="C1343" i="20"/>
  <c r="C1342" i="20"/>
  <c r="C1341" i="20"/>
  <c r="C1340" i="20"/>
  <c r="C1339" i="20"/>
  <c r="C1338" i="20"/>
  <c r="C1337" i="20"/>
  <c r="C1336" i="20"/>
  <c r="C1335" i="20"/>
  <c r="C1334" i="20"/>
  <c r="C1333" i="20"/>
  <c r="C1332" i="20"/>
  <c r="C1331" i="20"/>
  <c r="C1330" i="20"/>
  <c r="C1329" i="20"/>
  <c r="C1328" i="20"/>
  <c r="C1327" i="20"/>
  <c r="C1326" i="20"/>
  <c r="F1322" i="20"/>
  <c r="E1322" i="20"/>
  <c r="D1322" i="20"/>
  <c r="C1322" i="20"/>
  <c r="F1290" i="20"/>
  <c r="E1290" i="20"/>
  <c r="D1290" i="20"/>
  <c r="C1290" i="20"/>
  <c r="F1258" i="20"/>
  <c r="E1258" i="20"/>
  <c r="D1258" i="20"/>
  <c r="C1256" i="20"/>
  <c r="C1255" i="20"/>
  <c r="C1254" i="20"/>
  <c r="C1253" i="20"/>
  <c r="C1252" i="20"/>
  <c r="C1251" i="20"/>
  <c r="C1250" i="20"/>
  <c r="C1249" i="20"/>
  <c r="C1248" i="20"/>
  <c r="C1247" i="20"/>
  <c r="C1246" i="20"/>
  <c r="C1245" i="20"/>
  <c r="C1244" i="20"/>
  <c r="C1243" i="20"/>
  <c r="C1242" i="20"/>
  <c r="C1241" i="20"/>
  <c r="C1240" i="20"/>
  <c r="C1239" i="20"/>
  <c r="C1238" i="20"/>
  <c r="C1237" i="20"/>
  <c r="C1236" i="20"/>
  <c r="C1235" i="20"/>
  <c r="C1234" i="20"/>
  <c r="C1233" i="20"/>
  <c r="C1232" i="20"/>
  <c r="C1231" i="20"/>
  <c r="F1227" i="20"/>
  <c r="E1227" i="20"/>
  <c r="D1227" i="20"/>
  <c r="C1225" i="20"/>
  <c r="C1224" i="20"/>
  <c r="C1223" i="20"/>
  <c r="C1222" i="20"/>
  <c r="C1221" i="20"/>
  <c r="C1220" i="20"/>
  <c r="C1219" i="20"/>
  <c r="C1218" i="20"/>
  <c r="C1217" i="20"/>
  <c r="C1216" i="20"/>
  <c r="C1215" i="20"/>
  <c r="C1214" i="20"/>
  <c r="G1213" i="20"/>
  <c r="C1213" i="20" s="1"/>
  <c r="C1212" i="20"/>
  <c r="C1211" i="20"/>
  <c r="C1210" i="20"/>
  <c r="C1209" i="20"/>
  <c r="C1208" i="20"/>
  <c r="C1207" i="20"/>
  <c r="C1206" i="20"/>
  <c r="C1205" i="20"/>
  <c r="C1204" i="20"/>
  <c r="C1203" i="20"/>
  <c r="C1202" i="20"/>
  <c r="C1201" i="20"/>
  <c r="F1197" i="20"/>
  <c r="E1197" i="20"/>
  <c r="D1197" i="20"/>
  <c r="C1197" i="20"/>
  <c r="F1166" i="20"/>
  <c r="E1166" i="20"/>
  <c r="D1166" i="20"/>
  <c r="C1164" i="20"/>
  <c r="C1163" i="20"/>
  <c r="C1162" i="20"/>
  <c r="C1161" i="20"/>
  <c r="C1160" i="20"/>
  <c r="C1159" i="20"/>
  <c r="C1158" i="20"/>
  <c r="C1157" i="20"/>
  <c r="C1156" i="20"/>
  <c r="C1155" i="20"/>
  <c r="C1154" i="20"/>
  <c r="C1153" i="20"/>
  <c r="C1152" i="20"/>
  <c r="C1151" i="20"/>
  <c r="C1150" i="20"/>
  <c r="C1149" i="20"/>
  <c r="C1148" i="20"/>
  <c r="C1147" i="20"/>
  <c r="C1146" i="20"/>
  <c r="C1145" i="20"/>
  <c r="C1144" i="20"/>
  <c r="C1143" i="20"/>
  <c r="C1142" i="20"/>
  <c r="C1141" i="20"/>
  <c r="C1140" i="20"/>
  <c r="C1166" i="20" s="1"/>
  <c r="F1136" i="20"/>
  <c r="E1136" i="20"/>
  <c r="D1136" i="20"/>
  <c r="C1134" i="20"/>
  <c r="C1133" i="20"/>
  <c r="C1132" i="20"/>
  <c r="C1131" i="20"/>
  <c r="C1130" i="20"/>
  <c r="C1129" i="20"/>
  <c r="C1128" i="20"/>
  <c r="C1127" i="20"/>
  <c r="C1126" i="20"/>
  <c r="C1125" i="20"/>
  <c r="C1124" i="20"/>
  <c r="C1123" i="20"/>
  <c r="C1122" i="20"/>
  <c r="C1121" i="20"/>
  <c r="C1120" i="20"/>
  <c r="C1119" i="20"/>
  <c r="C1118" i="20"/>
  <c r="C1117" i="20"/>
  <c r="C1116" i="20"/>
  <c r="C1115" i="20"/>
  <c r="C1114" i="20"/>
  <c r="C1113" i="20"/>
  <c r="C1112" i="20"/>
  <c r="C1111" i="20"/>
  <c r="C1110" i="20"/>
  <c r="C1109" i="20"/>
  <c r="C1108" i="20"/>
  <c r="C1107" i="20"/>
  <c r="C1136" i="20" s="1"/>
  <c r="C1106" i="20"/>
  <c r="C1105" i="20"/>
  <c r="F1101" i="20"/>
  <c r="E1101" i="20"/>
  <c r="D1101" i="20"/>
  <c r="C1099" i="20"/>
  <c r="C1098" i="20"/>
  <c r="C1097" i="20"/>
  <c r="C1096" i="20"/>
  <c r="C1095" i="20"/>
  <c r="C1094" i="20"/>
  <c r="C1093" i="20"/>
  <c r="C1092" i="20"/>
  <c r="C1091" i="20"/>
  <c r="C1090" i="20"/>
  <c r="C1089" i="20"/>
  <c r="C1088" i="20"/>
  <c r="C1087" i="20"/>
  <c r="C1086" i="20"/>
  <c r="C1085" i="20"/>
  <c r="C1084" i="20"/>
  <c r="C1083" i="20"/>
  <c r="C1082" i="20"/>
  <c r="C1081" i="20"/>
  <c r="C1080" i="20"/>
  <c r="C1079" i="20"/>
  <c r="C1078" i="20"/>
  <c r="C1077" i="20"/>
  <c r="C1076" i="20"/>
  <c r="C1075" i="20"/>
  <c r="C1074" i="20"/>
  <c r="C1073" i="20"/>
  <c r="C1072" i="20"/>
  <c r="C1071" i="20"/>
  <c r="C1070" i="20"/>
  <c r="C1101" i="20" s="1"/>
  <c r="F1066" i="20"/>
  <c r="C1064" i="20"/>
  <c r="C1063" i="20"/>
  <c r="C1062" i="20"/>
  <c r="C1061" i="20"/>
  <c r="C1060" i="20"/>
  <c r="C1059" i="20"/>
  <c r="C1058" i="20"/>
  <c r="C1057" i="20"/>
  <c r="C1056" i="20"/>
  <c r="C1055" i="20"/>
  <c r="C1054" i="20"/>
  <c r="C1053" i="20"/>
  <c r="C1052" i="20"/>
  <c r="C1051" i="20"/>
  <c r="C1050" i="20"/>
  <c r="C1049" i="20"/>
  <c r="C1048" i="20"/>
  <c r="C1047" i="20"/>
  <c r="C1046" i="20"/>
  <c r="C1045" i="20"/>
  <c r="C1044" i="20"/>
  <c r="C1043" i="20"/>
  <c r="C1042" i="20"/>
  <c r="C1041" i="20"/>
  <c r="C1040" i="20"/>
  <c r="E1039" i="20"/>
  <c r="E1066" i="20" s="1"/>
  <c r="D1039" i="20"/>
  <c r="C1039" i="20"/>
  <c r="C1038" i="20"/>
  <c r="C1037" i="20"/>
  <c r="K1036" i="20"/>
  <c r="J1036" i="20"/>
  <c r="H1036" i="20"/>
  <c r="G1036" i="20"/>
  <c r="C1036" i="20" s="1"/>
  <c r="C1066" i="20" s="1"/>
  <c r="C1035" i="20"/>
  <c r="F1031" i="20"/>
  <c r="E1031" i="20"/>
  <c r="C1029" i="20"/>
  <c r="C1028" i="20"/>
  <c r="C1027" i="20"/>
  <c r="C1026" i="20"/>
  <c r="C1025" i="20"/>
  <c r="C1024" i="20"/>
  <c r="C1023" i="20"/>
  <c r="C1022" i="20"/>
  <c r="C1021" i="20"/>
  <c r="C1020" i="20"/>
  <c r="C1019" i="20"/>
  <c r="C1018" i="20"/>
  <c r="C1017" i="20"/>
  <c r="C1016" i="20"/>
  <c r="C1015" i="20"/>
  <c r="C1014" i="20"/>
  <c r="C1013" i="20"/>
  <c r="C1012" i="20"/>
  <c r="C1011" i="20"/>
  <c r="C1010" i="20"/>
  <c r="C1009" i="20"/>
  <c r="C1008" i="20"/>
  <c r="C1007" i="20"/>
  <c r="C1006" i="20"/>
  <c r="C1005" i="20"/>
  <c r="C1004" i="20"/>
  <c r="C1003" i="20"/>
  <c r="C1002" i="20"/>
  <c r="C1031" i="20" s="1"/>
  <c r="G1001" i="20"/>
  <c r="D1031" i="20" s="1"/>
  <c r="C1001" i="20"/>
  <c r="C1000" i="20"/>
  <c r="F996" i="20"/>
  <c r="E996" i="20"/>
  <c r="D996" i="20"/>
  <c r="C994" i="20"/>
  <c r="C993" i="20"/>
  <c r="C992" i="20"/>
  <c r="C991" i="20"/>
  <c r="C990" i="20"/>
  <c r="C989" i="20"/>
  <c r="C988" i="20"/>
  <c r="C987" i="20"/>
  <c r="C986" i="20"/>
  <c r="C985" i="20"/>
  <c r="C984" i="20"/>
  <c r="C983" i="20"/>
  <c r="C982" i="20"/>
  <c r="C981" i="20"/>
  <c r="C980" i="20"/>
  <c r="C979" i="20"/>
  <c r="C978" i="20"/>
  <c r="C977" i="20"/>
  <c r="C976" i="20"/>
  <c r="C975" i="20"/>
  <c r="C974" i="20"/>
  <c r="C973" i="20"/>
  <c r="C972" i="20"/>
  <c r="C971" i="20"/>
  <c r="C970" i="20"/>
  <c r="C969" i="20"/>
  <c r="C968" i="20"/>
  <c r="C967" i="20"/>
  <c r="C966" i="20"/>
  <c r="C965" i="20"/>
  <c r="C996" i="20" s="1"/>
  <c r="F961" i="20"/>
  <c r="E961" i="20"/>
  <c r="D961" i="20"/>
  <c r="C959" i="20"/>
  <c r="C958" i="20"/>
  <c r="C957" i="20"/>
  <c r="C956" i="20"/>
  <c r="C955" i="20"/>
  <c r="C954" i="20"/>
  <c r="C953" i="20"/>
  <c r="C952" i="20"/>
  <c r="C951" i="20"/>
  <c r="C950" i="20"/>
  <c r="C949" i="20"/>
  <c r="C948" i="20"/>
  <c r="C947" i="20"/>
  <c r="C946" i="20"/>
  <c r="C945" i="20"/>
  <c r="C944" i="20"/>
  <c r="C943" i="20"/>
  <c r="C942" i="20"/>
  <c r="C941" i="20"/>
  <c r="C940" i="20"/>
  <c r="C939" i="20"/>
  <c r="C938" i="20"/>
  <c r="C937" i="20"/>
  <c r="C936" i="20"/>
  <c r="C935" i="20"/>
  <c r="C934" i="20"/>
  <c r="C933" i="20"/>
  <c r="C932" i="20"/>
  <c r="C931" i="20"/>
  <c r="C930" i="20"/>
  <c r="F926" i="20"/>
  <c r="E926" i="20"/>
  <c r="D926" i="20"/>
  <c r="C924" i="20"/>
  <c r="C923" i="20"/>
  <c r="C922" i="20"/>
  <c r="C921" i="20"/>
  <c r="C920" i="20"/>
  <c r="C919" i="20"/>
  <c r="C918" i="20"/>
  <c r="C917" i="20"/>
  <c r="C916" i="20"/>
  <c r="C915" i="20"/>
  <c r="C914" i="20"/>
  <c r="C913" i="20"/>
  <c r="C912" i="20"/>
  <c r="C911" i="20"/>
  <c r="C910" i="20"/>
  <c r="C909" i="20"/>
  <c r="C908" i="20"/>
  <c r="C907" i="20"/>
  <c r="C906" i="20"/>
  <c r="C905" i="20"/>
  <c r="C904" i="20"/>
  <c r="C903" i="20"/>
  <c r="C902" i="20"/>
  <c r="C901" i="20"/>
  <c r="C900" i="20"/>
  <c r="C899" i="20"/>
  <c r="C898" i="20"/>
  <c r="C897" i="20"/>
  <c r="C896" i="20"/>
  <c r="C895" i="20"/>
  <c r="C926" i="20" s="1"/>
  <c r="F891" i="20"/>
  <c r="D891" i="20"/>
  <c r="C889" i="20"/>
  <c r="C888" i="20"/>
  <c r="C887" i="20"/>
  <c r="C886" i="20"/>
  <c r="C885" i="20"/>
  <c r="C884" i="20"/>
  <c r="C883" i="20"/>
  <c r="C882" i="20"/>
  <c r="C881" i="20"/>
  <c r="C880" i="20"/>
  <c r="H879" i="20"/>
  <c r="E891" i="20" s="1"/>
  <c r="G879" i="20"/>
  <c r="C879" i="20"/>
  <c r="C878" i="20"/>
  <c r="C877" i="20"/>
  <c r="C876" i="20"/>
  <c r="C875" i="20"/>
  <c r="C874" i="20"/>
  <c r="C873" i="20"/>
  <c r="C872" i="20"/>
  <c r="C871" i="20"/>
  <c r="C870" i="20"/>
  <c r="C869" i="20"/>
  <c r="C868" i="20"/>
  <c r="C867" i="20"/>
  <c r="C866" i="20"/>
  <c r="C865" i="20"/>
  <c r="C864" i="20"/>
  <c r="C863" i="20"/>
  <c r="C862" i="20"/>
  <c r="C861" i="20"/>
  <c r="C860" i="20"/>
  <c r="C891" i="20" s="1"/>
  <c r="F856" i="20"/>
  <c r="E856" i="20"/>
  <c r="D856" i="20"/>
  <c r="C854" i="20"/>
  <c r="C853" i="20"/>
  <c r="C852" i="20"/>
  <c r="C851" i="20"/>
  <c r="C850" i="20"/>
  <c r="C849" i="20"/>
  <c r="C848" i="20"/>
  <c r="C847" i="20"/>
  <c r="C846" i="20"/>
  <c r="C845" i="20"/>
  <c r="C844" i="20"/>
  <c r="C843" i="20"/>
  <c r="C842" i="20"/>
  <c r="C841" i="20"/>
  <c r="C840" i="20"/>
  <c r="C839" i="20"/>
  <c r="C838" i="20"/>
  <c r="C837" i="20"/>
  <c r="C836" i="20"/>
  <c r="C835" i="20"/>
  <c r="C834" i="20"/>
  <c r="C833" i="20"/>
  <c r="C832" i="20"/>
  <c r="C831" i="20"/>
  <c r="C830" i="20"/>
  <c r="C829" i="20"/>
  <c r="C828" i="20"/>
  <c r="C827" i="20"/>
  <c r="C826" i="20"/>
  <c r="C856" i="20" s="1"/>
  <c r="F822" i="20"/>
  <c r="E822" i="20"/>
  <c r="D822" i="20"/>
  <c r="C820" i="20"/>
  <c r="C819" i="20"/>
  <c r="C818" i="20"/>
  <c r="C817" i="20"/>
  <c r="C816" i="20"/>
  <c r="C815" i="20"/>
  <c r="C814" i="20"/>
  <c r="C813" i="20"/>
  <c r="C812" i="20"/>
  <c r="C811" i="20"/>
  <c r="C810" i="20"/>
  <c r="C809" i="20"/>
  <c r="C808" i="20"/>
  <c r="C807" i="20"/>
  <c r="C806" i="20"/>
  <c r="C805" i="20"/>
  <c r="C804" i="20"/>
  <c r="C803" i="20"/>
  <c r="C802" i="20"/>
  <c r="C801" i="20"/>
  <c r="C800" i="20"/>
  <c r="C799" i="20"/>
  <c r="C798" i="20"/>
  <c r="C797" i="20"/>
  <c r="C796" i="20"/>
  <c r="C795" i="20"/>
  <c r="C794" i="20"/>
  <c r="C793" i="20"/>
  <c r="C822" i="20" s="1"/>
  <c r="C792" i="20"/>
  <c r="F788" i="20"/>
  <c r="E788" i="20"/>
  <c r="D788" i="20"/>
  <c r="C786" i="20"/>
  <c r="C785" i="20"/>
  <c r="M784" i="20"/>
  <c r="C784" i="20" s="1"/>
  <c r="J784" i="20"/>
  <c r="C783" i="20"/>
  <c r="J782" i="20"/>
  <c r="C782" i="20" s="1"/>
  <c r="G782" i="20"/>
  <c r="C781" i="20"/>
  <c r="C780" i="20"/>
  <c r="M779" i="20"/>
  <c r="C779" i="20"/>
  <c r="C778" i="20"/>
  <c r="C777" i="20"/>
  <c r="C776" i="20"/>
  <c r="C775" i="20"/>
  <c r="J774" i="20"/>
  <c r="C774" i="20"/>
  <c r="M773" i="20"/>
  <c r="C773" i="20"/>
  <c r="M772" i="20"/>
  <c r="C772" i="20"/>
  <c r="C771" i="20"/>
  <c r="M770" i="20"/>
  <c r="C770" i="20" s="1"/>
  <c r="C769" i="20"/>
  <c r="C768" i="20"/>
  <c r="C767" i="20"/>
  <c r="J766" i="20"/>
  <c r="C766" i="20"/>
  <c r="M765" i="20"/>
  <c r="C765" i="20"/>
  <c r="C764" i="20"/>
  <c r="C763" i="20"/>
  <c r="C762" i="20"/>
  <c r="C761" i="20"/>
  <c r="M760" i="20"/>
  <c r="J760" i="20"/>
  <c r="C760" i="20" s="1"/>
  <c r="C759" i="20"/>
  <c r="E755" i="20"/>
  <c r="D755" i="20"/>
  <c r="C755" i="20"/>
  <c r="E723" i="20"/>
  <c r="D723" i="20"/>
  <c r="F714" i="20"/>
  <c r="F695" i="20"/>
  <c r="C723" i="20" s="1"/>
  <c r="E691" i="20"/>
  <c r="D691" i="20"/>
  <c r="C691" i="20"/>
  <c r="E659" i="20"/>
  <c r="D659" i="20"/>
  <c r="P653" i="20"/>
  <c r="Q653" i="20" s="1"/>
  <c r="P652" i="20"/>
  <c r="Q652" i="20" s="1"/>
  <c r="I652" i="20"/>
  <c r="F652" i="20"/>
  <c r="P651" i="20"/>
  <c r="Q651" i="20" s="1"/>
  <c r="P650" i="20"/>
  <c r="Q650" i="20" s="1"/>
  <c r="F650" i="20"/>
  <c r="Q649" i="20"/>
  <c r="P649" i="20"/>
  <c r="Q648" i="20"/>
  <c r="P648" i="20"/>
  <c r="Q647" i="20"/>
  <c r="P647" i="20"/>
  <c r="Q646" i="20"/>
  <c r="P646" i="20"/>
  <c r="Q645" i="20"/>
  <c r="P645" i="20"/>
  <c r="Q644" i="20"/>
  <c r="P644" i="20"/>
  <c r="Q643" i="20"/>
  <c r="P643" i="20"/>
  <c r="F643" i="20"/>
  <c r="P642" i="20"/>
  <c r="Q642" i="20" s="1"/>
  <c r="I642" i="20"/>
  <c r="F642" i="20"/>
  <c r="C659" i="20" s="1"/>
  <c r="P641" i="20"/>
  <c r="Q641" i="20" s="1"/>
  <c r="P640" i="20"/>
  <c r="Q640" i="20" s="1"/>
  <c r="F640" i="20"/>
  <c r="Q639" i="20"/>
  <c r="P639" i="20"/>
  <c r="Q638" i="20"/>
  <c r="P638" i="20"/>
  <c r="Q637" i="20"/>
  <c r="P637" i="20"/>
  <c r="Q636" i="20"/>
  <c r="P636" i="20"/>
  <c r="Q635" i="20"/>
  <c r="P635" i="20"/>
  <c r="Q634" i="20"/>
  <c r="P634" i="20"/>
  <c r="Q633" i="20"/>
  <c r="P633" i="20"/>
  <c r="Q632" i="20"/>
  <c r="P632" i="20"/>
  <c r="E626" i="20"/>
  <c r="D626" i="20"/>
  <c r="C626" i="20"/>
  <c r="P624" i="20"/>
  <c r="Q624" i="20" s="1"/>
  <c r="P623" i="20"/>
  <c r="Q623" i="20" s="1"/>
  <c r="Q622" i="20"/>
  <c r="P622" i="20"/>
  <c r="P621" i="20"/>
  <c r="Q621" i="20" s="1"/>
  <c r="L619" i="20"/>
  <c r="Q618" i="20"/>
  <c r="P618" i="20"/>
  <c r="Q617" i="20"/>
  <c r="P617" i="20"/>
  <c r="L617" i="20"/>
  <c r="P616" i="20"/>
  <c r="Q616" i="20" s="1"/>
  <c r="L616" i="20"/>
  <c r="Q615" i="20"/>
  <c r="P615" i="20"/>
  <c r="P614" i="20"/>
  <c r="Q614" i="20" s="1"/>
  <c r="L614" i="20"/>
  <c r="P613" i="20"/>
  <c r="Q613" i="20" s="1"/>
  <c r="L613" i="20"/>
  <c r="Q612" i="20"/>
  <c r="P612" i="20"/>
  <c r="Q611" i="20"/>
  <c r="P611" i="20"/>
  <c r="F611" i="20"/>
  <c r="P610" i="20"/>
  <c r="Q610" i="20" s="1"/>
  <c r="L610" i="20"/>
  <c r="Q609" i="20"/>
  <c r="P609" i="20"/>
  <c r="F609" i="20"/>
  <c r="Q608" i="20"/>
  <c r="P608" i="20"/>
  <c r="P607" i="20"/>
  <c r="Q607" i="20" s="1"/>
  <c r="F607" i="20"/>
  <c r="Q606" i="20"/>
  <c r="P606" i="20"/>
  <c r="P605" i="20"/>
  <c r="Q605" i="20" s="1"/>
  <c r="Q604" i="20"/>
  <c r="P604" i="20"/>
  <c r="P603" i="20"/>
  <c r="Q603" i="20" s="1"/>
  <c r="Q602" i="20"/>
  <c r="P602" i="20"/>
  <c r="P601" i="20"/>
  <c r="Q601" i="20" s="1"/>
  <c r="Q600" i="20"/>
  <c r="P600" i="20"/>
  <c r="L600" i="20"/>
  <c r="P599" i="20"/>
  <c r="Q599" i="20" s="1"/>
  <c r="L599" i="20"/>
  <c r="E595" i="20"/>
  <c r="D595" i="20"/>
  <c r="C595" i="20"/>
  <c r="P593" i="20"/>
  <c r="Q593" i="20" s="1"/>
  <c r="P592" i="20"/>
  <c r="Q592" i="20" s="1"/>
  <c r="P591" i="20"/>
  <c r="Q591" i="20" s="1"/>
  <c r="P590" i="20"/>
  <c r="Q590" i="20" s="1"/>
  <c r="P589" i="20"/>
  <c r="Q589" i="20" s="1"/>
  <c r="Q588" i="20"/>
  <c r="P588" i="20"/>
  <c r="P587" i="20"/>
  <c r="Q587" i="20" s="1"/>
  <c r="P586" i="20"/>
  <c r="Q586" i="20" s="1"/>
  <c r="P585" i="20"/>
  <c r="Q585" i="20" s="1"/>
  <c r="P584" i="20"/>
  <c r="Q584" i="20" s="1"/>
  <c r="P583" i="20"/>
  <c r="Q583" i="20" s="1"/>
  <c r="P582" i="20"/>
  <c r="Q582" i="20" s="1"/>
  <c r="P581" i="20"/>
  <c r="Q581" i="20" s="1"/>
  <c r="Q580" i="20"/>
  <c r="P580" i="20"/>
  <c r="P579" i="20"/>
  <c r="Q579" i="20" s="1"/>
  <c r="P578" i="20"/>
  <c r="Q578" i="20" s="1"/>
  <c r="P577" i="20"/>
  <c r="Q577" i="20" s="1"/>
  <c r="P576" i="20"/>
  <c r="Q576" i="20" s="1"/>
  <c r="P575" i="20"/>
  <c r="Q575" i="20" s="1"/>
  <c r="P574" i="20"/>
  <c r="Q574" i="20" s="1"/>
  <c r="P573" i="20"/>
  <c r="Q573" i="20" s="1"/>
  <c r="Q572" i="20"/>
  <c r="P572" i="20"/>
  <c r="E568" i="20"/>
  <c r="D568" i="20"/>
  <c r="C568" i="20"/>
  <c r="Q566" i="20"/>
  <c r="P566" i="20"/>
  <c r="P565" i="20"/>
  <c r="Q565" i="20" s="1"/>
  <c r="Q564" i="20"/>
  <c r="P564" i="20"/>
  <c r="P563" i="20"/>
  <c r="Q563" i="20" s="1"/>
  <c r="Q562" i="20"/>
  <c r="P562" i="20"/>
  <c r="P561" i="20"/>
  <c r="Q561" i="20" s="1"/>
  <c r="Q560" i="20"/>
  <c r="P560" i="20"/>
  <c r="P559" i="20"/>
  <c r="Q559" i="20" s="1"/>
  <c r="Q558" i="20"/>
  <c r="P558" i="20"/>
  <c r="P557" i="20"/>
  <c r="Q557" i="20" s="1"/>
  <c r="Q556" i="20"/>
  <c r="P556" i="20"/>
  <c r="P555" i="20"/>
  <c r="Q555" i="20" s="1"/>
  <c r="Q554" i="20"/>
  <c r="P554" i="20"/>
  <c r="P553" i="20"/>
  <c r="Q553" i="20" s="1"/>
  <c r="Q552" i="20"/>
  <c r="P552" i="20"/>
  <c r="P551" i="20"/>
  <c r="Q551" i="20" s="1"/>
  <c r="Q550" i="20"/>
  <c r="P550" i="20"/>
  <c r="P549" i="20"/>
  <c r="Q549" i="20" s="1"/>
  <c r="Q548" i="20"/>
  <c r="P548" i="20"/>
  <c r="P547" i="20"/>
  <c r="Q547" i="20" s="1"/>
  <c r="Q546" i="20"/>
  <c r="P546" i="20"/>
  <c r="P545" i="20"/>
  <c r="Q545" i="20" s="1"/>
  <c r="E540" i="20"/>
  <c r="D540" i="20"/>
  <c r="C540" i="20"/>
  <c r="Q538" i="20"/>
  <c r="P538" i="20"/>
  <c r="P537" i="20"/>
  <c r="Q537" i="20" s="1"/>
  <c r="P536" i="20"/>
  <c r="Q536" i="20" s="1"/>
  <c r="P535" i="20"/>
  <c r="Q535" i="20" s="1"/>
  <c r="P534" i="20"/>
  <c r="Q534" i="20" s="1"/>
  <c r="P533" i="20"/>
  <c r="Q533" i="20" s="1"/>
  <c r="P532" i="20"/>
  <c r="Q532" i="20" s="1"/>
  <c r="P531" i="20"/>
  <c r="Q531" i="20" s="1"/>
  <c r="Q530" i="20"/>
  <c r="P530" i="20"/>
  <c r="P529" i="20"/>
  <c r="Q529" i="20" s="1"/>
  <c r="P528" i="20"/>
  <c r="Q528" i="20" s="1"/>
  <c r="P527" i="20"/>
  <c r="Q527" i="20" s="1"/>
  <c r="P526" i="20"/>
  <c r="Q526" i="20" s="1"/>
  <c r="P525" i="20"/>
  <c r="Q525" i="20" s="1"/>
  <c r="P524" i="20"/>
  <c r="Q524" i="20" s="1"/>
  <c r="P523" i="20"/>
  <c r="Q523" i="20" s="1"/>
  <c r="Q522" i="20"/>
  <c r="P522" i="20"/>
  <c r="P521" i="20"/>
  <c r="Q521" i="20" s="1"/>
  <c r="P520" i="20"/>
  <c r="Q520" i="20" s="1"/>
  <c r="P519" i="20"/>
  <c r="Q519" i="20" s="1"/>
  <c r="P518" i="20"/>
  <c r="Q518" i="20" s="1"/>
  <c r="P517" i="20"/>
  <c r="Q517" i="20" s="1"/>
  <c r="E513" i="20"/>
  <c r="D513" i="20"/>
  <c r="C513" i="20"/>
  <c r="P511" i="20"/>
  <c r="P510" i="20"/>
  <c r="Q510" i="20" s="1"/>
  <c r="P509" i="20"/>
  <c r="Q509" i="20" s="1"/>
  <c r="Q508" i="20"/>
  <c r="P508" i="20"/>
  <c r="P507" i="20"/>
  <c r="Q507" i="20" s="1"/>
  <c r="P506" i="20"/>
  <c r="Q506" i="20" s="1"/>
  <c r="P505" i="20"/>
  <c r="Q505" i="20" s="1"/>
  <c r="P504" i="20"/>
  <c r="Q504" i="20" s="1"/>
  <c r="P503" i="20"/>
  <c r="Q503" i="20" s="1"/>
  <c r="P502" i="20"/>
  <c r="Q502" i="20" s="1"/>
  <c r="P501" i="20"/>
  <c r="Q501" i="20" s="1"/>
  <c r="Q500" i="20"/>
  <c r="P500" i="20"/>
  <c r="P499" i="20"/>
  <c r="Q499" i="20" s="1"/>
  <c r="P498" i="20"/>
  <c r="Q498" i="20" s="1"/>
  <c r="P497" i="20"/>
  <c r="Q497" i="20" s="1"/>
  <c r="P496" i="20"/>
  <c r="Q496" i="20" s="1"/>
  <c r="P495" i="20"/>
  <c r="Q495" i="20" s="1"/>
  <c r="P494" i="20"/>
  <c r="Q494" i="20" s="1"/>
  <c r="P493" i="20"/>
  <c r="Q493" i="20" s="1"/>
  <c r="Q492" i="20"/>
  <c r="P492" i="20"/>
  <c r="P491" i="20"/>
  <c r="Q491" i="20" s="1"/>
  <c r="E487" i="20"/>
  <c r="D487" i="20"/>
  <c r="C487" i="20"/>
  <c r="P485" i="20"/>
  <c r="Q485" i="20" s="1"/>
  <c r="Q484" i="20"/>
  <c r="P484" i="20"/>
  <c r="P483" i="20"/>
  <c r="Q483" i="20" s="1"/>
  <c r="Q482" i="20"/>
  <c r="P482" i="20"/>
  <c r="P481" i="20"/>
  <c r="Q481" i="20" s="1"/>
  <c r="Q480" i="20"/>
  <c r="P480" i="20"/>
  <c r="P479" i="20"/>
  <c r="Q479" i="20" s="1"/>
  <c r="Q478" i="20"/>
  <c r="P478" i="20"/>
  <c r="P477" i="20"/>
  <c r="Q477" i="20" s="1"/>
  <c r="Q476" i="20"/>
  <c r="P476" i="20"/>
  <c r="P475" i="20"/>
  <c r="Q475" i="20" s="1"/>
  <c r="Q474" i="20"/>
  <c r="P474" i="20"/>
  <c r="P473" i="20"/>
  <c r="Q473" i="20" s="1"/>
  <c r="Q472" i="20"/>
  <c r="P472" i="20"/>
  <c r="P471" i="20"/>
  <c r="Q471" i="20" s="1"/>
  <c r="Q470" i="20"/>
  <c r="P470" i="20"/>
  <c r="P469" i="20"/>
  <c r="Q469" i="20" s="1"/>
  <c r="Q468" i="20"/>
  <c r="P468" i="20"/>
  <c r="P467" i="20"/>
  <c r="Q467" i="20" s="1"/>
  <c r="Q466" i="20"/>
  <c r="P466" i="20"/>
  <c r="E462" i="20"/>
  <c r="D462" i="20"/>
  <c r="C462" i="20"/>
  <c r="P460" i="20"/>
  <c r="Q460" i="20" s="1"/>
  <c r="P459" i="20"/>
  <c r="Q459" i="20" s="1"/>
  <c r="P458" i="20"/>
  <c r="Q458" i="20" s="1"/>
  <c r="P457" i="20"/>
  <c r="Q457" i="20" s="1"/>
  <c r="P456" i="20"/>
  <c r="Q456" i="20" s="1"/>
  <c r="Q455" i="20"/>
  <c r="P455" i="20"/>
  <c r="P454" i="20"/>
  <c r="Q454" i="20" s="1"/>
  <c r="P453" i="20"/>
  <c r="Q453" i="20" s="1"/>
  <c r="P452" i="20"/>
  <c r="Q452" i="20" s="1"/>
  <c r="P451" i="20"/>
  <c r="Q451" i="20" s="1"/>
  <c r="P450" i="20"/>
  <c r="Q450" i="20" s="1"/>
  <c r="P449" i="20"/>
  <c r="Q449" i="20" s="1"/>
  <c r="P448" i="20"/>
  <c r="Q448" i="20" s="1"/>
  <c r="Q447" i="20"/>
  <c r="P447" i="20"/>
  <c r="P446" i="20"/>
  <c r="Q446" i="20" s="1"/>
  <c r="P445" i="20"/>
  <c r="Q445" i="20" s="1"/>
  <c r="P444" i="20"/>
  <c r="Q444" i="20" s="1"/>
  <c r="P443" i="20"/>
  <c r="Q443" i="20" s="1"/>
  <c r="P442" i="20"/>
  <c r="Q442" i="20" s="1"/>
  <c r="P441" i="20"/>
  <c r="Q441" i="20" s="1"/>
  <c r="E437" i="20"/>
  <c r="D437" i="20"/>
  <c r="C437" i="20"/>
  <c r="Q435" i="20"/>
  <c r="P435" i="20"/>
  <c r="Q434" i="20"/>
  <c r="P434" i="20"/>
  <c r="Q433" i="20"/>
  <c r="P433" i="20"/>
  <c r="Q432" i="20"/>
  <c r="P432" i="20"/>
  <c r="Q431" i="20"/>
  <c r="P431" i="20"/>
  <c r="Q430" i="20"/>
  <c r="P430" i="20"/>
  <c r="Q429" i="20"/>
  <c r="P429" i="20"/>
  <c r="Q428" i="20"/>
  <c r="P428" i="20"/>
  <c r="Q427" i="20"/>
  <c r="P427" i="20"/>
  <c r="Q426" i="20"/>
  <c r="P426" i="20"/>
  <c r="Q425" i="20"/>
  <c r="P425" i="20"/>
  <c r="Q424" i="20"/>
  <c r="P424" i="20"/>
  <c r="Q423" i="20"/>
  <c r="P423" i="20"/>
  <c r="Q422" i="20"/>
  <c r="P422" i="20"/>
  <c r="Q421" i="20"/>
  <c r="P420" i="20"/>
  <c r="Q420" i="20" s="1"/>
  <c r="Q419" i="20"/>
  <c r="P419" i="20"/>
  <c r="P418" i="20"/>
  <c r="Q418" i="20" s="1"/>
  <c r="P417" i="20"/>
  <c r="Q417" i="20" s="1"/>
  <c r="P416" i="20"/>
  <c r="Q416" i="20" s="1"/>
  <c r="E412" i="20"/>
  <c r="D412" i="20"/>
  <c r="C412" i="20"/>
  <c r="P410" i="20"/>
  <c r="Q410" i="20" s="1"/>
  <c r="Q409" i="20"/>
  <c r="P409" i="20"/>
  <c r="P408" i="20"/>
  <c r="Q408" i="20" s="1"/>
  <c r="Q407" i="20"/>
  <c r="P407" i="20"/>
  <c r="P406" i="20"/>
  <c r="Q406" i="20" s="1"/>
  <c r="Q405" i="20"/>
  <c r="P405" i="20"/>
  <c r="P404" i="20"/>
  <c r="Q404" i="20" s="1"/>
  <c r="Q403" i="20"/>
  <c r="P403" i="20"/>
  <c r="P402" i="20"/>
  <c r="Q402" i="20" s="1"/>
  <c r="Q401" i="20"/>
  <c r="P401" i="20"/>
  <c r="P400" i="20"/>
  <c r="Q400" i="20" s="1"/>
  <c r="Q399" i="20"/>
  <c r="P399" i="20"/>
  <c r="P398" i="20"/>
  <c r="Q398" i="20" s="1"/>
  <c r="Q397" i="20"/>
  <c r="P397" i="20"/>
  <c r="P396" i="20"/>
  <c r="Q396" i="20" s="1"/>
  <c r="Q395" i="20"/>
  <c r="P395" i="20"/>
  <c r="P394" i="20"/>
  <c r="Q394" i="20" s="1"/>
  <c r="Q393" i="20"/>
  <c r="P393" i="20"/>
  <c r="P392" i="20"/>
  <c r="Q392" i="20" s="1"/>
  <c r="Q391" i="20"/>
  <c r="P391" i="20"/>
  <c r="C387" i="20"/>
  <c r="E362" i="20"/>
  <c r="D362" i="20"/>
  <c r="C362" i="20"/>
  <c r="P360" i="20"/>
  <c r="Q360" i="20" s="1"/>
  <c r="Q359" i="20"/>
  <c r="P359" i="20"/>
  <c r="P358" i="20"/>
  <c r="Q358" i="20" s="1"/>
  <c r="Q357" i="20"/>
  <c r="P357" i="20"/>
  <c r="P356" i="20"/>
  <c r="Q356" i="20" s="1"/>
  <c r="Q355" i="20"/>
  <c r="P355" i="20"/>
  <c r="P354" i="20"/>
  <c r="Q354" i="20" s="1"/>
  <c r="Q353" i="20"/>
  <c r="P353" i="20"/>
  <c r="P352" i="20"/>
  <c r="Q352" i="20" s="1"/>
  <c r="Q351" i="20"/>
  <c r="P351" i="20"/>
  <c r="P350" i="20"/>
  <c r="Q350" i="20" s="1"/>
  <c r="Q349" i="20"/>
  <c r="P349" i="20"/>
  <c r="P348" i="20"/>
  <c r="Q348" i="20" s="1"/>
  <c r="Q347" i="20"/>
  <c r="P347" i="20"/>
  <c r="P346" i="20"/>
  <c r="Q346" i="20" s="1"/>
  <c r="Q345" i="20"/>
  <c r="P345" i="20"/>
  <c r="P344" i="20"/>
  <c r="Q344" i="20" s="1"/>
  <c r="Q343" i="20"/>
  <c r="P343" i="20"/>
  <c r="P342" i="20"/>
  <c r="Q342" i="20" s="1"/>
  <c r="Q341" i="20"/>
  <c r="P341" i="20"/>
  <c r="E337" i="20"/>
  <c r="D337" i="20"/>
  <c r="C337" i="20"/>
  <c r="P335" i="20"/>
  <c r="Q335" i="20" s="1"/>
  <c r="P334" i="20"/>
  <c r="Q334" i="20" s="1"/>
  <c r="P333" i="20"/>
  <c r="Q333" i="20" s="1"/>
  <c r="Q332" i="20"/>
  <c r="P332" i="20"/>
  <c r="P331" i="20"/>
  <c r="Q331" i="20" s="1"/>
  <c r="P330" i="20"/>
  <c r="Q330" i="20" s="1"/>
  <c r="P329" i="20"/>
  <c r="Q329" i="20" s="1"/>
  <c r="P328" i="20"/>
  <c r="Q328" i="20" s="1"/>
  <c r="P327" i="20"/>
  <c r="Q327" i="20" s="1"/>
  <c r="P326" i="20"/>
  <c r="Q326" i="20" s="1"/>
  <c r="P325" i="20"/>
  <c r="Q325" i="20" s="1"/>
  <c r="Q324" i="20"/>
  <c r="P324" i="20"/>
  <c r="P323" i="20"/>
  <c r="Q323" i="20" s="1"/>
  <c r="P322" i="20"/>
  <c r="Q322" i="20" s="1"/>
  <c r="P321" i="20"/>
  <c r="Q321" i="20" s="1"/>
  <c r="P320" i="20"/>
  <c r="Q320" i="20" s="1"/>
  <c r="P319" i="20"/>
  <c r="Q319" i="20" s="1"/>
  <c r="P318" i="20"/>
  <c r="Q318" i="20" s="1"/>
  <c r="P317" i="20"/>
  <c r="Q317" i="20" s="1"/>
  <c r="Q316" i="20"/>
  <c r="P316" i="20"/>
  <c r="P315" i="20"/>
  <c r="Q315" i="20" s="1"/>
  <c r="E311" i="20"/>
  <c r="D311" i="20"/>
  <c r="C311" i="20"/>
  <c r="P309" i="20"/>
  <c r="Q309" i="20" s="1"/>
  <c r="Q308" i="20"/>
  <c r="P308" i="20"/>
  <c r="P307" i="20"/>
  <c r="Q307" i="20" s="1"/>
  <c r="Q306" i="20"/>
  <c r="P306" i="20"/>
  <c r="P305" i="20"/>
  <c r="Q305" i="20" s="1"/>
  <c r="Q304" i="20"/>
  <c r="P304" i="20"/>
  <c r="P303" i="20"/>
  <c r="Q303" i="20" s="1"/>
  <c r="Q302" i="20"/>
  <c r="P302" i="20"/>
  <c r="P301" i="20"/>
  <c r="Q301" i="20" s="1"/>
  <c r="Q300" i="20"/>
  <c r="P300" i="20"/>
  <c r="P299" i="20"/>
  <c r="Q299" i="20" s="1"/>
  <c r="Q298" i="20"/>
  <c r="P298" i="20"/>
  <c r="P297" i="20"/>
  <c r="Q297" i="20" s="1"/>
  <c r="Q296" i="20"/>
  <c r="P296" i="20"/>
  <c r="P295" i="20"/>
  <c r="Q295" i="20" s="1"/>
  <c r="Q294" i="20"/>
  <c r="P294" i="20"/>
  <c r="P293" i="20"/>
  <c r="Q293" i="20" s="1"/>
  <c r="Q292" i="20"/>
  <c r="P292" i="20"/>
  <c r="P291" i="20"/>
  <c r="Q291" i="20" s="1"/>
  <c r="Q290" i="20"/>
  <c r="P290" i="20"/>
  <c r="P289" i="20"/>
  <c r="Q289" i="20" s="1"/>
  <c r="E285" i="20"/>
  <c r="D285" i="20"/>
  <c r="C285" i="20"/>
  <c r="P283" i="20"/>
  <c r="Q283" i="20" s="1"/>
  <c r="P282" i="20"/>
  <c r="Q282" i="20" s="1"/>
  <c r="P281" i="20"/>
  <c r="Q281" i="20" s="1"/>
  <c r="P280" i="20"/>
  <c r="Q280" i="20" s="1"/>
  <c r="P279" i="20"/>
  <c r="Q279" i="20" s="1"/>
  <c r="P278" i="20"/>
  <c r="Q278" i="20" s="1"/>
  <c r="Q277" i="20"/>
  <c r="P277" i="20"/>
  <c r="P276" i="20"/>
  <c r="Q276" i="20" s="1"/>
  <c r="P275" i="20"/>
  <c r="Q275" i="20" s="1"/>
  <c r="P274" i="20"/>
  <c r="Q274" i="20" s="1"/>
  <c r="P273" i="20"/>
  <c r="Q273" i="20" s="1"/>
  <c r="P272" i="20"/>
  <c r="Q272" i="20" s="1"/>
  <c r="P271" i="20"/>
  <c r="Q271" i="20" s="1"/>
  <c r="P270" i="20"/>
  <c r="Q270" i="20" s="1"/>
  <c r="Q269" i="20"/>
  <c r="P269" i="20"/>
  <c r="P268" i="20"/>
  <c r="Q268" i="20" s="1"/>
  <c r="Q267" i="20"/>
  <c r="P267" i="20"/>
  <c r="P266" i="20"/>
  <c r="Q266" i="20" s="1"/>
  <c r="Q265" i="20"/>
  <c r="P265" i="20"/>
  <c r="P264" i="20"/>
  <c r="Q264" i="20" s="1"/>
  <c r="Q263" i="20"/>
  <c r="P263" i="20"/>
  <c r="E259" i="20"/>
  <c r="D259" i="20"/>
  <c r="C259" i="20"/>
  <c r="P257" i="20"/>
  <c r="Q257" i="20" s="1"/>
  <c r="P256" i="20"/>
  <c r="Q256" i="20" s="1"/>
  <c r="P255" i="20"/>
  <c r="Q255" i="20" s="1"/>
  <c r="P254" i="20"/>
  <c r="Q254" i="20" s="1"/>
  <c r="P253" i="20"/>
  <c r="Q253" i="20" s="1"/>
  <c r="P252" i="20"/>
  <c r="Q252" i="20" s="1"/>
  <c r="P251" i="20"/>
  <c r="Q251" i="20" s="1"/>
  <c r="P250" i="20"/>
  <c r="Q250" i="20" s="1"/>
  <c r="P249" i="20"/>
  <c r="Q249" i="20" s="1"/>
  <c r="P248" i="20"/>
  <c r="Q248" i="20" s="1"/>
  <c r="P247" i="20"/>
  <c r="Q247" i="20" s="1"/>
  <c r="P246" i="20"/>
  <c r="Q246" i="20" s="1"/>
  <c r="P245" i="20"/>
  <c r="Q245" i="20" s="1"/>
  <c r="P244" i="20"/>
  <c r="Q244" i="20" s="1"/>
  <c r="P243" i="20"/>
  <c r="Q243" i="20" s="1"/>
  <c r="P242" i="20"/>
  <c r="Q242" i="20" s="1"/>
  <c r="P241" i="20"/>
  <c r="Q241" i="20" s="1"/>
  <c r="P240" i="20"/>
  <c r="Q240" i="20" s="1"/>
  <c r="P239" i="20"/>
  <c r="Q239" i="20" s="1"/>
  <c r="P238" i="20"/>
  <c r="Q238" i="20" s="1"/>
  <c r="P237" i="20"/>
  <c r="Q237" i="20" s="1"/>
  <c r="E233" i="20"/>
  <c r="D233" i="20"/>
  <c r="C233" i="20"/>
  <c r="P231" i="20"/>
  <c r="Q231" i="20" s="1"/>
  <c r="Q230" i="20"/>
  <c r="P230" i="20"/>
  <c r="P229" i="20"/>
  <c r="Q229" i="20" s="1"/>
  <c r="Q228" i="20"/>
  <c r="P228" i="20"/>
  <c r="P227" i="20"/>
  <c r="Q227" i="20" s="1"/>
  <c r="Q226" i="20"/>
  <c r="P226" i="20"/>
  <c r="P225" i="20"/>
  <c r="Q225" i="20" s="1"/>
  <c r="Q224" i="20"/>
  <c r="P224" i="20"/>
  <c r="P223" i="20"/>
  <c r="Q223" i="20" s="1"/>
  <c r="Q222" i="20"/>
  <c r="P222" i="20"/>
  <c r="P221" i="20"/>
  <c r="Q221" i="20" s="1"/>
  <c r="Q220" i="20"/>
  <c r="P220" i="20"/>
  <c r="P219" i="20"/>
  <c r="Q219" i="20" s="1"/>
  <c r="Q218" i="20"/>
  <c r="P218" i="20"/>
  <c r="P217" i="20"/>
  <c r="Q217" i="20" s="1"/>
  <c r="Q216" i="20"/>
  <c r="P216" i="20"/>
  <c r="Q215" i="20"/>
  <c r="P214" i="20"/>
  <c r="Q214" i="20" s="1"/>
  <c r="P213" i="20"/>
  <c r="Q213" i="20" s="1"/>
  <c r="P212" i="20"/>
  <c r="Q212" i="20" s="1"/>
  <c r="P211" i="20"/>
  <c r="Q211" i="20" s="1"/>
  <c r="E207" i="20"/>
  <c r="D207" i="20"/>
  <c r="C207" i="20"/>
  <c r="P205" i="20"/>
  <c r="Q205" i="20" s="1"/>
  <c r="Q204" i="20"/>
  <c r="P204" i="20"/>
  <c r="P203" i="20"/>
  <c r="Q203" i="20" s="1"/>
  <c r="Q202" i="20"/>
  <c r="P202" i="20"/>
  <c r="P201" i="20"/>
  <c r="Q201" i="20" s="1"/>
  <c r="Q200" i="20"/>
  <c r="P200" i="20"/>
  <c r="P199" i="20"/>
  <c r="Q199" i="20" s="1"/>
  <c r="Q198" i="20"/>
  <c r="P198" i="20"/>
  <c r="P197" i="20"/>
  <c r="Q197" i="20" s="1"/>
  <c r="Q196" i="20"/>
  <c r="P196" i="20"/>
  <c r="P195" i="20"/>
  <c r="Q195" i="20" s="1"/>
  <c r="Q194" i="20"/>
  <c r="P194" i="20"/>
  <c r="P193" i="20"/>
  <c r="Q193" i="20" s="1"/>
  <c r="Q192" i="20"/>
  <c r="P192" i="20"/>
  <c r="P191" i="20"/>
  <c r="Q191" i="20" s="1"/>
  <c r="Q190" i="20"/>
  <c r="P190" i="20"/>
  <c r="Q189" i="20"/>
  <c r="P188" i="20"/>
  <c r="Q188" i="20" s="1"/>
  <c r="P187" i="20"/>
  <c r="Q187" i="20" s="1"/>
  <c r="P186" i="20"/>
  <c r="Q186" i="20" s="1"/>
  <c r="P185" i="20"/>
  <c r="Q185" i="20" s="1"/>
  <c r="E181" i="20"/>
  <c r="D181" i="20"/>
  <c r="C181" i="20"/>
  <c r="P179" i="20"/>
  <c r="Q179" i="20" s="1"/>
  <c r="Q178" i="20"/>
  <c r="P178" i="20"/>
  <c r="P177" i="20"/>
  <c r="Q177" i="20" s="1"/>
  <c r="Q176" i="20"/>
  <c r="P176" i="20"/>
  <c r="P175" i="20"/>
  <c r="Q175" i="20" s="1"/>
  <c r="Q174" i="20"/>
  <c r="P174" i="20"/>
  <c r="P173" i="20"/>
  <c r="Q173" i="20" s="1"/>
  <c r="Q172" i="20"/>
  <c r="P172" i="20"/>
  <c r="P171" i="20"/>
  <c r="Q171" i="20" s="1"/>
  <c r="Q170" i="20"/>
  <c r="P170" i="20"/>
  <c r="P169" i="20"/>
  <c r="Q169" i="20" s="1"/>
  <c r="Q168" i="20"/>
  <c r="P168" i="20"/>
  <c r="P167" i="20"/>
  <c r="Q167" i="20" s="1"/>
  <c r="Q166" i="20"/>
  <c r="P166" i="20"/>
  <c r="P165" i="20"/>
  <c r="Q165" i="20" s="1"/>
  <c r="Q164" i="20"/>
  <c r="P164" i="20"/>
  <c r="P163" i="20"/>
  <c r="Q163" i="20" s="1"/>
  <c r="Q162" i="20"/>
  <c r="P162" i="20"/>
  <c r="P161" i="20"/>
  <c r="Q161" i="20" s="1"/>
  <c r="Q160" i="20"/>
  <c r="P160" i="20"/>
  <c r="P159" i="20"/>
  <c r="Q159" i="20" s="1"/>
  <c r="E155" i="20"/>
  <c r="D155" i="20"/>
  <c r="C155" i="20"/>
  <c r="P153" i="20"/>
  <c r="Q153" i="20" s="1"/>
  <c r="P152" i="20"/>
  <c r="Q152" i="20" s="1"/>
  <c r="P151" i="20"/>
  <c r="Q151" i="20" s="1"/>
  <c r="P150" i="20"/>
  <c r="Q150" i="20" s="1"/>
  <c r="P149" i="20"/>
  <c r="Q149" i="20" s="1"/>
  <c r="P148" i="20"/>
  <c r="Q148" i="20" s="1"/>
  <c r="P147" i="20"/>
  <c r="Q147" i="20" s="1"/>
  <c r="P146" i="20"/>
  <c r="Q146" i="20" s="1"/>
  <c r="P145" i="20"/>
  <c r="Q145" i="20" s="1"/>
  <c r="P144" i="20"/>
  <c r="Q144" i="20" s="1"/>
  <c r="P143" i="20"/>
  <c r="Q143" i="20" s="1"/>
  <c r="P142" i="20"/>
  <c r="Q142" i="20" s="1"/>
  <c r="P141" i="20"/>
  <c r="Q141" i="20" s="1"/>
  <c r="P140" i="20"/>
  <c r="Q140" i="20" s="1"/>
  <c r="P139" i="20"/>
  <c r="Q139" i="20" s="1"/>
  <c r="P138" i="20"/>
  <c r="Q138" i="20" s="1"/>
  <c r="P137" i="20"/>
  <c r="Q137" i="20" s="1"/>
  <c r="P136" i="20"/>
  <c r="Q136" i="20" s="1"/>
  <c r="P135" i="20"/>
  <c r="Q135" i="20" s="1"/>
  <c r="P134" i="20"/>
  <c r="Q134" i="20" s="1"/>
  <c r="P133" i="20"/>
  <c r="Q133" i="20" s="1"/>
  <c r="E129" i="20"/>
  <c r="D129" i="20"/>
  <c r="C129" i="20"/>
  <c r="Q127" i="20"/>
  <c r="P127" i="20"/>
  <c r="P126" i="20"/>
  <c r="Q126" i="20" s="1"/>
  <c r="Q125" i="20"/>
  <c r="P125" i="20"/>
  <c r="P124" i="20"/>
  <c r="Q124" i="20" s="1"/>
  <c r="Q123" i="20"/>
  <c r="P123" i="20"/>
  <c r="P122" i="20"/>
  <c r="Q122" i="20" s="1"/>
  <c r="Q121" i="20"/>
  <c r="P121" i="20"/>
  <c r="P120" i="20"/>
  <c r="Q120" i="20" s="1"/>
  <c r="Q119" i="20"/>
  <c r="P119" i="20"/>
  <c r="P118" i="20"/>
  <c r="Q118" i="20" s="1"/>
  <c r="Q117" i="20"/>
  <c r="P117" i="20"/>
  <c r="P116" i="20"/>
  <c r="Q116" i="20" s="1"/>
  <c r="Q115" i="20"/>
  <c r="P115" i="20"/>
  <c r="P114" i="20"/>
  <c r="Q114" i="20" s="1"/>
  <c r="Q113" i="20"/>
  <c r="P113" i="20"/>
  <c r="P112" i="20"/>
  <c r="Q112" i="20" s="1"/>
  <c r="Q111" i="20"/>
  <c r="P111" i="20"/>
  <c r="P110" i="20"/>
  <c r="Q110" i="20" s="1"/>
  <c r="Q109" i="20"/>
  <c r="P109" i="20"/>
  <c r="P108" i="20"/>
  <c r="Q108" i="20" s="1"/>
  <c r="Q107" i="20"/>
  <c r="P107" i="20"/>
  <c r="E103" i="20"/>
  <c r="D103" i="20"/>
  <c r="C103" i="20"/>
  <c r="Q101" i="20"/>
  <c r="Q100" i="20"/>
  <c r="Q99" i="20"/>
  <c r="Q98" i="20"/>
  <c r="Q97" i="20"/>
  <c r="Q96" i="20"/>
  <c r="Q95" i="20"/>
  <c r="Q94" i="20"/>
  <c r="Q93" i="20"/>
  <c r="Q92" i="20"/>
  <c r="Q91" i="20"/>
  <c r="Q90" i="20"/>
  <c r="Q89" i="20"/>
  <c r="Q88" i="20"/>
  <c r="Q87" i="20"/>
  <c r="Q86" i="20"/>
  <c r="Q85" i="20"/>
  <c r="Q84" i="20"/>
  <c r="Q83" i="20"/>
  <c r="Q82" i="20"/>
  <c r="Q81" i="20"/>
  <c r="C72" i="20"/>
  <c r="C69" i="20"/>
  <c r="C66" i="20"/>
  <c r="E65" i="20"/>
  <c r="E77" i="20" s="1"/>
  <c r="D65" i="20"/>
  <c r="C65" i="20"/>
  <c r="D64" i="20"/>
  <c r="D77" i="20" s="1"/>
  <c r="C64" i="20"/>
  <c r="C77" i="20" s="1"/>
  <c r="C58" i="20"/>
  <c r="E52" i="20"/>
  <c r="D52" i="20"/>
  <c r="C52" i="20"/>
  <c r="Q49" i="20"/>
  <c r="Q48" i="20"/>
  <c r="Q47" i="20"/>
  <c r="Q46" i="20"/>
  <c r="Q44" i="20"/>
  <c r="Q43" i="20"/>
  <c r="Q42" i="20"/>
  <c r="Q41" i="20"/>
  <c r="Q40" i="20"/>
  <c r="Q39" i="20"/>
  <c r="Q38" i="20"/>
  <c r="Q37" i="20"/>
  <c r="Q36" i="20"/>
  <c r="Q35" i="20"/>
  <c r="Q32" i="20"/>
  <c r="E27" i="20"/>
  <c r="C23" i="20"/>
  <c r="C19" i="20"/>
  <c r="E17" i="20"/>
  <c r="D17" i="20"/>
  <c r="D27" i="20" s="1"/>
  <c r="C17" i="20"/>
  <c r="C27" i="20" s="1"/>
  <c r="E142" i="19"/>
  <c r="D142" i="19"/>
  <c r="E134" i="19"/>
  <c r="D134" i="19"/>
  <c r="E129" i="19"/>
  <c r="D129" i="19"/>
  <c r="E117" i="19"/>
  <c r="D117" i="19"/>
  <c r="E104" i="19"/>
  <c r="D104" i="19"/>
  <c r="E98" i="19"/>
  <c r="D98" i="19"/>
  <c r="E91" i="19"/>
  <c r="D91" i="19"/>
  <c r="E82" i="19"/>
  <c r="D82" i="19"/>
  <c r="E74" i="19"/>
  <c r="D74" i="19"/>
  <c r="E60" i="19"/>
  <c r="D60" i="19"/>
  <c r="E55" i="19"/>
  <c r="D55" i="19"/>
  <c r="E51" i="19"/>
  <c r="D51" i="19"/>
  <c r="E41" i="19"/>
  <c r="D41" i="19"/>
  <c r="E30" i="19"/>
  <c r="D30" i="19"/>
  <c r="AD133" i="17"/>
  <c r="AA133" i="17"/>
  <c r="Z133" i="17"/>
  <c r="Y133" i="17"/>
  <c r="X133" i="17"/>
  <c r="V133" i="17"/>
  <c r="U133" i="17"/>
  <c r="T133" i="17"/>
  <c r="S133" i="17"/>
  <c r="R133" i="17"/>
  <c r="Q133" i="17"/>
  <c r="P133" i="17"/>
  <c r="O133" i="17"/>
  <c r="M133" i="17"/>
  <c r="L133" i="17"/>
  <c r="K133" i="17"/>
  <c r="J133" i="17"/>
  <c r="I133" i="17"/>
  <c r="G133" i="17"/>
  <c r="F133" i="17"/>
  <c r="D133" i="17"/>
  <c r="C133" i="17"/>
  <c r="AF132" i="17"/>
  <c r="AE132" i="17"/>
  <c r="AB132" i="17"/>
  <c r="N132" i="17"/>
  <c r="AF131" i="17"/>
  <c r="AE131" i="17"/>
  <c r="AB131" i="17"/>
  <c r="N131" i="17"/>
  <c r="H131" i="17"/>
  <c r="AF130" i="17"/>
  <c r="AB130" i="17"/>
  <c r="X130" i="17"/>
  <c r="W130" i="17"/>
  <c r="AE130" i="17" s="1"/>
  <c r="N130" i="17"/>
  <c r="H130" i="17"/>
  <c r="E130" i="17"/>
  <c r="AF129" i="17"/>
  <c r="AB129" i="17"/>
  <c r="X129" i="17"/>
  <c r="W129" i="17"/>
  <c r="AE129" i="17" s="1"/>
  <c r="N129" i="17"/>
  <c r="H129" i="17"/>
  <c r="E129" i="17"/>
  <c r="AF128" i="17"/>
  <c r="AB128" i="17"/>
  <c r="X128" i="17"/>
  <c r="W128" i="17"/>
  <c r="AE128" i="17" s="1"/>
  <c r="N128" i="17"/>
  <c r="H128" i="17"/>
  <c r="E128" i="17"/>
  <c r="AF127" i="17"/>
  <c r="AB127" i="17"/>
  <c r="X127" i="17"/>
  <c r="W127" i="17"/>
  <c r="AE127" i="17" s="1"/>
  <c r="N127" i="17"/>
  <c r="H127" i="17"/>
  <c r="E127" i="17"/>
  <c r="AF126" i="17"/>
  <c r="AB126" i="17"/>
  <c r="X126" i="17"/>
  <c r="W126" i="17"/>
  <c r="AE126" i="17" s="1"/>
  <c r="N126" i="17"/>
  <c r="H126" i="17"/>
  <c r="E126" i="17"/>
  <c r="AF125" i="17"/>
  <c r="AB125" i="17"/>
  <c r="X125" i="17"/>
  <c r="W125" i="17"/>
  <c r="AE125" i="17" s="1"/>
  <c r="N125" i="17"/>
  <c r="H125" i="17"/>
  <c r="E125" i="17"/>
  <c r="AF124" i="17"/>
  <c r="W124" i="17"/>
  <c r="N124" i="17"/>
  <c r="E124" i="17"/>
  <c r="H124" i="17" s="1"/>
  <c r="AB123" i="17"/>
  <c r="W123" i="17"/>
  <c r="AE123" i="17" s="1"/>
  <c r="N123" i="17"/>
  <c r="E123" i="17"/>
  <c r="AF122" i="17"/>
  <c r="AB122" i="17"/>
  <c r="W122" i="17"/>
  <c r="N122" i="17"/>
  <c r="AE122" i="17" s="1"/>
  <c r="E122" i="17"/>
  <c r="H122" i="17" s="1"/>
  <c r="AF121" i="17"/>
  <c r="W121" i="17"/>
  <c r="N121" i="17"/>
  <c r="E121" i="17"/>
  <c r="AB121" i="17" s="1"/>
  <c r="AF120" i="17"/>
  <c r="W120" i="17"/>
  <c r="N120" i="17"/>
  <c r="E120" i="17"/>
  <c r="AF119" i="17"/>
  <c r="W119" i="17"/>
  <c r="N119" i="17"/>
  <c r="AE119" i="17" s="1"/>
  <c r="H119" i="17"/>
  <c r="E119" i="17"/>
  <c r="AB119" i="17" s="1"/>
  <c r="W118" i="17"/>
  <c r="N118" i="17"/>
  <c r="H118" i="17"/>
  <c r="E118" i="17"/>
  <c r="AB118" i="17" s="1"/>
  <c r="AE118" i="17" s="1"/>
  <c r="AF117" i="17"/>
  <c r="AB117" i="17"/>
  <c r="W117" i="17"/>
  <c r="N117" i="17"/>
  <c r="E117" i="17"/>
  <c r="H117" i="17" s="1"/>
  <c r="AF116" i="17"/>
  <c r="AB116" i="17"/>
  <c r="W116" i="17"/>
  <c r="N116" i="17"/>
  <c r="AE116" i="17" s="1"/>
  <c r="E116" i="17"/>
  <c r="AF115" i="17"/>
  <c r="AB115" i="17"/>
  <c r="W115" i="17"/>
  <c r="N115" i="17"/>
  <c r="AE115" i="17" s="1"/>
  <c r="AF114" i="17"/>
  <c r="W114" i="17"/>
  <c r="N114" i="17"/>
  <c r="H114" i="17"/>
  <c r="E114" i="17"/>
  <c r="AB114" i="17" s="1"/>
  <c r="AE114" i="17" s="1"/>
  <c r="AF113" i="17"/>
  <c r="W113" i="17"/>
  <c r="N113" i="17"/>
  <c r="H113" i="17"/>
  <c r="E113" i="17"/>
  <c r="AB113" i="17" s="1"/>
  <c r="AE113" i="17" s="1"/>
  <c r="W112" i="17"/>
  <c r="N112" i="17"/>
  <c r="H112" i="17"/>
  <c r="E112" i="17"/>
  <c r="AF112" i="17" s="1"/>
  <c r="AF111" i="17"/>
  <c r="W111" i="17"/>
  <c r="N111" i="17"/>
  <c r="E111" i="17"/>
  <c r="H111" i="17" s="1"/>
  <c r="AD107" i="17"/>
  <c r="AA107" i="17"/>
  <c r="Z107" i="17"/>
  <c r="Y107" i="17"/>
  <c r="V107" i="17"/>
  <c r="U107" i="17"/>
  <c r="T107" i="17"/>
  <c r="S107" i="17"/>
  <c r="R107" i="17"/>
  <c r="Q107" i="17"/>
  <c r="P107" i="17"/>
  <c r="O107" i="17"/>
  <c r="M107" i="17"/>
  <c r="L107" i="17"/>
  <c r="K107" i="17"/>
  <c r="J107" i="17"/>
  <c r="I107" i="17"/>
  <c r="G107" i="17"/>
  <c r="F107" i="17"/>
  <c r="D107" i="17"/>
  <c r="C107" i="17"/>
  <c r="AF106" i="17"/>
  <c r="AB106" i="17"/>
  <c r="AE106" i="17" s="1"/>
  <c r="N106" i="17"/>
  <c r="H106" i="17"/>
  <c r="AF105" i="17"/>
  <c r="AB105" i="17"/>
  <c r="N105" i="17"/>
  <c r="AE105" i="17" s="1"/>
  <c r="X104" i="17"/>
  <c r="W104" i="17"/>
  <c r="AE104" i="17" s="1"/>
  <c r="H104" i="17"/>
  <c r="E104" i="17"/>
  <c r="AB104" i="17" s="1"/>
  <c r="AF103" i="17"/>
  <c r="AB103" i="17"/>
  <c r="X103" i="17"/>
  <c r="W103" i="17"/>
  <c r="AE103" i="17" s="1"/>
  <c r="N103" i="17"/>
  <c r="H103" i="17"/>
  <c r="E103" i="17"/>
  <c r="AF102" i="17"/>
  <c r="AB102" i="17"/>
  <c r="X102" i="17"/>
  <c r="W102" i="17"/>
  <c r="AE102" i="17" s="1"/>
  <c r="N102" i="17"/>
  <c r="H102" i="17"/>
  <c r="E102" i="17"/>
  <c r="AF101" i="17"/>
  <c r="AB101" i="17"/>
  <c r="X101" i="17"/>
  <c r="W101" i="17"/>
  <c r="AE101" i="17" s="1"/>
  <c r="N101" i="17"/>
  <c r="H101" i="17"/>
  <c r="E101" i="17"/>
  <c r="AF100" i="17"/>
  <c r="AB100" i="17"/>
  <c r="X100" i="17"/>
  <c r="W100" i="17"/>
  <c r="AE100" i="17" s="1"/>
  <c r="N100" i="17"/>
  <c r="H100" i="17"/>
  <c r="E100" i="17"/>
  <c r="AF99" i="17"/>
  <c r="AB99" i="17"/>
  <c r="X99" i="17"/>
  <c r="W99" i="17"/>
  <c r="AE99" i="17" s="1"/>
  <c r="N99" i="17"/>
  <c r="H99" i="17"/>
  <c r="E99" i="17"/>
  <c r="AF98" i="17"/>
  <c r="AB98" i="17"/>
  <c r="X98" i="17"/>
  <c r="W98" i="17"/>
  <c r="AE98" i="17" s="1"/>
  <c r="N98" i="17"/>
  <c r="H98" i="17"/>
  <c r="E98" i="17"/>
  <c r="AF97" i="17"/>
  <c r="W97" i="17"/>
  <c r="N97" i="17"/>
  <c r="H97" i="17"/>
  <c r="E97" i="17"/>
  <c r="AB97" i="17" s="1"/>
  <c r="AF96" i="17"/>
  <c r="W96" i="17"/>
  <c r="N96" i="17"/>
  <c r="H96" i="17"/>
  <c r="E96" i="17"/>
  <c r="AB96" i="17" s="1"/>
  <c r="AE96" i="17" s="1"/>
  <c r="AF95" i="17"/>
  <c r="W95" i="17"/>
  <c r="N95" i="17"/>
  <c r="E95" i="17"/>
  <c r="AF94" i="17"/>
  <c r="W94" i="17"/>
  <c r="N94" i="17"/>
  <c r="E94" i="17"/>
  <c r="AB94" i="17" s="1"/>
  <c r="AF93" i="17"/>
  <c r="W93" i="17"/>
  <c r="N93" i="17"/>
  <c r="H93" i="17"/>
  <c r="E93" i="17"/>
  <c r="AB93" i="17" s="1"/>
  <c r="AE93" i="17" s="1"/>
  <c r="AF92" i="17"/>
  <c r="AB92" i="17"/>
  <c r="W92" i="17"/>
  <c r="N92" i="17"/>
  <c r="E92" i="17"/>
  <c r="H92" i="17" s="1"/>
  <c r="AF91" i="17"/>
  <c r="W91" i="17"/>
  <c r="N91" i="17"/>
  <c r="H91" i="17"/>
  <c r="E91" i="17"/>
  <c r="AB91" i="17" s="1"/>
  <c r="AF90" i="17"/>
  <c r="W90" i="17"/>
  <c r="N90" i="17"/>
  <c r="H90" i="17"/>
  <c r="E90" i="17"/>
  <c r="AB90" i="17" s="1"/>
  <c r="AF89" i="17"/>
  <c r="AE89" i="17"/>
  <c r="W89" i="17"/>
  <c r="N89" i="17"/>
  <c r="E89" i="17"/>
  <c r="AB89" i="17" s="1"/>
  <c r="AF88" i="17"/>
  <c r="W88" i="17"/>
  <c r="N88" i="17"/>
  <c r="H88" i="17"/>
  <c r="E88" i="17"/>
  <c r="AB88" i="17" s="1"/>
  <c r="AF87" i="17"/>
  <c r="W87" i="17"/>
  <c r="N87" i="17"/>
  <c r="H87" i="17"/>
  <c r="E87" i="17"/>
  <c r="AB87" i="17" s="1"/>
  <c r="W86" i="17"/>
  <c r="N86" i="17"/>
  <c r="H86" i="17"/>
  <c r="E86" i="17"/>
  <c r="AB86" i="17" s="1"/>
  <c r="AE86" i="17" s="1"/>
  <c r="AF85" i="17"/>
  <c r="AB85" i="17"/>
  <c r="W85" i="17"/>
  <c r="N85" i="17"/>
  <c r="AE85" i="17" s="1"/>
  <c r="E85" i="17"/>
  <c r="AD81" i="17"/>
  <c r="AA81" i="17"/>
  <c r="Z81" i="17"/>
  <c r="Y81" i="17"/>
  <c r="X81" i="17"/>
  <c r="V81" i="17"/>
  <c r="U81" i="17"/>
  <c r="T81" i="17"/>
  <c r="S81" i="17"/>
  <c r="R81" i="17"/>
  <c r="Q81" i="17"/>
  <c r="O81" i="17"/>
  <c r="M81" i="17"/>
  <c r="L81" i="17"/>
  <c r="K81" i="17"/>
  <c r="J81" i="17"/>
  <c r="I81" i="17"/>
  <c r="G81" i="17"/>
  <c r="F81" i="17"/>
  <c r="D81" i="17"/>
  <c r="C81" i="17"/>
  <c r="AF80" i="17"/>
  <c r="AB80" i="17"/>
  <c r="AE80" i="17" s="1"/>
  <c r="N80" i="17"/>
  <c r="H80" i="17"/>
  <c r="E80" i="17"/>
  <c r="AF79" i="17"/>
  <c r="N79" i="17"/>
  <c r="E79" i="17"/>
  <c r="AB79" i="17" s="1"/>
  <c r="AE79" i="17" s="1"/>
  <c r="AF78" i="17"/>
  <c r="N78" i="17"/>
  <c r="H78" i="17"/>
  <c r="E78" i="17"/>
  <c r="AB78" i="17" s="1"/>
  <c r="AE77" i="17"/>
  <c r="X77" i="17"/>
  <c r="AF77" i="17" s="1"/>
  <c r="W77" i="17"/>
  <c r="N77" i="17"/>
  <c r="H77" i="17"/>
  <c r="E77" i="17"/>
  <c r="AB77" i="17" s="1"/>
  <c r="AE76" i="17"/>
  <c r="AB76" i="17"/>
  <c r="X76" i="17"/>
  <c r="AF76" i="17" s="1"/>
  <c r="W76" i="17"/>
  <c r="P76" i="17"/>
  <c r="P81" i="17" s="1"/>
  <c r="N76" i="17"/>
  <c r="H76" i="17"/>
  <c r="E76" i="17"/>
  <c r="AF75" i="17"/>
  <c r="AB75" i="17"/>
  <c r="X75" i="17"/>
  <c r="W75" i="17"/>
  <c r="AE75" i="17" s="1"/>
  <c r="N75" i="17"/>
  <c r="H75" i="17"/>
  <c r="E75" i="17"/>
  <c r="AF74" i="17"/>
  <c r="AB74" i="17"/>
  <c r="X74" i="17"/>
  <c r="W74" i="17"/>
  <c r="AE74" i="17" s="1"/>
  <c r="N74" i="17"/>
  <c r="H74" i="17"/>
  <c r="E74" i="17"/>
  <c r="AF73" i="17"/>
  <c r="AB73" i="17"/>
  <c r="X73" i="17"/>
  <c r="W73" i="17"/>
  <c r="AE73" i="17" s="1"/>
  <c r="N73" i="17"/>
  <c r="H73" i="17"/>
  <c r="E73" i="17"/>
  <c r="AF72" i="17"/>
  <c r="AB72" i="17"/>
  <c r="X72" i="17"/>
  <c r="W72" i="17"/>
  <c r="AE72" i="17" s="1"/>
  <c r="N72" i="17"/>
  <c r="H72" i="17"/>
  <c r="E72" i="17"/>
  <c r="AF71" i="17"/>
  <c r="AB71" i="17"/>
  <c r="X71" i="17"/>
  <c r="W71" i="17"/>
  <c r="AE71" i="17" s="1"/>
  <c r="N71" i="17"/>
  <c r="H71" i="17"/>
  <c r="E71" i="17"/>
  <c r="AF70" i="17"/>
  <c r="W70" i="17"/>
  <c r="N70" i="17"/>
  <c r="E70" i="17"/>
  <c r="H70" i="17" s="1"/>
  <c r="W69" i="17"/>
  <c r="N69" i="17"/>
  <c r="H69" i="17"/>
  <c r="E69" i="17"/>
  <c r="AB69" i="17" s="1"/>
  <c r="AE69" i="17" s="1"/>
  <c r="AF68" i="17"/>
  <c r="W68" i="17"/>
  <c r="N68" i="17"/>
  <c r="E68" i="17"/>
  <c r="H68" i="17" s="1"/>
  <c r="AF67" i="17"/>
  <c r="W67" i="17"/>
  <c r="N67" i="17"/>
  <c r="AE67" i="17" s="1"/>
  <c r="E67" i="17"/>
  <c r="AB67" i="17" s="1"/>
  <c r="AF66" i="17"/>
  <c r="W66" i="17"/>
  <c r="N66" i="17"/>
  <c r="H66" i="17"/>
  <c r="E66" i="17"/>
  <c r="AB66" i="17" s="1"/>
  <c r="AE66" i="17" s="1"/>
  <c r="AF65" i="17"/>
  <c r="AB65" i="17"/>
  <c r="W65" i="17"/>
  <c r="P65" i="17"/>
  <c r="N65" i="17"/>
  <c r="AE65" i="17" s="1"/>
  <c r="H65" i="17"/>
  <c r="E65" i="17"/>
  <c r="AB64" i="17"/>
  <c r="W64" i="17"/>
  <c r="N64" i="17"/>
  <c r="AE64" i="17" s="1"/>
  <c r="E64" i="17"/>
  <c r="AF63" i="17"/>
  <c r="AB63" i="17"/>
  <c r="W63" i="17"/>
  <c r="N63" i="17"/>
  <c r="AF62" i="17"/>
  <c r="AB62" i="17"/>
  <c r="W62" i="17"/>
  <c r="N62" i="17"/>
  <c r="E62" i="17"/>
  <c r="AF61" i="17"/>
  <c r="W61" i="17"/>
  <c r="N61" i="17"/>
  <c r="E61" i="17"/>
  <c r="H61" i="17" s="1"/>
  <c r="W60" i="17"/>
  <c r="N60" i="17"/>
  <c r="H60" i="17"/>
  <c r="E60" i="17"/>
  <c r="AB60" i="17" s="1"/>
  <c r="AE60" i="17" s="1"/>
  <c r="W59" i="17"/>
  <c r="N59" i="17"/>
  <c r="E59" i="17"/>
  <c r="AF58" i="17"/>
  <c r="W58" i="17"/>
  <c r="N58" i="17"/>
  <c r="H58" i="17"/>
  <c r="E58" i="17"/>
  <c r="AD54" i="17"/>
  <c r="AA54" i="17"/>
  <c r="Z54" i="17"/>
  <c r="Y54" i="17"/>
  <c r="V54" i="17"/>
  <c r="U54" i="17"/>
  <c r="T54" i="17"/>
  <c r="S54" i="17"/>
  <c r="R54" i="17"/>
  <c r="Q54" i="17"/>
  <c r="P54" i="17"/>
  <c r="O54" i="17"/>
  <c r="M54" i="17"/>
  <c r="L54" i="17"/>
  <c r="K54" i="17"/>
  <c r="J54" i="17"/>
  <c r="I54" i="17"/>
  <c r="G54" i="17"/>
  <c r="D54" i="17"/>
  <c r="C54" i="17"/>
  <c r="AF53" i="17"/>
  <c r="AB53" i="17"/>
  <c r="N53" i="17"/>
  <c r="AE53" i="17" s="1"/>
  <c r="H53" i="17"/>
  <c r="F53" i="17"/>
  <c r="AF52" i="17"/>
  <c r="AE52" i="17"/>
  <c r="AB52" i="17"/>
  <c r="N52" i="17"/>
  <c r="AF51" i="17"/>
  <c r="AE51" i="17"/>
  <c r="AB51" i="17"/>
  <c r="N51" i="17"/>
  <c r="H51" i="17"/>
  <c r="F51" i="17"/>
  <c r="F54" i="17" s="1"/>
  <c r="X50" i="17"/>
  <c r="AF50" i="17" s="1"/>
  <c r="W50" i="17"/>
  <c r="AE50" i="17" s="1"/>
  <c r="N50" i="17"/>
  <c r="E50" i="17"/>
  <c r="X49" i="17"/>
  <c r="AF49" i="17" s="1"/>
  <c r="W49" i="17"/>
  <c r="AE49" i="17" s="1"/>
  <c r="N49" i="17"/>
  <c r="E49" i="17"/>
  <c r="X48" i="17"/>
  <c r="AF48" i="17" s="1"/>
  <c r="W48" i="17"/>
  <c r="AE48" i="17" s="1"/>
  <c r="N48" i="17"/>
  <c r="E48" i="17"/>
  <c r="X47" i="17"/>
  <c r="AF47" i="17" s="1"/>
  <c r="W47" i="17"/>
  <c r="AE47" i="17" s="1"/>
  <c r="N47" i="17"/>
  <c r="E47" i="17"/>
  <c r="X46" i="17"/>
  <c r="AF46" i="17" s="1"/>
  <c r="W46" i="17"/>
  <c r="AE46" i="17" s="1"/>
  <c r="N46" i="17"/>
  <c r="E46" i="17"/>
  <c r="X45" i="17"/>
  <c r="AF45" i="17" s="1"/>
  <c r="W45" i="17"/>
  <c r="AE45" i="17" s="1"/>
  <c r="N45" i="17"/>
  <c r="E45" i="17"/>
  <c r="X44" i="17"/>
  <c r="W44" i="17"/>
  <c r="N44" i="17"/>
  <c r="E44" i="17"/>
  <c r="AF43" i="17"/>
  <c r="W43" i="17"/>
  <c r="N43" i="17"/>
  <c r="H43" i="17"/>
  <c r="E43" i="17"/>
  <c r="AB43" i="17" s="1"/>
  <c r="AF42" i="17"/>
  <c r="W42" i="17"/>
  <c r="N42" i="17"/>
  <c r="AE42" i="17" s="1"/>
  <c r="H42" i="17"/>
  <c r="E42" i="17"/>
  <c r="AB42" i="17" s="1"/>
  <c r="AF41" i="17"/>
  <c r="W41" i="17"/>
  <c r="N41" i="17"/>
  <c r="H41" i="17"/>
  <c r="E41" i="17"/>
  <c r="AB41" i="17" s="1"/>
  <c r="AE41" i="17" s="1"/>
  <c r="AF40" i="17"/>
  <c r="AB40" i="17"/>
  <c r="W40" i="17"/>
  <c r="N40" i="17"/>
  <c r="E40" i="17"/>
  <c r="AF39" i="17"/>
  <c r="W39" i="17"/>
  <c r="N39" i="17"/>
  <c r="H39" i="17"/>
  <c r="E39" i="17"/>
  <c r="AB39" i="17" s="1"/>
  <c r="AE39" i="17" s="1"/>
  <c r="AF38" i="17"/>
  <c r="W38" i="17"/>
  <c r="N38" i="17"/>
  <c r="E38" i="17"/>
  <c r="H38" i="17" s="1"/>
  <c r="W37" i="17"/>
  <c r="N37" i="17"/>
  <c r="E37" i="17"/>
  <c r="AF36" i="17"/>
  <c r="W36" i="17"/>
  <c r="N36" i="17"/>
  <c r="AE36" i="17" s="1"/>
  <c r="H36" i="17"/>
  <c r="E36" i="17"/>
  <c r="AB36" i="17" s="1"/>
  <c r="AF35" i="17"/>
  <c r="AE35" i="17"/>
  <c r="W35" i="17"/>
  <c r="N35" i="17"/>
  <c r="E35" i="17"/>
  <c r="AB35" i="17" s="1"/>
  <c r="W34" i="17"/>
  <c r="N34" i="17"/>
  <c r="E34" i="17"/>
  <c r="H34" i="17" s="1"/>
  <c r="AF33" i="17"/>
  <c r="W33" i="17"/>
  <c r="N33" i="17"/>
  <c r="AE33" i="17" s="1"/>
  <c r="H33" i="17"/>
  <c r="E33" i="17"/>
  <c r="AB33" i="17" s="1"/>
  <c r="AF32" i="17"/>
  <c r="W32" i="17"/>
  <c r="N32" i="17"/>
  <c r="H32" i="17"/>
  <c r="E32" i="17"/>
  <c r="AB32" i="17" s="1"/>
  <c r="AF31" i="17"/>
  <c r="W31" i="17"/>
  <c r="N31" i="17"/>
  <c r="H31" i="17"/>
  <c r="E31" i="17"/>
  <c r="AD27" i="17"/>
  <c r="AA27" i="17"/>
  <c r="Z27" i="17"/>
  <c r="Y27" i="17"/>
  <c r="X27" i="17"/>
  <c r="V27" i="17"/>
  <c r="U27" i="17"/>
  <c r="T27" i="17"/>
  <c r="S27" i="17"/>
  <c r="R27" i="17"/>
  <c r="Q27" i="17"/>
  <c r="P27" i="17"/>
  <c r="O27" i="17"/>
  <c r="M27" i="17"/>
  <c r="L27" i="17"/>
  <c r="K27" i="17"/>
  <c r="J27" i="17"/>
  <c r="I27" i="17"/>
  <c r="G27" i="17"/>
  <c r="F27" i="17"/>
  <c r="D27" i="17"/>
  <c r="C27" i="17"/>
  <c r="AF26" i="17"/>
  <c r="AB26" i="17"/>
  <c r="N26" i="17"/>
  <c r="H26" i="17"/>
  <c r="AF25" i="17"/>
  <c r="AB25" i="17"/>
  <c r="AE25" i="17" s="1"/>
  <c r="N25" i="17"/>
  <c r="AF24" i="17"/>
  <c r="AB24" i="17"/>
  <c r="AE24" i="17" s="1"/>
  <c r="N24" i="17"/>
  <c r="H24" i="17"/>
  <c r="AE23" i="17"/>
  <c r="X23" i="17"/>
  <c r="AF23" i="17" s="1"/>
  <c r="W23" i="17"/>
  <c r="N23" i="17"/>
  <c r="E23" i="17"/>
  <c r="AF22" i="17"/>
  <c r="X22" i="17"/>
  <c r="W22" i="17"/>
  <c r="AE22" i="17" s="1"/>
  <c r="N22" i="17"/>
  <c r="E22" i="17"/>
  <c r="AE21" i="17"/>
  <c r="X21" i="17"/>
  <c r="AF21" i="17" s="1"/>
  <c r="W21" i="17"/>
  <c r="N21" i="17"/>
  <c r="E21" i="17"/>
  <c r="AF20" i="17"/>
  <c r="X20" i="17"/>
  <c r="W20" i="17"/>
  <c r="AE20" i="17" s="1"/>
  <c r="N20" i="17"/>
  <c r="E20" i="17"/>
  <c r="AE19" i="17"/>
  <c r="X19" i="17"/>
  <c r="AF19" i="17" s="1"/>
  <c r="W19" i="17"/>
  <c r="N19" i="17"/>
  <c r="E19" i="17"/>
  <c r="AF18" i="17"/>
  <c r="X18" i="17"/>
  <c r="W18" i="17"/>
  <c r="AE18" i="17" s="1"/>
  <c r="N18" i="17"/>
  <c r="E18" i="17"/>
  <c r="AE17" i="17"/>
  <c r="X17" i="17"/>
  <c r="AF17" i="17" s="1"/>
  <c r="W17" i="17"/>
  <c r="N17" i="17"/>
  <c r="E17" i="17"/>
  <c r="AF16" i="17"/>
  <c r="W16" i="17"/>
  <c r="N16" i="17"/>
  <c r="AE16" i="17" s="1"/>
  <c r="E16" i="17"/>
  <c r="AB16" i="17" s="1"/>
  <c r="W15" i="17"/>
  <c r="N15" i="17"/>
  <c r="E15" i="17"/>
  <c r="AF15" i="17" s="1"/>
  <c r="AF14" i="17"/>
  <c r="W14" i="17"/>
  <c r="N14" i="17"/>
  <c r="AE14" i="17" s="1"/>
  <c r="E14" i="17"/>
  <c r="AB14" i="17" s="1"/>
  <c r="AF13" i="17"/>
  <c r="AB13" i="17"/>
  <c r="W13" i="17"/>
  <c r="AE13" i="17" s="1"/>
  <c r="N13" i="17"/>
  <c r="E13" i="17"/>
  <c r="AF12" i="17"/>
  <c r="W12" i="17"/>
  <c r="N12" i="17"/>
  <c r="H12" i="17"/>
  <c r="E12" i="17"/>
  <c r="AB12" i="17" s="1"/>
  <c r="AF11" i="17"/>
  <c r="W11" i="17"/>
  <c r="N11" i="17"/>
  <c r="H11" i="17"/>
  <c r="E11" i="17"/>
  <c r="AB11" i="17" s="1"/>
  <c r="AE11" i="17" s="1"/>
  <c r="AB10" i="17"/>
  <c r="W10" i="17"/>
  <c r="AE10" i="17" s="1"/>
  <c r="N10" i="17"/>
  <c r="E10" i="17"/>
  <c r="AF9" i="17"/>
  <c r="W9" i="17"/>
  <c r="N9" i="17"/>
  <c r="E9" i="17"/>
  <c r="H9" i="17" s="1"/>
  <c r="AF8" i="17"/>
  <c r="W8" i="17"/>
  <c r="N8" i="17"/>
  <c r="AE8" i="17" s="1"/>
  <c r="E8" i="17"/>
  <c r="AB8" i="17" s="1"/>
  <c r="AB7" i="17"/>
  <c r="W7" i="17"/>
  <c r="AE7" i="17" s="1"/>
  <c r="N7" i="17"/>
  <c r="E7" i="17"/>
  <c r="AF6" i="17"/>
  <c r="W6" i="17"/>
  <c r="N6" i="17"/>
  <c r="E6" i="17"/>
  <c r="H6" i="17" s="1"/>
  <c r="AF5" i="17"/>
  <c r="W5" i="17"/>
  <c r="N5" i="17"/>
  <c r="AE5" i="17" s="1"/>
  <c r="H5" i="17"/>
  <c r="E5" i="17"/>
  <c r="AB5" i="17" s="1"/>
  <c r="W4" i="17"/>
  <c r="N4" i="17"/>
  <c r="H4" i="17"/>
  <c r="E4" i="17"/>
  <c r="AB4" i="17" s="1"/>
  <c r="AE4" i="17" s="1"/>
  <c r="AF3" i="17"/>
  <c r="W3" i="17"/>
  <c r="N3" i="17"/>
  <c r="E3" i="17"/>
  <c r="AD110" i="16"/>
  <c r="AA110" i="16"/>
  <c r="Z110" i="16"/>
  <c r="Y110" i="16"/>
  <c r="X110" i="16"/>
  <c r="V110" i="16"/>
  <c r="U110" i="16"/>
  <c r="T110" i="16"/>
  <c r="S110" i="16"/>
  <c r="R110" i="16"/>
  <c r="Q110" i="16"/>
  <c r="P110" i="16"/>
  <c r="O110" i="16"/>
  <c r="M110" i="16"/>
  <c r="L110" i="16"/>
  <c r="K110" i="16"/>
  <c r="J110" i="16"/>
  <c r="I110" i="16"/>
  <c r="G110" i="16"/>
  <c r="F110" i="16"/>
  <c r="D110" i="16"/>
  <c r="C110" i="16"/>
  <c r="AF109" i="16"/>
  <c r="AB109" i="16"/>
  <c r="AE109" i="16" s="1"/>
  <c r="AF108" i="16"/>
  <c r="AB108" i="16"/>
  <c r="AE108" i="16" s="1"/>
  <c r="N108" i="16"/>
  <c r="AF107" i="16"/>
  <c r="AB107" i="16"/>
  <c r="N107" i="16"/>
  <c r="H107" i="16"/>
  <c r="AF106" i="16"/>
  <c r="AB106" i="16"/>
  <c r="AE106" i="16" s="1"/>
  <c r="N106" i="16"/>
  <c r="H106" i="16"/>
  <c r="AF105" i="16"/>
  <c r="AB105" i="16"/>
  <c r="X105" i="16"/>
  <c r="W105" i="16"/>
  <c r="N105" i="16"/>
  <c r="AE105" i="16" s="1"/>
  <c r="H105" i="16"/>
  <c r="E105" i="16"/>
  <c r="AF104" i="16"/>
  <c r="AB104" i="16"/>
  <c r="X104" i="16"/>
  <c r="W104" i="16"/>
  <c r="N104" i="16"/>
  <c r="AE104" i="16" s="1"/>
  <c r="H104" i="16"/>
  <c r="E104" i="16"/>
  <c r="AF103" i="16"/>
  <c r="AB103" i="16"/>
  <c r="X103" i="16"/>
  <c r="W103" i="16"/>
  <c r="N103" i="16"/>
  <c r="AE103" i="16" s="1"/>
  <c r="H103" i="16"/>
  <c r="E103" i="16"/>
  <c r="AF102" i="16"/>
  <c r="AB102" i="16"/>
  <c r="X102" i="16"/>
  <c r="W102" i="16"/>
  <c r="N102" i="16"/>
  <c r="AE102" i="16" s="1"/>
  <c r="H102" i="16"/>
  <c r="E102" i="16"/>
  <c r="AF101" i="16"/>
  <c r="AE101" i="16"/>
  <c r="W101" i="16"/>
  <c r="N101" i="16"/>
  <c r="E101" i="16"/>
  <c r="AB101" i="16" s="1"/>
  <c r="AF100" i="16"/>
  <c r="AB100" i="16"/>
  <c r="W100" i="16"/>
  <c r="N100" i="16"/>
  <c r="AE100" i="16" s="1"/>
  <c r="E100" i="16"/>
  <c r="W99" i="16"/>
  <c r="N99" i="16"/>
  <c r="H99" i="16"/>
  <c r="E99" i="16"/>
  <c r="AB99" i="16" s="1"/>
  <c r="AE99" i="16" s="1"/>
  <c r="AF98" i="16"/>
  <c r="AB98" i="16"/>
  <c r="W98" i="16"/>
  <c r="AE98" i="16" s="1"/>
  <c r="N98" i="16"/>
  <c r="E98" i="16"/>
  <c r="AF97" i="16"/>
  <c r="W97" i="16"/>
  <c r="N97" i="16"/>
  <c r="AE97" i="16" s="1"/>
  <c r="E97" i="16"/>
  <c r="AB97" i="16" s="1"/>
  <c r="AF96" i="16"/>
  <c r="AB96" i="16"/>
  <c r="W96" i="16"/>
  <c r="AE96" i="16" s="1"/>
  <c r="E96" i="16"/>
  <c r="AF95" i="16"/>
  <c r="W95" i="16"/>
  <c r="N95" i="16"/>
  <c r="H95" i="16"/>
  <c r="E95" i="16"/>
  <c r="AB95" i="16" s="1"/>
  <c r="AE95" i="16" s="1"/>
  <c r="AB94" i="16"/>
  <c r="W94" i="16"/>
  <c r="N94" i="16"/>
  <c r="E94" i="16"/>
  <c r="AF93" i="16"/>
  <c r="AB93" i="16"/>
  <c r="W93" i="16"/>
  <c r="N93" i="16"/>
  <c r="AE93" i="16" s="1"/>
  <c r="E93" i="16"/>
  <c r="AF92" i="16"/>
  <c r="AE92" i="16"/>
  <c r="W92" i="16"/>
  <c r="N92" i="16"/>
  <c r="E92" i="16"/>
  <c r="AB92" i="16" s="1"/>
  <c r="AF91" i="16"/>
  <c r="W91" i="16"/>
  <c r="N91" i="16"/>
  <c r="E91" i="16"/>
  <c r="H91" i="16" s="1"/>
  <c r="AF90" i="16"/>
  <c r="W90" i="16"/>
  <c r="N90" i="16"/>
  <c r="AE90" i="16" s="1"/>
  <c r="H90" i="16"/>
  <c r="E90" i="16"/>
  <c r="AB90" i="16" s="1"/>
  <c r="W89" i="16"/>
  <c r="N89" i="16"/>
  <c r="H89" i="16"/>
  <c r="E89" i="16"/>
  <c r="AB89" i="16" s="1"/>
  <c r="AE89" i="16" s="1"/>
  <c r="AB88" i="16"/>
  <c r="W88" i="16"/>
  <c r="N88" i="16"/>
  <c r="E88" i="16"/>
  <c r="AF87" i="16"/>
  <c r="W87" i="16"/>
  <c r="N87" i="16"/>
  <c r="E87" i="16"/>
  <c r="H87" i="16" s="1"/>
  <c r="AD83" i="16"/>
  <c r="AA83" i="16"/>
  <c r="Z83" i="16"/>
  <c r="Y83" i="16"/>
  <c r="V83" i="16"/>
  <c r="U83" i="16"/>
  <c r="T83" i="16"/>
  <c r="S83" i="16"/>
  <c r="R83" i="16"/>
  <c r="Q83" i="16"/>
  <c r="O83" i="16"/>
  <c r="M83" i="16"/>
  <c r="L83" i="16"/>
  <c r="K83" i="16"/>
  <c r="I83" i="16"/>
  <c r="G83" i="16"/>
  <c r="F83" i="16"/>
  <c r="D83" i="16"/>
  <c r="C83" i="16"/>
  <c r="AF82" i="16"/>
  <c r="AB82" i="16"/>
  <c r="AE82" i="16" s="1"/>
  <c r="H82" i="16"/>
  <c r="AF81" i="16"/>
  <c r="AB81" i="16"/>
  <c r="N81" i="16"/>
  <c r="AF80" i="16"/>
  <c r="AB80" i="16"/>
  <c r="AE80" i="16" s="1"/>
  <c r="N80" i="16"/>
  <c r="AF79" i="16"/>
  <c r="AB79" i="16"/>
  <c r="N79" i="16"/>
  <c r="H79" i="16"/>
  <c r="AB78" i="16"/>
  <c r="X78" i="16"/>
  <c r="AF78" i="16" s="1"/>
  <c r="W78" i="16"/>
  <c r="N78" i="16"/>
  <c r="H78" i="16"/>
  <c r="E78" i="16"/>
  <c r="AB77" i="16"/>
  <c r="X77" i="16"/>
  <c r="AF77" i="16" s="1"/>
  <c r="W77" i="16"/>
  <c r="N77" i="16"/>
  <c r="H77" i="16"/>
  <c r="E77" i="16"/>
  <c r="AB76" i="16"/>
  <c r="X76" i="16"/>
  <c r="AF76" i="16" s="1"/>
  <c r="W76" i="16"/>
  <c r="N76" i="16"/>
  <c r="H76" i="16"/>
  <c r="E76" i="16"/>
  <c r="AB75" i="16"/>
  <c r="X75" i="16"/>
  <c r="AF75" i="16" s="1"/>
  <c r="W75" i="16"/>
  <c r="N75" i="16"/>
  <c r="H75" i="16"/>
  <c r="E75" i="16"/>
  <c r="AF74" i="16"/>
  <c r="AB74" i="16"/>
  <c r="W74" i="16"/>
  <c r="AE74" i="16" s="1"/>
  <c r="N74" i="16"/>
  <c r="E74" i="16"/>
  <c r="H74" i="16" s="1"/>
  <c r="W73" i="16"/>
  <c r="P73" i="16"/>
  <c r="N73" i="16"/>
  <c r="E73" i="16"/>
  <c r="AF72" i="16"/>
  <c r="W72" i="16"/>
  <c r="N72" i="16"/>
  <c r="E72" i="16"/>
  <c r="H72" i="16" s="1"/>
  <c r="AF71" i="16"/>
  <c r="W71" i="16"/>
  <c r="N71" i="16"/>
  <c r="E71" i="16"/>
  <c r="AB71" i="16" s="1"/>
  <c r="AF70" i="16"/>
  <c r="AB70" i="16"/>
  <c r="W70" i="16"/>
  <c r="N70" i="16"/>
  <c r="E70" i="16"/>
  <c r="H70" i="16" s="1"/>
  <c r="AF69" i="16"/>
  <c r="W69" i="16"/>
  <c r="E69" i="16"/>
  <c r="AB69" i="16" s="1"/>
  <c r="AF68" i="16"/>
  <c r="AB68" i="16"/>
  <c r="W68" i="16"/>
  <c r="N68" i="16"/>
  <c r="E68" i="16"/>
  <c r="H68" i="16" s="1"/>
  <c r="AF67" i="16"/>
  <c r="W67" i="16"/>
  <c r="N67" i="16"/>
  <c r="E67" i="16"/>
  <c r="H67" i="16" s="1"/>
  <c r="AF66" i="16"/>
  <c r="W66" i="16"/>
  <c r="N66" i="16"/>
  <c r="J66" i="16"/>
  <c r="J83" i="16" s="1"/>
  <c r="E66" i="16"/>
  <c r="AB66" i="16" s="1"/>
  <c r="AF65" i="16"/>
  <c r="W65" i="16"/>
  <c r="N65" i="16"/>
  <c r="E65" i="16"/>
  <c r="AB65" i="16" s="1"/>
  <c r="W64" i="16"/>
  <c r="N64" i="16"/>
  <c r="E64" i="16"/>
  <c r="AF63" i="16"/>
  <c r="W63" i="16"/>
  <c r="N63" i="16"/>
  <c r="E63" i="16"/>
  <c r="H63" i="16" s="1"/>
  <c r="AF62" i="16"/>
  <c r="W62" i="16"/>
  <c r="N62" i="16"/>
  <c r="E62" i="16"/>
  <c r="AB62" i="16" s="1"/>
  <c r="W61" i="16"/>
  <c r="N61" i="16"/>
  <c r="E61" i="16"/>
  <c r="W60" i="16"/>
  <c r="P60" i="16"/>
  <c r="P83" i="16" s="1"/>
  <c r="N60" i="16"/>
  <c r="E60" i="16"/>
  <c r="AF59" i="16"/>
  <c r="W59" i="16"/>
  <c r="W83" i="16" s="1"/>
  <c r="N59" i="16"/>
  <c r="E59" i="16"/>
  <c r="E83" i="16" s="1"/>
  <c r="AD55" i="16"/>
  <c r="AA55" i="16"/>
  <c r="Z55" i="16"/>
  <c r="Y55" i="16"/>
  <c r="V55" i="16"/>
  <c r="U55" i="16"/>
  <c r="T55" i="16"/>
  <c r="S55" i="16"/>
  <c r="R55" i="16"/>
  <c r="Q55" i="16"/>
  <c r="P55" i="16"/>
  <c r="O55" i="16"/>
  <c r="M55" i="16"/>
  <c r="L55" i="16"/>
  <c r="K55" i="16"/>
  <c r="J55" i="16"/>
  <c r="I55" i="16"/>
  <c r="G55" i="16"/>
  <c r="F55" i="16"/>
  <c r="D55" i="16"/>
  <c r="C55" i="16"/>
  <c r="AF54" i="16"/>
  <c r="AB54" i="16"/>
  <c r="AE54" i="16" s="1"/>
  <c r="H54" i="16"/>
  <c r="AF53" i="16"/>
  <c r="AB53" i="16"/>
  <c r="AE53" i="16" s="1"/>
  <c r="N53" i="16"/>
  <c r="AF52" i="16"/>
  <c r="AB52" i="16"/>
  <c r="N52" i="16"/>
  <c r="AF51" i="16"/>
  <c r="AB51" i="16"/>
  <c r="N51" i="16"/>
  <c r="H51" i="16"/>
  <c r="AB50" i="16"/>
  <c r="X50" i="16"/>
  <c r="AF50" i="16" s="1"/>
  <c r="W50" i="16"/>
  <c r="N50" i="16"/>
  <c r="H50" i="16"/>
  <c r="E50" i="16"/>
  <c r="AB49" i="16"/>
  <c r="X49" i="16"/>
  <c r="AF49" i="16" s="1"/>
  <c r="W49" i="16"/>
  <c r="N49" i="16"/>
  <c r="H49" i="16"/>
  <c r="E49" i="16"/>
  <c r="AB48" i="16"/>
  <c r="X48" i="16"/>
  <c r="AF48" i="16" s="1"/>
  <c r="W48" i="16"/>
  <c r="N48" i="16"/>
  <c r="H48" i="16"/>
  <c r="E48" i="16"/>
  <c r="AB47" i="16"/>
  <c r="X47" i="16"/>
  <c r="AF47" i="16" s="1"/>
  <c r="W47" i="16"/>
  <c r="N47" i="16"/>
  <c r="H47" i="16"/>
  <c r="E47" i="16"/>
  <c r="AF46" i="16"/>
  <c r="AB46" i="16"/>
  <c r="W46" i="16"/>
  <c r="AE46" i="16" s="1"/>
  <c r="N46" i="16"/>
  <c r="E46" i="16"/>
  <c r="H46" i="16" s="1"/>
  <c r="AF45" i="16"/>
  <c r="W45" i="16"/>
  <c r="N45" i="16"/>
  <c r="E45" i="16"/>
  <c r="H45" i="16" s="1"/>
  <c r="AF44" i="16"/>
  <c r="W44" i="16"/>
  <c r="N44" i="16"/>
  <c r="AE44" i="16" s="1"/>
  <c r="E44" i="16"/>
  <c r="AB44" i="16" s="1"/>
  <c r="AF43" i="16"/>
  <c r="AB43" i="16"/>
  <c r="W43" i="16"/>
  <c r="AE43" i="16" s="1"/>
  <c r="N43" i="16"/>
  <c r="E43" i="16"/>
  <c r="AF42" i="16"/>
  <c r="W42" i="16"/>
  <c r="N42" i="16"/>
  <c r="H42" i="16"/>
  <c r="E42" i="16"/>
  <c r="AB42" i="16" s="1"/>
  <c r="AF41" i="16"/>
  <c r="AE41" i="16"/>
  <c r="AB41" i="16"/>
  <c r="W41" i="16"/>
  <c r="E41" i="16"/>
  <c r="AF40" i="16"/>
  <c r="W40" i="16"/>
  <c r="N40" i="16"/>
  <c r="AE40" i="16" s="1"/>
  <c r="H40" i="16"/>
  <c r="E40" i="16"/>
  <c r="AB40" i="16" s="1"/>
  <c r="W39" i="16"/>
  <c r="N39" i="16"/>
  <c r="H39" i="16"/>
  <c r="E39" i="16"/>
  <c r="AB39" i="16" s="1"/>
  <c r="AE39" i="16" s="1"/>
  <c r="AF38" i="16"/>
  <c r="AB38" i="16"/>
  <c r="W38" i="16"/>
  <c r="N38" i="16"/>
  <c r="E38" i="16"/>
  <c r="H38" i="16" s="1"/>
  <c r="AF37" i="16"/>
  <c r="AB37" i="16"/>
  <c r="W37" i="16"/>
  <c r="N37" i="16"/>
  <c r="AE37" i="16" s="1"/>
  <c r="E37" i="16"/>
  <c r="W36" i="16"/>
  <c r="N36" i="16"/>
  <c r="H36" i="16"/>
  <c r="E36" i="16"/>
  <c r="AB36" i="16" s="1"/>
  <c r="AE36" i="16" s="1"/>
  <c r="AF35" i="16"/>
  <c r="AB35" i="16"/>
  <c r="W35" i="16"/>
  <c r="AE35" i="16" s="1"/>
  <c r="N35" i="16"/>
  <c r="E35" i="16"/>
  <c r="H35" i="16" s="1"/>
  <c r="AF34" i="16"/>
  <c r="AB34" i="16"/>
  <c r="W34" i="16"/>
  <c r="N34" i="16"/>
  <c r="AE34" i="16" s="1"/>
  <c r="E34" i="16"/>
  <c r="W33" i="16"/>
  <c r="N33" i="16"/>
  <c r="H33" i="16"/>
  <c r="E33" i="16"/>
  <c r="AB33" i="16" s="1"/>
  <c r="AE33" i="16" s="1"/>
  <c r="W32" i="16"/>
  <c r="N32" i="16"/>
  <c r="E32" i="16"/>
  <c r="AF31" i="16"/>
  <c r="W31" i="16"/>
  <c r="W55" i="16" s="1"/>
  <c r="N31" i="16"/>
  <c r="E31" i="16"/>
  <c r="E55" i="16" s="1"/>
  <c r="AD27" i="16"/>
  <c r="AA27" i="16"/>
  <c r="Z27" i="16"/>
  <c r="Y27" i="16"/>
  <c r="V27" i="16"/>
  <c r="U27" i="16"/>
  <c r="T27" i="16"/>
  <c r="S27" i="16"/>
  <c r="R27" i="16"/>
  <c r="Q27" i="16"/>
  <c r="P27" i="16"/>
  <c r="O27" i="16"/>
  <c r="M27" i="16"/>
  <c r="L27" i="16"/>
  <c r="K27" i="16"/>
  <c r="J27" i="16"/>
  <c r="I27" i="16"/>
  <c r="G27" i="16"/>
  <c r="F27" i="16"/>
  <c r="D27" i="16"/>
  <c r="C27" i="16"/>
  <c r="AF26" i="16"/>
  <c r="AB26" i="16"/>
  <c r="AE26" i="16" s="1"/>
  <c r="AF25" i="16"/>
  <c r="AE25" i="16"/>
  <c r="AB25" i="16"/>
  <c r="N25" i="16"/>
  <c r="AF24" i="16"/>
  <c r="AE24" i="16"/>
  <c r="AB24" i="16"/>
  <c r="N24" i="16"/>
  <c r="AF23" i="16"/>
  <c r="AE23" i="16"/>
  <c r="AB23" i="16"/>
  <c r="N23" i="16"/>
  <c r="H23" i="16"/>
  <c r="X22" i="16"/>
  <c r="AF22" i="16" s="1"/>
  <c r="W22" i="16"/>
  <c r="AE22" i="16" s="1"/>
  <c r="N22" i="16"/>
  <c r="E22" i="16"/>
  <c r="X21" i="16"/>
  <c r="AF21" i="16" s="1"/>
  <c r="W21" i="16"/>
  <c r="AE21" i="16" s="1"/>
  <c r="N21" i="16"/>
  <c r="E21" i="16"/>
  <c r="X20" i="16"/>
  <c r="AF20" i="16" s="1"/>
  <c r="W20" i="16"/>
  <c r="AE20" i="16" s="1"/>
  <c r="N20" i="16"/>
  <c r="E20" i="16"/>
  <c r="X19" i="16"/>
  <c r="W19" i="16"/>
  <c r="AE19" i="16" s="1"/>
  <c r="N19" i="16"/>
  <c r="E19" i="16"/>
  <c r="AF18" i="16"/>
  <c r="W18" i="16"/>
  <c r="N18" i="16"/>
  <c r="E18" i="16"/>
  <c r="H18" i="16" s="1"/>
  <c r="AF17" i="16"/>
  <c r="W17" i="16"/>
  <c r="N17" i="16"/>
  <c r="H17" i="16"/>
  <c r="E17" i="16"/>
  <c r="AB17" i="16" s="1"/>
  <c r="AF16" i="16"/>
  <c r="AE16" i="16"/>
  <c r="AB16" i="16"/>
  <c r="W16" i="16"/>
  <c r="N16" i="16"/>
  <c r="AF15" i="16"/>
  <c r="W15" i="16"/>
  <c r="N15" i="16"/>
  <c r="E15" i="16"/>
  <c r="AB15" i="16" s="1"/>
  <c r="AF14" i="16"/>
  <c r="AB14" i="16"/>
  <c r="W14" i="16"/>
  <c r="AE14" i="16" s="1"/>
  <c r="N14" i="16"/>
  <c r="E14" i="16"/>
  <c r="H14" i="16" s="1"/>
  <c r="AF13" i="16"/>
  <c r="W13" i="16"/>
  <c r="E13" i="16"/>
  <c r="AB13" i="16" s="1"/>
  <c r="AF12" i="16"/>
  <c r="AB12" i="16"/>
  <c r="W12" i="16"/>
  <c r="AE12" i="16" s="1"/>
  <c r="N12" i="16"/>
  <c r="E12" i="16"/>
  <c r="H12" i="16" s="1"/>
  <c r="AF11" i="16"/>
  <c r="W11" i="16"/>
  <c r="N11" i="16"/>
  <c r="E11" i="16"/>
  <c r="H11" i="16" s="1"/>
  <c r="AF10" i="16"/>
  <c r="W10" i="16"/>
  <c r="N10" i="16"/>
  <c r="AE10" i="16" s="1"/>
  <c r="H10" i="16"/>
  <c r="E10" i="16"/>
  <c r="AB10" i="16" s="1"/>
  <c r="AF9" i="16"/>
  <c r="AE9" i="16"/>
  <c r="W9" i="16"/>
  <c r="N9" i="16"/>
  <c r="E9" i="16"/>
  <c r="AB9" i="16" s="1"/>
  <c r="AF8" i="16"/>
  <c r="W8" i="16"/>
  <c r="N8" i="16"/>
  <c r="E8" i="16"/>
  <c r="H8" i="16" s="1"/>
  <c r="AF7" i="16"/>
  <c r="W7" i="16"/>
  <c r="N7" i="16"/>
  <c r="H7" i="16"/>
  <c r="E7" i="16"/>
  <c r="AB7" i="16" s="1"/>
  <c r="AF6" i="16"/>
  <c r="AE6" i="16"/>
  <c r="W6" i="16"/>
  <c r="N6" i="16"/>
  <c r="E6" i="16"/>
  <c r="AB6" i="16" s="1"/>
  <c r="AF5" i="16"/>
  <c r="W5" i="16"/>
  <c r="W27" i="16" s="1"/>
  <c r="N5" i="16"/>
  <c r="E5" i="16"/>
  <c r="H5" i="16" s="1"/>
  <c r="AF4" i="16"/>
  <c r="W4" i="16"/>
  <c r="N4" i="16"/>
  <c r="H4" i="16"/>
  <c r="E4" i="16"/>
  <c r="AB4" i="16" s="1"/>
  <c r="AF3" i="16"/>
  <c r="W3" i="16"/>
  <c r="N3" i="16"/>
  <c r="H3" i="16"/>
  <c r="E3" i="16"/>
  <c r="AB3" i="16" s="1"/>
  <c r="AD115" i="15"/>
  <c r="AA115" i="15"/>
  <c r="Z115" i="15"/>
  <c r="Y115" i="15"/>
  <c r="X115" i="15"/>
  <c r="V115" i="15"/>
  <c r="U115" i="15"/>
  <c r="T115" i="15"/>
  <c r="S115" i="15"/>
  <c r="R115" i="15"/>
  <c r="Q115" i="15"/>
  <c r="P115" i="15"/>
  <c r="O115" i="15"/>
  <c r="M115" i="15"/>
  <c r="L115" i="15"/>
  <c r="K115" i="15"/>
  <c r="J115" i="15"/>
  <c r="I115" i="15"/>
  <c r="G115" i="15"/>
  <c r="F115" i="15"/>
  <c r="D115" i="15"/>
  <c r="C115" i="15"/>
  <c r="AF114" i="15"/>
  <c r="AB114" i="15"/>
  <c r="AE114" i="15" s="1"/>
  <c r="E114" i="15"/>
  <c r="AF113" i="15"/>
  <c r="AB113" i="15"/>
  <c r="AE113" i="15" s="1"/>
  <c r="N113" i="15"/>
  <c r="E113" i="15"/>
  <c r="AF112" i="15"/>
  <c r="AE112" i="15"/>
  <c r="N112" i="15"/>
  <c r="H112" i="15"/>
  <c r="E112" i="15"/>
  <c r="AB112" i="15" s="1"/>
  <c r="AF111" i="15"/>
  <c r="AB111" i="15"/>
  <c r="N111" i="15"/>
  <c r="E111" i="15"/>
  <c r="AF110" i="15"/>
  <c r="AB110" i="15"/>
  <c r="X110" i="15"/>
  <c r="W110" i="15"/>
  <c r="N110" i="15"/>
  <c r="AE110" i="15" s="1"/>
  <c r="H110" i="15"/>
  <c r="E110" i="15"/>
  <c r="AF109" i="15"/>
  <c r="AB109" i="15"/>
  <c r="X109" i="15"/>
  <c r="W109" i="15"/>
  <c r="N109" i="15"/>
  <c r="AE109" i="15" s="1"/>
  <c r="H109" i="15"/>
  <c r="E109" i="15"/>
  <c r="AF108" i="15"/>
  <c r="AB108" i="15"/>
  <c r="X108" i="15"/>
  <c r="W108" i="15"/>
  <c r="N108" i="15"/>
  <c r="AE108" i="15" s="1"/>
  <c r="H108" i="15"/>
  <c r="E108" i="15"/>
  <c r="AF107" i="15"/>
  <c r="AB107" i="15"/>
  <c r="X107" i="15"/>
  <c r="W107" i="15"/>
  <c r="N107" i="15"/>
  <c r="AE107" i="15" s="1"/>
  <c r="H107" i="15"/>
  <c r="E107" i="15"/>
  <c r="AF106" i="15"/>
  <c r="AB106" i="15"/>
  <c r="AE106" i="15" s="1"/>
  <c r="W106" i="15"/>
  <c r="N106" i="15"/>
  <c r="E106" i="15"/>
  <c r="AF105" i="15"/>
  <c r="W105" i="15"/>
  <c r="N105" i="15"/>
  <c r="E105" i="15"/>
  <c r="H105" i="15" s="1"/>
  <c r="AF104" i="15"/>
  <c r="W104" i="15"/>
  <c r="N104" i="15"/>
  <c r="AE104" i="15" s="1"/>
  <c r="H104" i="15"/>
  <c r="E104" i="15"/>
  <c r="AB104" i="15" s="1"/>
  <c r="AF103" i="15"/>
  <c r="AB103" i="15"/>
  <c r="AE103" i="15" s="1"/>
  <c r="W103" i="15"/>
  <c r="N103" i="15"/>
  <c r="E103" i="15"/>
  <c r="AF102" i="15"/>
  <c r="W102" i="15"/>
  <c r="N102" i="15"/>
  <c r="E102" i="15"/>
  <c r="H102" i="15" s="1"/>
  <c r="AF101" i="15"/>
  <c r="AE101" i="15"/>
  <c r="E101" i="15"/>
  <c r="AF100" i="15"/>
  <c r="W100" i="15"/>
  <c r="N100" i="15"/>
  <c r="H100" i="15"/>
  <c r="E100" i="15"/>
  <c r="AB100" i="15" s="1"/>
  <c r="AE100" i="15" s="1"/>
  <c r="AB99" i="15"/>
  <c r="W99" i="15"/>
  <c r="AE99" i="15" s="1"/>
  <c r="N99" i="15"/>
  <c r="E99" i="15"/>
  <c r="AF98" i="15"/>
  <c r="E98" i="15"/>
  <c r="AE98" i="15" s="1"/>
  <c r="AF97" i="15"/>
  <c r="W97" i="15"/>
  <c r="N97" i="15"/>
  <c r="AE97" i="15" s="1"/>
  <c r="H97" i="15"/>
  <c r="E97" i="15"/>
  <c r="AB97" i="15" s="1"/>
  <c r="W96" i="15"/>
  <c r="N96" i="15"/>
  <c r="E96" i="15"/>
  <c r="AF96" i="15" s="1"/>
  <c r="AF95" i="15"/>
  <c r="W95" i="15"/>
  <c r="N95" i="15"/>
  <c r="E95" i="15"/>
  <c r="H95" i="15" s="1"/>
  <c r="AF94" i="15"/>
  <c r="AB94" i="15"/>
  <c r="W94" i="15"/>
  <c r="N94" i="15"/>
  <c r="AE94" i="15" s="1"/>
  <c r="E94" i="15"/>
  <c r="W93" i="15"/>
  <c r="N93" i="15"/>
  <c r="E93" i="15"/>
  <c r="AF93" i="15" s="1"/>
  <c r="AB92" i="15"/>
  <c r="W92" i="15"/>
  <c r="N92" i="15"/>
  <c r="E92" i="15"/>
  <c r="AF91" i="15"/>
  <c r="W91" i="15"/>
  <c r="N91" i="15"/>
  <c r="E91" i="15"/>
  <c r="H91" i="15" s="1"/>
  <c r="AD87" i="15"/>
  <c r="AA87" i="15"/>
  <c r="Z87" i="15"/>
  <c r="Y87" i="15"/>
  <c r="V87" i="15"/>
  <c r="U87" i="15"/>
  <c r="T87" i="15"/>
  <c r="S87" i="15"/>
  <c r="R87" i="15"/>
  <c r="Q87" i="15"/>
  <c r="P87" i="15"/>
  <c r="O87" i="15"/>
  <c r="M87" i="15"/>
  <c r="L87" i="15"/>
  <c r="K87" i="15"/>
  <c r="J87" i="15"/>
  <c r="G87" i="15"/>
  <c r="F87" i="15"/>
  <c r="D87" i="15"/>
  <c r="C87" i="15"/>
  <c r="AF86" i="15"/>
  <c r="AB86" i="15"/>
  <c r="AE86" i="15" s="1"/>
  <c r="H86" i="15"/>
  <c r="AF85" i="15"/>
  <c r="AB85" i="15"/>
  <c r="AE85" i="15" s="1"/>
  <c r="N85" i="15"/>
  <c r="AF84" i="15"/>
  <c r="AB84" i="15"/>
  <c r="N84" i="15"/>
  <c r="H84" i="15"/>
  <c r="AF83" i="15"/>
  <c r="AF82" i="15"/>
  <c r="AE82" i="15"/>
  <c r="AB82" i="15"/>
  <c r="N82" i="15"/>
  <c r="H82" i="15"/>
  <c r="AF81" i="15"/>
  <c r="X81" i="15"/>
  <c r="W81" i="15"/>
  <c r="AE81" i="15" s="1"/>
  <c r="N81" i="15"/>
  <c r="E81" i="15"/>
  <c r="AB81" i="15" s="1"/>
  <c r="AF80" i="15"/>
  <c r="AE80" i="15"/>
  <c r="X80" i="15"/>
  <c r="W80" i="15"/>
  <c r="N80" i="15"/>
  <c r="E80" i="15"/>
  <c r="AB80" i="15" s="1"/>
  <c r="AF79" i="15"/>
  <c r="X79" i="15"/>
  <c r="W79" i="15"/>
  <c r="N79" i="15"/>
  <c r="E79" i="15"/>
  <c r="AB79" i="15" s="1"/>
  <c r="AF78" i="15"/>
  <c r="AE78" i="15"/>
  <c r="X78" i="15"/>
  <c r="X87" i="15" s="1"/>
  <c r="W78" i="15"/>
  <c r="N78" i="15"/>
  <c r="E78" i="15"/>
  <c r="AB78" i="15" s="1"/>
  <c r="AF77" i="15"/>
  <c r="W77" i="15"/>
  <c r="N77" i="15"/>
  <c r="AE77" i="15" s="1"/>
  <c r="H77" i="15"/>
  <c r="E77" i="15"/>
  <c r="AB77" i="15" s="1"/>
  <c r="AF76" i="15"/>
  <c r="AB76" i="15"/>
  <c r="AE76" i="15" s="1"/>
  <c r="W76" i="15"/>
  <c r="N76" i="15"/>
  <c r="E76" i="15"/>
  <c r="H76" i="15" s="1"/>
  <c r="W75" i="15"/>
  <c r="N75" i="15"/>
  <c r="E75" i="15"/>
  <c r="AF74" i="15"/>
  <c r="W74" i="15"/>
  <c r="N74" i="15"/>
  <c r="E74" i="15"/>
  <c r="H74" i="15" s="1"/>
  <c r="AF73" i="15"/>
  <c r="W73" i="15"/>
  <c r="N73" i="15"/>
  <c r="AE73" i="15" s="1"/>
  <c r="H73" i="15"/>
  <c r="E73" i="15"/>
  <c r="AB73" i="15" s="1"/>
  <c r="AB72" i="15"/>
  <c r="AE72" i="15" s="1"/>
  <c r="W72" i="15"/>
  <c r="N72" i="15"/>
  <c r="E72" i="15"/>
  <c r="AF71" i="15"/>
  <c r="W71" i="15"/>
  <c r="N71" i="15"/>
  <c r="I71" i="15"/>
  <c r="I87" i="15" s="1"/>
  <c r="E71" i="15"/>
  <c r="AB71" i="15" s="1"/>
  <c r="AB70" i="15"/>
  <c r="W70" i="15"/>
  <c r="N70" i="15"/>
  <c r="E70" i="15"/>
  <c r="AF69" i="15"/>
  <c r="AB69" i="15"/>
  <c r="W69" i="15"/>
  <c r="N69" i="15"/>
  <c r="E69" i="15"/>
  <c r="AF68" i="15"/>
  <c r="W68" i="15"/>
  <c r="N68" i="15"/>
  <c r="E68" i="15"/>
  <c r="H68" i="15" s="1"/>
  <c r="AF67" i="15"/>
  <c r="W67" i="15"/>
  <c r="N67" i="15"/>
  <c r="E67" i="15"/>
  <c r="AB67" i="15" s="1"/>
  <c r="E66" i="15"/>
  <c r="AE66" i="15" s="1"/>
  <c r="AF65" i="15"/>
  <c r="W65" i="15"/>
  <c r="N65" i="15"/>
  <c r="H65" i="15"/>
  <c r="E65" i="15"/>
  <c r="AB65" i="15" s="1"/>
  <c r="AE65" i="15" s="1"/>
  <c r="AB64" i="15"/>
  <c r="W64" i="15"/>
  <c r="N64" i="15"/>
  <c r="E64" i="15"/>
  <c r="H64" i="15" s="1"/>
  <c r="AF63" i="15"/>
  <c r="W63" i="15"/>
  <c r="N63" i="15"/>
  <c r="H63" i="15"/>
  <c r="E63" i="15"/>
  <c r="AB63" i="15" s="1"/>
  <c r="AE63" i="15" s="1"/>
  <c r="AF62" i="15"/>
  <c r="W62" i="15"/>
  <c r="N62" i="15"/>
  <c r="E62" i="15"/>
  <c r="AD58" i="15"/>
  <c r="AA58" i="15"/>
  <c r="Z58" i="15"/>
  <c r="Y58" i="15"/>
  <c r="V58" i="15"/>
  <c r="U58" i="15"/>
  <c r="T58" i="15"/>
  <c r="S58" i="15"/>
  <c r="R58" i="15"/>
  <c r="Q58" i="15"/>
  <c r="O58" i="15"/>
  <c r="M58" i="15"/>
  <c r="L58" i="15"/>
  <c r="K58" i="15"/>
  <c r="I58" i="15"/>
  <c r="G58" i="15"/>
  <c r="F58" i="15"/>
  <c r="D58" i="15"/>
  <c r="C58" i="15"/>
  <c r="AF57" i="15"/>
  <c r="AE57" i="15"/>
  <c r="AB57" i="15"/>
  <c r="H57" i="15"/>
  <c r="AE56" i="15"/>
  <c r="AB56" i="15"/>
  <c r="N56" i="15"/>
  <c r="J56" i="15"/>
  <c r="AF56" i="15" s="1"/>
  <c r="H56" i="15"/>
  <c r="AF55" i="15"/>
  <c r="AB55" i="15"/>
  <c r="AE55" i="15" s="1"/>
  <c r="N55" i="15"/>
  <c r="H55" i="15"/>
  <c r="J54" i="15"/>
  <c r="AF54" i="15" s="1"/>
  <c r="AF53" i="15"/>
  <c r="AB53" i="15"/>
  <c r="AE53" i="15" s="1"/>
  <c r="N53" i="15"/>
  <c r="J53" i="15"/>
  <c r="H53" i="15"/>
  <c r="X52" i="15"/>
  <c r="W52" i="15"/>
  <c r="N52" i="15"/>
  <c r="AE52" i="15" s="1"/>
  <c r="E52" i="15"/>
  <c r="AF52" i="15" s="1"/>
  <c r="AB51" i="15"/>
  <c r="X51" i="15"/>
  <c r="AE51" i="15" s="1"/>
  <c r="W51" i="15"/>
  <c r="N51" i="15"/>
  <c r="J51" i="15"/>
  <c r="AF51" i="15" s="1"/>
  <c r="H51" i="15"/>
  <c r="E51" i="15"/>
  <c r="AF50" i="15"/>
  <c r="X50" i="15"/>
  <c r="W50" i="15"/>
  <c r="N50" i="15"/>
  <c r="AE50" i="15" s="1"/>
  <c r="E50" i="15"/>
  <c r="AB50" i="15" s="1"/>
  <c r="X49" i="15"/>
  <c r="W49" i="15"/>
  <c r="N49" i="15"/>
  <c r="E49" i="15"/>
  <c r="AB48" i="15"/>
  <c r="W48" i="15"/>
  <c r="P48" i="15"/>
  <c r="P58" i="15" s="1"/>
  <c r="N48" i="15"/>
  <c r="J48" i="15"/>
  <c r="H48" i="15"/>
  <c r="E48" i="15"/>
  <c r="AF48" i="15" s="1"/>
  <c r="AF47" i="15"/>
  <c r="AB47" i="15"/>
  <c r="AE47" i="15" s="1"/>
  <c r="W47" i="15"/>
  <c r="N47" i="15"/>
  <c r="J47" i="15"/>
  <c r="H47" i="15"/>
  <c r="E47" i="15"/>
  <c r="AF46" i="15"/>
  <c r="AB46" i="15"/>
  <c r="W46" i="15"/>
  <c r="N46" i="15"/>
  <c r="J46" i="15"/>
  <c r="H46" i="15"/>
  <c r="E46" i="15"/>
  <c r="AB45" i="15"/>
  <c r="AE45" i="15" s="1"/>
  <c r="W45" i="15"/>
  <c r="N45" i="15"/>
  <c r="E45" i="15"/>
  <c r="W44" i="15"/>
  <c r="N44" i="15"/>
  <c r="E44" i="15"/>
  <c r="AF44" i="15" s="1"/>
  <c r="AF43" i="15"/>
  <c r="W43" i="15"/>
  <c r="N43" i="15"/>
  <c r="E43" i="15"/>
  <c r="H43" i="15" s="1"/>
  <c r="AF42" i="15"/>
  <c r="W42" i="15"/>
  <c r="N42" i="15"/>
  <c r="H42" i="15"/>
  <c r="E42" i="15"/>
  <c r="AB42" i="15" s="1"/>
  <c r="AE42" i="15" s="1"/>
  <c r="AB41" i="15"/>
  <c r="AE41" i="15" s="1"/>
  <c r="W41" i="15"/>
  <c r="N41" i="15"/>
  <c r="E41" i="15"/>
  <c r="AF41" i="15" s="1"/>
  <c r="AF40" i="15"/>
  <c r="AB40" i="15"/>
  <c r="W40" i="15"/>
  <c r="N40" i="15"/>
  <c r="AE40" i="15" s="1"/>
  <c r="E40" i="15"/>
  <c r="AF39" i="15"/>
  <c r="AB39" i="15"/>
  <c r="AE39" i="15" s="1"/>
  <c r="W39" i="15"/>
  <c r="N39" i="15"/>
  <c r="J39" i="15"/>
  <c r="H39" i="15"/>
  <c r="E39" i="15"/>
  <c r="AF38" i="15"/>
  <c r="AB38" i="15"/>
  <c r="AE38" i="15" s="1"/>
  <c r="W38" i="15"/>
  <c r="N38" i="15"/>
  <c r="E38" i="15"/>
  <c r="AE37" i="15"/>
  <c r="J37" i="15"/>
  <c r="E37" i="15"/>
  <c r="AF36" i="15"/>
  <c r="W36" i="15"/>
  <c r="N36" i="15"/>
  <c r="J36" i="15"/>
  <c r="E36" i="15"/>
  <c r="AB36" i="15" s="1"/>
  <c r="AE36" i="15" s="1"/>
  <c r="AF35" i="15"/>
  <c r="W35" i="15"/>
  <c r="N35" i="15"/>
  <c r="J35" i="15"/>
  <c r="J58" i="15" s="1"/>
  <c r="E35" i="15"/>
  <c r="AB35" i="15" s="1"/>
  <c r="AE35" i="15" s="1"/>
  <c r="AF34" i="15"/>
  <c r="AE34" i="15"/>
  <c r="W34" i="15"/>
  <c r="N34" i="15"/>
  <c r="E34" i="15"/>
  <c r="AB34" i="15" s="1"/>
  <c r="AF33" i="15"/>
  <c r="W33" i="15"/>
  <c r="N33" i="15"/>
  <c r="E33" i="15"/>
  <c r="H33" i="15" s="1"/>
  <c r="AF32" i="15"/>
  <c r="AB32" i="15"/>
  <c r="W32" i="15"/>
  <c r="N32" i="15"/>
  <c r="E32" i="15"/>
  <c r="AD28" i="15"/>
  <c r="AA28" i="15"/>
  <c r="Z28" i="15"/>
  <c r="Y28" i="15"/>
  <c r="V28" i="15"/>
  <c r="U28" i="15"/>
  <c r="T28" i="15"/>
  <c r="S28" i="15"/>
  <c r="R28" i="15"/>
  <c r="Q28" i="15"/>
  <c r="P28" i="15"/>
  <c r="O28" i="15"/>
  <c r="M28" i="15"/>
  <c r="L28" i="15"/>
  <c r="K28" i="15"/>
  <c r="J28" i="15"/>
  <c r="I28" i="15"/>
  <c r="G28" i="15"/>
  <c r="F28" i="15"/>
  <c r="D28" i="15"/>
  <c r="C28" i="15"/>
  <c r="AF27" i="15"/>
  <c r="AE27" i="15"/>
  <c r="AB27" i="15"/>
  <c r="H27" i="15"/>
  <c r="AF26" i="15"/>
  <c r="AE26" i="15"/>
  <c r="AB26" i="15"/>
  <c r="N26" i="15"/>
  <c r="H26" i="15"/>
  <c r="AF25" i="15"/>
  <c r="AB25" i="15"/>
  <c r="AE25" i="15" s="1"/>
  <c r="N25" i="15"/>
  <c r="H25" i="15"/>
  <c r="AF24" i="15"/>
  <c r="AF23" i="15"/>
  <c r="AB23" i="15"/>
  <c r="AE23" i="15" s="1"/>
  <c r="N23" i="15"/>
  <c r="H23" i="15"/>
  <c r="AF22" i="15"/>
  <c r="AE22" i="15"/>
  <c r="X22" i="15"/>
  <c r="W22" i="15"/>
  <c r="N22" i="15"/>
  <c r="E22" i="15"/>
  <c r="AB22" i="15" s="1"/>
  <c r="AF21" i="15"/>
  <c r="AE21" i="15"/>
  <c r="X21" i="15"/>
  <c r="W21" i="15"/>
  <c r="N21" i="15"/>
  <c r="E21" i="15"/>
  <c r="AB21" i="15" s="1"/>
  <c r="AF20" i="15"/>
  <c r="AE20" i="15"/>
  <c r="X20" i="15"/>
  <c r="X28" i="15" s="1"/>
  <c r="W20" i="15"/>
  <c r="N20" i="15"/>
  <c r="E20" i="15"/>
  <c r="AB20" i="15" s="1"/>
  <c r="AF19" i="15"/>
  <c r="W19" i="15"/>
  <c r="N19" i="15"/>
  <c r="H19" i="15"/>
  <c r="E19" i="15"/>
  <c r="AB19" i="15" s="1"/>
  <c r="AE19" i="15" s="1"/>
  <c r="AB18" i="15"/>
  <c r="AE18" i="15" s="1"/>
  <c r="W18" i="15"/>
  <c r="N18" i="15"/>
  <c r="E18" i="15"/>
  <c r="AF18" i="15" s="1"/>
  <c r="AF17" i="15"/>
  <c r="W17" i="15"/>
  <c r="N17" i="15"/>
  <c r="E17" i="15"/>
  <c r="H17" i="15" s="1"/>
  <c r="AF16" i="15"/>
  <c r="W16" i="15"/>
  <c r="N16" i="15"/>
  <c r="H16" i="15"/>
  <c r="E16" i="15"/>
  <c r="AB16" i="15" s="1"/>
  <c r="AE16" i="15" s="1"/>
  <c r="W15" i="15"/>
  <c r="N15" i="15"/>
  <c r="E15" i="15"/>
  <c r="W14" i="15"/>
  <c r="N14" i="15"/>
  <c r="E14" i="15"/>
  <c r="AF14" i="15" s="1"/>
  <c r="AF13" i="15"/>
  <c r="AB13" i="15"/>
  <c r="W13" i="15"/>
  <c r="N13" i="15"/>
  <c r="AE13" i="15" s="1"/>
  <c r="E13" i="15"/>
  <c r="AF12" i="15"/>
  <c r="AB12" i="15"/>
  <c r="AE12" i="15" s="1"/>
  <c r="W12" i="15"/>
  <c r="N12" i="15"/>
  <c r="E12" i="15"/>
  <c r="H12" i="15" s="1"/>
  <c r="AB11" i="15"/>
  <c r="W11" i="15"/>
  <c r="AE11" i="15" s="1"/>
  <c r="N11" i="15"/>
  <c r="E11" i="15"/>
  <c r="AF11" i="15" s="1"/>
  <c r="AF10" i="15"/>
  <c r="W10" i="15"/>
  <c r="N10" i="15"/>
  <c r="E10" i="15"/>
  <c r="AB10" i="15" s="1"/>
  <c r="AE10" i="15" s="1"/>
  <c r="AF9" i="15"/>
  <c r="W9" i="15"/>
  <c r="N9" i="15"/>
  <c r="E9" i="15"/>
  <c r="H9" i="15" s="1"/>
  <c r="AF8" i="15"/>
  <c r="AB8" i="15"/>
  <c r="W8" i="15"/>
  <c r="N8" i="15"/>
  <c r="AE8" i="15" s="1"/>
  <c r="E8" i="15"/>
  <c r="AF7" i="15"/>
  <c r="W7" i="15"/>
  <c r="N7" i="15"/>
  <c r="E7" i="15"/>
  <c r="W6" i="15"/>
  <c r="N6" i="15"/>
  <c r="E6" i="15"/>
  <c r="AF6" i="15" s="1"/>
  <c r="AF5" i="15"/>
  <c r="AB5" i="15"/>
  <c r="W5" i="15"/>
  <c r="N5" i="15"/>
  <c r="E5" i="15"/>
  <c r="AF4" i="15"/>
  <c r="AB4" i="15"/>
  <c r="AE4" i="15" s="1"/>
  <c r="W4" i="15"/>
  <c r="N4" i="15"/>
  <c r="E4" i="15"/>
  <c r="H4" i="15" s="1"/>
  <c r="AB3" i="15"/>
  <c r="W3" i="15"/>
  <c r="N3" i="15"/>
  <c r="E3" i="15"/>
  <c r="AF3" i="15" s="1"/>
  <c r="AD145" i="14"/>
  <c r="AA145" i="14"/>
  <c r="Z145" i="14"/>
  <c r="Y145" i="14"/>
  <c r="V145" i="14"/>
  <c r="U145" i="14"/>
  <c r="T145" i="14"/>
  <c r="S145" i="14"/>
  <c r="R145" i="14"/>
  <c r="Q145" i="14"/>
  <c r="P145" i="14"/>
  <c r="O145" i="14"/>
  <c r="M145" i="14"/>
  <c r="L145" i="14"/>
  <c r="K145" i="14"/>
  <c r="J145" i="14"/>
  <c r="I145" i="14"/>
  <c r="G145" i="14"/>
  <c r="F145" i="14"/>
  <c r="D145" i="14"/>
  <c r="C145" i="14"/>
  <c r="AF144" i="14"/>
  <c r="AB144" i="14"/>
  <c r="AE144" i="14" s="1"/>
  <c r="H144" i="14"/>
  <c r="AF143" i="14"/>
  <c r="AB143" i="14"/>
  <c r="AE143" i="14" s="1"/>
  <c r="N143" i="14"/>
  <c r="H143" i="14"/>
  <c r="AF142" i="14"/>
  <c r="AB142" i="14"/>
  <c r="N142" i="14"/>
  <c r="H142" i="14"/>
  <c r="AF141" i="14"/>
  <c r="AF140" i="14"/>
  <c r="AE140" i="14"/>
  <c r="AB140" i="14"/>
  <c r="N140" i="14"/>
  <c r="H140" i="14"/>
  <c r="AF139" i="14"/>
  <c r="X139" i="14"/>
  <c r="W139" i="14"/>
  <c r="AE139" i="14" s="1"/>
  <c r="N139" i="14"/>
  <c r="E139" i="14"/>
  <c r="AB139" i="14" s="1"/>
  <c r="AF138" i="14"/>
  <c r="X138" i="14"/>
  <c r="W138" i="14"/>
  <c r="AE138" i="14" s="1"/>
  <c r="N138" i="14"/>
  <c r="E138" i="14"/>
  <c r="AB138" i="14" s="1"/>
  <c r="AF137" i="14"/>
  <c r="X137" i="14"/>
  <c r="X145" i="14" s="1"/>
  <c r="W137" i="14"/>
  <c r="AE137" i="14" s="1"/>
  <c r="N137" i="14"/>
  <c r="E137" i="14"/>
  <c r="AB137" i="14" s="1"/>
  <c r="AF136" i="14"/>
  <c r="W136" i="14"/>
  <c r="N136" i="14"/>
  <c r="AE136" i="14" s="1"/>
  <c r="H136" i="14"/>
  <c r="E136" i="14"/>
  <c r="AB136" i="14" s="1"/>
  <c r="W135" i="14"/>
  <c r="N135" i="14"/>
  <c r="E135" i="14"/>
  <c r="W134" i="14"/>
  <c r="N134" i="14"/>
  <c r="E134" i="14"/>
  <c r="AF134" i="14" s="1"/>
  <c r="AF133" i="14"/>
  <c r="W133" i="14"/>
  <c r="N133" i="14"/>
  <c r="AE133" i="14" s="1"/>
  <c r="H133" i="14"/>
  <c r="E133" i="14"/>
  <c r="AB133" i="14" s="1"/>
  <c r="W132" i="14"/>
  <c r="N132" i="14"/>
  <c r="E132" i="14"/>
  <c r="W131" i="14"/>
  <c r="N131" i="14"/>
  <c r="E131" i="14"/>
  <c r="AF131" i="14" s="1"/>
  <c r="AF130" i="14"/>
  <c r="W130" i="14"/>
  <c r="N130" i="14"/>
  <c r="E130" i="14"/>
  <c r="AB130" i="14" s="1"/>
  <c r="AF129" i="14"/>
  <c r="AB129" i="14"/>
  <c r="AE129" i="14" s="1"/>
  <c r="W129" i="14"/>
  <c r="N129" i="14"/>
  <c r="E129" i="14"/>
  <c r="H129" i="14" s="1"/>
  <c r="AB128" i="14"/>
  <c r="W128" i="14"/>
  <c r="N128" i="14"/>
  <c r="AE128" i="14" s="1"/>
  <c r="E128" i="14"/>
  <c r="AF128" i="14" s="1"/>
  <c r="AF127" i="14"/>
  <c r="W127" i="14"/>
  <c r="N127" i="14"/>
  <c r="H127" i="14"/>
  <c r="E127" i="14"/>
  <c r="AB127" i="14" s="1"/>
  <c r="AE127" i="14" s="1"/>
  <c r="AF126" i="14"/>
  <c r="W126" i="14"/>
  <c r="N126" i="14"/>
  <c r="E126" i="14"/>
  <c r="AF125" i="14"/>
  <c r="AB125" i="14"/>
  <c r="W125" i="14"/>
  <c r="N125" i="14"/>
  <c r="AE125" i="14" s="1"/>
  <c r="E125" i="14"/>
  <c r="AF124" i="14"/>
  <c r="W124" i="14"/>
  <c r="N124" i="14"/>
  <c r="H124" i="14"/>
  <c r="E124" i="14"/>
  <c r="AB124" i="14" s="1"/>
  <c r="AE124" i="14" s="1"/>
  <c r="AB123" i="14"/>
  <c r="AE123" i="14" s="1"/>
  <c r="W123" i="14"/>
  <c r="N123" i="14"/>
  <c r="E123" i="14"/>
  <c r="AF122" i="14"/>
  <c r="AB122" i="14"/>
  <c r="W122" i="14"/>
  <c r="N122" i="14"/>
  <c r="E122" i="14"/>
  <c r="AF121" i="14"/>
  <c r="W121" i="14"/>
  <c r="N121" i="14"/>
  <c r="H121" i="14"/>
  <c r="E121" i="14"/>
  <c r="AB121" i="14" s="1"/>
  <c r="AE121" i="14" s="1"/>
  <c r="W120" i="14"/>
  <c r="N120" i="14"/>
  <c r="E120" i="14"/>
  <c r="AB120" i="14" s="1"/>
  <c r="AD115" i="14"/>
  <c r="AA115" i="14"/>
  <c r="Z115" i="14"/>
  <c r="Y115" i="14"/>
  <c r="X115" i="14"/>
  <c r="V115" i="14"/>
  <c r="U115" i="14"/>
  <c r="T115" i="14"/>
  <c r="S115" i="14"/>
  <c r="R115" i="14"/>
  <c r="Q115" i="14"/>
  <c r="P115" i="14"/>
  <c r="O115" i="14"/>
  <c r="M115" i="14"/>
  <c r="L115" i="14"/>
  <c r="K115" i="14"/>
  <c r="J115" i="14"/>
  <c r="I115" i="14"/>
  <c r="G115" i="14"/>
  <c r="F115" i="14"/>
  <c r="D115" i="14"/>
  <c r="C115" i="14"/>
  <c r="AF114" i="14"/>
  <c r="AB114" i="14"/>
  <c r="AE114" i="14" s="1"/>
  <c r="E114" i="14"/>
  <c r="H114" i="14" s="1"/>
  <c r="AF113" i="14"/>
  <c r="AE113" i="14"/>
  <c r="N113" i="14"/>
  <c r="E113" i="14"/>
  <c r="AB113" i="14" s="1"/>
  <c r="AF112" i="14"/>
  <c r="N112" i="14"/>
  <c r="H112" i="14"/>
  <c r="E112" i="14"/>
  <c r="AB112" i="14" s="1"/>
  <c r="AE112" i="14" s="1"/>
  <c r="AF111" i="14"/>
  <c r="E111" i="14"/>
  <c r="AF110" i="14"/>
  <c r="AB110" i="14"/>
  <c r="AE110" i="14" s="1"/>
  <c r="N110" i="14"/>
  <c r="H110" i="14"/>
  <c r="E110" i="14"/>
  <c r="AB109" i="14"/>
  <c r="X109" i="14"/>
  <c r="AF109" i="14" s="1"/>
  <c r="W109" i="14"/>
  <c r="AE109" i="14" s="1"/>
  <c r="N109" i="14"/>
  <c r="H109" i="14"/>
  <c r="E109" i="14"/>
  <c r="AF108" i="14"/>
  <c r="AB108" i="14"/>
  <c r="X108" i="14"/>
  <c r="W108" i="14"/>
  <c r="AE108" i="14" s="1"/>
  <c r="N108" i="14"/>
  <c r="H108" i="14"/>
  <c r="E108" i="14"/>
  <c r="AF107" i="14"/>
  <c r="AB107" i="14"/>
  <c r="X107" i="14"/>
  <c r="W107" i="14"/>
  <c r="AE107" i="14" s="1"/>
  <c r="N107" i="14"/>
  <c r="H107" i="14"/>
  <c r="E107" i="14"/>
  <c r="W106" i="14"/>
  <c r="N106" i="14"/>
  <c r="E106" i="14"/>
  <c r="W105" i="14"/>
  <c r="N105" i="14"/>
  <c r="E105" i="14"/>
  <c r="AF105" i="14" s="1"/>
  <c r="W104" i="14"/>
  <c r="N104" i="14"/>
  <c r="H104" i="14"/>
  <c r="E104" i="14"/>
  <c r="AB104" i="14" s="1"/>
  <c r="AE104" i="14" s="1"/>
  <c r="W103" i="14"/>
  <c r="N103" i="14"/>
  <c r="E103" i="14"/>
  <c r="W102" i="14"/>
  <c r="N102" i="14"/>
  <c r="E102" i="14"/>
  <c r="AF102" i="14" s="1"/>
  <c r="W101" i="14"/>
  <c r="N101" i="14"/>
  <c r="H101" i="14"/>
  <c r="E101" i="14"/>
  <c r="AB101" i="14" s="1"/>
  <c r="AE101" i="14" s="1"/>
  <c r="AF100" i="14"/>
  <c r="AB100" i="14"/>
  <c r="W100" i="14"/>
  <c r="N100" i="14"/>
  <c r="AE100" i="14" s="1"/>
  <c r="E100" i="14"/>
  <c r="AF99" i="14"/>
  <c r="W99" i="14"/>
  <c r="N99" i="14"/>
  <c r="E99" i="14"/>
  <c r="H99" i="14" s="1"/>
  <c r="W98" i="14"/>
  <c r="N98" i="14"/>
  <c r="E98" i="14"/>
  <c r="AF97" i="14"/>
  <c r="W97" i="14"/>
  <c r="N97" i="14"/>
  <c r="H97" i="14"/>
  <c r="E97" i="14"/>
  <c r="AB97" i="14" s="1"/>
  <c r="AF96" i="14"/>
  <c r="W96" i="14"/>
  <c r="N96" i="14"/>
  <c r="E96" i="14"/>
  <c r="H96" i="14" s="1"/>
  <c r="AF95" i="14"/>
  <c r="AE95" i="14"/>
  <c r="W95" i="14"/>
  <c r="N95" i="14"/>
  <c r="E95" i="14"/>
  <c r="AB95" i="14" s="1"/>
  <c r="AF94" i="14"/>
  <c r="W94" i="14"/>
  <c r="N94" i="14"/>
  <c r="H94" i="14"/>
  <c r="E94" i="14"/>
  <c r="AB94" i="14" s="1"/>
  <c r="AF93" i="14"/>
  <c r="W93" i="14"/>
  <c r="N93" i="14"/>
  <c r="E93" i="14"/>
  <c r="H93" i="14" s="1"/>
  <c r="AF92" i="14"/>
  <c r="AE92" i="14"/>
  <c r="W92" i="14"/>
  <c r="N92" i="14"/>
  <c r="E92" i="14"/>
  <c r="AB92" i="14" s="1"/>
  <c r="AF91" i="14"/>
  <c r="W91" i="14"/>
  <c r="AE91" i="14" s="1"/>
  <c r="N91" i="14"/>
  <c r="H91" i="14"/>
  <c r="E91" i="14"/>
  <c r="AB91" i="14" s="1"/>
  <c r="AF90" i="14"/>
  <c r="W90" i="14"/>
  <c r="W115" i="14" s="1"/>
  <c r="N90" i="14"/>
  <c r="E90" i="14"/>
  <c r="H90" i="14" s="1"/>
  <c r="AD86" i="14"/>
  <c r="AA86" i="14"/>
  <c r="Z86" i="14"/>
  <c r="Y86" i="14"/>
  <c r="X86" i="14"/>
  <c r="V86" i="14"/>
  <c r="U86" i="14"/>
  <c r="T86" i="14"/>
  <c r="S86" i="14"/>
  <c r="R86" i="14"/>
  <c r="Q86" i="14"/>
  <c r="P86" i="14"/>
  <c r="O86" i="14"/>
  <c r="M86" i="14"/>
  <c r="L86" i="14"/>
  <c r="K86" i="14"/>
  <c r="J86" i="14"/>
  <c r="I86" i="14"/>
  <c r="G86" i="14"/>
  <c r="F86" i="14"/>
  <c r="D86" i="14"/>
  <c r="C86" i="14"/>
  <c r="AF85" i="14"/>
  <c r="AB85" i="14"/>
  <c r="AE85" i="14" s="1"/>
  <c r="H85" i="14"/>
  <c r="AF84" i="14"/>
  <c r="AB84" i="14"/>
  <c r="AE84" i="14" s="1"/>
  <c r="N84" i="14"/>
  <c r="H84" i="14"/>
  <c r="AF83" i="14"/>
  <c r="AB83" i="14"/>
  <c r="N83" i="14"/>
  <c r="AE83" i="14" s="1"/>
  <c r="H83" i="14"/>
  <c r="AF82" i="14"/>
  <c r="AF81" i="14"/>
  <c r="AE81" i="14"/>
  <c r="AB81" i="14"/>
  <c r="N81" i="14"/>
  <c r="H81" i="14"/>
  <c r="AF80" i="14"/>
  <c r="AB80" i="14"/>
  <c r="X80" i="14"/>
  <c r="W80" i="14"/>
  <c r="AE80" i="14" s="1"/>
  <c r="N80" i="14"/>
  <c r="H80" i="14"/>
  <c r="E80" i="14"/>
  <c r="AF79" i="14"/>
  <c r="AB79" i="14"/>
  <c r="X79" i="14"/>
  <c r="W79" i="14"/>
  <c r="AE79" i="14" s="1"/>
  <c r="N79" i="14"/>
  <c r="H79" i="14"/>
  <c r="E79" i="14"/>
  <c r="AF78" i="14"/>
  <c r="W78" i="14"/>
  <c r="N78" i="14"/>
  <c r="E78" i="14"/>
  <c r="H78" i="14" s="1"/>
  <c r="AF77" i="14"/>
  <c r="W77" i="14"/>
  <c r="N77" i="14"/>
  <c r="H77" i="14"/>
  <c r="E77" i="14"/>
  <c r="AB77" i="14" s="1"/>
  <c r="AE77" i="14" s="1"/>
  <c r="AB76" i="14"/>
  <c r="W76" i="14"/>
  <c r="N76" i="14"/>
  <c r="E76" i="14"/>
  <c r="AF75" i="14"/>
  <c r="W75" i="14"/>
  <c r="N75" i="14"/>
  <c r="H75" i="14"/>
  <c r="E75" i="14"/>
  <c r="AB75" i="14" s="1"/>
  <c r="AF74" i="14"/>
  <c r="AB74" i="14"/>
  <c r="W74" i="14"/>
  <c r="N74" i="14"/>
  <c r="AE74" i="14" s="1"/>
  <c r="E74" i="14"/>
  <c r="AB73" i="14"/>
  <c r="W73" i="14"/>
  <c r="N73" i="14"/>
  <c r="AE73" i="14" s="1"/>
  <c r="E73" i="14"/>
  <c r="AF72" i="14"/>
  <c r="W72" i="14"/>
  <c r="AE72" i="14" s="1"/>
  <c r="N72" i="14"/>
  <c r="H72" i="14"/>
  <c r="E72" i="14"/>
  <c r="AB72" i="14" s="1"/>
  <c r="AF71" i="14"/>
  <c r="AB71" i="14"/>
  <c r="W71" i="14"/>
  <c r="N71" i="14"/>
  <c r="AE71" i="14" s="1"/>
  <c r="E71" i="14"/>
  <c r="AF70" i="14"/>
  <c r="W70" i="14"/>
  <c r="N70" i="14"/>
  <c r="E70" i="14"/>
  <c r="AF69" i="14"/>
  <c r="W69" i="14"/>
  <c r="AE69" i="14" s="1"/>
  <c r="N69" i="14"/>
  <c r="H69" i="14"/>
  <c r="E69" i="14"/>
  <c r="AB69" i="14" s="1"/>
  <c r="AF68" i="14"/>
  <c r="W68" i="14"/>
  <c r="N68" i="14"/>
  <c r="E68" i="14"/>
  <c r="H68" i="14" s="1"/>
  <c r="AF67" i="14"/>
  <c r="AE67" i="14"/>
  <c r="W67" i="14"/>
  <c r="N67" i="14"/>
  <c r="E67" i="14"/>
  <c r="AB67" i="14" s="1"/>
  <c r="AF66" i="14"/>
  <c r="W66" i="14"/>
  <c r="AE66" i="14" s="1"/>
  <c r="N66" i="14"/>
  <c r="E66" i="14"/>
  <c r="AB66" i="14" s="1"/>
  <c r="AF65" i="14"/>
  <c r="W65" i="14"/>
  <c r="N65" i="14"/>
  <c r="H65" i="14"/>
  <c r="E65" i="14"/>
  <c r="AB65" i="14" s="1"/>
  <c r="AE65" i="14" s="1"/>
  <c r="W64" i="14"/>
  <c r="N64" i="14"/>
  <c r="E64" i="14"/>
  <c r="AF63" i="14"/>
  <c r="W63" i="14"/>
  <c r="N63" i="14"/>
  <c r="E63" i="14"/>
  <c r="AB63" i="14" s="1"/>
  <c r="AF62" i="14"/>
  <c r="W62" i="14"/>
  <c r="N62" i="14"/>
  <c r="E62" i="14"/>
  <c r="AF61" i="14"/>
  <c r="W61" i="14"/>
  <c r="N61" i="14"/>
  <c r="H61" i="14"/>
  <c r="E61" i="14"/>
  <c r="AB61" i="14" s="1"/>
  <c r="AD57" i="14"/>
  <c r="AA57" i="14"/>
  <c r="Z57" i="14"/>
  <c r="Y57" i="14"/>
  <c r="W57" i="14"/>
  <c r="V57" i="14"/>
  <c r="U57" i="14"/>
  <c r="T57" i="14"/>
  <c r="S57" i="14"/>
  <c r="R57" i="14"/>
  <c r="Q57" i="14"/>
  <c r="P57" i="14"/>
  <c r="O57" i="14"/>
  <c r="M57" i="14"/>
  <c r="L57" i="14"/>
  <c r="K57" i="14"/>
  <c r="J57" i="14"/>
  <c r="I57" i="14"/>
  <c r="G57" i="14"/>
  <c r="F57" i="14"/>
  <c r="D57" i="14"/>
  <c r="C57" i="14"/>
  <c r="AF56" i="14"/>
  <c r="AE56" i="14"/>
  <c r="AB56" i="14"/>
  <c r="H56" i="14"/>
  <c r="AF55" i="14"/>
  <c r="AB55" i="14"/>
  <c r="N55" i="14"/>
  <c r="AE55" i="14" s="1"/>
  <c r="H55" i="14"/>
  <c r="AF54" i="14"/>
  <c r="AB54" i="14"/>
  <c r="AE54" i="14" s="1"/>
  <c r="N54" i="14"/>
  <c r="H54" i="14"/>
  <c r="AF53" i="14"/>
  <c r="AE53" i="14"/>
  <c r="AB53" i="14"/>
  <c r="N53" i="14"/>
  <c r="H53" i="14"/>
  <c r="AF52" i="14"/>
  <c r="AB52" i="14"/>
  <c r="AE52" i="14" s="1"/>
  <c r="N52" i="14"/>
  <c r="H52" i="14"/>
  <c r="AB51" i="14"/>
  <c r="X51" i="14"/>
  <c r="W51" i="14"/>
  <c r="N51" i="14"/>
  <c r="H51" i="14"/>
  <c r="AF50" i="14"/>
  <c r="W50" i="14"/>
  <c r="N50" i="14"/>
  <c r="E50" i="14"/>
  <c r="H50" i="14" s="1"/>
  <c r="W49" i="14"/>
  <c r="N49" i="14"/>
  <c r="H49" i="14"/>
  <c r="E49" i="14"/>
  <c r="AB49" i="14" s="1"/>
  <c r="AE49" i="14" s="1"/>
  <c r="W48" i="14"/>
  <c r="N48" i="14"/>
  <c r="E48" i="14"/>
  <c r="AF47" i="14"/>
  <c r="W47" i="14"/>
  <c r="AE47" i="14" s="1"/>
  <c r="N47" i="14"/>
  <c r="H47" i="14"/>
  <c r="E47" i="14"/>
  <c r="AB47" i="14" s="1"/>
  <c r="AF46" i="14"/>
  <c r="W46" i="14"/>
  <c r="N46" i="14"/>
  <c r="E46" i="14"/>
  <c r="H46" i="14" s="1"/>
  <c r="W45" i="14"/>
  <c r="N45" i="14"/>
  <c r="H45" i="14"/>
  <c r="E45" i="14"/>
  <c r="AB45" i="14" s="1"/>
  <c r="AE45" i="14" s="1"/>
  <c r="W44" i="14"/>
  <c r="N44" i="14"/>
  <c r="E44" i="14"/>
  <c r="AF44" i="14" s="1"/>
  <c r="AF43" i="14"/>
  <c r="W43" i="14"/>
  <c r="N43" i="14"/>
  <c r="E43" i="14"/>
  <c r="AF42" i="14"/>
  <c r="W42" i="14"/>
  <c r="N42" i="14"/>
  <c r="E42" i="14"/>
  <c r="H42" i="14" s="1"/>
  <c r="AF41" i="14"/>
  <c r="W41" i="14"/>
  <c r="N41" i="14"/>
  <c r="AE41" i="14" s="1"/>
  <c r="H41" i="14"/>
  <c r="E41" i="14"/>
  <c r="AB41" i="14" s="1"/>
  <c r="AF40" i="14"/>
  <c r="W40" i="14"/>
  <c r="N40" i="14"/>
  <c r="H40" i="14"/>
  <c r="E40" i="14"/>
  <c r="AB40" i="14" s="1"/>
  <c r="AE40" i="14" s="1"/>
  <c r="AF39" i="14"/>
  <c r="AB39" i="14"/>
  <c r="W39" i="14"/>
  <c r="AE39" i="14" s="1"/>
  <c r="N39" i="14"/>
  <c r="E39" i="14"/>
  <c r="H39" i="14" s="1"/>
  <c r="AF38" i="14"/>
  <c r="W38" i="14"/>
  <c r="N38" i="14"/>
  <c r="E38" i="14"/>
  <c r="H38" i="14" s="1"/>
  <c r="AF37" i="14"/>
  <c r="W37" i="14"/>
  <c r="N37" i="14"/>
  <c r="H37" i="14"/>
  <c r="E37" i="14"/>
  <c r="AB37" i="14" s="1"/>
  <c r="AE37" i="14" s="1"/>
  <c r="AF36" i="14"/>
  <c r="AB36" i="14"/>
  <c r="AE36" i="14" s="1"/>
  <c r="W36" i="14"/>
  <c r="N36" i="14"/>
  <c r="AF35" i="14"/>
  <c r="AE35" i="14"/>
  <c r="AB35" i="14"/>
  <c r="W35" i="14"/>
  <c r="N35" i="14"/>
  <c r="AF34" i="14"/>
  <c r="AB34" i="14"/>
  <c r="W34" i="14"/>
  <c r="N34" i="14"/>
  <c r="AF33" i="14"/>
  <c r="AB33" i="14"/>
  <c r="W33" i="14"/>
  <c r="N33" i="14"/>
  <c r="E33" i="14"/>
  <c r="AF32" i="14"/>
  <c r="AB32" i="14"/>
  <c r="W32" i="14"/>
  <c r="N32" i="14"/>
  <c r="AC28" i="14"/>
  <c r="Z28" i="14"/>
  <c r="Y28" i="14"/>
  <c r="X28" i="14"/>
  <c r="V28" i="14"/>
  <c r="U28" i="14"/>
  <c r="T28" i="14"/>
  <c r="S28" i="14"/>
  <c r="R28" i="14"/>
  <c r="Q28" i="14"/>
  <c r="P28" i="14"/>
  <c r="O28" i="14"/>
  <c r="M28" i="14"/>
  <c r="L28" i="14"/>
  <c r="K28" i="14"/>
  <c r="J28" i="14"/>
  <c r="I28" i="14"/>
  <c r="G28" i="14"/>
  <c r="F28" i="14"/>
  <c r="D28" i="14"/>
  <c r="C28" i="14"/>
  <c r="AE27" i="14"/>
  <c r="AA27" i="14"/>
  <c r="AD27" i="14" s="1"/>
  <c r="H27" i="14"/>
  <c r="AE26" i="14"/>
  <c r="AA26" i="14"/>
  <c r="N26" i="14"/>
  <c r="H26" i="14"/>
  <c r="AE25" i="14"/>
  <c r="AA25" i="14"/>
  <c r="AD25" i="14" s="1"/>
  <c r="N25" i="14"/>
  <c r="H25" i="14"/>
  <c r="AE24" i="14"/>
  <c r="AD24" i="14"/>
  <c r="AA24" i="14"/>
  <c r="N24" i="14"/>
  <c r="H24" i="14"/>
  <c r="AE23" i="14"/>
  <c r="AA23" i="14"/>
  <c r="N23" i="14"/>
  <c r="H23" i="14"/>
  <c r="W22" i="14"/>
  <c r="N22" i="14"/>
  <c r="H22" i="14"/>
  <c r="E22" i="14"/>
  <c r="AE22" i="14" s="1"/>
  <c r="AA21" i="14"/>
  <c r="W21" i="14"/>
  <c r="N21" i="14"/>
  <c r="E21" i="14"/>
  <c r="H21" i="14" s="1"/>
  <c r="AE20" i="14"/>
  <c r="W20" i="14"/>
  <c r="N20" i="14"/>
  <c r="H20" i="14"/>
  <c r="E20" i="14"/>
  <c r="AA20" i="14" s="1"/>
  <c r="AD20" i="14" s="1"/>
  <c r="W19" i="14"/>
  <c r="N19" i="14"/>
  <c r="E19" i="14"/>
  <c r="AE19" i="14" s="1"/>
  <c r="W18" i="14"/>
  <c r="N18" i="14"/>
  <c r="H18" i="14"/>
  <c r="E18" i="14"/>
  <c r="AE18" i="14" s="1"/>
  <c r="AA17" i="14"/>
  <c r="W17" i="14"/>
  <c r="N17" i="14"/>
  <c r="E17" i="14"/>
  <c r="H17" i="14" s="1"/>
  <c r="AE16" i="14"/>
  <c r="W16" i="14"/>
  <c r="N16" i="14"/>
  <c r="H16" i="14"/>
  <c r="E16" i="14"/>
  <c r="AA16" i="14" s="1"/>
  <c r="AD16" i="14" s="1"/>
  <c r="W15" i="14"/>
  <c r="N15" i="14"/>
  <c r="E15" i="14"/>
  <c r="AE15" i="14" s="1"/>
  <c r="W14" i="14"/>
  <c r="N14" i="14"/>
  <c r="H14" i="14"/>
  <c r="E14" i="14"/>
  <c r="AE14" i="14" s="1"/>
  <c r="W13" i="14"/>
  <c r="N13" i="14"/>
  <c r="E13" i="14"/>
  <c r="AE13" i="14" s="1"/>
  <c r="AE12" i="14"/>
  <c r="W12" i="14"/>
  <c r="N12" i="14"/>
  <c r="E12" i="14"/>
  <c r="H12" i="14" s="1"/>
  <c r="AE11" i="14"/>
  <c r="W11" i="14"/>
  <c r="N11" i="14"/>
  <c r="H11" i="14"/>
  <c r="E11" i="14"/>
  <c r="AA11" i="14" s="1"/>
  <c r="AD11" i="14" s="1"/>
  <c r="AA10" i="14"/>
  <c r="AD10" i="14" s="1"/>
  <c r="W10" i="14"/>
  <c r="N10" i="14"/>
  <c r="E10" i="14"/>
  <c r="W9" i="14"/>
  <c r="N9" i="14"/>
  <c r="E9" i="14"/>
  <c r="AE9" i="14" s="1"/>
  <c r="AE8" i="14"/>
  <c r="W8" i="14"/>
  <c r="N8" i="14"/>
  <c r="E8" i="14"/>
  <c r="H8" i="14" s="1"/>
  <c r="W7" i="14"/>
  <c r="N7" i="14"/>
  <c r="E7" i="14"/>
  <c r="W6" i="14"/>
  <c r="N6" i="14"/>
  <c r="E6" i="14"/>
  <c r="AE6" i="14" s="1"/>
  <c r="AE5" i="14"/>
  <c r="AA5" i="14"/>
  <c r="W5" i="14"/>
  <c r="N5" i="14"/>
  <c r="AD5" i="14" s="1"/>
  <c r="E5" i="14"/>
  <c r="AA4" i="14"/>
  <c r="AD4" i="14" s="1"/>
  <c r="W4" i="14"/>
  <c r="N4" i="14"/>
  <c r="E4" i="14"/>
  <c r="AA3" i="14"/>
  <c r="W3" i="14"/>
  <c r="W28" i="14" s="1"/>
  <c r="N3" i="14"/>
  <c r="E3" i="14"/>
  <c r="AE3" i="14" s="1"/>
  <c r="AC118" i="13"/>
  <c r="Z118" i="13"/>
  <c r="Y118" i="13"/>
  <c r="X118" i="13"/>
  <c r="V118" i="13"/>
  <c r="T118" i="13"/>
  <c r="S118" i="13"/>
  <c r="R118" i="13"/>
  <c r="Q118" i="13"/>
  <c r="O118" i="13"/>
  <c r="M118" i="13"/>
  <c r="L118" i="13"/>
  <c r="K118" i="13"/>
  <c r="J118" i="13"/>
  <c r="I118" i="13"/>
  <c r="G118" i="13"/>
  <c r="F118" i="13"/>
  <c r="D118" i="13"/>
  <c r="C118" i="13"/>
  <c r="AE117" i="13"/>
  <c r="AA117" i="13"/>
  <c r="AD117" i="13" s="1"/>
  <c r="N117" i="13"/>
  <c r="N116" i="13"/>
  <c r="I116" i="13"/>
  <c r="AE116" i="13" s="1"/>
  <c r="E116" i="13"/>
  <c r="H116" i="13" s="1"/>
  <c r="AE115" i="13"/>
  <c r="AA115" i="13"/>
  <c r="AD115" i="13" s="1"/>
  <c r="N115" i="13"/>
  <c r="H115" i="13"/>
  <c r="E115" i="13"/>
  <c r="AE114" i="13"/>
  <c r="AA114" i="13"/>
  <c r="AD114" i="13" s="1"/>
  <c r="N114" i="13"/>
  <c r="E114" i="13"/>
  <c r="H114" i="13" s="1"/>
  <c r="AE113" i="13"/>
  <c r="AA113" i="13"/>
  <c r="AD113" i="13" s="1"/>
  <c r="N113" i="13"/>
  <c r="H113" i="13"/>
  <c r="E113" i="13"/>
  <c r="AA112" i="13"/>
  <c r="AD112" i="13" s="1"/>
  <c r="W112" i="13"/>
  <c r="N112" i="13"/>
  <c r="E112" i="13"/>
  <c r="W111" i="13"/>
  <c r="N111" i="13"/>
  <c r="E111" i="13"/>
  <c r="AE111" i="13" s="1"/>
  <c r="AE110" i="13"/>
  <c r="W110" i="13"/>
  <c r="N110" i="13"/>
  <c r="E110" i="13"/>
  <c r="H110" i="13" s="1"/>
  <c r="AE109" i="13"/>
  <c r="AD109" i="13"/>
  <c r="AA109" i="13"/>
  <c r="W109" i="13"/>
  <c r="N109" i="13"/>
  <c r="AE108" i="13"/>
  <c r="W108" i="13"/>
  <c r="N108" i="13"/>
  <c r="E108" i="13"/>
  <c r="H108" i="13" s="1"/>
  <c r="AE107" i="13"/>
  <c r="W107" i="13"/>
  <c r="N107" i="13"/>
  <c r="H107" i="13"/>
  <c r="E107" i="13"/>
  <c r="AA107" i="13" s="1"/>
  <c r="AD107" i="13" s="1"/>
  <c r="AE106" i="13"/>
  <c r="AA106" i="13"/>
  <c r="AD106" i="13" s="1"/>
  <c r="W106" i="13"/>
  <c r="N106" i="13"/>
  <c r="AE105" i="13"/>
  <c r="W105" i="13"/>
  <c r="N105" i="13"/>
  <c r="H105" i="13"/>
  <c r="E105" i="13"/>
  <c r="AA105" i="13" s="1"/>
  <c r="AD105" i="13" s="1"/>
  <c r="AA104" i="13"/>
  <c r="AD104" i="13" s="1"/>
  <c r="W104" i="13"/>
  <c r="N104" i="13"/>
  <c r="E104" i="13"/>
  <c r="AE103" i="13"/>
  <c r="AA103" i="13"/>
  <c r="W103" i="13"/>
  <c r="AD103" i="13" s="1"/>
  <c r="N103" i="13"/>
  <c r="AA102" i="13"/>
  <c r="AD102" i="13" s="1"/>
  <c r="W102" i="13"/>
  <c r="N102" i="13"/>
  <c r="E102" i="13"/>
  <c r="W101" i="13"/>
  <c r="N101" i="13"/>
  <c r="E101" i="13"/>
  <c r="AE101" i="13" s="1"/>
  <c r="AE100" i="13"/>
  <c r="W100" i="13"/>
  <c r="N100" i="13"/>
  <c r="E100" i="13"/>
  <c r="H100" i="13" s="1"/>
  <c r="AE99" i="13"/>
  <c r="W99" i="13"/>
  <c r="N99" i="13"/>
  <c r="H99" i="13"/>
  <c r="E99" i="13"/>
  <c r="AA99" i="13" s="1"/>
  <c r="AD99" i="13" s="1"/>
  <c r="AA98" i="13"/>
  <c r="AD98" i="13" s="1"/>
  <c r="W98" i="13"/>
  <c r="N98" i="13"/>
  <c r="E98" i="13"/>
  <c r="AE97" i="13"/>
  <c r="AA97" i="13"/>
  <c r="W97" i="13"/>
  <c r="AD97" i="13" s="1"/>
  <c r="N97" i="13"/>
  <c r="AA96" i="13"/>
  <c r="AD96" i="13" s="1"/>
  <c r="W96" i="13"/>
  <c r="N96" i="13"/>
  <c r="E96" i="13"/>
  <c r="AE95" i="13"/>
  <c r="AA95" i="13"/>
  <c r="W95" i="13"/>
  <c r="AD95" i="13" s="1"/>
  <c r="N95" i="13"/>
  <c r="AA94" i="13"/>
  <c r="AD94" i="13" s="1"/>
  <c r="W94" i="13"/>
  <c r="N94" i="13"/>
  <c r="E94" i="13"/>
  <c r="AE93" i="13"/>
  <c r="AA93" i="13"/>
  <c r="W93" i="13"/>
  <c r="N93" i="13"/>
  <c r="AC89" i="13"/>
  <c r="Z89" i="13"/>
  <c r="Y89" i="13"/>
  <c r="X89" i="13"/>
  <c r="V89" i="13"/>
  <c r="T89" i="13"/>
  <c r="S89" i="13"/>
  <c r="R89" i="13"/>
  <c r="Q89" i="13"/>
  <c r="O89" i="13"/>
  <c r="M89" i="13"/>
  <c r="L89" i="13"/>
  <c r="K89" i="13"/>
  <c r="J89" i="13"/>
  <c r="I89" i="13"/>
  <c r="G89" i="13"/>
  <c r="F89" i="13"/>
  <c r="D89" i="13"/>
  <c r="C89" i="13"/>
  <c r="AE88" i="13"/>
  <c r="AA88" i="13"/>
  <c r="AD88" i="13" s="1"/>
  <c r="N88" i="13"/>
  <c r="H88" i="13"/>
  <c r="E88" i="13"/>
  <c r="AE87" i="13"/>
  <c r="AA87" i="13"/>
  <c r="AD87" i="13" s="1"/>
  <c r="N87" i="13"/>
  <c r="E87" i="13"/>
  <c r="H87" i="13" s="1"/>
  <c r="AE86" i="13"/>
  <c r="N86" i="13"/>
  <c r="E86" i="13"/>
  <c r="AA86" i="13" s="1"/>
  <c r="AD86" i="13" s="1"/>
  <c r="AE85" i="13"/>
  <c r="AA85" i="13"/>
  <c r="AD85" i="13" s="1"/>
  <c r="N85" i="13"/>
  <c r="E85" i="13"/>
  <c r="H85" i="13" s="1"/>
  <c r="AE84" i="13"/>
  <c r="N84" i="13"/>
  <c r="E84" i="13"/>
  <c r="AE83" i="13"/>
  <c r="AA83" i="13"/>
  <c r="AD83" i="13" s="1"/>
  <c r="N83" i="13"/>
  <c r="E83" i="13"/>
  <c r="H83" i="13" s="1"/>
  <c r="AE82" i="13"/>
  <c r="W82" i="13"/>
  <c r="N82" i="13"/>
  <c r="H82" i="13"/>
  <c r="E82" i="13"/>
  <c r="AA82" i="13" s="1"/>
  <c r="AD82" i="13" s="1"/>
  <c r="W81" i="13"/>
  <c r="N81" i="13"/>
  <c r="E81" i="13"/>
  <c r="AA81" i="13" s="1"/>
  <c r="AD81" i="13" s="1"/>
  <c r="W80" i="13"/>
  <c r="N80" i="13"/>
  <c r="E80" i="13"/>
  <c r="AE80" i="13" s="1"/>
  <c r="AE79" i="13"/>
  <c r="W79" i="13"/>
  <c r="N79" i="13"/>
  <c r="E79" i="13"/>
  <c r="H79" i="13" s="1"/>
  <c r="AE78" i="13"/>
  <c r="W78" i="13"/>
  <c r="N78" i="13"/>
  <c r="H78" i="13"/>
  <c r="E78" i="13"/>
  <c r="AA78" i="13" s="1"/>
  <c r="AD78" i="13" s="1"/>
  <c r="AA77" i="13"/>
  <c r="AD77" i="13" s="1"/>
  <c r="W77" i="13"/>
  <c r="N77" i="13"/>
  <c r="E77" i="13"/>
  <c r="W76" i="13"/>
  <c r="N76" i="13"/>
  <c r="E76" i="13"/>
  <c r="AE76" i="13" s="1"/>
  <c r="AE75" i="13"/>
  <c r="W75" i="13"/>
  <c r="N75" i="13"/>
  <c r="E75" i="13"/>
  <c r="H75" i="13" s="1"/>
  <c r="AE74" i="13"/>
  <c r="W74" i="13"/>
  <c r="N74" i="13"/>
  <c r="H74" i="13"/>
  <c r="E74" i="13"/>
  <c r="AA74" i="13" s="1"/>
  <c r="AD74" i="13" s="1"/>
  <c r="AA73" i="13"/>
  <c r="AD73" i="13" s="1"/>
  <c r="W73" i="13"/>
  <c r="N73" i="13"/>
  <c r="E73" i="13"/>
  <c r="W72" i="13"/>
  <c r="N72" i="13"/>
  <c r="E72" i="13"/>
  <c r="AE72" i="13" s="1"/>
  <c r="AE71" i="13"/>
  <c r="W71" i="13"/>
  <c r="N71" i="13"/>
  <c r="N89" i="13" s="1"/>
  <c r="E71" i="13"/>
  <c r="H71" i="13" s="1"/>
  <c r="AE70" i="13"/>
  <c r="W70" i="13"/>
  <c r="N70" i="13"/>
  <c r="H70" i="13"/>
  <c r="E70" i="13"/>
  <c r="AA70" i="13" s="1"/>
  <c r="AD70" i="13" s="1"/>
  <c r="AE69" i="13"/>
  <c r="AA69" i="13"/>
  <c r="AD69" i="13" s="1"/>
  <c r="W69" i="13"/>
  <c r="N69" i="13"/>
  <c r="AE68" i="13"/>
  <c r="AD68" i="13"/>
  <c r="AA68" i="13"/>
  <c r="W68" i="13"/>
  <c r="N68" i="13"/>
  <c r="H68" i="13"/>
  <c r="AE67" i="13"/>
  <c r="AA67" i="13"/>
  <c r="W67" i="13"/>
  <c r="AD67" i="13" s="1"/>
  <c r="N67" i="13"/>
  <c r="AA66" i="13"/>
  <c r="AD66" i="13" s="1"/>
  <c r="W66" i="13"/>
  <c r="N66" i="13"/>
  <c r="E66" i="13"/>
  <c r="AE65" i="13"/>
  <c r="AA65" i="13"/>
  <c r="W65" i="13"/>
  <c r="AD65" i="13" s="1"/>
  <c r="N65" i="13"/>
  <c r="AA64" i="13"/>
  <c r="AD64" i="13" s="1"/>
  <c r="W64" i="13"/>
  <c r="N64" i="13"/>
  <c r="E64" i="13"/>
  <c r="AE63" i="13"/>
  <c r="AA63" i="13"/>
  <c r="W63" i="13"/>
  <c r="N63" i="13"/>
  <c r="AC59" i="13"/>
  <c r="Z59" i="13"/>
  <c r="Y59" i="13"/>
  <c r="X59" i="13"/>
  <c r="V59" i="13"/>
  <c r="T59" i="13"/>
  <c r="S59" i="13"/>
  <c r="R59" i="13"/>
  <c r="Q59" i="13"/>
  <c r="O59" i="13"/>
  <c r="M59" i="13"/>
  <c r="L59" i="13"/>
  <c r="K59" i="13"/>
  <c r="J59" i="13"/>
  <c r="G59" i="13"/>
  <c r="F59" i="13"/>
  <c r="D59" i="13"/>
  <c r="C59" i="13"/>
  <c r="AE58" i="13"/>
  <c r="AA58" i="13"/>
  <c r="AD58" i="13" s="1"/>
  <c r="N58" i="13"/>
  <c r="H58" i="13"/>
  <c r="AE57" i="13"/>
  <c r="AA57" i="13"/>
  <c r="N57" i="13"/>
  <c r="H57" i="13"/>
  <c r="AE56" i="13"/>
  <c r="AA56" i="13"/>
  <c r="AD56" i="13" s="1"/>
  <c r="N56" i="13"/>
  <c r="H56" i="13"/>
  <c r="AE55" i="13"/>
  <c r="AD55" i="13"/>
  <c r="AA55" i="13"/>
  <c r="N55" i="13"/>
  <c r="AE54" i="13"/>
  <c r="AD54" i="13"/>
  <c r="AA54" i="13"/>
  <c r="N54" i="13"/>
  <c r="AE53" i="13"/>
  <c r="AD53" i="13"/>
  <c r="AA53" i="13"/>
  <c r="N53" i="13"/>
  <c r="H53" i="13"/>
  <c r="AE52" i="13"/>
  <c r="W52" i="13"/>
  <c r="N52" i="13"/>
  <c r="E52" i="13"/>
  <c r="H52" i="13" s="1"/>
  <c r="AE51" i="13"/>
  <c r="W51" i="13"/>
  <c r="N51" i="13"/>
  <c r="H51" i="13"/>
  <c r="E51" i="13"/>
  <c r="AA51" i="13" s="1"/>
  <c r="AD51" i="13" s="1"/>
  <c r="W50" i="13"/>
  <c r="N50" i="13"/>
  <c r="E50" i="13"/>
  <c r="W49" i="13"/>
  <c r="N49" i="13"/>
  <c r="E49" i="13"/>
  <c r="AE49" i="13" s="1"/>
  <c r="AE48" i="13"/>
  <c r="W48" i="13"/>
  <c r="N48" i="13"/>
  <c r="E48" i="13"/>
  <c r="H48" i="13" s="1"/>
  <c r="AE47" i="13"/>
  <c r="W47" i="13"/>
  <c r="N47" i="13"/>
  <c r="H47" i="13"/>
  <c r="E47" i="13"/>
  <c r="AA47" i="13" s="1"/>
  <c r="AD47" i="13" s="1"/>
  <c r="W46" i="13"/>
  <c r="N46" i="13"/>
  <c r="E46" i="13"/>
  <c r="AA46" i="13" s="1"/>
  <c r="AD46" i="13" s="1"/>
  <c r="AE45" i="13"/>
  <c r="AA45" i="13"/>
  <c r="W45" i="13"/>
  <c r="AD45" i="13" s="1"/>
  <c r="N45" i="13"/>
  <c r="W44" i="13"/>
  <c r="N44" i="13"/>
  <c r="E44" i="13"/>
  <c r="AA44" i="13" s="1"/>
  <c r="AD44" i="13" s="1"/>
  <c r="W43" i="13"/>
  <c r="N43" i="13"/>
  <c r="E43" i="13"/>
  <c r="AE43" i="13" s="1"/>
  <c r="AE42" i="13"/>
  <c r="W42" i="13"/>
  <c r="N42" i="13"/>
  <c r="E42" i="13"/>
  <c r="H42" i="13" s="1"/>
  <c r="AE41" i="13"/>
  <c r="W41" i="13"/>
  <c r="N41" i="13"/>
  <c r="H41" i="13"/>
  <c r="E41" i="13"/>
  <c r="AA41" i="13" s="1"/>
  <c r="AD41" i="13" s="1"/>
  <c r="AA40" i="13"/>
  <c r="AD40" i="13" s="1"/>
  <c r="W40" i="13"/>
  <c r="N40" i="13"/>
  <c r="E40" i="13"/>
  <c r="AE39" i="13"/>
  <c r="AA39" i="13"/>
  <c r="W39" i="13"/>
  <c r="AD39" i="13" s="1"/>
  <c r="N39" i="13"/>
  <c r="AA38" i="13"/>
  <c r="AD38" i="13" s="1"/>
  <c r="W38" i="13"/>
  <c r="N38" i="13"/>
  <c r="E38" i="13"/>
  <c r="AE37" i="13"/>
  <c r="AA37" i="13"/>
  <c r="W37" i="13"/>
  <c r="AD37" i="13" s="1"/>
  <c r="N37" i="13"/>
  <c r="AE36" i="13"/>
  <c r="AA36" i="13"/>
  <c r="W36" i="13"/>
  <c r="N36" i="13"/>
  <c r="I36" i="13"/>
  <c r="I59" i="13" s="1"/>
  <c r="H36" i="13"/>
  <c r="E36" i="13"/>
  <c r="AE35" i="13"/>
  <c r="AA35" i="13"/>
  <c r="AD35" i="13" s="1"/>
  <c r="W35" i="13"/>
  <c r="N35" i="13"/>
  <c r="AE34" i="13"/>
  <c r="W34" i="13"/>
  <c r="N34" i="13"/>
  <c r="H34" i="13"/>
  <c r="E34" i="13"/>
  <c r="AE33" i="13"/>
  <c r="AA33" i="13"/>
  <c r="W33" i="13"/>
  <c r="N33" i="13"/>
  <c r="AC29" i="13"/>
  <c r="Z29" i="13"/>
  <c r="Y29" i="13"/>
  <c r="X29" i="13"/>
  <c r="V29" i="13"/>
  <c r="T29" i="13"/>
  <c r="S29" i="13"/>
  <c r="R29" i="13"/>
  <c r="Q29" i="13"/>
  <c r="O29" i="13"/>
  <c r="L29" i="13"/>
  <c r="K29" i="13"/>
  <c r="J29" i="13"/>
  <c r="G29" i="13"/>
  <c r="F29" i="13"/>
  <c r="D29" i="13"/>
  <c r="C29" i="13"/>
  <c r="AE28" i="13"/>
  <c r="AA28" i="13"/>
  <c r="N28" i="13"/>
  <c r="E28" i="13"/>
  <c r="H28" i="13" s="1"/>
  <c r="AE27" i="13"/>
  <c r="N27" i="13"/>
  <c r="E27" i="13"/>
  <c r="AE26" i="13"/>
  <c r="AA26" i="13"/>
  <c r="N26" i="13"/>
  <c r="E26" i="13"/>
  <c r="H26" i="13" s="1"/>
  <c r="AE25" i="13"/>
  <c r="N25" i="13"/>
  <c r="E25" i="13"/>
  <c r="AE24" i="13"/>
  <c r="AA24" i="13"/>
  <c r="N24" i="13"/>
  <c r="E24" i="13"/>
  <c r="AA23" i="13"/>
  <c r="AD23" i="13" s="1"/>
  <c r="Y23" i="13"/>
  <c r="N23" i="13"/>
  <c r="M23" i="13"/>
  <c r="M29" i="13" s="1"/>
  <c r="I23" i="13"/>
  <c r="AE23" i="13" s="1"/>
  <c r="E23" i="13"/>
  <c r="H23" i="13" s="1"/>
  <c r="AE22" i="13"/>
  <c r="W22" i="13"/>
  <c r="N22" i="13"/>
  <c r="H22" i="13"/>
  <c r="E22" i="13"/>
  <c r="AA22" i="13" s="1"/>
  <c r="AD22" i="13" s="1"/>
  <c r="W21" i="13"/>
  <c r="N21" i="13"/>
  <c r="E21" i="13"/>
  <c r="AA21" i="13" s="1"/>
  <c r="AD21" i="13" s="1"/>
  <c r="W20" i="13"/>
  <c r="N20" i="13"/>
  <c r="E20" i="13"/>
  <c r="AE20" i="13" s="1"/>
  <c r="AE19" i="13"/>
  <c r="W19" i="13"/>
  <c r="N19" i="13"/>
  <c r="E19" i="13"/>
  <c r="H19" i="13" s="1"/>
  <c r="AE18" i="13"/>
  <c r="W18" i="13"/>
  <c r="N18" i="13"/>
  <c r="H18" i="13"/>
  <c r="E18" i="13"/>
  <c r="AA18" i="13" s="1"/>
  <c r="AD18" i="13" s="1"/>
  <c r="AA17" i="13"/>
  <c r="AD17" i="13" s="1"/>
  <c r="W17" i="13"/>
  <c r="N17" i="13"/>
  <c r="E17" i="13"/>
  <c r="W16" i="13"/>
  <c r="N16" i="13"/>
  <c r="E16" i="13"/>
  <c r="AE16" i="13" s="1"/>
  <c r="AE15" i="13"/>
  <c r="W15" i="13"/>
  <c r="N15" i="13"/>
  <c r="E15" i="13"/>
  <c r="H15" i="13" s="1"/>
  <c r="AE14" i="13"/>
  <c r="W14" i="13"/>
  <c r="N14" i="13"/>
  <c r="H14" i="13"/>
  <c r="E14" i="13"/>
  <c r="AA14" i="13" s="1"/>
  <c r="AD14" i="13" s="1"/>
  <c r="AA13" i="13"/>
  <c r="AD13" i="13" s="1"/>
  <c r="W13" i="13"/>
  <c r="N13" i="13"/>
  <c r="E13" i="13"/>
  <c r="W12" i="13"/>
  <c r="N12" i="13"/>
  <c r="I12" i="13"/>
  <c r="E12" i="13"/>
  <c r="AE11" i="13"/>
  <c r="AA11" i="13"/>
  <c r="W11" i="13"/>
  <c r="AD11" i="13" s="1"/>
  <c r="N11" i="13"/>
  <c r="AE10" i="13"/>
  <c r="AA10" i="13"/>
  <c r="AD10" i="13" s="1"/>
  <c r="W10" i="13"/>
  <c r="N10" i="13"/>
  <c r="AE9" i="13"/>
  <c r="AD9" i="13"/>
  <c r="AA9" i="13"/>
  <c r="W9" i="13"/>
  <c r="N9" i="13"/>
  <c r="AE8" i="13"/>
  <c r="AA8" i="13"/>
  <c r="W8" i="13"/>
  <c r="N8" i="13"/>
  <c r="AD8" i="13" s="1"/>
  <c r="AE7" i="13"/>
  <c r="AA7" i="13"/>
  <c r="W7" i="13"/>
  <c r="AD7" i="13" s="1"/>
  <c r="N7" i="13"/>
  <c r="W6" i="13"/>
  <c r="N6" i="13"/>
  <c r="E6" i="13"/>
  <c r="AE5" i="13"/>
  <c r="AA5" i="13"/>
  <c r="W5" i="13"/>
  <c r="N5" i="13"/>
  <c r="I5" i="13"/>
  <c r="I29" i="13" s="1"/>
  <c r="AE4" i="13"/>
  <c r="W4" i="13"/>
  <c r="N4" i="13"/>
  <c r="H4" i="13"/>
  <c r="E4" i="13"/>
  <c r="AA4" i="13" s="1"/>
  <c r="AD4" i="13" s="1"/>
  <c r="AE3" i="13"/>
  <c r="AA3" i="13"/>
  <c r="W3" i="13"/>
  <c r="N3" i="13"/>
  <c r="AC150" i="12"/>
  <c r="Z150" i="12"/>
  <c r="Y150" i="12"/>
  <c r="X150" i="12"/>
  <c r="V150" i="12"/>
  <c r="T150" i="12"/>
  <c r="S150" i="12"/>
  <c r="R150" i="12"/>
  <c r="Q150" i="12"/>
  <c r="O150" i="12"/>
  <c r="M150" i="12"/>
  <c r="L150" i="12"/>
  <c r="K150" i="12"/>
  <c r="G150" i="12"/>
  <c r="F150" i="12"/>
  <c r="E150" i="12"/>
  <c r="D150" i="12"/>
  <c r="C150" i="12"/>
  <c r="AE148" i="12"/>
  <c r="AA148" i="12"/>
  <c r="AD148" i="12" s="1"/>
  <c r="N148" i="12"/>
  <c r="H148" i="12"/>
  <c r="AE147" i="12"/>
  <c r="AA147" i="12"/>
  <c r="AD147" i="12" s="1"/>
  <c r="N147" i="12"/>
  <c r="H147" i="12"/>
  <c r="AE146" i="12"/>
  <c r="AD146" i="12"/>
  <c r="AA146" i="12"/>
  <c r="N146" i="12"/>
  <c r="AE145" i="12"/>
  <c r="AD145" i="12"/>
  <c r="AA145" i="12"/>
  <c r="N145" i="12"/>
  <c r="H145" i="12"/>
  <c r="AE144" i="12"/>
  <c r="AA144" i="12"/>
  <c r="AD144" i="12" s="1"/>
  <c r="N144" i="12"/>
  <c r="AE143" i="12"/>
  <c r="AA143" i="12"/>
  <c r="AD143" i="12" s="1"/>
  <c r="N143" i="12"/>
  <c r="H143" i="12"/>
  <c r="AE142" i="12"/>
  <c r="AA142" i="12"/>
  <c r="W142" i="12"/>
  <c r="AD142" i="12" s="1"/>
  <c r="N142" i="12"/>
  <c r="AE141" i="12"/>
  <c r="AA141" i="12"/>
  <c r="AD141" i="12" s="1"/>
  <c r="W141" i="12"/>
  <c r="N141" i="12"/>
  <c r="H141" i="12"/>
  <c r="AE140" i="12"/>
  <c r="AA140" i="12"/>
  <c r="W140" i="12"/>
  <c r="N140" i="12"/>
  <c r="AD140" i="12" s="1"/>
  <c r="H140" i="12"/>
  <c r="AE139" i="12"/>
  <c r="AA139" i="12"/>
  <c r="AD139" i="12" s="1"/>
  <c r="W139" i="12"/>
  <c r="N139" i="12"/>
  <c r="AE138" i="12"/>
  <c r="AD138" i="12"/>
  <c r="AA138" i="12"/>
  <c r="W138" i="12"/>
  <c r="N138" i="12"/>
  <c r="H138" i="12"/>
  <c r="AE137" i="12"/>
  <c r="AA137" i="12"/>
  <c r="W137" i="12"/>
  <c r="AD137" i="12" s="1"/>
  <c r="N137" i="12"/>
  <c r="H137" i="12"/>
  <c r="AE136" i="12"/>
  <c r="AD136" i="12"/>
  <c r="AA136" i="12"/>
  <c r="W136" i="12"/>
  <c r="N136" i="12"/>
  <c r="H136" i="12"/>
  <c r="AE135" i="12"/>
  <c r="AA135" i="12"/>
  <c r="W135" i="12"/>
  <c r="N135" i="12"/>
  <c r="H135" i="12"/>
  <c r="AE134" i="12"/>
  <c r="AD134" i="12"/>
  <c r="AA134" i="12"/>
  <c r="W134" i="12"/>
  <c r="N134" i="12"/>
  <c r="H134" i="12"/>
  <c r="AE133" i="12"/>
  <c r="AA133" i="12"/>
  <c r="W133" i="12"/>
  <c r="N133" i="12"/>
  <c r="AD133" i="12" s="1"/>
  <c r="H133" i="12"/>
  <c r="AE132" i="12"/>
  <c r="AD132" i="12"/>
  <c r="AA132" i="12"/>
  <c r="W132" i="12"/>
  <c r="N132" i="12"/>
  <c r="H132" i="12"/>
  <c r="AE131" i="12"/>
  <c r="AA131" i="12"/>
  <c r="W131" i="12"/>
  <c r="N131" i="12"/>
  <c r="AD131" i="12" s="1"/>
  <c r="H131" i="12"/>
  <c r="AE130" i="12"/>
  <c r="AD130" i="12"/>
  <c r="AA130" i="12"/>
  <c r="W130" i="12"/>
  <c r="N130" i="12"/>
  <c r="AE129" i="12"/>
  <c r="AA129" i="12"/>
  <c r="W129" i="12"/>
  <c r="N129" i="12"/>
  <c r="AD129" i="12" s="1"/>
  <c r="AE128" i="12"/>
  <c r="AA128" i="12"/>
  <c r="W128" i="12"/>
  <c r="N128" i="12"/>
  <c r="AE127" i="12"/>
  <c r="AA127" i="12"/>
  <c r="AD127" i="12" s="1"/>
  <c r="W127" i="12"/>
  <c r="N127" i="12"/>
  <c r="AE126" i="12"/>
  <c r="AA126" i="12"/>
  <c r="W126" i="12"/>
  <c r="N126" i="12"/>
  <c r="I126" i="12"/>
  <c r="AD126" i="12" s="1"/>
  <c r="H126" i="12"/>
  <c r="AE125" i="12"/>
  <c r="AA125" i="12"/>
  <c r="W125" i="12"/>
  <c r="N125" i="12"/>
  <c r="I125" i="12"/>
  <c r="AE124" i="12"/>
  <c r="AA124" i="12"/>
  <c r="W124" i="12"/>
  <c r="N124" i="12"/>
  <c r="J124" i="12"/>
  <c r="J150" i="12" s="1"/>
  <c r="I124" i="12"/>
  <c r="I150" i="12" s="1"/>
  <c r="H124" i="12"/>
  <c r="H150" i="12" s="1"/>
  <c r="AE123" i="12"/>
  <c r="AA123" i="12"/>
  <c r="W123" i="12"/>
  <c r="N123" i="12"/>
  <c r="AC119" i="12"/>
  <c r="Z119" i="12"/>
  <c r="Y119" i="12"/>
  <c r="X119" i="12"/>
  <c r="V119" i="12"/>
  <c r="T119" i="12"/>
  <c r="S119" i="12"/>
  <c r="R119" i="12"/>
  <c r="Q119" i="12"/>
  <c r="O119" i="12"/>
  <c r="M119" i="12"/>
  <c r="L119" i="12"/>
  <c r="K119" i="12"/>
  <c r="J119" i="12"/>
  <c r="I119" i="12"/>
  <c r="G119" i="12"/>
  <c r="F119" i="12"/>
  <c r="E119" i="12"/>
  <c r="D119" i="12"/>
  <c r="C119" i="12"/>
  <c r="AE118" i="12"/>
  <c r="AD118" i="12"/>
  <c r="AA118" i="12"/>
  <c r="N118" i="12"/>
  <c r="H118" i="12"/>
  <c r="AE117" i="12"/>
  <c r="AA117" i="12"/>
  <c r="AD117" i="12" s="1"/>
  <c r="N117" i="12"/>
  <c r="H117" i="12"/>
  <c r="AE116" i="12"/>
  <c r="AA116" i="12"/>
  <c r="N116" i="12"/>
  <c r="AE115" i="12"/>
  <c r="AA115" i="12"/>
  <c r="AD115" i="12" s="1"/>
  <c r="N115" i="12"/>
  <c r="H115" i="12"/>
  <c r="AE114" i="12"/>
  <c r="AA114" i="12"/>
  <c r="AD114" i="12" s="1"/>
  <c r="N114" i="12"/>
  <c r="H114" i="12"/>
  <c r="AE113" i="12"/>
  <c r="AD113" i="12"/>
  <c r="AA113" i="12"/>
  <c r="N113" i="12"/>
  <c r="H113" i="12"/>
  <c r="AE112" i="12"/>
  <c r="AA112" i="12"/>
  <c r="W112" i="12"/>
  <c r="N112" i="12"/>
  <c r="AD112" i="12" s="1"/>
  <c r="AE111" i="12"/>
  <c r="AA111" i="12"/>
  <c r="W111" i="12"/>
  <c r="N111" i="12"/>
  <c r="AD111" i="12" s="1"/>
  <c r="AE110" i="12"/>
  <c r="AA110" i="12"/>
  <c r="AD110" i="12" s="1"/>
  <c r="W110" i="12"/>
  <c r="N110" i="12"/>
  <c r="H110" i="12"/>
  <c r="AE109" i="12"/>
  <c r="AA109" i="12"/>
  <c r="W109" i="12"/>
  <c r="N109" i="12"/>
  <c r="AD109" i="12" s="1"/>
  <c r="H109" i="12"/>
  <c r="AE108" i="12"/>
  <c r="AA108" i="12"/>
  <c r="AD108" i="12" s="1"/>
  <c r="W108" i="12"/>
  <c r="N108" i="12"/>
  <c r="H108" i="12"/>
  <c r="AE107" i="12"/>
  <c r="AA107" i="12"/>
  <c r="W107" i="12"/>
  <c r="N107" i="12"/>
  <c r="AD107" i="12" s="1"/>
  <c r="H107" i="12"/>
  <c r="AE106" i="12"/>
  <c r="AA106" i="12"/>
  <c r="AD106" i="12" s="1"/>
  <c r="W106" i="12"/>
  <c r="N106" i="12"/>
  <c r="H106" i="12"/>
  <c r="AE105" i="12"/>
  <c r="AA105" i="12"/>
  <c r="W105" i="12"/>
  <c r="N105" i="12"/>
  <c r="AD105" i="12" s="1"/>
  <c r="H105" i="12"/>
  <c r="AE104" i="12"/>
  <c r="AA104" i="12"/>
  <c r="AD104" i="12" s="1"/>
  <c r="W104" i="12"/>
  <c r="N104" i="12"/>
  <c r="AE103" i="12"/>
  <c r="AD103" i="12"/>
  <c r="AA103" i="12"/>
  <c r="W103" i="12"/>
  <c r="N103" i="12"/>
  <c r="H103" i="12"/>
  <c r="AE102" i="12"/>
  <c r="AA102" i="12"/>
  <c r="W102" i="12"/>
  <c r="AD102" i="12" s="1"/>
  <c r="N102" i="12"/>
  <c r="AE101" i="12"/>
  <c r="AA101" i="12"/>
  <c r="W101" i="12"/>
  <c r="N101" i="12"/>
  <c r="I101" i="12"/>
  <c r="AD101" i="12" s="1"/>
  <c r="H101" i="12"/>
  <c r="AE100" i="12"/>
  <c r="AA100" i="12"/>
  <c r="W100" i="12"/>
  <c r="AD100" i="12" s="1"/>
  <c r="N100" i="12"/>
  <c r="H100" i="12"/>
  <c r="AE99" i="12"/>
  <c r="AD99" i="12"/>
  <c r="AA99" i="12"/>
  <c r="W99" i="12"/>
  <c r="N99" i="12"/>
  <c r="AE98" i="12"/>
  <c r="AA98" i="12"/>
  <c r="W98" i="12"/>
  <c r="N98" i="12"/>
  <c r="AD98" i="12" s="1"/>
  <c r="AE97" i="12"/>
  <c r="AA97" i="12"/>
  <c r="W97" i="12"/>
  <c r="AD97" i="12" s="1"/>
  <c r="N97" i="12"/>
  <c r="AE96" i="12"/>
  <c r="AA96" i="12"/>
  <c r="W96" i="12"/>
  <c r="N96" i="12"/>
  <c r="AD96" i="12" s="1"/>
  <c r="AE95" i="12"/>
  <c r="AA95" i="12"/>
  <c r="W95" i="12"/>
  <c r="AD95" i="12" s="1"/>
  <c r="N95" i="12"/>
  <c r="AE94" i="12"/>
  <c r="AA94" i="12"/>
  <c r="W94" i="12"/>
  <c r="N94" i="12"/>
  <c r="AD94" i="12" s="1"/>
  <c r="H94" i="12"/>
  <c r="AE93" i="12"/>
  <c r="AA93" i="12"/>
  <c r="AA119" i="12" s="1"/>
  <c r="W93" i="12"/>
  <c r="N93" i="12"/>
  <c r="AC89" i="12"/>
  <c r="AA89" i="12"/>
  <c r="Z89" i="12"/>
  <c r="Y89" i="12"/>
  <c r="X89" i="12"/>
  <c r="V89" i="12"/>
  <c r="T89" i="12"/>
  <c r="S89" i="12"/>
  <c r="R89" i="12"/>
  <c r="Q89" i="12"/>
  <c r="O89" i="12"/>
  <c r="M89" i="12"/>
  <c r="L89" i="12"/>
  <c r="K89" i="12"/>
  <c r="I89" i="12"/>
  <c r="G89" i="12"/>
  <c r="F89" i="12"/>
  <c r="E89" i="12"/>
  <c r="D89" i="12"/>
  <c r="C89" i="12"/>
  <c r="AE88" i="12"/>
  <c r="AA88" i="12"/>
  <c r="N88" i="12"/>
  <c r="AD88" i="12" s="1"/>
  <c r="H88" i="12"/>
  <c r="AE87" i="12"/>
  <c r="AA87" i="12"/>
  <c r="AD87" i="12" s="1"/>
  <c r="N87" i="12"/>
  <c r="H87" i="12"/>
  <c r="AE86" i="12"/>
  <c r="AA86" i="12"/>
  <c r="N86" i="12"/>
  <c r="AD86" i="12" s="1"/>
  <c r="AE85" i="12"/>
  <c r="AA85" i="12"/>
  <c r="N85" i="12"/>
  <c r="AD85" i="12" s="1"/>
  <c r="H85" i="12"/>
  <c r="AE84" i="12"/>
  <c r="AA84" i="12"/>
  <c r="AD84" i="12" s="1"/>
  <c r="N84" i="12"/>
  <c r="H84" i="12"/>
  <c r="AE83" i="12"/>
  <c r="AD83" i="12"/>
  <c r="AA83" i="12"/>
  <c r="N83" i="12"/>
  <c r="H83" i="12"/>
  <c r="AE82" i="12"/>
  <c r="AA82" i="12"/>
  <c r="W82" i="12"/>
  <c r="N82" i="12"/>
  <c r="AE81" i="12"/>
  <c r="AA81" i="12"/>
  <c r="W81" i="12"/>
  <c r="N81" i="12"/>
  <c r="J81" i="12"/>
  <c r="J89" i="12" s="1"/>
  <c r="AE80" i="12"/>
  <c r="AA80" i="12"/>
  <c r="W80" i="12"/>
  <c r="AD80" i="12" s="1"/>
  <c r="N80" i="12"/>
  <c r="H80" i="12"/>
  <c r="AE79" i="12"/>
  <c r="AD79" i="12"/>
  <c r="AA79" i="12"/>
  <c r="W79" i="12"/>
  <c r="N79" i="12"/>
  <c r="H79" i="12"/>
  <c r="AE78" i="12"/>
  <c r="AA78" i="12"/>
  <c r="W78" i="12"/>
  <c r="AD78" i="12" s="1"/>
  <c r="N78" i="12"/>
  <c r="H78" i="12"/>
  <c r="AE77" i="12"/>
  <c r="AD77" i="12"/>
  <c r="AA77" i="12"/>
  <c r="W77" i="12"/>
  <c r="N77" i="12"/>
  <c r="H77" i="12"/>
  <c r="AE76" i="12"/>
  <c r="AA76" i="12"/>
  <c r="W76" i="12"/>
  <c r="AD76" i="12" s="1"/>
  <c r="N76" i="12"/>
  <c r="H76" i="12"/>
  <c r="AE75" i="12"/>
  <c r="AD75" i="12"/>
  <c r="AA75" i="12"/>
  <c r="W75" i="12"/>
  <c r="N75" i="12"/>
  <c r="H75" i="12"/>
  <c r="AE74" i="12"/>
  <c r="AA74" i="12"/>
  <c r="W74" i="12"/>
  <c r="AD74" i="12" s="1"/>
  <c r="N74" i="12"/>
  <c r="AE73" i="12"/>
  <c r="AA73" i="12"/>
  <c r="W73" i="12"/>
  <c r="N73" i="12"/>
  <c r="H73" i="12"/>
  <c r="AE72" i="12"/>
  <c r="AA72" i="12"/>
  <c r="W72" i="12"/>
  <c r="N72" i="12"/>
  <c r="AE71" i="12"/>
  <c r="AD71" i="12"/>
  <c r="AA71" i="12"/>
  <c r="W71" i="12"/>
  <c r="N71" i="12"/>
  <c r="AE70" i="12"/>
  <c r="AA70" i="12"/>
  <c r="W70" i="12"/>
  <c r="N70" i="12"/>
  <c r="H70" i="12"/>
  <c r="AE69" i="12"/>
  <c r="AA69" i="12"/>
  <c r="W69" i="12"/>
  <c r="N69" i="12"/>
  <c r="AD69" i="12" s="1"/>
  <c r="H69" i="12"/>
  <c r="AE68" i="12"/>
  <c r="AA68" i="12"/>
  <c r="W68" i="12"/>
  <c r="N68" i="12"/>
  <c r="AE67" i="12"/>
  <c r="AD67" i="12"/>
  <c r="AA67" i="12"/>
  <c r="W67" i="12"/>
  <c r="N67" i="12"/>
  <c r="AE66" i="12"/>
  <c r="AA66" i="12"/>
  <c r="W66" i="12"/>
  <c r="N66" i="12"/>
  <c r="H66" i="12"/>
  <c r="AE65" i="12"/>
  <c r="AA65" i="12"/>
  <c r="W65" i="12"/>
  <c r="N65" i="12"/>
  <c r="AE64" i="12"/>
  <c r="AA64" i="12"/>
  <c r="W64" i="12"/>
  <c r="AD64" i="12" s="1"/>
  <c r="N64" i="12"/>
  <c r="H64" i="12"/>
  <c r="AE63" i="12"/>
  <c r="AD63" i="12"/>
  <c r="AA63" i="12"/>
  <c r="W63" i="12"/>
  <c r="N63" i="12"/>
  <c r="H63" i="12"/>
  <c r="AC59" i="12"/>
  <c r="Z59" i="12"/>
  <c r="Y59" i="12"/>
  <c r="X59" i="12"/>
  <c r="V59" i="12"/>
  <c r="T59" i="12"/>
  <c r="S59" i="12"/>
  <c r="R59" i="12"/>
  <c r="Q59" i="12"/>
  <c r="O59" i="12"/>
  <c r="M59" i="12"/>
  <c r="L59" i="12"/>
  <c r="K59" i="12"/>
  <c r="J59" i="12"/>
  <c r="I59" i="12"/>
  <c r="G59" i="12"/>
  <c r="F59" i="12"/>
  <c r="E59" i="12"/>
  <c r="D59" i="12"/>
  <c r="C59" i="12"/>
  <c r="AE58" i="12"/>
  <c r="AD58" i="12"/>
  <c r="AA58" i="12"/>
  <c r="N58" i="12"/>
  <c r="H58" i="12"/>
  <c r="AE57" i="12"/>
  <c r="AA57" i="12"/>
  <c r="AD57" i="12" s="1"/>
  <c r="N57" i="12"/>
  <c r="H57" i="12"/>
  <c r="AE56" i="12"/>
  <c r="AA56" i="12"/>
  <c r="N56" i="12"/>
  <c r="AD56" i="12" s="1"/>
  <c r="AE55" i="12"/>
  <c r="AA55" i="12"/>
  <c r="N55" i="12"/>
  <c r="AD55" i="12" s="1"/>
  <c r="H55" i="12"/>
  <c r="AE54" i="12"/>
  <c r="AA54" i="12"/>
  <c r="AD54" i="12" s="1"/>
  <c r="N54" i="12"/>
  <c r="H54" i="12"/>
  <c r="AE53" i="12"/>
  <c r="AA53" i="12"/>
  <c r="N53" i="12"/>
  <c r="AD53" i="12" s="1"/>
  <c r="H53" i="12"/>
  <c r="AE52" i="12"/>
  <c r="AA52" i="12"/>
  <c r="W52" i="12"/>
  <c r="N52" i="12"/>
  <c r="AE51" i="12"/>
  <c r="AD51" i="12"/>
  <c r="AA51" i="12"/>
  <c r="W51" i="12"/>
  <c r="N51" i="12"/>
  <c r="AE50" i="12"/>
  <c r="AA50" i="12"/>
  <c r="W50" i="12"/>
  <c r="N50" i="12"/>
  <c r="H50" i="12"/>
  <c r="AE49" i="12"/>
  <c r="AA49" i="12"/>
  <c r="W49" i="12"/>
  <c r="N49" i="12"/>
  <c r="H49" i="12"/>
  <c r="AE48" i="12"/>
  <c r="AA48" i="12"/>
  <c r="W48" i="12"/>
  <c r="N48" i="12"/>
  <c r="AD48" i="12" s="1"/>
  <c r="AE47" i="12"/>
  <c r="AA47" i="12"/>
  <c r="W47" i="12"/>
  <c r="AD47" i="12" s="1"/>
  <c r="N47" i="12"/>
  <c r="H47" i="12"/>
  <c r="AE46" i="12"/>
  <c r="AD46" i="12"/>
  <c r="AA46" i="12"/>
  <c r="W46" i="12"/>
  <c r="N46" i="12"/>
  <c r="AE45" i="12"/>
  <c r="AA45" i="12"/>
  <c r="W45" i="12"/>
  <c r="N45" i="12"/>
  <c r="H45" i="12"/>
  <c r="AE44" i="12"/>
  <c r="AA44" i="12"/>
  <c r="W44" i="12"/>
  <c r="N44" i="12"/>
  <c r="AD44" i="12" s="1"/>
  <c r="AE43" i="12"/>
  <c r="AA43" i="12"/>
  <c r="W43" i="12"/>
  <c r="AD43" i="12" s="1"/>
  <c r="N43" i="12"/>
  <c r="AE42" i="12"/>
  <c r="AA42" i="12"/>
  <c r="W42" i="12"/>
  <c r="N42" i="12"/>
  <c r="AE41" i="12"/>
  <c r="AD41" i="12"/>
  <c r="AA41" i="12"/>
  <c r="W41" i="12"/>
  <c r="N41" i="12"/>
  <c r="AE40" i="12"/>
  <c r="AA40" i="12"/>
  <c r="W40" i="12"/>
  <c r="N40" i="12"/>
  <c r="H40" i="12"/>
  <c r="AE39" i="12"/>
  <c r="AA39" i="12"/>
  <c r="W39" i="12"/>
  <c r="N39" i="12"/>
  <c r="H39" i="12"/>
  <c r="AE38" i="12"/>
  <c r="AA38" i="12"/>
  <c r="W38" i="12"/>
  <c r="N38" i="12"/>
  <c r="AD38" i="12" s="1"/>
  <c r="AE37" i="12"/>
  <c r="AA37" i="12"/>
  <c r="W37" i="12"/>
  <c r="AD37" i="12" s="1"/>
  <c r="N37" i="12"/>
  <c r="AE36" i="12"/>
  <c r="AA36" i="12"/>
  <c r="W36" i="12"/>
  <c r="N36" i="12"/>
  <c r="H36" i="12"/>
  <c r="AE35" i="12"/>
  <c r="AA35" i="12"/>
  <c r="AA59" i="12" s="1"/>
  <c r="W35" i="12"/>
  <c r="N35" i="12"/>
  <c r="AE34" i="12"/>
  <c r="AD34" i="12"/>
  <c r="AA34" i="12"/>
  <c r="W34" i="12"/>
  <c r="N34" i="12"/>
  <c r="H34" i="12"/>
  <c r="H59" i="12" s="1"/>
  <c r="AE33" i="12"/>
  <c r="AA33" i="12"/>
  <c r="W33" i="12"/>
  <c r="N33" i="12"/>
  <c r="AC29" i="12"/>
  <c r="Z29" i="12"/>
  <c r="Y29" i="12"/>
  <c r="X29" i="12"/>
  <c r="V29" i="12"/>
  <c r="T29" i="12"/>
  <c r="S29" i="12"/>
  <c r="R29" i="12"/>
  <c r="Q29" i="12"/>
  <c r="O29" i="12"/>
  <c r="M29" i="12"/>
  <c r="L29" i="12"/>
  <c r="K29" i="12"/>
  <c r="J29" i="12"/>
  <c r="I29" i="12"/>
  <c r="G29" i="12"/>
  <c r="F29" i="12"/>
  <c r="D29" i="12"/>
  <c r="C29" i="12"/>
  <c r="AE28" i="12"/>
  <c r="AA28" i="12"/>
  <c r="AD28" i="12" s="1"/>
  <c r="N28" i="12"/>
  <c r="H28" i="12"/>
  <c r="AE27" i="12"/>
  <c r="AA27" i="12"/>
  <c r="N27" i="12"/>
  <c r="AD27" i="12" s="1"/>
  <c r="H27" i="12"/>
  <c r="AE26" i="12"/>
  <c r="AA26" i="12"/>
  <c r="AD26" i="12" s="1"/>
  <c r="N26" i="12"/>
  <c r="H26" i="12"/>
  <c r="AE25" i="12"/>
  <c r="AA25" i="12"/>
  <c r="N25" i="12"/>
  <c r="AD25" i="12" s="1"/>
  <c r="H25" i="12"/>
  <c r="AE24" i="12"/>
  <c r="AA24" i="12"/>
  <c r="AD24" i="12" s="1"/>
  <c r="N24" i="12"/>
  <c r="H24" i="12"/>
  <c r="AE23" i="12"/>
  <c r="AD23" i="12"/>
  <c r="AA23" i="12"/>
  <c r="N23" i="12"/>
  <c r="H23" i="12"/>
  <c r="AE22" i="12"/>
  <c r="AA22" i="12"/>
  <c r="W22" i="12"/>
  <c r="N22" i="12"/>
  <c r="AE21" i="12"/>
  <c r="AD21" i="12"/>
  <c r="AA21" i="12"/>
  <c r="W21" i="12"/>
  <c r="N21" i="12"/>
  <c r="AE20" i="12"/>
  <c r="W20" i="12"/>
  <c r="N20" i="12"/>
  <c r="E20" i="12"/>
  <c r="W19" i="12"/>
  <c r="N19" i="12"/>
  <c r="H19" i="12"/>
  <c r="E19" i="12"/>
  <c r="AA19" i="12" s="1"/>
  <c r="AE18" i="12"/>
  <c r="AA18" i="12"/>
  <c r="W18" i="12"/>
  <c r="N18" i="12"/>
  <c r="AE17" i="12"/>
  <c r="AD17" i="12"/>
  <c r="AA17" i="12"/>
  <c r="W17" i="12"/>
  <c r="N17" i="12"/>
  <c r="AA16" i="12"/>
  <c r="W16" i="12"/>
  <c r="N16" i="12"/>
  <c r="E16" i="12"/>
  <c r="H16" i="12" s="1"/>
  <c r="W15" i="12"/>
  <c r="N15" i="12"/>
  <c r="H15" i="12"/>
  <c r="E15" i="12"/>
  <c r="AA15" i="12" s="1"/>
  <c r="AA14" i="12"/>
  <c r="W14" i="12"/>
  <c r="N14" i="12"/>
  <c r="E14" i="12"/>
  <c r="H14" i="12" s="1"/>
  <c r="AE13" i="12"/>
  <c r="W13" i="12"/>
  <c r="N13" i="12"/>
  <c r="H13" i="12"/>
  <c r="E13" i="12"/>
  <c r="AA13" i="12" s="1"/>
  <c r="AD13" i="12" s="1"/>
  <c r="AE12" i="12"/>
  <c r="AA12" i="12"/>
  <c r="W12" i="12"/>
  <c r="N12" i="12"/>
  <c r="AE11" i="12"/>
  <c r="AA11" i="12"/>
  <c r="W11" i="12"/>
  <c r="AD11" i="12" s="1"/>
  <c r="N11" i="12"/>
  <c r="AA10" i="12"/>
  <c r="W10" i="12"/>
  <c r="N10" i="12"/>
  <c r="E10" i="12"/>
  <c r="H10" i="12" s="1"/>
  <c r="AE9" i="12"/>
  <c r="AD9" i="12"/>
  <c r="AA9" i="12"/>
  <c r="W9" i="12"/>
  <c r="N9" i="12"/>
  <c r="AE8" i="12"/>
  <c r="AA8" i="12"/>
  <c r="W8" i="12"/>
  <c r="N8" i="12"/>
  <c r="AE7" i="12"/>
  <c r="AD7" i="12"/>
  <c r="AA7" i="12"/>
  <c r="W7" i="12"/>
  <c r="N7" i="12"/>
  <c r="AE6" i="12"/>
  <c r="AA6" i="12"/>
  <c r="W6" i="12"/>
  <c r="N6" i="12"/>
  <c r="J6" i="12"/>
  <c r="AD6" i="12" s="1"/>
  <c r="H6" i="12"/>
  <c r="E6" i="12"/>
  <c r="AE5" i="12"/>
  <c r="AA5" i="12"/>
  <c r="W5" i="12"/>
  <c r="N5" i="12"/>
  <c r="AE4" i="12"/>
  <c r="W4" i="12"/>
  <c r="N4" i="12"/>
  <c r="H4" i="12"/>
  <c r="E4" i="12"/>
  <c r="E29" i="12" s="1"/>
  <c r="AE3" i="12"/>
  <c r="AA3" i="12"/>
  <c r="W3" i="12"/>
  <c r="N3" i="12"/>
  <c r="AC124" i="11"/>
  <c r="Z124" i="11"/>
  <c r="Y124" i="11"/>
  <c r="X124" i="11"/>
  <c r="V124" i="11"/>
  <c r="T124" i="11"/>
  <c r="S124" i="11"/>
  <c r="R124" i="11"/>
  <c r="Q124" i="11"/>
  <c r="O124" i="11"/>
  <c r="M124" i="11"/>
  <c r="L124" i="11"/>
  <c r="K124" i="11"/>
  <c r="J124" i="11"/>
  <c r="I124" i="11"/>
  <c r="G124" i="11"/>
  <c r="F124" i="11"/>
  <c r="D124" i="11"/>
  <c r="C124" i="11"/>
  <c r="AE123" i="11"/>
  <c r="AA123" i="11"/>
  <c r="N123" i="11"/>
  <c r="AD123" i="11" s="1"/>
  <c r="H123" i="11"/>
  <c r="AE122" i="11"/>
  <c r="AA122" i="11"/>
  <c r="AD122" i="11" s="1"/>
  <c r="N122" i="11"/>
  <c r="H122" i="11"/>
  <c r="AE121" i="11"/>
  <c r="AA121" i="11"/>
  <c r="N121" i="11"/>
  <c r="AD121" i="11" s="1"/>
  <c r="H121" i="11"/>
  <c r="AE120" i="11"/>
  <c r="AA120" i="11"/>
  <c r="AD120" i="11" s="1"/>
  <c r="N120" i="11"/>
  <c r="AE119" i="11"/>
  <c r="AA119" i="11"/>
  <c r="AD119" i="11" s="1"/>
  <c r="N119" i="11"/>
  <c r="H119" i="11"/>
  <c r="AE118" i="11"/>
  <c r="AA118" i="11"/>
  <c r="N118" i="11"/>
  <c r="AD118" i="11" s="1"/>
  <c r="H118" i="11"/>
  <c r="AE117" i="11"/>
  <c r="AA117" i="11"/>
  <c r="W117" i="11"/>
  <c r="N117" i="11"/>
  <c r="E117" i="11"/>
  <c r="AA116" i="11"/>
  <c r="W116" i="11"/>
  <c r="N116" i="11"/>
  <c r="E116" i="11"/>
  <c r="H116" i="11" s="1"/>
  <c r="W115" i="11"/>
  <c r="N115" i="11"/>
  <c r="H115" i="11"/>
  <c r="E115" i="11"/>
  <c r="AE115" i="11" s="1"/>
  <c r="AA114" i="11"/>
  <c r="W114" i="11"/>
  <c r="N114" i="11"/>
  <c r="E114" i="11"/>
  <c r="H114" i="11" s="1"/>
  <c r="W113" i="11"/>
  <c r="N113" i="11"/>
  <c r="E113" i="11"/>
  <c r="W112" i="11"/>
  <c r="N112" i="11"/>
  <c r="H112" i="11"/>
  <c r="E112" i="11"/>
  <c r="AE112" i="11" s="1"/>
  <c r="AA111" i="11"/>
  <c r="W111" i="11"/>
  <c r="N111" i="11"/>
  <c r="E111" i="11"/>
  <c r="H111" i="11" s="1"/>
  <c r="AE110" i="11"/>
  <c r="W110" i="11"/>
  <c r="N110" i="11"/>
  <c r="H110" i="11"/>
  <c r="E110" i="11"/>
  <c r="AA110" i="11" s="1"/>
  <c r="AD110" i="11" s="1"/>
  <c r="AA109" i="11"/>
  <c r="W109" i="11"/>
  <c r="N109" i="11"/>
  <c r="E109" i="11"/>
  <c r="H109" i="11" s="1"/>
  <c r="AA108" i="11"/>
  <c r="W108" i="11"/>
  <c r="N108" i="11"/>
  <c r="E108" i="11"/>
  <c r="AA107" i="11"/>
  <c r="W107" i="11"/>
  <c r="N107" i="11"/>
  <c r="E107" i="11"/>
  <c r="H107" i="11" s="1"/>
  <c r="W106" i="11"/>
  <c r="N106" i="11"/>
  <c r="E106" i="11"/>
  <c r="AA106" i="11" s="1"/>
  <c r="AA105" i="11"/>
  <c r="W105" i="11"/>
  <c r="N105" i="11"/>
  <c r="E105" i="11"/>
  <c r="W104" i="11"/>
  <c r="N104" i="11"/>
  <c r="E104" i="11"/>
  <c r="AE104" i="11" s="1"/>
  <c r="AE103" i="11"/>
  <c r="AA103" i="11"/>
  <c r="W103" i="11"/>
  <c r="N103" i="11"/>
  <c r="E103" i="11"/>
  <c r="AA102" i="11"/>
  <c r="AD102" i="11" s="1"/>
  <c r="W102" i="11"/>
  <c r="N102" i="11"/>
  <c r="E102" i="11"/>
  <c r="AE102" i="11" s="1"/>
  <c r="AE101" i="11"/>
  <c r="AA101" i="11"/>
  <c r="W101" i="11"/>
  <c r="N101" i="11"/>
  <c r="E101" i="11"/>
  <c r="AA100" i="11"/>
  <c r="AD100" i="11" s="1"/>
  <c r="W100" i="11"/>
  <c r="N100" i="11"/>
  <c r="E100" i="11"/>
  <c r="AE100" i="11" s="1"/>
  <c r="AE99" i="11"/>
  <c r="W99" i="11"/>
  <c r="N99" i="11"/>
  <c r="E99" i="11"/>
  <c r="E124" i="11" s="1"/>
  <c r="AE98" i="11"/>
  <c r="W98" i="11"/>
  <c r="N98" i="11"/>
  <c r="H98" i="11"/>
  <c r="E98" i="11"/>
  <c r="AA98" i="11" s="1"/>
  <c r="AB94" i="11"/>
  <c r="Z94" i="11"/>
  <c r="X94" i="11"/>
  <c r="W94" i="11"/>
  <c r="V94" i="11"/>
  <c r="S94" i="11"/>
  <c r="R94" i="11"/>
  <c r="Q94" i="11"/>
  <c r="O94" i="11"/>
  <c r="N94" i="11"/>
  <c r="M94" i="11"/>
  <c r="K94" i="11"/>
  <c r="J94" i="11"/>
  <c r="I94" i="11"/>
  <c r="F94" i="11"/>
  <c r="E94" i="11"/>
  <c r="D94" i="11"/>
  <c r="C94" i="11"/>
  <c r="AD93" i="11"/>
  <c r="Y93" i="11"/>
  <c r="AC93" i="11" s="1"/>
  <c r="L93" i="11"/>
  <c r="AD92" i="11"/>
  <c r="Y92" i="11"/>
  <c r="AC92" i="11" s="1"/>
  <c r="L92" i="11"/>
  <c r="AD91" i="11"/>
  <c r="Y91" i="11"/>
  <c r="AC91" i="11" s="1"/>
  <c r="L91" i="11"/>
  <c r="AD90" i="11"/>
  <c r="Y90" i="11"/>
  <c r="AC90" i="11" s="1"/>
  <c r="L90" i="11"/>
  <c r="AD89" i="11"/>
  <c r="Y89" i="11"/>
  <c r="AC89" i="11" s="1"/>
  <c r="L89" i="11"/>
  <c r="AD88" i="11"/>
  <c r="Y88" i="11"/>
  <c r="AC88" i="11" s="1"/>
  <c r="L88" i="11"/>
  <c r="AD87" i="11"/>
  <c r="Y87" i="11"/>
  <c r="AC87" i="11" s="1"/>
  <c r="L87" i="11"/>
  <c r="AD86" i="11"/>
  <c r="Y86" i="11"/>
  <c r="AC86" i="11" s="1"/>
  <c r="T86" i="11"/>
  <c r="L86" i="11"/>
  <c r="AD85" i="11"/>
  <c r="Y85" i="11"/>
  <c r="W85" i="11"/>
  <c r="T85" i="11"/>
  <c r="L85" i="11"/>
  <c r="AC85" i="11" s="1"/>
  <c r="G85" i="11"/>
  <c r="G94" i="11" s="1"/>
  <c r="AD84" i="11"/>
  <c r="Y84" i="11"/>
  <c r="AC84" i="11" s="1"/>
  <c r="T84" i="11"/>
  <c r="L84" i="11"/>
  <c r="AD83" i="11"/>
  <c r="AC83" i="11"/>
  <c r="Y83" i="11"/>
  <c r="T83" i="11"/>
  <c r="L83" i="11"/>
  <c r="AD82" i="11"/>
  <c r="Y82" i="11"/>
  <c r="T82" i="11"/>
  <c r="L82" i="11"/>
  <c r="AC82" i="11" s="1"/>
  <c r="AD81" i="11"/>
  <c r="Y81" i="11"/>
  <c r="T81" i="11"/>
  <c r="L81" i="11"/>
  <c r="AD80" i="11"/>
  <c r="Y80" i="11"/>
  <c r="AC80" i="11" s="1"/>
  <c r="T80" i="11"/>
  <c r="L80" i="11"/>
  <c r="AD79" i="11"/>
  <c r="AC79" i="11"/>
  <c r="Y79" i="11"/>
  <c r="T79" i="11"/>
  <c r="L79" i="11"/>
  <c r="AD78" i="11"/>
  <c r="Y78" i="11"/>
  <c r="T78" i="11"/>
  <c r="L78" i="11"/>
  <c r="AD77" i="11"/>
  <c r="Y77" i="11"/>
  <c r="T77" i="11"/>
  <c r="L77" i="11"/>
  <c r="AD76" i="11"/>
  <c r="Y76" i="11"/>
  <c r="AC76" i="11" s="1"/>
  <c r="T76" i="11"/>
  <c r="L76" i="11"/>
  <c r="AD75" i="11"/>
  <c r="AC75" i="11"/>
  <c r="Y75" i="11"/>
  <c r="T75" i="11"/>
  <c r="L75" i="11"/>
  <c r="AD74" i="11"/>
  <c r="Y74" i="11"/>
  <c r="T74" i="11"/>
  <c r="L74" i="11"/>
  <c r="AD73" i="11"/>
  <c r="Y73" i="11"/>
  <c r="AC73" i="11" s="1"/>
  <c r="T73" i="11"/>
  <c r="L73" i="11"/>
  <c r="AD72" i="11"/>
  <c r="Y72" i="11"/>
  <c r="AC72" i="11" s="1"/>
  <c r="T72" i="11"/>
  <c r="L72" i="11"/>
  <c r="AD71" i="11"/>
  <c r="AC71" i="11"/>
  <c r="Y71" i="11"/>
  <c r="T71" i="11"/>
  <c r="L71" i="11"/>
  <c r="AD70" i="11"/>
  <c r="Y70" i="11"/>
  <c r="T70" i="11"/>
  <c r="L70" i="11"/>
  <c r="AD69" i="11"/>
  <c r="Y69" i="11"/>
  <c r="T69" i="11"/>
  <c r="L69" i="11"/>
  <c r="AD68" i="11"/>
  <c r="Y68" i="11"/>
  <c r="AC68" i="11" s="1"/>
  <c r="T68" i="11"/>
  <c r="L68" i="11"/>
  <c r="AD67" i="11"/>
  <c r="AD94" i="11" s="1"/>
  <c r="AC67" i="11"/>
  <c r="Y67" i="11"/>
  <c r="T67" i="11"/>
  <c r="L67" i="11"/>
  <c r="L94" i="11" s="1"/>
  <c r="AB63" i="11"/>
  <c r="Z63" i="11"/>
  <c r="X63" i="11"/>
  <c r="W63" i="11"/>
  <c r="V63" i="11"/>
  <c r="S63" i="11"/>
  <c r="R63" i="11"/>
  <c r="Q63" i="11"/>
  <c r="O63" i="11"/>
  <c r="N63" i="11"/>
  <c r="M63" i="11"/>
  <c r="K63" i="11"/>
  <c r="J63" i="11"/>
  <c r="I63" i="11"/>
  <c r="G63" i="11"/>
  <c r="F63" i="11"/>
  <c r="E63" i="11"/>
  <c r="D63" i="11"/>
  <c r="C63" i="11"/>
  <c r="AD62" i="11"/>
  <c r="Y62" i="11"/>
  <c r="AC62" i="11" s="1"/>
  <c r="L62" i="11"/>
  <c r="AD61" i="11"/>
  <c r="Y61" i="11"/>
  <c r="AC61" i="11" s="1"/>
  <c r="L61" i="11"/>
  <c r="AD60" i="11"/>
  <c r="Y60" i="11"/>
  <c r="AC60" i="11" s="1"/>
  <c r="L60" i="11"/>
  <c r="AD59" i="11"/>
  <c r="Y59" i="11"/>
  <c r="AC59" i="11" s="1"/>
  <c r="L59" i="11"/>
  <c r="AD58" i="11"/>
  <c r="Y58" i="11"/>
  <c r="AC58" i="11" s="1"/>
  <c r="L58" i="11"/>
  <c r="AD57" i="11"/>
  <c r="Y57" i="11"/>
  <c r="AC57" i="11" s="1"/>
  <c r="L57" i="11"/>
  <c r="AD56" i="11"/>
  <c r="Y56" i="11"/>
  <c r="AC56" i="11" s="1"/>
  <c r="L56" i="11"/>
  <c r="AD55" i="11"/>
  <c r="Y55" i="11"/>
  <c r="AC55" i="11" s="1"/>
  <c r="L55" i="11"/>
  <c r="AD54" i="11"/>
  <c r="Y54" i="11"/>
  <c r="T54" i="11"/>
  <c r="L54" i="11"/>
  <c r="AD53" i="11"/>
  <c r="Y53" i="11"/>
  <c r="AC53" i="11" s="1"/>
  <c r="T53" i="11"/>
  <c r="L53" i="11"/>
  <c r="AD52" i="11"/>
  <c r="Y52" i="11"/>
  <c r="AC52" i="11" s="1"/>
  <c r="T52" i="11"/>
  <c r="L52" i="11"/>
  <c r="AD51" i="11"/>
  <c r="AC51" i="11"/>
  <c r="Y51" i="11"/>
  <c r="T51" i="11"/>
  <c r="L51" i="11"/>
  <c r="AD50" i="11"/>
  <c r="Y50" i="11"/>
  <c r="T50" i="11"/>
  <c r="L50" i="11"/>
  <c r="AD49" i="11"/>
  <c r="Y49" i="11"/>
  <c r="T49" i="11"/>
  <c r="L49" i="11"/>
  <c r="AD48" i="11"/>
  <c r="Y48" i="11"/>
  <c r="AC48" i="11" s="1"/>
  <c r="T48" i="11"/>
  <c r="L48" i="11"/>
  <c r="AD47" i="11"/>
  <c r="AC47" i="11"/>
  <c r="Y47" i="11"/>
  <c r="T47" i="11"/>
  <c r="L47" i="11"/>
  <c r="AD46" i="11"/>
  <c r="Y46" i="11"/>
  <c r="T46" i="11"/>
  <c r="L46" i="11"/>
  <c r="AC46" i="11" s="1"/>
  <c r="AD45" i="11"/>
  <c r="Y45" i="11"/>
  <c r="T45" i="11"/>
  <c r="L45" i="11"/>
  <c r="AD44" i="11"/>
  <c r="Y44" i="11"/>
  <c r="AC44" i="11" s="1"/>
  <c r="T44" i="11"/>
  <c r="L44" i="11"/>
  <c r="AD43" i="11"/>
  <c r="AC43" i="11"/>
  <c r="Y43" i="11"/>
  <c r="T43" i="11"/>
  <c r="L43" i="11"/>
  <c r="AD42" i="11"/>
  <c r="Y42" i="11"/>
  <c r="T42" i="11"/>
  <c r="L42" i="11"/>
  <c r="AD41" i="11"/>
  <c r="Y41" i="11"/>
  <c r="T41" i="11"/>
  <c r="T63" i="11" s="1"/>
  <c r="L41" i="11"/>
  <c r="AD40" i="11"/>
  <c r="Y40" i="11"/>
  <c r="AC40" i="11" s="1"/>
  <c r="T40" i="11"/>
  <c r="L40" i="11"/>
  <c r="AD39" i="11"/>
  <c r="AC39" i="11"/>
  <c r="Y39" i="11"/>
  <c r="T39" i="11"/>
  <c r="L39" i="11"/>
  <c r="AD38" i="11"/>
  <c r="AD63" i="11" s="1"/>
  <c r="Y38" i="11"/>
  <c r="T38" i="11"/>
  <c r="L38" i="11"/>
  <c r="AD37" i="11"/>
  <c r="Y37" i="11"/>
  <c r="AC37" i="11" s="1"/>
  <c r="T37" i="11"/>
  <c r="L37" i="11"/>
  <c r="AD36" i="11"/>
  <c r="Y36" i="11"/>
  <c r="AC36" i="11" s="1"/>
  <c r="T36" i="11"/>
  <c r="L36" i="11"/>
  <c r="AD35" i="11"/>
  <c r="AC35" i="11"/>
  <c r="Y35" i="11"/>
  <c r="T35" i="11"/>
  <c r="L35" i="11"/>
  <c r="AB31" i="11"/>
  <c r="Z31" i="11"/>
  <c r="X31" i="11"/>
  <c r="W31" i="11"/>
  <c r="V31" i="11"/>
  <c r="S31" i="11"/>
  <c r="R31" i="11"/>
  <c r="Q31" i="11"/>
  <c r="O31" i="11"/>
  <c r="N31" i="11"/>
  <c r="M31" i="11"/>
  <c r="K31" i="11"/>
  <c r="J31" i="11"/>
  <c r="I31" i="11"/>
  <c r="F31" i="11"/>
  <c r="E31" i="11"/>
  <c r="D31" i="11"/>
  <c r="C31" i="11"/>
  <c r="AD30" i="11"/>
  <c r="Y30" i="11"/>
  <c r="AC30" i="11" s="1"/>
  <c r="L30" i="11"/>
  <c r="AD29" i="11"/>
  <c r="Y29" i="11"/>
  <c r="AC29" i="11" s="1"/>
  <c r="L29" i="11"/>
  <c r="AD28" i="11"/>
  <c r="Y28" i="11"/>
  <c r="AC28" i="11" s="1"/>
  <c r="L28" i="11"/>
  <c r="AD27" i="11"/>
  <c r="Y27" i="11"/>
  <c r="AC27" i="11" s="1"/>
  <c r="L27" i="11"/>
  <c r="AD26" i="11"/>
  <c r="Y26" i="11"/>
  <c r="AC26" i="11" s="1"/>
  <c r="L26" i="11"/>
  <c r="AD25" i="11"/>
  <c r="Y25" i="11"/>
  <c r="AC25" i="11" s="1"/>
  <c r="L25" i="11"/>
  <c r="AD24" i="11"/>
  <c r="Y24" i="11"/>
  <c r="AC24" i="11" s="1"/>
  <c r="L24" i="11"/>
  <c r="AD23" i="11"/>
  <c r="Y23" i="11"/>
  <c r="AC23" i="11" s="1"/>
  <c r="L23" i="11"/>
  <c r="AD22" i="11"/>
  <c r="Y22" i="11"/>
  <c r="T22" i="11"/>
  <c r="L22" i="11"/>
  <c r="AC22" i="11" s="1"/>
  <c r="AD21" i="11"/>
  <c r="Y21" i="11"/>
  <c r="T21" i="11"/>
  <c r="L21" i="11"/>
  <c r="AD20" i="11"/>
  <c r="Y20" i="11"/>
  <c r="AC20" i="11" s="1"/>
  <c r="T20" i="11"/>
  <c r="L20" i="11"/>
  <c r="AD19" i="11"/>
  <c r="AC19" i="11"/>
  <c r="Y19" i="11"/>
  <c r="T19" i="11"/>
  <c r="L19" i="11"/>
  <c r="AD18" i="11"/>
  <c r="Y18" i="11"/>
  <c r="T18" i="11"/>
  <c r="L18" i="11"/>
  <c r="AD17" i="11"/>
  <c r="Y17" i="11"/>
  <c r="T17" i="11"/>
  <c r="L17" i="11"/>
  <c r="AD16" i="11"/>
  <c r="Y16" i="11"/>
  <c r="AC16" i="11" s="1"/>
  <c r="T16" i="11"/>
  <c r="L16" i="11"/>
  <c r="AD15" i="11"/>
  <c r="AC15" i="11"/>
  <c r="Y15" i="11"/>
  <c r="T15" i="11"/>
  <c r="L15" i="11"/>
  <c r="AD14" i="11"/>
  <c r="Y14" i="11"/>
  <c r="T14" i="11"/>
  <c r="L14" i="11"/>
  <c r="AD13" i="11"/>
  <c r="Y13" i="11"/>
  <c r="AC13" i="11" s="1"/>
  <c r="T13" i="11"/>
  <c r="L13" i="11"/>
  <c r="AD12" i="11"/>
  <c r="Y12" i="11"/>
  <c r="AC12" i="11" s="1"/>
  <c r="T12" i="11"/>
  <c r="L12" i="11"/>
  <c r="AD11" i="11"/>
  <c r="AC11" i="11"/>
  <c r="Y11" i="11"/>
  <c r="T11" i="11"/>
  <c r="L11" i="11"/>
  <c r="AD10" i="11"/>
  <c r="AD31" i="11" s="1"/>
  <c r="Y10" i="11"/>
  <c r="T10" i="11"/>
  <c r="L10" i="11"/>
  <c r="AD9" i="11"/>
  <c r="Y9" i="11"/>
  <c r="T9" i="11"/>
  <c r="L9" i="11"/>
  <c r="AD8" i="11"/>
  <c r="Y8" i="11"/>
  <c r="AC8" i="11" s="1"/>
  <c r="T8" i="11"/>
  <c r="L8" i="11"/>
  <c r="AD7" i="11"/>
  <c r="AC7" i="11"/>
  <c r="Y7" i="11"/>
  <c r="T7" i="11"/>
  <c r="L7" i="11"/>
  <c r="AD6" i="11"/>
  <c r="Y6" i="11"/>
  <c r="T6" i="11"/>
  <c r="L6" i="11"/>
  <c r="AD5" i="11"/>
  <c r="Y5" i="11"/>
  <c r="T5" i="11"/>
  <c r="T31" i="11" s="1"/>
  <c r="L5" i="11"/>
  <c r="AD4" i="11"/>
  <c r="Y4" i="11"/>
  <c r="AC4" i="11" s="1"/>
  <c r="T4" i="11"/>
  <c r="L4" i="11"/>
  <c r="AD3" i="11"/>
  <c r="AC3" i="11"/>
  <c r="Y3" i="11"/>
  <c r="L3" i="11"/>
  <c r="G3" i="11"/>
  <c r="G31" i="11" s="1"/>
  <c r="AB125" i="10"/>
  <c r="Z125" i="10"/>
  <c r="X125" i="10"/>
  <c r="W125" i="10"/>
  <c r="V125" i="10"/>
  <c r="S125" i="10"/>
  <c r="R125" i="10"/>
  <c r="Q125" i="10"/>
  <c r="O125" i="10"/>
  <c r="N125" i="10"/>
  <c r="M125" i="10"/>
  <c r="K125" i="10"/>
  <c r="J125" i="10"/>
  <c r="I125" i="10"/>
  <c r="G125" i="10"/>
  <c r="F125" i="10"/>
  <c r="E125" i="10"/>
  <c r="D125" i="10"/>
  <c r="C125" i="10"/>
  <c r="AD124" i="10"/>
  <c r="Y124" i="10"/>
  <c r="L124" i="10"/>
  <c r="AC124" i="10" s="1"/>
  <c r="AD123" i="10"/>
  <c r="Y123" i="10"/>
  <c r="L123" i="10"/>
  <c r="AC123" i="10" s="1"/>
  <c r="AD122" i="10"/>
  <c r="Y122" i="10"/>
  <c r="L122" i="10"/>
  <c r="AC122" i="10" s="1"/>
  <c r="AD121" i="10"/>
  <c r="Y121" i="10"/>
  <c r="L121" i="10"/>
  <c r="AC121" i="10" s="1"/>
  <c r="AD120" i="10"/>
  <c r="Y120" i="10"/>
  <c r="L120" i="10"/>
  <c r="AC120" i="10" s="1"/>
  <c r="AD119" i="10"/>
  <c r="Y119" i="10"/>
  <c r="L119" i="10"/>
  <c r="AC119" i="10" s="1"/>
  <c r="AD118" i="10"/>
  <c r="Y118" i="10"/>
  <c r="L118" i="10"/>
  <c r="AC118" i="10" s="1"/>
  <c r="L117" i="10"/>
  <c r="AD116" i="10"/>
  <c r="Y116" i="10"/>
  <c r="L116" i="10"/>
  <c r="AD115" i="10"/>
  <c r="Y115" i="10"/>
  <c r="T115" i="10"/>
  <c r="L115" i="10"/>
  <c r="AD114" i="10"/>
  <c r="Y114" i="10"/>
  <c r="AC114" i="10" s="1"/>
  <c r="T114" i="10"/>
  <c r="L114" i="10"/>
  <c r="AD113" i="10"/>
  <c r="AC113" i="10"/>
  <c r="Y113" i="10"/>
  <c r="T113" i="10"/>
  <c r="L113" i="10"/>
  <c r="AD112" i="10"/>
  <c r="AC112" i="10" s="1"/>
  <c r="Y112" i="10"/>
  <c r="T112" i="10"/>
  <c r="L112" i="10"/>
  <c r="AD111" i="10"/>
  <c r="Y111" i="10"/>
  <c r="T111" i="10"/>
  <c r="L111" i="10"/>
  <c r="AD110" i="10"/>
  <c r="Y110" i="10"/>
  <c r="AC110" i="10" s="1"/>
  <c r="T110" i="10"/>
  <c r="L110" i="10"/>
  <c r="AD109" i="10"/>
  <c r="AC109" i="10"/>
  <c r="Y109" i="10"/>
  <c r="T109" i="10"/>
  <c r="L109" i="10"/>
  <c r="AD108" i="10"/>
  <c r="AC108" i="10" s="1"/>
  <c r="Y108" i="10"/>
  <c r="T108" i="10"/>
  <c r="L108" i="10"/>
  <c r="AD107" i="10"/>
  <c r="Y107" i="10"/>
  <c r="AC107" i="10" s="1"/>
  <c r="T107" i="10"/>
  <c r="L107" i="10"/>
  <c r="AD106" i="10"/>
  <c r="Y106" i="10"/>
  <c r="AC106" i="10" s="1"/>
  <c r="T106" i="10"/>
  <c r="L106" i="10"/>
  <c r="AD105" i="10"/>
  <c r="AC105" i="10"/>
  <c r="Y105" i="10"/>
  <c r="T105" i="10"/>
  <c r="L105" i="10"/>
  <c r="AD104" i="10"/>
  <c r="AC104" i="10" s="1"/>
  <c r="Y104" i="10"/>
  <c r="T104" i="10"/>
  <c r="L104" i="10"/>
  <c r="AD103" i="10"/>
  <c r="Y103" i="10"/>
  <c r="T103" i="10"/>
  <c r="L103" i="10"/>
  <c r="AD102" i="10"/>
  <c r="Y102" i="10"/>
  <c r="AC102" i="10" s="1"/>
  <c r="T102" i="10"/>
  <c r="L102" i="10"/>
  <c r="AD101" i="10"/>
  <c r="AC101" i="10"/>
  <c r="Y101" i="10"/>
  <c r="T101" i="10"/>
  <c r="L101" i="10"/>
  <c r="AD100" i="10"/>
  <c r="Y100" i="10"/>
  <c r="T100" i="10"/>
  <c r="L100" i="10"/>
  <c r="AD99" i="10"/>
  <c r="Y99" i="10"/>
  <c r="T99" i="10"/>
  <c r="T125" i="10" s="1"/>
  <c r="L99" i="10"/>
  <c r="AD98" i="10"/>
  <c r="Y98" i="10"/>
  <c r="AC98" i="10" s="1"/>
  <c r="T98" i="10"/>
  <c r="L98" i="10"/>
  <c r="AD97" i="10"/>
  <c r="AC97" i="10"/>
  <c r="Y97" i="10"/>
  <c r="T97" i="10"/>
  <c r="L97" i="10"/>
  <c r="AD96" i="10"/>
  <c r="AD125" i="10" s="1"/>
  <c r="Y96" i="10"/>
  <c r="L96" i="10"/>
  <c r="AC96" i="10" s="1"/>
  <c r="AB92" i="10"/>
  <c r="Z92" i="10"/>
  <c r="X92" i="10"/>
  <c r="W92" i="10"/>
  <c r="V92" i="10"/>
  <c r="S92" i="10"/>
  <c r="R92" i="10"/>
  <c r="Q92" i="10"/>
  <c r="O92" i="10"/>
  <c r="N92" i="10"/>
  <c r="M92" i="10"/>
  <c r="K92" i="10"/>
  <c r="J92" i="10"/>
  <c r="I92" i="10"/>
  <c r="G92" i="10"/>
  <c r="F92" i="10"/>
  <c r="E92" i="10"/>
  <c r="D92" i="10"/>
  <c r="C92" i="10"/>
  <c r="AD91" i="10"/>
  <c r="Y91" i="10"/>
  <c r="L91" i="10"/>
  <c r="AC91" i="10" s="1"/>
  <c r="AD90" i="10"/>
  <c r="Y90" i="10"/>
  <c r="L90" i="10"/>
  <c r="AC90" i="10" s="1"/>
  <c r="AD89" i="10"/>
  <c r="Y89" i="10"/>
  <c r="L89" i="10"/>
  <c r="AC89" i="10" s="1"/>
  <c r="AD88" i="10"/>
  <c r="Y88" i="10"/>
  <c r="L88" i="10"/>
  <c r="AC88" i="10" s="1"/>
  <c r="AD87" i="10"/>
  <c r="Y87" i="10"/>
  <c r="L87" i="10"/>
  <c r="AC87" i="10" s="1"/>
  <c r="AD86" i="10"/>
  <c r="Y86" i="10"/>
  <c r="L86" i="10"/>
  <c r="AC86" i="10" s="1"/>
  <c r="AD85" i="10"/>
  <c r="Y85" i="10"/>
  <c r="L85" i="10"/>
  <c r="AC85" i="10" s="1"/>
  <c r="AD84" i="10"/>
  <c r="Y84" i="10"/>
  <c r="L84" i="10"/>
  <c r="AC84" i="10" s="1"/>
  <c r="AD83" i="10"/>
  <c r="AC83" i="10" s="1"/>
  <c r="Y83" i="10"/>
  <c r="T83" i="10"/>
  <c r="L83" i="10"/>
  <c r="AD82" i="10"/>
  <c r="Y82" i="10"/>
  <c r="AC82" i="10" s="1"/>
  <c r="T82" i="10"/>
  <c r="L82" i="10"/>
  <c r="AD81" i="10"/>
  <c r="Y81" i="10"/>
  <c r="AC81" i="10" s="1"/>
  <c r="T81" i="10"/>
  <c r="L81" i="10"/>
  <c r="AD80" i="10"/>
  <c r="AC80" i="10"/>
  <c r="Y80" i="10"/>
  <c r="T80" i="10"/>
  <c r="L80" i="10"/>
  <c r="AD79" i="10"/>
  <c r="AC79" i="10" s="1"/>
  <c r="Y79" i="10"/>
  <c r="T79" i="10"/>
  <c r="L79" i="10"/>
  <c r="AD78" i="10"/>
  <c r="Y78" i="10"/>
  <c r="T78" i="10"/>
  <c r="L78" i="10"/>
  <c r="AD77" i="10"/>
  <c r="Y77" i="10"/>
  <c r="AC77" i="10" s="1"/>
  <c r="T77" i="10"/>
  <c r="L77" i="10"/>
  <c r="AD76" i="10"/>
  <c r="AC76" i="10"/>
  <c r="Y76" i="10"/>
  <c r="T76" i="10"/>
  <c r="L76" i="10"/>
  <c r="AD75" i="10"/>
  <c r="Y75" i="10"/>
  <c r="T75" i="10"/>
  <c r="L75" i="10"/>
  <c r="AD74" i="10"/>
  <c r="Y74" i="10"/>
  <c r="T74" i="10"/>
  <c r="L74" i="10"/>
  <c r="AD73" i="10"/>
  <c r="Y73" i="10"/>
  <c r="AC73" i="10" s="1"/>
  <c r="T73" i="10"/>
  <c r="L73" i="10"/>
  <c r="AD72" i="10"/>
  <c r="AC72" i="10"/>
  <c r="Y72" i="10"/>
  <c r="T72" i="10"/>
  <c r="L72" i="10"/>
  <c r="AD71" i="10"/>
  <c r="AC71" i="10" s="1"/>
  <c r="Y71" i="10"/>
  <c r="T71" i="10"/>
  <c r="L71" i="10"/>
  <c r="AD70" i="10"/>
  <c r="Y70" i="10"/>
  <c r="T70" i="10"/>
  <c r="T92" i="10" s="1"/>
  <c r="L70" i="10"/>
  <c r="AD69" i="10"/>
  <c r="Y69" i="10"/>
  <c r="AC69" i="10" s="1"/>
  <c r="T69" i="10"/>
  <c r="L69" i="10"/>
  <c r="AD68" i="10"/>
  <c r="AC68" i="10"/>
  <c r="Y68" i="10"/>
  <c r="T68" i="10"/>
  <c r="L68" i="10"/>
  <c r="AD67" i="10"/>
  <c r="AC67" i="10" s="1"/>
  <c r="Y67" i="10"/>
  <c r="T67" i="10"/>
  <c r="L67" i="10"/>
  <c r="AD66" i="10"/>
  <c r="Y66" i="10"/>
  <c r="AC66" i="10" s="1"/>
  <c r="T66" i="10"/>
  <c r="L66" i="10"/>
  <c r="AD65" i="10"/>
  <c r="Y65" i="10"/>
  <c r="AC65" i="10" s="1"/>
  <c r="T65" i="10"/>
  <c r="L65" i="10"/>
  <c r="AD64" i="10"/>
  <c r="AC64" i="10"/>
  <c r="Y64" i="10"/>
  <c r="L64" i="10"/>
  <c r="AB60" i="10"/>
  <c r="AA60" i="10"/>
  <c r="Z60" i="10"/>
  <c r="X60" i="10"/>
  <c r="W60" i="10"/>
  <c r="V60" i="10"/>
  <c r="S60" i="10"/>
  <c r="R60" i="10"/>
  <c r="Q60" i="10"/>
  <c r="O60" i="10"/>
  <c r="N60" i="10"/>
  <c r="M60" i="10"/>
  <c r="K60" i="10"/>
  <c r="J60" i="10"/>
  <c r="I60" i="10"/>
  <c r="G60" i="10"/>
  <c r="F60" i="10"/>
  <c r="E60" i="10"/>
  <c r="D60" i="10"/>
  <c r="C60" i="10"/>
  <c r="AD59" i="10"/>
  <c r="AC59" i="10"/>
  <c r="Y59" i="10"/>
  <c r="L59" i="10"/>
  <c r="AD58" i="10"/>
  <c r="Y58" i="10"/>
  <c r="L58" i="10"/>
  <c r="AC58" i="10" s="1"/>
  <c r="AD57" i="10"/>
  <c r="AC57" i="10"/>
  <c r="Y57" i="10"/>
  <c r="L57" i="10"/>
  <c r="AD56" i="10"/>
  <c r="Y56" i="10"/>
  <c r="L56" i="10"/>
  <c r="AC56" i="10" s="1"/>
  <c r="AD55" i="10"/>
  <c r="Y55" i="10"/>
  <c r="L55" i="10"/>
  <c r="AC55" i="10" s="1"/>
  <c r="AD54" i="10"/>
  <c r="Y54" i="10"/>
  <c r="L54" i="10"/>
  <c r="AC54" i="10" s="1"/>
  <c r="AD53" i="10"/>
  <c r="Y53" i="10"/>
  <c r="L53" i="10"/>
  <c r="AC53" i="10" s="1"/>
  <c r="AD52" i="10"/>
  <c r="Y52" i="10"/>
  <c r="T52" i="10"/>
  <c r="L52" i="10"/>
  <c r="G52" i="10"/>
  <c r="AD51" i="10"/>
  <c r="Y51" i="10"/>
  <c r="AC51" i="10" s="1"/>
  <c r="T51" i="10"/>
  <c r="L51" i="10"/>
  <c r="AD50" i="10"/>
  <c r="AC50" i="10"/>
  <c r="Y50" i="10"/>
  <c r="T50" i="10"/>
  <c r="L50" i="10"/>
  <c r="AD49" i="10"/>
  <c r="AC49" i="10" s="1"/>
  <c r="Y49" i="10"/>
  <c r="T49" i="10"/>
  <c r="L49" i="10"/>
  <c r="AD48" i="10"/>
  <c r="Y48" i="10"/>
  <c r="AC48" i="10" s="1"/>
  <c r="T48" i="10"/>
  <c r="L48" i="10"/>
  <c r="AD47" i="10"/>
  <c r="Y47" i="10"/>
  <c r="AC47" i="10" s="1"/>
  <c r="T47" i="10"/>
  <c r="L47" i="10"/>
  <c r="AD46" i="10"/>
  <c r="AC46" i="10"/>
  <c r="Y46" i="10"/>
  <c r="T46" i="10"/>
  <c r="L46" i="10"/>
  <c r="AD45" i="10"/>
  <c r="AC45" i="10" s="1"/>
  <c r="Y45" i="10"/>
  <c r="T45" i="10"/>
  <c r="L45" i="10"/>
  <c r="AD44" i="10"/>
  <c r="Y44" i="10"/>
  <c r="T44" i="10"/>
  <c r="L44" i="10"/>
  <c r="AD43" i="10"/>
  <c r="Y43" i="10"/>
  <c r="AC43" i="10" s="1"/>
  <c r="T43" i="10"/>
  <c r="L43" i="10"/>
  <c r="AD42" i="10"/>
  <c r="AC42" i="10"/>
  <c r="Y42" i="10"/>
  <c r="T42" i="10"/>
  <c r="L42" i="10"/>
  <c r="AD41" i="10"/>
  <c r="Y41" i="10"/>
  <c r="T41" i="10"/>
  <c r="L41" i="10"/>
  <c r="AD40" i="10"/>
  <c r="Y40" i="10"/>
  <c r="T40" i="10"/>
  <c r="L40" i="10"/>
  <c r="AD39" i="10"/>
  <c r="Y39" i="10"/>
  <c r="AC39" i="10" s="1"/>
  <c r="T39" i="10"/>
  <c r="L39" i="10"/>
  <c r="AD38" i="10"/>
  <c r="AC38" i="10"/>
  <c r="Y38" i="10"/>
  <c r="T38" i="10"/>
  <c r="L38" i="10"/>
  <c r="AD37" i="10"/>
  <c r="AC37" i="10" s="1"/>
  <c r="Y37" i="10"/>
  <c r="T37" i="10"/>
  <c r="L37" i="10"/>
  <c r="AD36" i="10"/>
  <c r="Y36" i="10"/>
  <c r="T36" i="10"/>
  <c r="T60" i="10" s="1"/>
  <c r="L36" i="10"/>
  <c r="AD35" i="10"/>
  <c r="Y35" i="10"/>
  <c r="AC35" i="10" s="1"/>
  <c r="T35" i="10"/>
  <c r="L35" i="10"/>
  <c r="AD34" i="10"/>
  <c r="AC34" i="10"/>
  <c r="Y34" i="10"/>
  <c r="T34" i="10"/>
  <c r="L34" i="10"/>
  <c r="AD33" i="10"/>
  <c r="Y33" i="10"/>
  <c r="T33" i="10"/>
  <c r="L33" i="10"/>
  <c r="AB29" i="10"/>
  <c r="AA29" i="10"/>
  <c r="Z29" i="10"/>
  <c r="X29" i="10"/>
  <c r="W29" i="10"/>
  <c r="V29" i="10"/>
  <c r="S29" i="10"/>
  <c r="R29" i="10"/>
  <c r="Q29" i="10"/>
  <c r="O29" i="10"/>
  <c r="N29" i="10"/>
  <c r="M29" i="10"/>
  <c r="K29" i="10"/>
  <c r="J29" i="10"/>
  <c r="I29" i="10"/>
  <c r="G29" i="10"/>
  <c r="F29" i="10"/>
  <c r="E29" i="10"/>
  <c r="D29" i="10"/>
  <c r="C29" i="10"/>
  <c r="AD28" i="10"/>
  <c r="AC28" i="10"/>
  <c r="Y28" i="10"/>
  <c r="L28" i="10"/>
  <c r="AD27" i="10"/>
  <c r="AC27" i="10"/>
  <c r="Y27" i="10"/>
  <c r="L27" i="10"/>
  <c r="AD26" i="10"/>
  <c r="Y26" i="10"/>
  <c r="AC26" i="10" s="1"/>
  <c r="L26" i="10"/>
  <c r="AD25" i="10"/>
  <c r="Y25" i="10"/>
  <c r="AC25" i="10" s="1"/>
  <c r="L25" i="10"/>
  <c r="AD24" i="10"/>
  <c r="AC24" i="10"/>
  <c r="Y24" i="10"/>
  <c r="L24" i="10"/>
  <c r="AD23" i="10"/>
  <c r="AC23" i="10"/>
  <c r="Y23" i="10"/>
  <c r="L23" i="10"/>
  <c r="AD22" i="10"/>
  <c r="Y22" i="10"/>
  <c r="AC22" i="10" s="1"/>
  <c r="T22" i="10"/>
  <c r="L22" i="10"/>
  <c r="AD21" i="10"/>
  <c r="AC21" i="10"/>
  <c r="Y21" i="10"/>
  <c r="T21" i="10"/>
  <c r="L21" i="10"/>
  <c r="AD20" i="10"/>
  <c r="AC20" i="10" s="1"/>
  <c r="Y20" i="10"/>
  <c r="T20" i="10"/>
  <c r="L20" i="10"/>
  <c r="AD19" i="10"/>
  <c r="Y19" i="10"/>
  <c r="T19" i="10"/>
  <c r="L19" i="10"/>
  <c r="AD18" i="10"/>
  <c r="Y18" i="10"/>
  <c r="AC18" i="10" s="1"/>
  <c r="T18" i="10"/>
  <c r="L18" i="10"/>
  <c r="AD17" i="10"/>
  <c r="AC17" i="10"/>
  <c r="Y17" i="10"/>
  <c r="T17" i="10"/>
  <c r="L17" i="10"/>
  <c r="AD16" i="10"/>
  <c r="AC16" i="10" s="1"/>
  <c r="Y16" i="10"/>
  <c r="T16" i="10"/>
  <c r="L16" i="10"/>
  <c r="AD15" i="10"/>
  <c r="Y15" i="10"/>
  <c r="AC15" i="10" s="1"/>
  <c r="T15" i="10"/>
  <c r="L15" i="10"/>
  <c r="AD14" i="10"/>
  <c r="Y14" i="10"/>
  <c r="AC14" i="10" s="1"/>
  <c r="T14" i="10"/>
  <c r="L14" i="10"/>
  <c r="AD13" i="10"/>
  <c r="AC13" i="10"/>
  <c r="Y13" i="10"/>
  <c r="T13" i="10"/>
  <c r="L13" i="10"/>
  <c r="AD12" i="10"/>
  <c r="AC12" i="10" s="1"/>
  <c r="Y12" i="10"/>
  <c r="T12" i="10"/>
  <c r="L12" i="10"/>
  <c r="AD11" i="10"/>
  <c r="Y11" i="10"/>
  <c r="T11" i="10"/>
  <c r="L11" i="10"/>
  <c r="AD10" i="10"/>
  <c r="Y10" i="10"/>
  <c r="AC10" i="10" s="1"/>
  <c r="T10" i="10"/>
  <c r="L10" i="10"/>
  <c r="AD9" i="10"/>
  <c r="AC9" i="10"/>
  <c r="Y9" i="10"/>
  <c r="T9" i="10"/>
  <c r="L9" i="10"/>
  <c r="AD8" i="10"/>
  <c r="Y8" i="10"/>
  <c r="T8" i="10"/>
  <c r="L8" i="10"/>
  <c r="AD7" i="10"/>
  <c r="Y7" i="10"/>
  <c r="T7" i="10"/>
  <c r="L7" i="10"/>
  <c r="AD6" i="10"/>
  <c r="Y6" i="10"/>
  <c r="AC6" i="10" s="1"/>
  <c r="T6" i="10"/>
  <c r="L6" i="10"/>
  <c r="AD5" i="10"/>
  <c r="AC5" i="10"/>
  <c r="Y5" i="10"/>
  <c r="T5" i="10"/>
  <c r="L5" i="10"/>
  <c r="AD4" i="10"/>
  <c r="AC4" i="10" s="1"/>
  <c r="Y4" i="10"/>
  <c r="T4" i="10"/>
  <c r="L4" i="10"/>
  <c r="AD3" i="10"/>
  <c r="Y3" i="10"/>
  <c r="T3" i="10"/>
  <c r="T29" i="10" s="1"/>
  <c r="L3" i="10"/>
  <c r="AB118" i="9"/>
  <c r="AA118" i="9"/>
  <c r="Z118" i="9"/>
  <c r="X118" i="9"/>
  <c r="W118" i="9"/>
  <c r="V118" i="9"/>
  <c r="S118" i="9"/>
  <c r="R118" i="9"/>
  <c r="Q118" i="9"/>
  <c r="O118" i="9"/>
  <c r="N118" i="9"/>
  <c r="M118" i="9"/>
  <c r="K118" i="9"/>
  <c r="J118" i="9"/>
  <c r="I118" i="9"/>
  <c r="G118" i="9"/>
  <c r="F118" i="9"/>
  <c r="E118" i="9"/>
  <c r="D118" i="9"/>
  <c r="C118" i="9"/>
  <c r="AD117" i="9"/>
  <c r="AC117" i="9"/>
  <c r="Y117" i="9"/>
  <c r="L117" i="9"/>
  <c r="AD116" i="9"/>
  <c r="AC116" i="9"/>
  <c r="Y116" i="9"/>
  <c r="L116" i="9"/>
  <c r="AD115" i="9"/>
  <c r="AC115" i="9"/>
  <c r="Y115" i="9"/>
  <c r="L115" i="9"/>
  <c r="AD114" i="9"/>
  <c r="AC114" i="9"/>
  <c r="Y114" i="9"/>
  <c r="L114" i="9"/>
  <c r="AD113" i="9"/>
  <c r="AC113" i="9"/>
  <c r="Y113" i="9"/>
  <c r="L113" i="9"/>
  <c r="AD112" i="9"/>
  <c r="AC112" i="9"/>
  <c r="Y112" i="9"/>
  <c r="L112" i="9"/>
  <c r="AD111" i="9"/>
  <c r="AC111" i="9"/>
  <c r="Y111" i="9"/>
  <c r="T111" i="9"/>
  <c r="L111" i="9"/>
  <c r="AD110" i="9"/>
  <c r="AC110" i="9" s="1"/>
  <c r="Y110" i="9"/>
  <c r="T110" i="9"/>
  <c r="L110" i="9"/>
  <c r="AD109" i="9"/>
  <c r="Y109" i="9"/>
  <c r="AC109" i="9" s="1"/>
  <c r="T109" i="9"/>
  <c r="L109" i="9"/>
  <c r="AD108" i="9"/>
  <c r="Y108" i="9"/>
  <c r="AC108" i="9" s="1"/>
  <c r="T108" i="9"/>
  <c r="L108" i="9"/>
  <c r="AD107" i="9"/>
  <c r="AC107" i="9"/>
  <c r="Y107" i="9"/>
  <c r="T107" i="9"/>
  <c r="L107" i="9"/>
  <c r="AD106" i="9"/>
  <c r="AC106" i="9" s="1"/>
  <c r="Y106" i="9"/>
  <c r="T106" i="9"/>
  <c r="L106" i="9"/>
  <c r="AD105" i="9"/>
  <c r="Y105" i="9"/>
  <c r="T105" i="9"/>
  <c r="L105" i="9"/>
  <c r="AD104" i="9"/>
  <c r="Y104" i="9"/>
  <c r="AC104" i="9" s="1"/>
  <c r="T104" i="9"/>
  <c r="L104" i="9"/>
  <c r="AD103" i="9"/>
  <c r="AC103" i="9"/>
  <c r="Y103" i="9"/>
  <c r="T103" i="9"/>
  <c r="L103" i="9"/>
  <c r="AD102" i="9"/>
  <c r="Y102" i="9"/>
  <c r="T102" i="9"/>
  <c r="L102" i="9"/>
  <c r="AD101" i="9"/>
  <c r="Y101" i="9"/>
  <c r="T101" i="9"/>
  <c r="L101" i="9"/>
  <c r="AD100" i="9"/>
  <c r="Y100" i="9"/>
  <c r="AC100" i="9" s="1"/>
  <c r="T100" i="9"/>
  <c r="L100" i="9"/>
  <c r="AD99" i="9"/>
  <c r="AC99" i="9"/>
  <c r="Y99" i="9"/>
  <c r="T99" i="9"/>
  <c r="L99" i="9"/>
  <c r="AD98" i="9"/>
  <c r="AC98" i="9" s="1"/>
  <c r="Y98" i="9"/>
  <c r="T98" i="9"/>
  <c r="L98" i="9"/>
  <c r="AD97" i="9"/>
  <c r="Y97" i="9"/>
  <c r="T97" i="9"/>
  <c r="L97" i="9"/>
  <c r="AD96" i="9"/>
  <c r="Y96" i="9"/>
  <c r="AC96" i="9" s="1"/>
  <c r="T96" i="9"/>
  <c r="L96" i="9"/>
  <c r="AD95" i="9"/>
  <c r="AC95" i="9"/>
  <c r="Y95" i="9"/>
  <c r="T95" i="9"/>
  <c r="L95" i="9"/>
  <c r="AD94" i="9"/>
  <c r="AC94" i="9" s="1"/>
  <c r="Y94" i="9"/>
  <c r="T94" i="9"/>
  <c r="L94" i="9"/>
  <c r="AD93" i="9"/>
  <c r="Y93" i="9"/>
  <c r="AC93" i="9" s="1"/>
  <c r="T93" i="9"/>
  <c r="L93" i="9"/>
  <c r="AD92" i="9"/>
  <c r="Y92" i="9"/>
  <c r="T92" i="9"/>
  <c r="L92" i="9"/>
  <c r="X86" i="9"/>
  <c r="W86" i="9"/>
  <c r="V86" i="9"/>
  <c r="S86" i="9"/>
  <c r="R86" i="9"/>
  <c r="Q86" i="9"/>
  <c r="N86" i="9"/>
  <c r="M86" i="9"/>
  <c r="K86" i="9"/>
  <c r="J86" i="9"/>
  <c r="I86" i="9"/>
  <c r="G86" i="9"/>
  <c r="E86" i="9"/>
  <c r="D86" i="9"/>
  <c r="C86" i="9"/>
  <c r="Z85" i="9"/>
  <c r="Y85" i="9"/>
  <c r="L85" i="9"/>
  <c r="F85" i="9"/>
  <c r="Z84" i="9"/>
  <c r="Y84" i="9"/>
  <c r="L84" i="9"/>
  <c r="F84" i="9"/>
  <c r="Z83" i="9"/>
  <c r="Y83" i="9"/>
  <c r="L83" i="9"/>
  <c r="Z82" i="9"/>
  <c r="Y82" i="9"/>
  <c r="L82" i="9"/>
  <c r="L81" i="9"/>
  <c r="Y81" i="9" s="1"/>
  <c r="F81" i="9"/>
  <c r="Z81" i="9" s="1"/>
  <c r="L80" i="9"/>
  <c r="Y80" i="9" s="1"/>
  <c r="F80" i="9"/>
  <c r="Z80" i="9" s="1"/>
  <c r="Z79" i="9"/>
  <c r="T79" i="9"/>
  <c r="Y79" i="9" s="1"/>
  <c r="O79" i="9"/>
  <c r="L79" i="9"/>
  <c r="Z78" i="9"/>
  <c r="T78" i="9"/>
  <c r="O78" i="9"/>
  <c r="L78" i="9"/>
  <c r="F78" i="9"/>
  <c r="Y78" i="9" s="1"/>
  <c r="Z77" i="9"/>
  <c r="T77" i="9"/>
  <c r="O77" i="9"/>
  <c r="L77" i="9"/>
  <c r="F77" i="9"/>
  <c r="Z76" i="9"/>
  <c r="Y76" i="9"/>
  <c r="T76" i="9"/>
  <c r="O76" i="9"/>
  <c r="L76" i="9"/>
  <c r="Z75" i="9"/>
  <c r="T75" i="9"/>
  <c r="O75" i="9"/>
  <c r="L75" i="9"/>
  <c r="F75" i="9"/>
  <c r="Y75" i="9" s="1"/>
  <c r="Z74" i="9"/>
  <c r="T74" i="9"/>
  <c r="O74" i="9"/>
  <c r="L74" i="9"/>
  <c r="F74" i="9"/>
  <c r="Z73" i="9"/>
  <c r="T73" i="9"/>
  <c r="O73" i="9"/>
  <c r="L73" i="9"/>
  <c r="F73" i="9"/>
  <c r="Y73" i="9" s="1"/>
  <c r="Z72" i="9"/>
  <c r="T72" i="9"/>
  <c r="O72" i="9"/>
  <c r="L72" i="9"/>
  <c r="F72" i="9"/>
  <c r="Z71" i="9"/>
  <c r="T71" i="9"/>
  <c r="O71" i="9"/>
  <c r="L71" i="9"/>
  <c r="F71" i="9"/>
  <c r="Y71" i="9" s="1"/>
  <c r="Z70" i="9"/>
  <c r="T70" i="9"/>
  <c r="O70" i="9"/>
  <c r="L70" i="9"/>
  <c r="F70" i="9"/>
  <c r="Z69" i="9"/>
  <c r="Y69" i="9" s="1"/>
  <c r="T69" i="9"/>
  <c r="O69" i="9"/>
  <c r="L69" i="9"/>
  <c r="Z68" i="9"/>
  <c r="T68" i="9"/>
  <c r="O68" i="9"/>
  <c r="O86" i="9" s="1"/>
  <c r="L68" i="9"/>
  <c r="F68" i="9"/>
  <c r="Z67" i="9"/>
  <c r="Y67" i="9"/>
  <c r="T67" i="9"/>
  <c r="O67" i="9"/>
  <c r="L67" i="9"/>
  <c r="Z66" i="9"/>
  <c r="T66" i="9"/>
  <c r="O66" i="9"/>
  <c r="L66" i="9"/>
  <c r="F66" i="9"/>
  <c r="Y66" i="9" s="1"/>
  <c r="Z65" i="9"/>
  <c r="T65" i="9"/>
  <c r="Y65" i="9" s="1"/>
  <c r="O65" i="9"/>
  <c r="L65" i="9"/>
  <c r="Z64" i="9"/>
  <c r="T64" i="9"/>
  <c r="O64" i="9"/>
  <c r="L64" i="9"/>
  <c r="F64" i="9"/>
  <c r="F86" i="9" s="1"/>
  <c r="Z63" i="9"/>
  <c r="T63" i="9"/>
  <c r="O63" i="9"/>
  <c r="L63" i="9"/>
  <c r="F63" i="9"/>
  <c r="Y63" i="9" s="1"/>
  <c r="Z62" i="9"/>
  <c r="Y62" i="9"/>
  <c r="T62" i="9"/>
  <c r="O62" i="9"/>
  <c r="L62" i="9"/>
  <c r="Z61" i="9"/>
  <c r="T61" i="9"/>
  <c r="O61" i="9"/>
  <c r="L61" i="9"/>
  <c r="L86" i="9" s="1"/>
  <c r="F61" i="9"/>
  <c r="Z60" i="9"/>
  <c r="T60" i="9"/>
  <c r="T86" i="9" s="1"/>
  <c r="O60" i="9"/>
  <c r="L60" i="9"/>
  <c r="F60" i="9"/>
  <c r="X54" i="9"/>
  <c r="W54" i="9"/>
  <c r="V54" i="9"/>
  <c r="S54" i="9"/>
  <c r="R54" i="9"/>
  <c r="Q54" i="9"/>
  <c r="N54" i="9"/>
  <c r="M54" i="9"/>
  <c r="K54" i="9"/>
  <c r="J54" i="9"/>
  <c r="I54" i="9"/>
  <c r="G54" i="9"/>
  <c r="F54" i="9"/>
  <c r="E54" i="9"/>
  <c r="D54" i="9"/>
  <c r="C54" i="9"/>
  <c r="Z53" i="9"/>
  <c r="L53" i="9"/>
  <c r="Y53" i="9" s="1"/>
  <c r="Z51" i="9"/>
  <c r="Y51" i="9"/>
  <c r="L51" i="9"/>
  <c r="Z50" i="9"/>
  <c r="Y50" i="9"/>
  <c r="L50" i="9"/>
  <c r="Z49" i="9"/>
  <c r="Z48" i="9"/>
  <c r="Y48" i="9"/>
  <c r="T48" i="9"/>
  <c r="O48" i="9"/>
  <c r="L48" i="9"/>
  <c r="Z47" i="9"/>
  <c r="Y47" i="9" s="1"/>
  <c r="T47" i="9"/>
  <c r="O47" i="9"/>
  <c r="L47" i="9"/>
  <c r="Z46" i="9"/>
  <c r="T46" i="9"/>
  <c r="Y46" i="9" s="1"/>
  <c r="O46" i="9"/>
  <c r="L46" i="9"/>
  <c r="Z45" i="9"/>
  <c r="T45" i="9"/>
  <c r="Y45" i="9" s="1"/>
  <c r="O45" i="9"/>
  <c r="L45" i="9"/>
  <c r="Z44" i="9"/>
  <c r="Y44" i="9"/>
  <c r="T44" i="9"/>
  <c r="O44" i="9"/>
  <c r="L44" i="9"/>
  <c r="Z43" i="9"/>
  <c r="Y43" i="9" s="1"/>
  <c r="T43" i="9"/>
  <c r="O43" i="9"/>
  <c r="L43" i="9"/>
  <c r="Z42" i="9"/>
  <c r="T42" i="9"/>
  <c r="O42" i="9"/>
  <c r="L42" i="9"/>
  <c r="Z41" i="9"/>
  <c r="T41" i="9"/>
  <c r="Y41" i="9" s="1"/>
  <c r="O41" i="9"/>
  <c r="L41" i="9"/>
  <c r="Z40" i="9"/>
  <c r="Y40" i="9"/>
  <c r="T40" i="9"/>
  <c r="O40" i="9"/>
  <c r="L40" i="9"/>
  <c r="Z39" i="9"/>
  <c r="T39" i="9"/>
  <c r="O39" i="9"/>
  <c r="L39" i="9"/>
  <c r="L54" i="9" s="1"/>
  <c r="Z38" i="9"/>
  <c r="T38" i="9"/>
  <c r="O38" i="9"/>
  <c r="L38" i="9"/>
  <c r="Z37" i="9"/>
  <c r="T37" i="9"/>
  <c r="Y37" i="9" s="1"/>
  <c r="O37" i="9"/>
  <c r="L37" i="9"/>
  <c r="Z36" i="9"/>
  <c r="Y36" i="9"/>
  <c r="T36" i="9"/>
  <c r="O36" i="9"/>
  <c r="L36" i="9"/>
  <c r="Z35" i="9"/>
  <c r="Y35" i="9" s="1"/>
  <c r="T35" i="9"/>
  <c r="O35" i="9"/>
  <c r="L35" i="9"/>
  <c r="Z34" i="9"/>
  <c r="T34" i="9"/>
  <c r="O34" i="9"/>
  <c r="L34" i="9"/>
  <c r="Z33" i="9"/>
  <c r="T33" i="9"/>
  <c r="Y33" i="9" s="1"/>
  <c r="O33" i="9"/>
  <c r="L33" i="9"/>
  <c r="Z32" i="9"/>
  <c r="Y32" i="9"/>
  <c r="T32" i="9"/>
  <c r="O32" i="9"/>
  <c r="L32" i="9"/>
  <c r="Z31" i="9"/>
  <c r="Y31" i="9" s="1"/>
  <c r="T31" i="9"/>
  <c r="O31" i="9"/>
  <c r="L31" i="9"/>
  <c r="Z30" i="9"/>
  <c r="T30" i="9"/>
  <c r="Y30" i="9" s="1"/>
  <c r="O30" i="9"/>
  <c r="L30" i="9"/>
  <c r="Z29" i="9"/>
  <c r="T29" i="9"/>
  <c r="O29" i="9"/>
  <c r="L29" i="9"/>
  <c r="X23" i="9"/>
  <c r="W23" i="9"/>
  <c r="V23" i="9"/>
  <c r="S23" i="9"/>
  <c r="R23" i="9"/>
  <c r="Q23" i="9"/>
  <c r="N23" i="9"/>
  <c r="M23" i="9"/>
  <c r="K23" i="9"/>
  <c r="J23" i="9"/>
  <c r="I23" i="9"/>
  <c r="G23" i="9"/>
  <c r="F23" i="9"/>
  <c r="E23" i="9"/>
  <c r="D23" i="9"/>
  <c r="C23" i="9"/>
  <c r="Z22" i="9"/>
  <c r="Y22" i="9" s="1"/>
  <c r="T22" i="9"/>
  <c r="O22" i="9"/>
  <c r="L22" i="9"/>
  <c r="Z21" i="9"/>
  <c r="T21" i="9"/>
  <c r="O21" i="9"/>
  <c r="L21" i="9"/>
  <c r="Z20" i="9"/>
  <c r="T20" i="9"/>
  <c r="Y20" i="9" s="1"/>
  <c r="O20" i="9"/>
  <c r="L20" i="9"/>
  <c r="Z19" i="9"/>
  <c r="Y19" i="9"/>
  <c r="T19" i="9"/>
  <c r="O19" i="9"/>
  <c r="L19" i="9"/>
  <c r="Z18" i="9"/>
  <c r="Y18" i="9" s="1"/>
  <c r="T18" i="9"/>
  <c r="O18" i="9"/>
  <c r="L18" i="9"/>
  <c r="Z17" i="9"/>
  <c r="T17" i="9"/>
  <c r="Y17" i="9" s="1"/>
  <c r="O17" i="9"/>
  <c r="L17" i="9"/>
  <c r="Z16" i="9"/>
  <c r="T16" i="9"/>
  <c r="Y16" i="9" s="1"/>
  <c r="O16" i="9"/>
  <c r="L16" i="9"/>
  <c r="Z15" i="9"/>
  <c r="Y15" i="9"/>
  <c r="T15" i="9"/>
  <c r="O15" i="9"/>
  <c r="L15" i="9"/>
  <c r="Z14" i="9"/>
  <c r="Y14" i="9" s="1"/>
  <c r="T14" i="9"/>
  <c r="O14" i="9"/>
  <c r="L14" i="9"/>
  <c r="Z13" i="9"/>
  <c r="T13" i="9"/>
  <c r="O13" i="9"/>
  <c r="L13" i="9"/>
  <c r="Z12" i="9"/>
  <c r="T12" i="9"/>
  <c r="Y12" i="9" s="1"/>
  <c r="O12" i="9"/>
  <c r="L12" i="9"/>
  <c r="Z11" i="9"/>
  <c r="Y11" i="9"/>
  <c r="T11" i="9"/>
  <c r="O11" i="9"/>
  <c r="L11" i="9"/>
  <c r="Z10" i="9"/>
  <c r="T10" i="9"/>
  <c r="O10" i="9"/>
  <c r="L10" i="9"/>
  <c r="Z9" i="9"/>
  <c r="T9" i="9"/>
  <c r="O9" i="9"/>
  <c r="L9" i="9"/>
  <c r="Z8" i="9"/>
  <c r="T8" i="9"/>
  <c r="Y8" i="9" s="1"/>
  <c r="O8" i="9"/>
  <c r="L8" i="9"/>
  <c r="Z7" i="9"/>
  <c r="Y7" i="9"/>
  <c r="T7" i="9"/>
  <c r="O7" i="9"/>
  <c r="L7" i="9"/>
  <c r="Z6" i="9"/>
  <c r="Y6" i="9" s="1"/>
  <c r="T6" i="9"/>
  <c r="O6" i="9"/>
  <c r="L6" i="9"/>
  <c r="Z5" i="9"/>
  <c r="T5" i="9"/>
  <c r="O5" i="9"/>
  <c r="O23" i="9" s="1"/>
  <c r="L5" i="9"/>
  <c r="Z4" i="9"/>
  <c r="T4" i="9"/>
  <c r="Y4" i="9" s="1"/>
  <c r="O4" i="9"/>
  <c r="L4" i="9"/>
  <c r="Z3" i="9"/>
  <c r="Y3" i="9"/>
  <c r="T3" i="9"/>
  <c r="O3" i="9"/>
  <c r="L3" i="9"/>
  <c r="W127" i="8"/>
  <c r="V127" i="8"/>
  <c r="T127" i="8"/>
  <c r="S127" i="8"/>
  <c r="R127" i="8"/>
  <c r="Q127" i="8"/>
  <c r="O127" i="8"/>
  <c r="M127" i="8"/>
  <c r="K127" i="8"/>
  <c r="J127" i="8"/>
  <c r="I127" i="8"/>
  <c r="G127" i="8"/>
  <c r="F127" i="8"/>
  <c r="E127" i="8"/>
  <c r="D127" i="8"/>
  <c r="C127" i="8"/>
  <c r="S126" i="8"/>
  <c r="N126" i="8"/>
  <c r="M126" i="8"/>
  <c r="L126" i="8"/>
  <c r="S125" i="8"/>
  <c r="N125" i="8"/>
  <c r="M125" i="8"/>
  <c r="L125" i="8"/>
  <c r="S124" i="8"/>
  <c r="N124" i="8"/>
  <c r="M124" i="8"/>
  <c r="L124" i="8"/>
  <c r="S123" i="8"/>
  <c r="N123" i="8"/>
  <c r="M123" i="8"/>
  <c r="L123" i="8"/>
  <c r="S122" i="8"/>
  <c r="N122" i="8"/>
  <c r="M122" i="8"/>
  <c r="L122" i="8"/>
  <c r="S121" i="8"/>
  <c r="N121" i="8"/>
  <c r="M121" i="8"/>
  <c r="L121" i="8"/>
  <c r="S120" i="8"/>
  <c r="N120" i="8"/>
  <c r="M120" i="8"/>
  <c r="L120" i="8"/>
  <c r="S119" i="8"/>
  <c r="N119" i="8"/>
  <c r="M119" i="8"/>
  <c r="L119" i="8"/>
  <c r="S118" i="8"/>
  <c r="N118" i="8"/>
  <c r="M118" i="8"/>
  <c r="L118" i="8"/>
  <c r="S117" i="8"/>
  <c r="N117" i="8"/>
  <c r="M117" i="8"/>
  <c r="L117" i="8"/>
  <c r="S116" i="8"/>
  <c r="N116" i="8"/>
  <c r="M116" i="8"/>
  <c r="L116" i="8"/>
  <c r="S115" i="8"/>
  <c r="N115" i="8"/>
  <c r="M115" i="8"/>
  <c r="L115" i="8"/>
  <c r="S114" i="8"/>
  <c r="N114" i="8"/>
  <c r="M114" i="8"/>
  <c r="L114" i="8"/>
  <c r="S113" i="8"/>
  <c r="N113" i="8"/>
  <c r="M113" i="8"/>
  <c r="L113" i="8"/>
  <c r="S112" i="8"/>
  <c r="N112" i="8"/>
  <c r="M112" i="8"/>
  <c r="L112" i="8"/>
  <c r="S111" i="8"/>
  <c r="N111" i="8"/>
  <c r="M111" i="8"/>
  <c r="L111" i="8"/>
  <c r="S110" i="8"/>
  <c r="N110" i="8"/>
  <c r="M110" i="8"/>
  <c r="L110" i="8"/>
  <c r="S109" i="8"/>
  <c r="N109" i="8"/>
  <c r="M109" i="8"/>
  <c r="L109" i="8"/>
  <c r="S108" i="8"/>
  <c r="N108" i="8"/>
  <c r="M108" i="8"/>
  <c r="L108" i="8"/>
  <c r="S107" i="8"/>
  <c r="N107" i="8"/>
  <c r="N127" i="8" s="1"/>
  <c r="M107" i="8"/>
  <c r="L107" i="8"/>
  <c r="L127" i="8" s="1"/>
  <c r="W101" i="8"/>
  <c r="V101" i="8"/>
  <c r="T101" i="8"/>
  <c r="R101" i="8"/>
  <c r="Q101" i="8"/>
  <c r="O101" i="8"/>
  <c r="K101" i="8"/>
  <c r="J101" i="8"/>
  <c r="I101" i="8"/>
  <c r="G101" i="8"/>
  <c r="F101" i="8"/>
  <c r="E101" i="8"/>
  <c r="D101" i="8"/>
  <c r="C101" i="8"/>
  <c r="S100" i="8"/>
  <c r="M100" i="8" s="1"/>
  <c r="N100" i="8"/>
  <c r="L100" i="8"/>
  <c r="S99" i="8"/>
  <c r="M99" i="8" s="1"/>
  <c r="N99" i="8"/>
  <c r="L99" i="8"/>
  <c r="S98" i="8"/>
  <c r="M98" i="8" s="1"/>
  <c r="N98" i="8"/>
  <c r="L98" i="8"/>
  <c r="S97" i="8"/>
  <c r="M97" i="8" s="1"/>
  <c r="N97" i="8"/>
  <c r="L97" i="8"/>
  <c r="S96" i="8"/>
  <c r="M96" i="8" s="1"/>
  <c r="N96" i="8"/>
  <c r="L96" i="8"/>
  <c r="S95" i="8"/>
  <c r="M95" i="8" s="1"/>
  <c r="N95" i="8"/>
  <c r="L95" i="8"/>
  <c r="S94" i="8"/>
  <c r="M94" i="8" s="1"/>
  <c r="N94" i="8"/>
  <c r="L94" i="8"/>
  <c r="S93" i="8"/>
  <c r="M93" i="8" s="1"/>
  <c r="N93" i="8"/>
  <c r="L93" i="8"/>
  <c r="S92" i="8"/>
  <c r="M92" i="8" s="1"/>
  <c r="N92" i="8"/>
  <c r="L92" i="8"/>
  <c r="S91" i="8"/>
  <c r="M91" i="8" s="1"/>
  <c r="N91" i="8"/>
  <c r="L91" i="8"/>
  <c r="S90" i="8"/>
  <c r="M90" i="8" s="1"/>
  <c r="N90" i="8"/>
  <c r="L90" i="8"/>
  <c r="S89" i="8"/>
  <c r="M89" i="8" s="1"/>
  <c r="N89" i="8"/>
  <c r="L89" i="8"/>
  <c r="S88" i="8"/>
  <c r="M88" i="8" s="1"/>
  <c r="N88" i="8"/>
  <c r="L88" i="8"/>
  <c r="S87" i="8"/>
  <c r="M87" i="8" s="1"/>
  <c r="N87" i="8"/>
  <c r="L87" i="8"/>
  <c r="S86" i="8"/>
  <c r="M86" i="8" s="1"/>
  <c r="N86" i="8"/>
  <c r="L86" i="8"/>
  <c r="S85" i="8"/>
  <c r="M85" i="8" s="1"/>
  <c r="N85" i="8"/>
  <c r="L85" i="8"/>
  <c r="S84" i="8"/>
  <c r="M84" i="8" s="1"/>
  <c r="N84" i="8"/>
  <c r="L84" i="8"/>
  <c r="S83" i="8"/>
  <c r="M83" i="8" s="1"/>
  <c r="N83" i="8"/>
  <c r="L83" i="8"/>
  <c r="S82" i="8"/>
  <c r="M82" i="8" s="1"/>
  <c r="N82" i="8"/>
  <c r="L82" i="8"/>
  <c r="S81" i="8"/>
  <c r="N81" i="8"/>
  <c r="N101" i="8" s="1"/>
  <c r="L81" i="8"/>
  <c r="L101" i="8" s="1"/>
  <c r="W75" i="8"/>
  <c r="V75" i="8"/>
  <c r="T75" i="8"/>
  <c r="S75" i="8"/>
  <c r="R75" i="8"/>
  <c r="Q75" i="8"/>
  <c r="O75" i="8"/>
  <c r="M75" i="8"/>
  <c r="K75" i="8"/>
  <c r="J75" i="8"/>
  <c r="I75" i="8"/>
  <c r="G75" i="8"/>
  <c r="F75" i="8"/>
  <c r="E75" i="8"/>
  <c r="D75" i="8"/>
  <c r="C75" i="8"/>
  <c r="S74" i="8"/>
  <c r="N74" i="8"/>
  <c r="M74" i="8"/>
  <c r="L74" i="8"/>
  <c r="S73" i="8"/>
  <c r="N73" i="8"/>
  <c r="M73" i="8"/>
  <c r="L73" i="8"/>
  <c r="S72" i="8"/>
  <c r="N72" i="8"/>
  <c r="M72" i="8"/>
  <c r="L72" i="8"/>
  <c r="S71" i="8"/>
  <c r="N71" i="8"/>
  <c r="M71" i="8"/>
  <c r="L71" i="8"/>
  <c r="S70" i="8"/>
  <c r="N70" i="8"/>
  <c r="M70" i="8"/>
  <c r="L70" i="8"/>
  <c r="S69" i="8"/>
  <c r="N69" i="8"/>
  <c r="M69" i="8"/>
  <c r="L69" i="8"/>
  <c r="S68" i="8"/>
  <c r="N68" i="8"/>
  <c r="M68" i="8"/>
  <c r="L68" i="8"/>
  <c r="S67" i="8"/>
  <c r="N67" i="8"/>
  <c r="M67" i="8"/>
  <c r="L67" i="8"/>
  <c r="S66" i="8"/>
  <c r="N66" i="8"/>
  <c r="M66" i="8"/>
  <c r="L66" i="8"/>
  <c r="S65" i="8"/>
  <c r="N65" i="8"/>
  <c r="M65" i="8"/>
  <c r="L65" i="8"/>
  <c r="S64" i="8"/>
  <c r="N64" i="8"/>
  <c r="M64" i="8"/>
  <c r="L64" i="8"/>
  <c r="S63" i="8"/>
  <c r="N63" i="8"/>
  <c r="M63" i="8"/>
  <c r="L63" i="8"/>
  <c r="S62" i="8"/>
  <c r="N62" i="8"/>
  <c r="M62" i="8"/>
  <c r="L62" i="8"/>
  <c r="S61" i="8"/>
  <c r="N61" i="8"/>
  <c r="M61" i="8"/>
  <c r="L61" i="8"/>
  <c r="S60" i="8"/>
  <c r="N60" i="8"/>
  <c r="M60" i="8"/>
  <c r="L60" i="8"/>
  <c r="S59" i="8"/>
  <c r="N59" i="8"/>
  <c r="M59" i="8"/>
  <c r="L59" i="8"/>
  <c r="S58" i="8"/>
  <c r="N58" i="8"/>
  <c r="M58" i="8"/>
  <c r="L58" i="8"/>
  <c r="S57" i="8"/>
  <c r="N57" i="8"/>
  <c r="M57" i="8"/>
  <c r="L57" i="8"/>
  <c r="S56" i="8"/>
  <c r="N56" i="8"/>
  <c r="M56" i="8"/>
  <c r="L56" i="8"/>
  <c r="S55" i="8"/>
  <c r="N55" i="8"/>
  <c r="N75" i="8" s="1"/>
  <c r="M55" i="8"/>
  <c r="L55" i="8"/>
  <c r="L75" i="8" s="1"/>
  <c r="V49" i="8"/>
  <c r="T49" i="8"/>
  <c r="S49" i="8"/>
  <c r="R49" i="8"/>
  <c r="Q49" i="8"/>
  <c r="O49" i="8"/>
  <c r="K49" i="8"/>
  <c r="J49" i="8"/>
  <c r="I49" i="8"/>
  <c r="G49" i="8"/>
  <c r="F49" i="8"/>
  <c r="E49" i="8"/>
  <c r="D49" i="8"/>
  <c r="C49" i="8"/>
  <c r="S48" i="8"/>
  <c r="M48" i="8" s="1"/>
  <c r="N48" i="8"/>
  <c r="L48" i="8"/>
  <c r="S47" i="8"/>
  <c r="N47" i="8"/>
  <c r="L47" i="8"/>
  <c r="S46" i="8"/>
  <c r="N46" i="8"/>
  <c r="L46" i="8"/>
  <c r="S45" i="8"/>
  <c r="N45" i="8"/>
  <c r="L45" i="8"/>
  <c r="S44" i="8"/>
  <c r="M44" i="8" s="1"/>
  <c r="N44" i="8"/>
  <c r="L44" i="8"/>
  <c r="S43" i="8"/>
  <c r="N43" i="8"/>
  <c r="L43" i="8"/>
  <c r="S42" i="8"/>
  <c r="N42" i="8"/>
  <c r="L42" i="8"/>
  <c r="S41" i="8"/>
  <c r="N41" i="8"/>
  <c r="L41" i="8"/>
  <c r="S40" i="8"/>
  <c r="M40" i="8" s="1"/>
  <c r="N40" i="8"/>
  <c r="L40" i="8"/>
  <c r="S39" i="8"/>
  <c r="N39" i="8"/>
  <c r="L39" i="8"/>
  <c r="S38" i="8"/>
  <c r="N38" i="8"/>
  <c r="L38" i="8"/>
  <c r="S37" i="8"/>
  <c r="N37" i="8"/>
  <c r="L37" i="8"/>
  <c r="S36" i="8"/>
  <c r="M36" i="8" s="1"/>
  <c r="N36" i="8"/>
  <c r="L36" i="8"/>
  <c r="S35" i="8"/>
  <c r="N35" i="8"/>
  <c r="L35" i="8"/>
  <c r="S34" i="8"/>
  <c r="N34" i="8"/>
  <c r="L34" i="8"/>
  <c r="S33" i="8"/>
  <c r="N33" i="8"/>
  <c r="L33" i="8"/>
  <c r="S32" i="8"/>
  <c r="M32" i="8" s="1"/>
  <c r="N32" i="8"/>
  <c r="L32" i="8"/>
  <c r="S31" i="8"/>
  <c r="N31" i="8"/>
  <c r="L31" i="8"/>
  <c r="S30" i="8"/>
  <c r="N30" i="8"/>
  <c r="N49" i="8" s="1"/>
  <c r="L30" i="8"/>
  <c r="S29" i="8"/>
  <c r="N29" i="8"/>
  <c r="L29" i="8"/>
  <c r="L49" i="8" s="1"/>
  <c r="V23" i="8"/>
  <c r="T23" i="8"/>
  <c r="S23" i="8"/>
  <c r="O23" i="8"/>
  <c r="N23" i="8"/>
  <c r="M23" i="8"/>
  <c r="L23" i="8"/>
  <c r="K23" i="8"/>
  <c r="J23" i="8"/>
  <c r="I23" i="8"/>
  <c r="G23" i="8"/>
  <c r="F23" i="8"/>
  <c r="E23" i="8"/>
  <c r="D23" i="8"/>
  <c r="R22" i="8"/>
  <c r="Q22" i="8"/>
  <c r="R21" i="8"/>
  <c r="Q21" i="8"/>
  <c r="R20" i="8"/>
  <c r="Q20" i="8"/>
  <c r="R19" i="8"/>
  <c r="Q19" i="8"/>
  <c r="R18" i="8"/>
  <c r="Q18" i="8"/>
  <c r="R17" i="8"/>
  <c r="Q17" i="8"/>
  <c r="R16" i="8"/>
  <c r="Q16" i="8"/>
  <c r="M16" i="8"/>
  <c r="K16" i="8"/>
  <c r="R15" i="8"/>
  <c r="Q15" i="8"/>
  <c r="M15" i="8"/>
  <c r="K15" i="8"/>
  <c r="R14" i="8"/>
  <c r="Q14" i="8"/>
  <c r="M14" i="8"/>
  <c r="K14" i="8"/>
  <c r="R13" i="8"/>
  <c r="Q13" i="8"/>
  <c r="M13" i="8"/>
  <c r="K13" i="8"/>
  <c r="R12" i="8"/>
  <c r="Q12" i="8"/>
  <c r="M12" i="8"/>
  <c r="K12" i="8"/>
  <c r="R11" i="8"/>
  <c r="Q11" i="8"/>
  <c r="M11" i="8"/>
  <c r="K11" i="8"/>
  <c r="R10" i="8"/>
  <c r="Q10" i="8"/>
  <c r="M10" i="8"/>
  <c r="K10" i="8"/>
  <c r="R9" i="8"/>
  <c r="Q9" i="8"/>
  <c r="M9" i="8"/>
  <c r="K9" i="8"/>
  <c r="R8" i="8"/>
  <c r="Q8" i="8"/>
  <c r="M8" i="8"/>
  <c r="K8" i="8"/>
  <c r="R7" i="8"/>
  <c r="Q7" i="8"/>
  <c r="M7" i="8"/>
  <c r="K7" i="8"/>
  <c r="R6" i="8"/>
  <c r="Q6" i="8"/>
  <c r="M6" i="8"/>
  <c r="K6" i="8"/>
  <c r="R5" i="8"/>
  <c r="Q5" i="8"/>
  <c r="M5" i="8"/>
  <c r="K5" i="8"/>
  <c r="R4" i="8"/>
  <c r="Q4" i="8"/>
  <c r="M4" i="8"/>
  <c r="K4" i="8"/>
  <c r="R3" i="8"/>
  <c r="R23" i="8" s="1"/>
  <c r="Q3" i="8"/>
  <c r="Q23" i="8" s="1"/>
  <c r="M3" i="8"/>
  <c r="K3" i="8"/>
  <c r="V67" i="7"/>
  <c r="T67" i="7"/>
  <c r="S67" i="7"/>
  <c r="O67" i="7"/>
  <c r="N67" i="7"/>
  <c r="M67" i="7"/>
  <c r="L67" i="7"/>
  <c r="K67" i="7"/>
  <c r="J67" i="7"/>
  <c r="I67" i="7"/>
  <c r="G67" i="7"/>
  <c r="F67" i="7"/>
  <c r="E67" i="7"/>
  <c r="D67" i="7"/>
  <c r="R66" i="7"/>
  <c r="Q66" i="7"/>
  <c r="M66" i="7"/>
  <c r="K66" i="7"/>
  <c r="R65" i="7"/>
  <c r="Q65" i="7"/>
  <c r="M65" i="7"/>
  <c r="K65" i="7"/>
  <c r="R64" i="7"/>
  <c r="Q64" i="7"/>
  <c r="M64" i="7"/>
  <c r="K64" i="7"/>
  <c r="R63" i="7"/>
  <c r="Q63" i="7"/>
  <c r="M63" i="7"/>
  <c r="K63" i="7"/>
  <c r="R62" i="7"/>
  <c r="Q62" i="7"/>
  <c r="M62" i="7"/>
  <c r="K62" i="7"/>
  <c r="R61" i="7"/>
  <c r="Q61" i="7"/>
  <c r="M61" i="7"/>
  <c r="K61" i="7"/>
  <c r="R60" i="7"/>
  <c r="Q60" i="7"/>
  <c r="M60" i="7"/>
  <c r="K60" i="7"/>
  <c r="R59" i="7"/>
  <c r="Q59" i="7"/>
  <c r="M59" i="7"/>
  <c r="K59" i="7"/>
  <c r="R58" i="7"/>
  <c r="Q58" i="7"/>
  <c r="M58" i="7"/>
  <c r="K58" i="7"/>
  <c r="R57" i="7"/>
  <c r="Q57" i="7"/>
  <c r="M57" i="7"/>
  <c r="K57" i="7"/>
  <c r="R56" i="7"/>
  <c r="Q56" i="7"/>
  <c r="M56" i="7"/>
  <c r="K56" i="7"/>
  <c r="R55" i="7"/>
  <c r="Q55" i="7"/>
  <c r="M55" i="7"/>
  <c r="K55" i="7"/>
  <c r="R54" i="7"/>
  <c r="Q54" i="7"/>
  <c r="M54" i="7"/>
  <c r="K54" i="7"/>
  <c r="R53" i="7"/>
  <c r="Q53" i="7"/>
  <c r="M53" i="7"/>
  <c r="K53" i="7"/>
  <c r="R52" i="7"/>
  <c r="R67" i="7" s="1"/>
  <c r="Q52" i="7"/>
  <c r="Q67" i="7" s="1"/>
  <c r="M52" i="7"/>
  <c r="K52" i="7"/>
  <c r="Y48" i="7"/>
  <c r="X48" i="7"/>
  <c r="W48" i="7"/>
  <c r="S48" i="7"/>
  <c r="R48" i="7"/>
  <c r="O48" i="7"/>
  <c r="M48" i="7"/>
  <c r="L48" i="7"/>
  <c r="I48" i="7"/>
  <c r="G48" i="7"/>
  <c r="F48" i="7"/>
  <c r="E48" i="7"/>
  <c r="D48" i="7"/>
  <c r="V47" i="7"/>
  <c r="Q47" i="7"/>
  <c r="T47" i="7" s="1"/>
  <c r="N47" i="7"/>
  <c r="K47" i="7"/>
  <c r="Q46" i="7"/>
  <c r="J46" i="7"/>
  <c r="V45" i="7"/>
  <c r="Q45" i="7"/>
  <c r="N45" i="7"/>
  <c r="T45" i="7" s="1"/>
  <c r="K45" i="7"/>
  <c r="Q44" i="7"/>
  <c r="J44" i="7"/>
  <c r="N44" i="7" s="1"/>
  <c r="V43" i="7"/>
  <c r="Q43" i="7"/>
  <c r="N43" i="7"/>
  <c r="K43" i="7"/>
  <c r="T43" i="7" s="1"/>
  <c r="Q42" i="7"/>
  <c r="N42" i="7"/>
  <c r="J42" i="7"/>
  <c r="V42" i="7" s="1"/>
  <c r="V41" i="7"/>
  <c r="T41" i="7"/>
  <c r="Q41" i="7"/>
  <c r="N41" i="7"/>
  <c r="Q40" i="7"/>
  <c r="J40" i="7"/>
  <c r="V39" i="7"/>
  <c r="Q39" i="7"/>
  <c r="N39" i="7"/>
  <c r="T39" i="7" s="1"/>
  <c r="K39" i="7"/>
  <c r="V38" i="7"/>
  <c r="Q38" i="7"/>
  <c r="T38" i="7" s="1"/>
  <c r="N38" i="7"/>
  <c r="K38" i="7"/>
  <c r="Q37" i="7"/>
  <c r="J37" i="7"/>
  <c r="Q36" i="7"/>
  <c r="N36" i="7"/>
  <c r="J36" i="7"/>
  <c r="V36" i="7" s="1"/>
  <c r="V35" i="7"/>
  <c r="T35" i="7"/>
  <c r="Q35" i="7"/>
  <c r="N35" i="7"/>
  <c r="K35" i="7"/>
  <c r="Y30" i="7"/>
  <c r="X30" i="7"/>
  <c r="W30" i="7"/>
  <c r="S30" i="7"/>
  <c r="R30" i="7"/>
  <c r="O30" i="7"/>
  <c r="M30" i="7"/>
  <c r="L30" i="7"/>
  <c r="J30" i="7"/>
  <c r="I30" i="7"/>
  <c r="G30" i="7"/>
  <c r="F30" i="7"/>
  <c r="E30" i="7"/>
  <c r="D30" i="7"/>
  <c r="V29" i="7"/>
  <c r="T29" i="7"/>
  <c r="Q29" i="7"/>
  <c r="N29" i="7"/>
  <c r="K29" i="7"/>
  <c r="V28" i="7"/>
  <c r="Q28" i="7"/>
  <c r="N28" i="7"/>
  <c r="K28" i="7"/>
  <c r="T28" i="7" s="1"/>
  <c r="V27" i="7"/>
  <c r="Q27" i="7"/>
  <c r="N27" i="7"/>
  <c r="T27" i="7" s="1"/>
  <c r="K27" i="7"/>
  <c r="V26" i="7"/>
  <c r="Q26" i="7"/>
  <c r="T26" i="7" s="1"/>
  <c r="N26" i="7"/>
  <c r="K26" i="7"/>
  <c r="V25" i="7"/>
  <c r="T25" i="7"/>
  <c r="Q25" i="7"/>
  <c r="N25" i="7"/>
  <c r="V24" i="7"/>
  <c r="T24" i="7"/>
  <c r="Q24" i="7"/>
  <c r="N24" i="7"/>
  <c r="K24" i="7"/>
  <c r="V23" i="7"/>
  <c r="Q23" i="7"/>
  <c r="N23" i="7"/>
  <c r="K23" i="7"/>
  <c r="T23" i="7" s="1"/>
  <c r="V22" i="7"/>
  <c r="Q22" i="7"/>
  <c r="N22" i="7"/>
  <c r="T22" i="7" s="1"/>
  <c r="K22" i="7"/>
  <c r="V21" i="7"/>
  <c r="Q21" i="7"/>
  <c r="N21" i="7"/>
  <c r="K21" i="7"/>
  <c r="V20" i="7"/>
  <c r="T20" i="7"/>
  <c r="Q20" i="7"/>
  <c r="N20" i="7"/>
  <c r="K20" i="7"/>
  <c r="V19" i="7"/>
  <c r="V30" i="7" s="1"/>
  <c r="Q19" i="7"/>
  <c r="N19" i="7"/>
  <c r="K19" i="7"/>
  <c r="T19" i="7" s="1"/>
  <c r="Y15" i="7"/>
  <c r="X15" i="7"/>
  <c r="W15" i="7"/>
  <c r="S15" i="7"/>
  <c r="R15" i="7"/>
  <c r="O15" i="7"/>
  <c r="M15" i="7"/>
  <c r="L15" i="7"/>
  <c r="J15" i="7"/>
  <c r="I15" i="7"/>
  <c r="G15" i="7"/>
  <c r="F15" i="7"/>
  <c r="E15" i="7"/>
  <c r="D15" i="7"/>
  <c r="V14" i="7"/>
  <c r="Q14" i="7"/>
  <c r="N14" i="7"/>
  <c r="K14" i="7"/>
  <c r="T14" i="7" s="1"/>
  <c r="V13" i="7"/>
  <c r="Q13" i="7"/>
  <c r="N13" i="7"/>
  <c r="T13" i="7" s="1"/>
  <c r="K13" i="7"/>
  <c r="V12" i="7"/>
  <c r="Q12" i="7"/>
  <c r="T12" i="7" s="1"/>
  <c r="N12" i="7"/>
  <c r="K12" i="7"/>
  <c r="V11" i="7"/>
  <c r="T11" i="7"/>
  <c r="Q11" i="7"/>
  <c r="N11" i="7"/>
  <c r="K11" i="7"/>
  <c r="V10" i="7"/>
  <c r="Q10" i="7"/>
  <c r="N10" i="7"/>
  <c r="T10" i="7" s="1"/>
  <c r="V9" i="7"/>
  <c r="V15" i="7" s="1"/>
  <c r="Q9" i="7"/>
  <c r="N9" i="7"/>
  <c r="K9" i="7"/>
  <c r="T9" i="7" s="1"/>
  <c r="V8" i="7"/>
  <c r="Q8" i="7"/>
  <c r="N8" i="7"/>
  <c r="T8" i="7" s="1"/>
  <c r="K8" i="7"/>
  <c r="V7" i="7"/>
  <c r="Q7" i="7"/>
  <c r="T7" i="7" s="1"/>
  <c r="N7" i="7"/>
  <c r="K7" i="7"/>
  <c r="V6" i="7"/>
  <c r="T6" i="7"/>
  <c r="Q6" i="7"/>
  <c r="N6" i="7"/>
  <c r="K6" i="7"/>
  <c r="V5" i="7"/>
  <c r="Q5" i="7"/>
  <c r="N5" i="7"/>
  <c r="K5" i="7"/>
  <c r="T5" i="7" s="1"/>
  <c r="V4" i="7"/>
  <c r="Q4" i="7"/>
  <c r="N4" i="7"/>
  <c r="K4" i="7"/>
  <c r="V3" i="7"/>
  <c r="Q3" i="7"/>
  <c r="T3" i="7" s="1"/>
  <c r="N3" i="7"/>
  <c r="K3" i="7"/>
  <c r="K15" i="7" s="1"/>
  <c r="Y109" i="6"/>
  <c r="X109" i="6"/>
  <c r="W109" i="6"/>
  <c r="S109" i="6"/>
  <c r="R109" i="6"/>
  <c r="O109" i="6"/>
  <c r="M109" i="6"/>
  <c r="L109" i="6"/>
  <c r="J109" i="6"/>
  <c r="I109" i="6"/>
  <c r="G109" i="6"/>
  <c r="F109" i="6"/>
  <c r="E109" i="6"/>
  <c r="D109" i="6"/>
  <c r="V108" i="6"/>
  <c r="Q108" i="6"/>
  <c r="T108" i="6" s="1"/>
  <c r="N108" i="6"/>
  <c r="K108" i="6"/>
  <c r="V107" i="6"/>
  <c r="T107" i="6"/>
  <c r="Q107" i="6"/>
  <c r="N107" i="6"/>
  <c r="K107" i="6"/>
  <c r="V106" i="6"/>
  <c r="Q106" i="6"/>
  <c r="N106" i="6"/>
  <c r="K106" i="6"/>
  <c r="T106" i="6" s="1"/>
  <c r="V105" i="6"/>
  <c r="Q105" i="6"/>
  <c r="N105" i="6"/>
  <c r="T105" i="6" s="1"/>
  <c r="K105" i="6"/>
  <c r="V104" i="6"/>
  <c r="Q104" i="6"/>
  <c r="T104" i="6" s="1"/>
  <c r="N104" i="6"/>
  <c r="K104" i="6"/>
  <c r="V103" i="6"/>
  <c r="T103" i="6"/>
  <c r="Q103" i="6"/>
  <c r="N103" i="6"/>
  <c r="V102" i="6"/>
  <c r="T102" i="6"/>
  <c r="Q102" i="6"/>
  <c r="N102" i="6"/>
  <c r="K102" i="6"/>
  <c r="V101" i="6"/>
  <c r="Q101" i="6"/>
  <c r="N101" i="6"/>
  <c r="K101" i="6"/>
  <c r="T101" i="6" s="1"/>
  <c r="V100" i="6"/>
  <c r="Q100" i="6"/>
  <c r="N100" i="6"/>
  <c r="T100" i="6" s="1"/>
  <c r="K100" i="6"/>
  <c r="V99" i="6"/>
  <c r="Q99" i="6"/>
  <c r="T99" i="6" s="1"/>
  <c r="N99" i="6"/>
  <c r="K99" i="6"/>
  <c r="V98" i="6"/>
  <c r="T98" i="6"/>
  <c r="Q98" i="6"/>
  <c r="N98" i="6"/>
  <c r="K98" i="6"/>
  <c r="V97" i="6"/>
  <c r="Q97" i="6"/>
  <c r="N97" i="6"/>
  <c r="K97" i="6"/>
  <c r="T97" i="6" s="1"/>
  <c r="V96" i="6"/>
  <c r="Q96" i="6"/>
  <c r="N96" i="6"/>
  <c r="T96" i="6" s="1"/>
  <c r="K96" i="6"/>
  <c r="V95" i="6"/>
  <c r="Q95" i="6"/>
  <c r="T95" i="6" s="1"/>
  <c r="N95" i="6"/>
  <c r="K95" i="6"/>
  <c r="V94" i="6"/>
  <c r="T94" i="6"/>
  <c r="Q94" i="6"/>
  <c r="N94" i="6"/>
  <c r="K94" i="6"/>
  <c r="V93" i="6"/>
  <c r="V109" i="6" s="1"/>
  <c r="Q93" i="6"/>
  <c r="N93" i="6"/>
  <c r="K93" i="6"/>
  <c r="Y89" i="6"/>
  <c r="X89" i="6"/>
  <c r="W89" i="6"/>
  <c r="S89" i="6"/>
  <c r="R89" i="6"/>
  <c r="O89" i="6"/>
  <c r="M89" i="6"/>
  <c r="L89" i="6"/>
  <c r="I89" i="6"/>
  <c r="G89" i="6"/>
  <c r="F89" i="6"/>
  <c r="E89" i="6"/>
  <c r="D89" i="6"/>
  <c r="V88" i="6"/>
  <c r="Q88" i="6"/>
  <c r="N88" i="6"/>
  <c r="K88" i="6"/>
  <c r="J88" i="6"/>
  <c r="T88" i="6" s="1"/>
  <c r="Q87" i="6"/>
  <c r="J87" i="6"/>
  <c r="N87" i="6" s="1"/>
  <c r="V86" i="6"/>
  <c r="Q86" i="6"/>
  <c r="N86" i="6"/>
  <c r="K86" i="6"/>
  <c r="T86" i="6" s="1"/>
  <c r="Q85" i="6"/>
  <c r="N85" i="6"/>
  <c r="J85" i="6"/>
  <c r="V85" i="6" s="1"/>
  <c r="V84" i="6"/>
  <c r="T84" i="6"/>
  <c r="Q84" i="6"/>
  <c r="K84" i="6"/>
  <c r="V83" i="6"/>
  <c r="T83" i="6"/>
  <c r="Q83" i="6"/>
  <c r="K83" i="6"/>
  <c r="Q82" i="6"/>
  <c r="J82" i="6"/>
  <c r="V81" i="6"/>
  <c r="Q81" i="6"/>
  <c r="N81" i="6"/>
  <c r="T81" i="6" s="1"/>
  <c r="K81" i="6"/>
  <c r="V80" i="6"/>
  <c r="Q80" i="6"/>
  <c r="T80" i="6" s="1"/>
  <c r="N80" i="6"/>
  <c r="K80" i="6"/>
  <c r="Q79" i="6"/>
  <c r="J79" i="6"/>
  <c r="Q78" i="6"/>
  <c r="N78" i="6"/>
  <c r="J78" i="6"/>
  <c r="V78" i="6" s="1"/>
  <c r="Q77" i="6"/>
  <c r="J77" i="6"/>
  <c r="Q76" i="6"/>
  <c r="N76" i="6"/>
  <c r="J76" i="6"/>
  <c r="V76" i="6" s="1"/>
  <c r="Q75" i="6"/>
  <c r="J75" i="6"/>
  <c r="Q74" i="6"/>
  <c r="N74" i="6"/>
  <c r="J74" i="6"/>
  <c r="V74" i="6" s="1"/>
  <c r="Q73" i="6"/>
  <c r="J73" i="6"/>
  <c r="Q72" i="6"/>
  <c r="N72" i="6"/>
  <c r="J72" i="6"/>
  <c r="V72" i="6" s="1"/>
  <c r="Q71" i="6"/>
  <c r="J71" i="6"/>
  <c r="Q70" i="6"/>
  <c r="N70" i="6"/>
  <c r="J70" i="6"/>
  <c r="V70" i="6" s="1"/>
  <c r="Y66" i="6"/>
  <c r="X66" i="6"/>
  <c r="W66" i="6"/>
  <c r="S66" i="6"/>
  <c r="R66" i="6"/>
  <c r="O66" i="6"/>
  <c r="M66" i="6"/>
  <c r="L66" i="6"/>
  <c r="J66" i="6"/>
  <c r="I66" i="6"/>
  <c r="G66" i="6"/>
  <c r="F66" i="6"/>
  <c r="E66" i="6"/>
  <c r="D66" i="6"/>
  <c r="V65" i="6"/>
  <c r="Q65" i="6"/>
  <c r="T65" i="6" s="1"/>
  <c r="N65" i="6"/>
  <c r="K65" i="6"/>
  <c r="V64" i="6"/>
  <c r="T64" i="6"/>
  <c r="Q64" i="6"/>
  <c r="N64" i="6"/>
  <c r="K64" i="6"/>
  <c r="V63" i="6"/>
  <c r="Q63" i="6"/>
  <c r="N63" i="6"/>
  <c r="K63" i="6"/>
  <c r="T63" i="6" s="1"/>
  <c r="V62" i="6"/>
  <c r="Q62" i="6"/>
  <c r="N62" i="6"/>
  <c r="T62" i="6" s="1"/>
  <c r="K62" i="6"/>
  <c r="V61" i="6"/>
  <c r="Q61" i="6"/>
  <c r="T61" i="6" s="1"/>
  <c r="N61" i="6"/>
  <c r="K61" i="6"/>
  <c r="V60" i="6"/>
  <c r="T60" i="6"/>
  <c r="Q60" i="6"/>
  <c r="N60" i="6"/>
  <c r="K60" i="6"/>
  <c r="V59" i="6"/>
  <c r="Q59" i="6"/>
  <c r="N59" i="6"/>
  <c r="K59" i="6"/>
  <c r="T59" i="6" s="1"/>
  <c r="V58" i="6"/>
  <c r="Q58" i="6"/>
  <c r="N58" i="6"/>
  <c r="T58" i="6" s="1"/>
  <c r="K58" i="6"/>
  <c r="V57" i="6"/>
  <c r="Q57" i="6"/>
  <c r="T57" i="6" s="1"/>
  <c r="N57" i="6"/>
  <c r="K57" i="6"/>
  <c r="V56" i="6"/>
  <c r="T56" i="6"/>
  <c r="Q56" i="6"/>
  <c r="N56" i="6"/>
  <c r="K56" i="6"/>
  <c r="V55" i="6"/>
  <c r="Q55" i="6"/>
  <c r="N55" i="6"/>
  <c r="K55" i="6"/>
  <c r="T55" i="6" s="1"/>
  <c r="V54" i="6"/>
  <c r="Q54" i="6"/>
  <c r="N54" i="6"/>
  <c r="T54" i="6" s="1"/>
  <c r="K54" i="6"/>
  <c r="V53" i="6"/>
  <c r="Q53" i="6"/>
  <c r="T53" i="6" s="1"/>
  <c r="N53" i="6"/>
  <c r="K53" i="6"/>
  <c r="V52" i="6"/>
  <c r="T52" i="6"/>
  <c r="Q52" i="6"/>
  <c r="N52" i="6"/>
  <c r="K52" i="6"/>
  <c r="V51" i="6"/>
  <c r="Q51" i="6"/>
  <c r="N51" i="6"/>
  <c r="K51" i="6"/>
  <c r="T51" i="6" s="1"/>
  <c r="V50" i="6"/>
  <c r="Q50" i="6"/>
  <c r="N50" i="6"/>
  <c r="T50" i="6" s="1"/>
  <c r="K50" i="6"/>
  <c r="V49" i="6"/>
  <c r="Q49" i="6"/>
  <c r="T49" i="6" s="1"/>
  <c r="N49" i="6"/>
  <c r="K49" i="6"/>
  <c r="V48" i="6"/>
  <c r="T48" i="6"/>
  <c r="Q48" i="6"/>
  <c r="N48" i="6"/>
  <c r="K48" i="6"/>
  <c r="V47" i="6"/>
  <c r="Q47" i="6"/>
  <c r="N47" i="6"/>
  <c r="K47" i="6"/>
  <c r="X43" i="6"/>
  <c r="W43" i="6"/>
  <c r="S43" i="6"/>
  <c r="R43" i="6"/>
  <c r="O43" i="6"/>
  <c r="M43" i="6"/>
  <c r="L43" i="6"/>
  <c r="J43" i="6"/>
  <c r="I43" i="6"/>
  <c r="G43" i="6"/>
  <c r="F43" i="6"/>
  <c r="E43" i="6"/>
  <c r="D43" i="6"/>
  <c r="V42" i="6"/>
  <c r="Q42" i="6"/>
  <c r="N42" i="6"/>
  <c r="K42" i="6"/>
  <c r="T42" i="6" s="1"/>
  <c r="V41" i="6"/>
  <c r="Q41" i="6"/>
  <c r="N41" i="6"/>
  <c r="K41" i="6"/>
  <c r="V40" i="6"/>
  <c r="Q40" i="6"/>
  <c r="N40" i="6"/>
  <c r="T40" i="6" s="1"/>
  <c r="K40" i="6"/>
  <c r="V39" i="6"/>
  <c r="Q39" i="6"/>
  <c r="T39" i="6" s="1"/>
  <c r="N39" i="6"/>
  <c r="K39" i="6"/>
  <c r="V38" i="6"/>
  <c r="T38" i="6"/>
  <c r="Q38" i="6"/>
  <c r="K38" i="6"/>
  <c r="V37" i="6"/>
  <c r="T37" i="6"/>
  <c r="Q37" i="6"/>
  <c r="N37" i="6"/>
  <c r="K37" i="6"/>
  <c r="V36" i="6"/>
  <c r="Q36" i="6"/>
  <c r="N36" i="6"/>
  <c r="K36" i="6"/>
  <c r="T36" i="6" s="1"/>
  <c r="V35" i="6"/>
  <c r="Q35" i="6"/>
  <c r="N35" i="6"/>
  <c r="K35" i="6"/>
  <c r="V34" i="6"/>
  <c r="T34" i="6"/>
  <c r="Q34" i="6"/>
  <c r="N34" i="6"/>
  <c r="K34" i="6"/>
  <c r="V33" i="6"/>
  <c r="Q33" i="6"/>
  <c r="N33" i="6"/>
  <c r="K33" i="6"/>
  <c r="T33" i="6" s="1"/>
  <c r="V32" i="6"/>
  <c r="Q32" i="6"/>
  <c r="N32" i="6"/>
  <c r="K32" i="6"/>
  <c r="V31" i="6"/>
  <c r="Q31" i="6"/>
  <c r="N31" i="6"/>
  <c r="T31" i="6" s="1"/>
  <c r="K31" i="6"/>
  <c r="V30" i="6"/>
  <c r="Q30" i="6"/>
  <c r="T30" i="6" s="1"/>
  <c r="N30" i="6"/>
  <c r="K30" i="6"/>
  <c r="V29" i="6"/>
  <c r="T29" i="6"/>
  <c r="Q29" i="6"/>
  <c r="N29" i="6"/>
  <c r="K29" i="6"/>
  <c r="V28" i="6"/>
  <c r="Q28" i="6"/>
  <c r="N28" i="6"/>
  <c r="K28" i="6"/>
  <c r="T28" i="6" s="1"/>
  <c r="V27" i="6"/>
  <c r="Q27" i="6"/>
  <c r="N27" i="6"/>
  <c r="K27" i="6"/>
  <c r="V26" i="6"/>
  <c r="T26" i="6"/>
  <c r="Q26" i="6"/>
  <c r="N26" i="6"/>
  <c r="K26" i="6"/>
  <c r="V25" i="6"/>
  <c r="Q25" i="6"/>
  <c r="N25" i="6"/>
  <c r="N43" i="6" s="1"/>
  <c r="K25" i="6"/>
  <c r="T25" i="6" s="1"/>
  <c r="V24" i="6"/>
  <c r="Q24" i="6"/>
  <c r="K24" i="6"/>
  <c r="T24" i="6" s="1"/>
  <c r="X20" i="6"/>
  <c r="W20" i="6"/>
  <c r="S20" i="6"/>
  <c r="R20" i="6"/>
  <c r="O20" i="6"/>
  <c r="M20" i="6"/>
  <c r="L20" i="6"/>
  <c r="J20" i="6"/>
  <c r="I20" i="6"/>
  <c r="G20" i="6"/>
  <c r="F20" i="6"/>
  <c r="E20" i="6"/>
  <c r="D20" i="6"/>
  <c r="V19" i="6"/>
  <c r="Q19" i="6"/>
  <c r="T19" i="6" s="1"/>
  <c r="N19" i="6"/>
  <c r="K19" i="6"/>
  <c r="V18" i="6"/>
  <c r="T18" i="6"/>
  <c r="Q18" i="6"/>
  <c r="N18" i="6"/>
  <c r="K18" i="6"/>
  <c r="V17" i="6"/>
  <c r="Q17" i="6"/>
  <c r="N17" i="6"/>
  <c r="T17" i="6" s="1"/>
  <c r="K17" i="6"/>
  <c r="V16" i="6"/>
  <c r="Q16" i="6"/>
  <c r="N16" i="6"/>
  <c r="K16" i="6"/>
  <c r="V15" i="6"/>
  <c r="T15" i="6"/>
  <c r="Q15" i="6"/>
  <c r="N15" i="6"/>
  <c r="K15" i="6"/>
  <c r="V14" i="6"/>
  <c r="Q14" i="6"/>
  <c r="N14" i="6"/>
  <c r="K14" i="6"/>
  <c r="T14" i="6" s="1"/>
  <c r="V13" i="6"/>
  <c r="Q13" i="6"/>
  <c r="N13" i="6"/>
  <c r="K13" i="6"/>
  <c r="T13" i="6" s="1"/>
  <c r="V12" i="6"/>
  <c r="Q12" i="6"/>
  <c r="N12" i="6"/>
  <c r="T12" i="6" s="1"/>
  <c r="K12" i="6"/>
  <c r="V11" i="6"/>
  <c r="Q11" i="6"/>
  <c r="T11" i="6" s="1"/>
  <c r="N11" i="6"/>
  <c r="K11" i="6"/>
  <c r="V10" i="6"/>
  <c r="T10" i="6"/>
  <c r="Q10" i="6"/>
  <c r="N10" i="6"/>
  <c r="K10" i="6"/>
  <c r="V9" i="6"/>
  <c r="Q9" i="6"/>
  <c r="N9" i="6"/>
  <c r="K9" i="6"/>
  <c r="V8" i="6"/>
  <c r="Q8" i="6"/>
  <c r="N8" i="6"/>
  <c r="K8" i="6"/>
  <c r="V7" i="6"/>
  <c r="T7" i="6"/>
  <c r="Q7" i="6"/>
  <c r="N7" i="6"/>
  <c r="K7" i="6"/>
  <c r="V6" i="6"/>
  <c r="Q6" i="6"/>
  <c r="N6" i="6"/>
  <c r="K6" i="6"/>
  <c r="T6" i="6" s="1"/>
  <c r="V5" i="6"/>
  <c r="Q5" i="6"/>
  <c r="N5" i="6"/>
  <c r="K5" i="6"/>
  <c r="T5" i="6" s="1"/>
  <c r="V4" i="6"/>
  <c r="Q4" i="6"/>
  <c r="N4" i="6"/>
  <c r="T4" i="6" s="1"/>
  <c r="K4" i="6"/>
  <c r="V3" i="6"/>
  <c r="Q3" i="6"/>
  <c r="K3" i="6"/>
  <c r="S106" i="5"/>
  <c r="O106" i="5"/>
  <c r="M106" i="5"/>
  <c r="L106" i="5"/>
  <c r="G106" i="5"/>
  <c r="F106" i="5"/>
  <c r="R105" i="5"/>
  <c r="J105" i="5"/>
  <c r="I105" i="5"/>
  <c r="E105" i="5"/>
  <c r="Q105" i="5" s="1"/>
  <c r="D105" i="5"/>
  <c r="V104" i="5"/>
  <c r="R104" i="5"/>
  <c r="Q104" i="5"/>
  <c r="N104" i="5"/>
  <c r="K104" i="5"/>
  <c r="J104" i="5"/>
  <c r="I104" i="5"/>
  <c r="E104" i="5"/>
  <c r="D104" i="5"/>
  <c r="R103" i="5"/>
  <c r="Q103" i="5"/>
  <c r="J103" i="5"/>
  <c r="N103" i="5" s="1"/>
  <c r="T103" i="5" s="1"/>
  <c r="I103" i="5"/>
  <c r="E103" i="5"/>
  <c r="V103" i="5" s="1"/>
  <c r="D103" i="5"/>
  <c r="V102" i="5"/>
  <c r="R102" i="5"/>
  <c r="N102" i="5"/>
  <c r="J102" i="5"/>
  <c r="K102" i="5" s="1"/>
  <c r="I102" i="5"/>
  <c r="E102" i="5"/>
  <c r="D102" i="5"/>
  <c r="R101" i="5"/>
  <c r="J101" i="5"/>
  <c r="I101" i="5"/>
  <c r="E101" i="5"/>
  <c r="Q101" i="5" s="1"/>
  <c r="D101" i="5"/>
  <c r="V100" i="5"/>
  <c r="R100" i="5"/>
  <c r="N100" i="5"/>
  <c r="J100" i="5"/>
  <c r="K100" i="5" s="1"/>
  <c r="I100" i="5"/>
  <c r="E100" i="5"/>
  <c r="R99" i="5"/>
  <c r="Q99" i="5"/>
  <c r="J99" i="5"/>
  <c r="I99" i="5"/>
  <c r="E99" i="5"/>
  <c r="D99" i="5"/>
  <c r="V98" i="5"/>
  <c r="R98" i="5"/>
  <c r="N98" i="5"/>
  <c r="K98" i="5"/>
  <c r="J98" i="5"/>
  <c r="I98" i="5"/>
  <c r="E98" i="5"/>
  <c r="Q98" i="5" s="1"/>
  <c r="D98" i="5"/>
  <c r="R97" i="5"/>
  <c r="Q97" i="5"/>
  <c r="J97" i="5"/>
  <c r="I97" i="5"/>
  <c r="E97" i="5"/>
  <c r="D97" i="5"/>
  <c r="V96" i="5"/>
  <c r="T96" i="5"/>
  <c r="R96" i="5"/>
  <c r="N96" i="5"/>
  <c r="K96" i="5"/>
  <c r="J96" i="5"/>
  <c r="I96" i="5"/>
  <c r="E96" i="5"/>
  <c r="Q96" i="5" s="1"/>
  <c r="D96" i="5"/>
  <c r="R95" i="5"/>
  <c r="Q95" i="5"/>
  <c r="J95" i="5"/>
  <c r="I95" i="5"/>
  <c r="E95" i="5"/>
  <c r="D95" i="5"/>
  <c r="V94" i="5"/>
  <c r="T94" i="5"/>
  <c r="R94" i="5"/>
  <c r="N94" i="5"/>
  <c r="K94" i="5"/>
  <c r="J94" i="5"/>
  <c r="I94" i="5"/>
  <c r="E94" i="5"/>
  <c r="Q94" i="5" s="1"/>
  <c r="D94" i="5"/>
  <c r="R93" i="5"/>
  <c r="Q93" i="5"/>
  <c r="J93" i="5"/>
  <c r="I93" i="5"/>
  <c r="E93" i="5"/>
  <c r="D93" i="5"/>
  <c r="V92" i="5"/>
  <c r="R92" i="5"/>
  <c r="N92" i="5"/>
  <c r="K92" i="5"/>
  <c r="J92" i="5"/>
  <c r="I92" i="5"/>
  <c r="E92" i="5"/>
  <c r="Q92" i="5" s="1"/>
  <c r="D92" i="5"/>
  <c r="R91" i="5"/>
  <c r="Q91" i="5"/>
  <c r="J91" i="5"/>
  <c r="I91" i="5"/>
  <c r="E91" i="5"/>
  <c r="D91" i="5"/>
  <c r="V90" i="5"/>
  <c r="R90" i="5"/>
  <c r="N90" i="5"/>
  <c r="K90" i="5"/>
  <c r="J90" i="5"/>
  <c r="I90" i="5"/>
  <c r="E90" i="5"/>
  <c r="Q90" i="5" s="1"/>
  <c r="D90" i="5"/>
  <c r="R89" i="5"/>
  <c r="Q89" i="5"/>
  <c r="J89" i="5"/>
  <c r="I89" i="5"/>
  <c r="E89" i="5"/>
  <c r="D89" i="5"/>
  <c r="X85" i="5"/>
  <c r="W85" i="5"/>
  <c r="S85" i="5"/>
  <c r="R85" i="5"/>
  <c r="O85" i="5"/>
  <c r="N85" i="5"/>
  <c r="M85" i="5"/>
  <c r="L85" i="5"/>
  <c r="J85" i="5"/>
  <c r="I85" i="5"/>
  <c r="G85" i="5"/>
  <c r="F85" i="5"/>
  <c r="E85" i="5"/>
  <c r="D85" i="5"/>
  <c r="V84" i="5"/>
  <c r="Q84" i="5"/>
  <c r="N84" i="5"/>
  <c r="T84" i="5" s="1"/>
  <c r="K84" i="5"/>
  <c r="V83" i="5"/>
  <c r="Q83" i="5"/>
  <c r="T83" i="5" s="1"/>
  <c r="N83" i="5"/>
  <c r="K83" i="5"/>
  <c r="V82" i="5"/>
  <c r="T82" i="5"/>
  <c r="Q82" i="5"/>
  <c r="N82" i="5"/>
  <c r="K82" i="5"/>
  <c r="V81" i="5"/>
  <c r="Q81" i="5"/>
  <c r="N81" i="5"/>
  <c r="K81" i="5"/>
  <c r="V80" i="5"/>
  <c r="Q80" i="5"/>
  <c r="N80" i="5"/>
  <c r="K80" i="5"/>
  <c r="V79" i="5"/>
  <c r="T79" i="5"/>
  <c r="Q79" i="5"/>
  <c r="N79" i="5"/>
  <c r="K79" i="5"/>
  <c r="V78" i="5"/>
  <c r="Q78" i="5"/>
  <c r="N78" i="5"/>
  <c r="K78" i="5"/>
  <c r="T78" i="5" s="1"/>
  <c r="V77" i="5"/>
  <c r="Q77" i="5"/>
  <c r="N77" i="5"/>
  <c r="K77" i="5"/>
  <c r="T77" i="5" s="1"/>
  <c r="V76" i="5"/>
  <c r="Q76" i="5"/>
  <c r="N76" i="5"/>
  <c r="T76" i="5" s="1"/>
  <c r="K76" i="5"/>
  <c r="V75" i="5"/>
  <c r="Q75" i="5"/>
  <c r="T75" i="5" s="1"/>
  <c r="N75" i="5"/>
  <c r="K75" i="5"/>
  <c r="V74" i="5"/>
  <c r="T74" i="5"/>
  <c r="Q74" i="5"/>
  <c r="N74" i="5"/>
  <c r="K74" i="5"/>
  <c r="V73" i="5"/>
  <c r="Q73" i="5"/>
  <c r="N73" i="5"/>
  <c r="K73" i="5"/>
  <c r="V72" i="5"/>
  <c r="Q72" i="5"/>
  <c r="N72" i="5"/>
  <c r="K72" i="5"/>
  <c r="V71" i="5"/>
  <c r="T71" i="5"/>
  <c r="Q71" i="5"/>
  <c r="N71" i="5"/>
  <c r="K71" i="5"/>
  <c r="V70" i="5"/>
  <c r="Q70" i="5"/>
  <c r="N70" i="5"/>
  <c r="K70" i="5"/>
  <c r="T70" i="5" s="1"/>
  <c r="V69" i="5"/>
  <c r="Q69" i="5"/>
  <c r="N69" i="5"/>
  <c r="K69" i="5"/>
  <c r="W65" i="5"/>
  <c r="S65" i="5"/>
  <c r="R65" i="5"/>
  <c r="O65" i="5"/>
  <c r="M65" i="5"/>
  <c r="L65" i="5"/>
  <c r="J65" i="5"/>
  <c r="I65" i="5"/>
  <c r="G65" i="5"/>
  <c r="F65" i="5"/>
  <c r="E65" i="5"/>
  <c r="D65" i="5"/>
  <c r="X64" i="5"/>
  <c r="X65" i="5" s="1"/>
  <c r="V64" i="5"/>
  <c r="Q64" i="5"/>
  <c r="N64" i="5"/>
  <c r="K64" i="5"/>
  <c r="V63" i="5"/>
  <c r="Q63" i="5"/>
  <c r="N63" i="5"/>
  <c r="T63" i="5" s="1"/>
  <c r="K63" i="5"/>
  <c r="V62" i="5"/>
  <c r="Q62" i="5"/>
  <c r="T62" i="5" s="1"/>
  <c r="N62" i="5"/>
  <c r="K62" i="5"/>
  <c r="V61" i="5"/>
  <c r="T61" i="5"/>
  <c r="Q61" i="5"/>
  <c r="N61" i="5"/>
  <c r="K61" i="5"/>
  <c r="V60" i="5"/>
  <c r="Q60" i="5"/>
  <c r="N60" i="5"/>
  <c r="K60" i="5"/>
  <c r="T60" i="5" s="1"/>
  <c r="V59" i="5"/>
  <c r="Q59" i="5"/>
  <c r="N59" i="5"/>
  <c r="K59" i="5"/>
  <c r="V58" i="5"/>
  <c r="Q58" i="5"/>
  <c r="N58" i="5"/>
  <c r="K58" i="5"/>
  <c r="T58" i="5" s="1"/>
  <c r="V57" i="5"/>
  <c r="Q57" i="5"/>
  <c r="N57" i="5"/>
  <c r="K57" i="5"/>
  <c r="T57" i="5" s="1"/>
  <c r="V56" i="5"/>
  <c r="Q56" i="5"/>
  <c r="N56" i="5"/>
  <c r="K56" i="5"/>
  <c r="V55" i="5"/>
  <c r="Q55" i="5"/>
  <c r="T55" i="5" s="1"/>
  <c r="N55" i="5"/>
  <c r="K55" i="5"/>
  <c r="V54" i="5"/>
  <c r="T54" i="5"/>
  <c r="Q54" i="5"/>
  <c r="N54" i="5"/>
  <c r="K54" i="5"/>
  <c r="V53" i="5"/>
  <c r="Q53" i="5"/>
  <c r="N53" i="5"/>
  <c r="K53" i="5"/>
  <c r="T53" i="5" s="1"/>
  <c r="V52" i="5"/>
  <c r="Q52" i="5"/>
  <c r="N52" i="5"/>
  <c r="K52" i="5"/>
  <c r="T52" i="5" s="1"/>
  <c r="V51" i="5"/>
  <c r="Q51" i="5"/>
  <c r="N51" i="5"/>
  <c r="T51" i="5" s="1"/>
  <c r="K51" i="5"/>
  <c r="V50" i="5"/>
  <c r="Q50" i="5"/>
  <c r="T50" i="5" s="1"/>
  <c r="N50" i="5"/>
  <c r="K50" i="5"/>
  <c r="V49" i="5"/>
  <c r="T49" i="5"/>
  <c r="Q49" i="5"/>
  <c r="N49" i="5"/>
  <c r="K49" i="5"/>
  <c r="V48" i="5"/>
  <c r="V65" i="5" s="1"/>
  <c r="Q48" i="5"/>
  <c r="Q65" i="5" s="1"/>
  <c r="N48" i="5"/>
  <c r="K48" i="5"/>
  <c r="T48" i="5" s="1"/>
  <c r="W44" i="5"/>
  <c r="S44" i="5"/>
  <c r="R44" i="5"/>
  <c r="O44" i="5"/>
  <c r="M44" i="5"/>
  <c r="L44" i="5"/>
  <c r="J44" i="5"/>
  <c r="I44" i="5"/>
  <c r="G44" i="5"/>
  <c r="F44" i="5"/>
  <c r="E44" i="5"/>
  <c r="D44" i="5"/>
  <c r="V43" i="5"/>
  <c r="Q43" i="5"/>
  <c r="N43" i="5"/>
  <c r="K43" i="5"/>
  <c r="T43" i="5" s="1"/>
  <c r="V42" i="5"/>
  <c r="T42" i="5"/>
  <c r="Q42" i="5"/>
  <c r="N42" i="5"/>
  <c r="L42" i="5"/>
  <c r="K42" i="5"/>
  <c r="V41" i="5"/>
  <c r="Q41" i="5"/>
  <c r="N41" i="5"/>
  <c r="T41" i="5" s="1"/>
  <c r="K41" i="5"/>
  <c r="V40" i="5"/>
  <c r="Q40" i="5"/>
  <c r="N40" i="5"/>
  <c r="K40" i="5"/>
  <c r="T40" i="5" s="1"/>
  <c r="V39" i="5"/>
  <c r="T39" i="5"/>
  <c r="Q39" i="5"/>
  <c r="N39" i="5"/>
  <c r="K39" i="5"/>
  <c r="V38" i="5"/>
  <c r="Q38" i="5"/>
  <c r="N38" i="5"/>
  <c r="K38" i="5"/>
  <c r="V37" i="5"/>
  <c r="T37" i="5"/>
  <c r="Q37" i="5"/>
  <c r="N37" i="5"/>
  <c r="K37" i="5"/>
  <c r="V36" i="5"/>
  <c r="Q36" i="5"/>
  <c r="N36" i="5"/>
  <c r="K36" i="5"/>
  <c r="T36" i="5" s="1"/>
  <c r="V35" i="5"/>
  <c r="Q35" i="5"/>
  <c r="N35" i="5"/>
  <c r="K35" i="5"/>
  <c r="T35" i="5" s="1"/>
  <c r="V34" i="5"/>
  <c r="Q34" i="5"/>
  <c r="N34" i="5"/>
  <c r="K34" i="5"/>
  <c r="V33" i="5"/>
  <c r="Q33" i="5"/>
  <c r="T33" i="5" s="1"/>
  <c r="N33" i="5"/>
  <c r="K33" i="5"/>
  <c r="V32" i="5"/>
  <c r="T32" i="5"/>
  <c r="Q32" i="5"/>
  <c r="N32" i="5"/>
  <c r="K32" i="5"/>
  <c r="V31" i="5"/>
  <c r="Q31" i="5"/>
  <c r="N31" i="5"/>
  <c r="K31" i="5"/>
  <c r="T31" i="5" s="1"/>
  <c r="V30" i="5"/>
  <c r="Q30" i="5"/>
  <c r="N30" i="5"/>
  <c r="K30" i="5"/>
  <c r="T30" i="5" s="1"/>
  <c r="V29" i="5"/>
  <c r="Q29" i="5"/>
  <c r="N29" i="5"/>
  <c r="T29" i="5" s="1"/>
  <c r="K29" i="5"/>
  <c r="V28" i="5"/>
  <c r="Q28" i="5"/>
  <c r="T28" i="5" s="1"/>
  <c r="N28" i="5"/>
  <c r="K28" i="5"/>
  <c r="V27" i="5"/>
  <c r="T27" i="5"/>
  <c r="Q27" i="5"/>
  <c r="N27" i="5"/>
  <c r="K27" i="5"/>
  <c r="V26" i="5"/>
  <c r="V44" i="5" s="1"/>
  <c r="Q26" i="5"/>
  <c r="Q44" i="5" s="1"/>
  <c r="N26" i="5"/>
  <c r="K26" i="5"/>
  <c r="T26" i="5" s="1"/>
  <c r="W22" i="5"/>
  <c r="S22" i="5"/>
  <c r="R22" i="5"/>
  <c r="O22" i="5"/>
  <c r="M22" i="5"/>
  <c r="J22" i="5"/>
  <c r="I22" i="5"/>
  <c r="G22" i="5"/>
  <c r="F22" i="5"/>
  <c r="E22" i="5"/>
  <c r="D22" i="5"/>
  <c r="V21" i="5"/>
  <c r="Q21" i="5"/>
  <c r="N21" i="5"/>
  <c r="K21" i="5"/>
  <c r="T21" i="5" s="1"/>
  <c r="V20" i="5"/>
  <c r="T20" i="5"/>
  <c r="Q20" i="5"/>
  <c r="N20" i="5"/>
  <c r="L20" i="5"/>
  <c r="K20" i="5"/>
  <c r="V19" i="5"/>
  <c r="Q19" i="5"/>
  <c r="N19" i="5"/>
  <c r="T19" i="5" s="1"/>
  <c r="K19" i="5"/>
  <c r="V18" i="5"/>
  <c r="Q18" i="5"/>
  <c r="T18" i="5" s="1"/>
  <c r="N18" i="5"/>
  <c r="K18" i="5"/>
  <c r="V17" i="5"/>
  <c r="T17" i="5"/>
  <c r="Q17" i="5"/>
  <c r="N17" i="5"/>
  <c r="K17" i="5"/>
  <c r="V16" i="5"/>
  <c r="Q16" i="5"/>
  <c r="N16" i="5"/>
  <c r="K16" i="5"/>
  <c r="V15" i="5"/>
  <c r="T15" i="5"/>
  <c r="Q15" i="5"/>
  <c r="N15" i="5"/>
  <c r="K15" i="5"/>
  <c r="V14" i="5"/>
  <c r="Q14" i="5"/>
  <c r="N14" i="5"/>
  <c r="K14" i="5"/>
  <c r="T14" i="5" s="1"/>
  <c r="V13" i="5"/>
  <c r="Q13" i="5"/>
  <c r="N13" i="5"/>
  <c r="K13" i="5"/>
  <c r="T13" i="5" s="1"/>
  <c r="V12" i="5"/>
  <c r="Q12" i="5"/>
  <c r="N12" i="5"/>
  <c r="K12" i="5"/>
  <c r="V11" i="5"/>
  <c r="Q11" i="5"/>
  <c r="T11" i="5" s="1"/>
  <c r="N11" i="5"/>
  <c r="K11" i="5"/>
  <c r="V10" i="5"/>
  <c r="T10" i="5"/>
  <c r="Q10" i="5"/>
  <c r="N10" i="5"/>
  <c r="K10" i="5"/>
  <c r="V9" i="5"/>
  <c r="Q9" i="5"/>
  <c r="N9" i="5"/>
  <c r="K9" i="5"/>
  <c r="T9" i="5" s="1"/>
  <c r="V8" i="5"/>
  <c r="Q8" i="5"/>
  <c r="N8" i="5"/>
  <c r="K8" i="5"/>
  <c r="T8" i="5" s="1"/>
  <c r="V7" i="5"/>
  <c r="Q7" i="5"/>
  <c r="N7" i="5"/>
  <c r="T7" i="5" s="1"/>
  <c r="K7" i="5"/>
  <c r="V6" i="5"/>
  <c r="Q6" i="5"/>
  <c r="T6" i="5" s="1"/>
  <c r="N6" i="5"/>
  <c r="K6" i="5"/>
  <c r="V5" i="5"/>
  <c r="T5" i="5"/>
  <c r="Q5" i="5"/>
  <c r="N5" i="5"/>
  <c r="K5" i="5"/>
  <c r="V4" i="5"/>
  <c r="Q4" i="5"/>
  <c r="N4" i="5"/>
  <c r="L4" i="5"/>
  <c r="L22" i="5" s="1"/>
  <c r="K4" i="5"/>
  <c r="V3" i="5"/>
  <c r="V22" i="5" s="1"/>
  <c r="Q3" i="5"/>
  <c r="Q22" i="5" s="1"/>
  <c r="N3" i="5"/>
  <c r="K3" i="5"/>
  <c r="K22" i="5" s="1"/>
  <c r="S107" i="4"/>
  <c r="O107" i="4"/>
  <c r="M107" i="4"/>
  <c r="G107" i="4"/>
  <c r="F107" i="4"/>
  <c r="V106" i="4"/>
  <c r="R106" i="4"/>
  <c r="N106" i="4"/>
  <c r="K106" i="4"/>
  <c r="T106" i="4" s="1"/>
  <c r="J106" i="4"/>
  <c r="I106" i="4"/>
  <c r="E106" i="4"/>
  <c r="Q106" i="4" s="1"/>
  <c r="D106" i="4"/>
  <c r="R105" i="4"/>
  <c r="Q105" i="4"/>
  <c r="K105" i="4"/>
  <c r="J105" i="4"/>
  <c r="I105" i="4"/>
  <c r="E105" i="4"/>
  <c r="D105" i="4"/>
  <c r="N104" i="4"/>
  <c r="L104" i="4"/>
  <c r="J104" i="4"/>
  <c r="I104" i="4"/>
  <c r="E104" i="4"/>
  <c r="Q104" i="4" s="1"/>
  <c r="D104" i="4"/>
  <c r="V103" i="4"/>
  <c r="N103" i="4"/>
  <c r="K103" i="4"/>
  <c r="J103" i="4"/>
  <c r="I103" i="4"/>
  <c r="E103" i="4"/>
  <c r="D103" i="4"/>
  <c r="J102" i="4"/>
  <c r="K102" i="4" s="1"/>
  <c r="I102" i="4"/>
  <c r="E102" i="4"/>
  <c r="D102" i="4"/>
  <c r="V101" i="4"/>
  <c r="R101" i="4"/>
  <c r="N101" i="4"/>
  <c r="K101" i="4"/>
  <c r="J101" i="4"/>
  <c r="I101" i="4"/>
  <c r="E101" i="4"/>
  <c r="Q101" i="4" s="1"/>
  <c r="D101" i="4"/>
  <c r="R100" i="4"/>
  <c r="N100" i="4"/>
  <c r="J100" i="4"/>
  <c r="K100" i="4" s="1"/>
  <c r="I100" i="4"/>
  <c r="E100" i="4"/>
  <c r="D100" i="4"/>
  <c r="V99" i="4"/>
  <c r="R99" i="4"/>
  <c r="N99" i="4"/>
  <c r="K99" i="4"/>
  <c r="J99" i="4"/>
  <c r="I99" i="4"/>
  <c r="E99" i="4"/>
  <c r="Q99" i="4" s="1"/>
  <c r="D99" i="4"/>
  <c r="R98" i="4"/>
  <c r="N98" i="4"/>
  <c r="J98" i="4"/>
  <c r="K98" i="4" s="1"/>
  <c r="I98" i="4"/>
  <c r="E98" i="4"/>
  <c r="Q98" i="4" s="1"/>
  <c r="D98" i="4"/>
  <c r="R97" i="4"/>
  <c r="J97" i="4"/>
  <c r="N97" i="4" s="1"/>
  <c r="I97" i="4"/>
  <c r="E97" i="4"/>
  <c r="Q97" i="4" s="1"/>
  <c r="D97" i="4"/>
  <c r="R96" i="4"/>
  <c r="J96" i="4"/>
  <c r="K96" i="4" s="1"/>
  <c r="I96" i="4"/>
  <c r="E96" i="4"/>
  <c r="D96" i="4"/>
  <c r="R95" i="4"/>
  <c r="J95" i="4"/>
  <c r="N95" i="4" s="1"/>
  <c r="I95" i="4"/>
  <c r="E95" i="4"/>
  <c r="Q95" i="4" s="1"/>
  <c r="D95" i="4"/>
  <c r="R94" i="4"/>
  <c r="J94" i="4"/>
  <c r="K94" i="4" s="1"/>
  <c r="I94" i="4"/>
  <c r="E94" i="4"/>
  <c r="D94" i="4"/>
  <c r="V93" i="4"/>
  <c r="R93" i="4"/>
  <c r="N93" i="4"/>
  <c r="K93" i="4"/>
  <c r="J93" i="4"/>
  <c r="I93" i="4"/>
  <c r="E93" i="4"/>
  <c r="Q93" i="4" s="1"/>
  <c r="D93" i="4"/>
  <c r="R92" i="4"/>
  <c r="N92" i="4"/>
  <c r="J92" i="4"/>
  <c r="K92" i="4" s="1"/>
  <c r="I92" i="4"/>
  <c r="E92" i="4"/>
  <c r="D92" i="4"/>
  <c r="V91" i="4"/>
  <c r="R91" i="4"/>
  <c r="N91" i="4"/>
  <c r="L91" i="4"/>
  <c r="K91" i="4"/>
  <c r="J91" i="4"/>
  <c r="I91" i="4"/>
  <c r="E91" i="4"/>
  <c r="Q91" i="4" s="1"/>
  <c r="D91" i="4"/>
  <c r="R90" i="4"/>
  <c r="Q90" i="4"/>
  <c r="J90" i="4"/>
  <c r="I90" i="4"/>
  <c r="E90" i="4"/>
  <c r="D90" i="4"/>
  <c r="R89" i="4"/>
  <c r="N89" i="4"/>
  <c r="L89" i="4"/>
  <c r="J89" i="4"/>
  <c r="K89" i="4" s="1"/>
  <c r="I89" i="4"/>
  <c r="E89" i="4"/>
  <c r="Q89" i="4" s="1"/>
  <c r="T89" i="4" s="1"/>
  <c r="D89" i="4"/>
  <c r="R88" i="4"/>
  <c r="R107" i="4" s="1"/>
  <c r="N88" i="4"/>
  <c r="L88" i="4"/>
  <c r="L107" i="4" s="1"/>
  <c r="K88" i="4"/>
  <c r="J88" i="4"/>
  <c r="I88" i="4"/>
  <c r="I107" i="4" s="1"/>
  <c r="E88" i="4"/>
  <c r="D88" i="4"/>
  <c r="D107" i="4" s="1"/>
  <c r="S84" i="4"/>
  <c r="R84" i="4"/>
  <c r="O84" i="4"/>
  <c r="N84" i="4"/>
  <c r="M84" i="4"/>
  <c r="J84" i="4"/>
  <c r="I84" i="4"/>
  <c r="G84" i="4"/>
  <c r="F84" i="4"/>
  <c r="E84" i="4"/>
  <c r="D84" i="4"/>
  <c r="V83" i="4"/>
  <c r="T83" i="4"/>
  <c r="Q83" i="4"/>
  <c r="L83" i="4"/>
  <c r="K83" i="4"/>
  <c r="W82" i="4"/>
  <c r="V82" i="4"/>
  <c r="T82" i="4"/>
  <c r="Q82" i="4"/>
  <c r="K82" i="4"/>
  <c r="V81" i="4"/>
  <c r="T81" i="4"/>
  <c r="Q81" i="4"/>
  <c r="K81" i="4"/>
  <c r="V80" i="4"/>
  <c r="T80" i="4"/>
  <c r="Q80" i="4"/>
  <c r="K80" i="4"/>
  <c r="V79" i="4"/>
  <c r="T79" i="4"/>
  <c r="Q79" i="4"/>
  <c r="K79" i="4"/>
  <c r="V78" i="4"/>
  <c r="T78" i="4"/>
  <c r="Q78" i="4"/>
  <c r="K78" i="4"/>
  <c r="V77" i="4"/>
  <c r="T77" i="4"/>
  <c r="Q77" i="4"/>
  <c r="K77" i="4"/>
  <c r="V76" i="4"/>
  <c r="T76" i="4"/>
  <c r="Q76" i="4"/>
  <c r="K76" i="4"/>
  <c r="V75" i="4"/>
  <c r="T75" i="4"/>
  <c r="Q75" i="4"/>
  <c r="K75" i="4"/>
  <c r="V74" i="4"/>
  <c r="T74" i="4"/>
  <c r="Q74" i="4"/>
  <c r="K74" i="4"/>
  <c r="V73" i="4"/>
  <c r="T73" i="4"/>
  <c r="Q73" i="4"/>
  <c r="K73" i="4"/>
  <c r="V72" i="4"/>
  <c r="T72" i="4"/>
  <c r="Q72" i="4"/>
  <c r="K72" i="4"/>
  <c r="V71" i="4"/>
  <c r="T71" i="4"/>
  <c r="Q71" i="4"/>
  <c r="K71" i="4"/>
  <c r="V70" i="4"/>
  <c r="T70" i="4"/>
  <c r="Q70" i="4"/>
  <c r="K70" i="4"/>
  <c r="V69" i="4"/>
  <c r="T69" i="4"/>
  <c r="Q69" i="4"/>
  <c r="K69" i="4"/>
  <c r="V68" i="4"/>
  <c r="T68" i="4"/>
  <c r="Q68" i="4"/>
  <c r="K68" i="4"/>
  <c r="V67" i="4"/>
  <c r="T67" i="4"/>
  <c r="Q67" i="4"/>
  <c r="K67" i="4"/>
  <c r="T66" i="4"/>
  <c r="Q66" i="4"/>
  <c r="L66" i="4"/>
  <c r="V66" i="4" s="1"/>
  <c r="K66" i="4"/>
  <c r="V65" i="4"/>
  <c r="Q65" i="4"/>
  <c r="Q84" i="4" s="1"/>
  <c r="K65" i="4"/>
  <c r="W61" i="4"/>
  <c r="S61" i="4"/>
  <c r="R61" i="4"/>
  <c r="O61" i="4"/>
  <c r="N61" i="4"/>
  <c r="M61" i="4"/>
  <c r="J61" i="4"/>
  <c r="I61" i="4"/>
  <c r="G61" i="4"/>
  <c r="F61" i="4"/>
  <c r="E61" i="4"/>
  <c r="Q61" i="4" s="1"/>
  <c r="D61" i="4"/>
  <c r="V60" i="4"/>
  <c r="Q60" i="4"/>
  <c r="K60" i="4"/>
  <c r="T60" i="4" s="1"/>
  <c r="V59" i="4"/>
  <c r="Q59" i="4"/>
  <c r="K59" i="4"/>
  <c r="T59" i="4" s="1"/>
  <c r="V58" i="4"/>
  <c r="Q58" i="4"/>
  <c r="K58" i="4"/>
  <c r="T58" i="4" s="1"/>
  <c r="V57" i="4"/>
  <c r="Q57" i="4"/>
  <c r="K57" i="4"/>
  <c r="T57" i="4" s="1"/>
  <c r="V56" i="4"/>
  <c r="Q56" i="4"/>
  <c r="K56" i="4"/>
  <c r="T56" i="4" s="1"/>
  <c r="V55" i="4"/>
  <c r="Q55" i="4"/>
  <c r="K55" i="4"/>
  <c r="T55" i="4" s="1"/>
  <c r="V54" i="4"/>
  <c r="Q54" i="4"/>
  <c r="K54" i="4"/>
  <c r="T54" i="4" s="1"/>
  <c r="V53" i="4"/>
  <c r="Q53" i="4"/>
  <c r="K53" i="4"/>
  <c r="T53" i="4" s="1"/>
  <c r="V52" i="4"/>
  <c r="Q52" i="4"/>
  <c r="K52" i="4"/>
  <c r="T52" i="4" s="1"/>
  <c r="V51" i="4"/>
  <c r="Q51" i="4"/>
  <c r="K51" i="4"/>
  <c r="T51" i="4" s="1"/>
  <c r="V50" i="4"/>
  <c r="Q50" i="4"/>
  <c r="K50" i="4"/>
  <c r="T50" i="4" s="1"/>
  <c r="V49" i="4"/>
  <c r="Q49" i="4"/>
  <c r="K49" i="4"/>
  <c r="T49" i="4" s="1"/>
  <c r="V48" i="4"/>
  <c r="Q48" i="4"/>
  <c r="K48" i="4"/>
  <c r="T48" i="4" s="1"/>
  <c r="V47" i="4"/>
  <c r="Q47" i="4"/>
  <c r="K47" i="4"/>
  <c r="T47" i="4" s="1"/>
  <c r="V46" i="4"/>
  <c r="Q46" i="4"/>
  <c r="K46" i="4"/>
  <c r="K61" i="4" s="1"/>
  <c r="T45" i="4"/>
  <c r="Q45" i="4"/>
  <c r="L45" i="4"/>
  <c r="K45" i="4"/>
  <c r="V44" i="4"/>
  <c r="T44" i="4"/>
  <c r="Q44" i="4"/>
  <c r="K44" i="4"/>
  <c r="S39" i="4"/>
  <c r="R39" i="4"/>
  <c r="Q39" i="4"/>
  <c r="O39" i="4"/>
  <c r="N39" i="4"/>
  <c r="M39" i="4"/>
  <c r="J39" i="4"/>
  <c r="I39" i="4"/>
  <c r="G39" i="4"/>
  <c r="F39" i="4"/>
  <c r="E39" i="4"/>
  <c r="D39" i="4"/>
  <c r="V38" i="4"/>
  <c r="T38" i="4"/>
  <c r="Q38" i="4"/>
  <c r="K38" i="4"/>
  <c r="V37" i="4"/>
  <c r="T37" i="4"/>
  <c r="Q37" i="4"/>
  <c r="K37" i="4"/>
  <c r="V36" i="4"/>
  <c r="T36" i="4"/>
  <c r="Q36" i="4"/>
  <c r="K36" i="4"/>
  <c r="V35" i="4"/>
  <c r="T35" i="4"/>
  <c r="Q35" i="4"/>
  <c r="K35" i="4"/>
  <c r="V34" i="4"/>
  <c r="T34" i="4"/>
  <c r="Q34" i="4"/>
  <c r="K34" i="4"/>
  <c r="V33" i="4"/>
  <c r="T33" i="4"/>
  <c r="Q33" i="4"/>
  <c r="K33" i="4"/>
  <c r="V32" i="4"/>
  <c r="T32" i="4"/>
  <c r="Q32" i="4"/>
  <c r="K32" i="4"/>
  <c r="V31" i="4"/>
  <c r="T31" i="4"/>
  <c r="Q31" i="4"/>
  <c r="K31" i="4"/>
  <c r="V30" i="4"/>
  <c r="T30" i="4"/>
  <c r="Q30" i="4"/>
  <c r="K30" i="4"/>
  <c r="V29" i="4"/>
  <c r="T29" i="4"/>
  <c r="Q29" i="4"/>
  <c r="K29" i="4"/>
  <c r="V28" i="4"/>
  <c r="T28" i="4"/>
  <c r="Q28" i="4"/>
  <c r="K28" i="4"/>
  <c r="V27" i="4"/>
  <c r="T27" i="4"/>
  <c r="Q27" i="4"/>
  <c r="K27" i="4"/>
  <c r="V26" i="4"/>
  <c r="T26" i="4"/>
  <c r="Q26" i="4"/>
  <c r="K26" i="4"/>
  <c r="V25" i="4"/>
  <c r="T25" i="4"/>
  <c r="Q25" i="4"/>
  <c r="K25" i="4"/>
  <c r="V24" i="4"/>
  <c r="T24" i="4"/>
  <c r="Q24" i="4"/>
  <c r="K24" i="4"/>
  <c r="V23" i="4"/>
  <c r="Q23" i="4"/>
  <c r="L23" i="4"/>
  <c r="K23" i="4"/>
  <c r="T23" i="4" s="1"/>
  <c r="Q22" i="4"/>
  <c r="L22" i="4"/>
  <c r="V22" i="4" s="1"/>
  <c r="V39" i="4" s="1"/>
  <c r="K22" i="4"/>
  <c r="K39" i="4" s="1"/>
  <c r="S18" i="4"/>
  <c r="R18" i="4"/>
  <c r="Q18" i="4"/>
  <c r="O18" i="4"/>
  <c r="N18" i="4"/>
  <c r="M18" i="4"/>
  <c r="J18" i="4"/>
  <c r="I18" i="4"/>
  <c r="G18" i="4"/>
  <c r="F18" i="4"/>
  <c r="E18" i="4"/>
  <c r="V17" i="4"/>
  <c r="T17" i="4"/>
  <c r="Q17" i="4"/>
  <c r="K17" i="4"/>
  <c r="V16" i="4"/>
  <c r="T16" i="4"/>
  <c r="Q16" i="4"/>
  <c r="K16" i="4"/>
  <c r="V15" i="4"/>
  <c r="T15" i="4"/>
  <c r="Q15" i="4"/>
  <c r="K15" i="4"/>
  <c r="V14" i="4"/>
  <c r="T14" i="4"/>
  <c r="Q14" i="4"/>
  <c r="K14" i="4"/>
  <c r="V13" i="4"/>
  <c r="T13" i="4"/>
  <c r="Q13" i="4"/>
  <c r="K13" i="4"/>
  <c r="V12" i="4"/>
  <c r="T12" i="4"/>
  <c r="Q12" i="4"/>
  <c r="K12" i="4"/>
  <c r="V11" i="4"/>
  <c r="T11" i="4"/>
  <c r="Q11" i="4"/>
  <c r="K11" i="4"/>
  <c r="V10" i="4"/>
  <c r="T10" i="4"/>
  <c r="Q10" i="4"/>
  <c r="K10" i="4"/>
  <c r="V9" i="4"/>
  <c r="T9" i="4"/>
  <c r="Q9" i="4"/>
  <c r="K9" i="4"/>
  <c r="V8" i="4"/>
  <c r="T8" i="4"/>
  <c r="Q8" i="4"/>
  <c r="K8" i="4"/>
  <c r="V7" i="4"/>
  <c r="T7" i="4"/>
  <c r="Q7" i="4"/>
  <c r="L7" i="4"/>
  <c r="K7" i="4"/>
  <c r="V6" i="4"/>
  <c r="Q6" i="4"/>
  <c r="K6" i="4"/>
  <c r="V5" i="4"/>
  <c r="Q5" i="4"/>
  <c r="T5" i="4" s="1"/>
  <c r="L5" i="4"/>
  <c r="K5" i="4"/>
  <c r="V4" i="4"/>
  <c r="T4" i="4"/>
  <c r="Q4" i="4"/>
  <c r="K4" i="4"/>
  <c r="Q3" i="4"/>
  <c r="T3" i="4" s="1"/>
  <c r="L3" i="4"/>
  <c r="V3" i="4" s="1"/>
  <c r="V18" i="4" s="1"/>
  <c r="K3" i="4"/>
  <c r="S96" i="3"/>
  <c r="R96" i="3"/>
  <c r="Q96" i="3"/>
  <c r="O96" i="3"/>
  <c r="N96" i="3"/>
  <c r="M96" i="3"/>
  <c r="J96" i="3"/>
  <c r="I96" i="3"/>
  <c r="G96" i="3"/>
  <c r="F96" i="3"/>
  <c r="E96" i="3"/>
  <c r="V95" i="3"/>
  <c r="Q95" i="3"/>
  <c r="T95" i="3" s="1"/>
  <c r="K95" i="3"/>
  <c r="V94" i="3"/>
  <c r="Q94" i="3"/>
  <c r="T94" i="3" s="1"/>
  <c r="K94" i="3"/>
  <c r="V93" i="3"/>
  <c r="Q93" i="3"/>
  <c r="T93" i="3" s="1"/>
  <c r="K93" i="3"/>
  <c r="V92" i="3"/>
  <c r="Q92" i="3"/>
  <c r="T92" i="3" s="1"/>
  <c r="K92" i="3"/>
  <c r="V91" i="3"/>
  <c r="Q91" i="3"/>
  <c r="T91" i="3" s="1"/>
  <c r="K91" i="3"/>
  <c r="V90" i="3"/>
  <c r="Q90" i="3"/>
  <c r="T90" i="3" s="1"/>
  <c r="K90" i="3"/>
  <c r="V89" i="3"/>
  <c r="Q89" i="3"/>
  <c r="T89" i="3" s="1"/>
  <c r="K89" i="3"/>
  <c r="V88" i="3"/>
  <c r="Q88" i="3"/>
  <c r="T88" i="3" s="1"/>
  <c r="K88" i="3"/>
  <c r="V87" i="3"/>
  <c r="Q87" i="3"/>
  <c r="T87" i="3" s="1"/>
  <c r="K87" i="3"/>
  <c r="V86" i="3"/>
  <c r="Q86" i="3"/>
  <c r="T86" i="3" s="1"/>
  <c r="K86" i="3"/>
  <c r="V85" i="3"/>
  <c r="Q85" i="3"/>
  <c r="T85" i="3" s="1"/>
  <c r="K85" i="3"/>
  <c r="V84" i="3"/>
  <c r="Q84" i="3"/>
  <c r="T84" i="3" s="1"/>
  <c r="L84" i="3"/>
  <c r="K84" i="3"/>
  <c r="V83" i="3"/>
  <c r="T83" i="3"/>
  <c r="Q83" i="3"/>
  <c r="K83" i="3"/>
  <c r="V82" i="3"/>
  <c r="T82" i="3"/>
  <c r="Q82" i="3"/>
  <c r="L82" i="3"/>
  <c r="K82" i="3"/>
  <c r="V81" i="3"/>
  <c r="Q81" i="3"/>
  <c r="K81" i="3"/>
  <c r="T81" i="3" s="1"/>
  <c r="V80" i="3"/>
  <c r="V96" i="3" s="1"/>
  <c r="Q80" i="3"/>
  <c r="L80" i="3"/>
  <c r="L96" i="3" s="1"/>
  <c r="K80" i="3"/>
  <c r="T80" i="3" s="1"/>
  <c r="S76" i="3"/>
  <c r="R76" i="3"/>
  <c r="Q76" i="3"/>
  <c r="O76" i="3"/>
  <c r="N76" i="3"/>
  <c r="M76" i="3"/>
  <c r="J76" i="3"/>
  <c r="I76" i="3"/>
  <c r="G76" i="3"/>
  <c r="F76" i="3"/>
  <c r="E76" i="3"/>
  <c r="D76" i="3"/>
  <c r="V75" i="3"/>
  <c r="Q75" i="3"/>
  <c r="T75" i="3" s="1"/>
  <c r="K75" i="3"/>
  <c r="V74" i="3"/>
  <c r="Q74" i="3"/>
  <c r="T74" i="3" s="1"/>
  <c r="K74" i="3"/>
  <c r="V73" i="3"/>
  <c r="Q73" i="3"/>
  <c r="T73" i="3" s="1"/>
  <c r="K73" i="3"/>
  <c r="V72" i="3"/>
  <c r="Q72" i="3"/>
  <c r="T72" i="3" s="1"/>
  <c r="K72" i="3"/>
  <c r="V71" i="3"/>
  <c r="Q71" i="3"/>
  <c r="T71" i="3" s="1"/>
  <c r="K71" i="3"/>
  <c r="V70" i="3"/>
  <c r="Q70" i="3"/>
  <c r="K70" i="3"/>
  <c r="T70" i="3" s="1"/>
  <c r="V69" i="3"/>
  <c r="Q69" i="3"/>
  <c r="K69" i="3"/>
  <c r="V68" i="3"/>
  <c r="Q68" i="3"/>
  <c r="T69" i="3" s="1"/>
  <c r="K68" i="3"/>
  <c r="V67" i="3"/>
  <c r="Q67" i="3"/>
  <c r="K67" i="3"/>
  <c r="V66" i="3"/>
  <c r="Q66" i="3"/>
  <c r="K66" i="3"/>
  <c r="T66" i="3" s="1"/>
  <c r="V65" i="3"/>
  <c r="Q65" i="3"/>
  <c r="K65" i="3"/>
  <c r="T65" i="3" s="1"/>
  <c r="V64" i="3"/>
  <c r="Q64" i="3"/>
  <c r="L64" i="3"/>
  <c r="K64" i="3"/>
  <c r="T64" i="3" s="1"/>
  <c r="V63" i="3"/>
  <c r="Q63" i="3"/>
  <c r="K63" i="3"/>
  <c r="T63" i="3" s="1"/>
  <c r="Q62" i="3"/>
  <c r="T62" i="3" s="1"/>
  <c r="L62" i="3"/>
  <c r="V62" i="3" s="1"/>
  <c r="K62" i="3"/>
  <c r="V61" i="3"/>
  <c r="Q61" i="3"/>
  <c r="T61" i="3" s="1"/>
  <c r="K61" i="3"/>
  <c r="Q60" i="3"/>
  <c r="T60" i="3" s="1"/>
  <c r="L60" i="3"/>
  <c r="V60" i="3" s="1"/>
  <c r="K60" i="3"/>
  <c r="S56" i="3"/>
  <c r="R56" i="3"/>
  <c r="Q56" i="3"/>
  <c r="O56" i="3"/>
  <c r="N56" i="3"/>
  <c r="M56" i="3"/>
  <c r="J56" i="3"/>
  <c r="I56" i="3"/>
  <c r="G56" i="3"/>
  <c r="F56" i="3"/>
  <c r="E56" i="3"/>
  <c r="D56" i="3"/>
  <c r="V55" i="3"/>
  <c r="T55" i="3"/>
  <c r="Q55" i="3"/>
  <c r="K55" i="3"/>
  <c r="V54" i="3"/>
  <c r="T54" i="3"/>
  <c r="Q54" i="3"/>
  <c r="K54" i="3"/>
  <c r="V53" i="3"/>
  <c r="T53" i="3"/>
  <c r="Q53" i="3"/>
  <c r="K53" i="3"/>
  <c r="V52" i="3"/>
  <c r="T52" i="3"/>
  <c r="Q52" i="3"/>
  <c r="K52" i="3"/>
  <c r="V51" i="3"/>
  <c r="T51" i="3"/>
  <c r="Q51" i="3"/>
  <c r="K51" i="3"/>
  <c r="V50" i="3"/>
  <c r="T50" i="3"/>
  <c r="Q50" i="3"/>
  <c r="K50" i="3"/>
  <c r="V49" i="3"/>
  <c r="T49" i="3"/>
  <c r="Q49" i="3"/>
  <c r="K49" i="3"/>
  <c r="V48" i="3"/>
  <c r="T48" i="3"/>
  <c r="Q48" i="3"/>
  <c r="K48" i="3"/>
  <c r="V47" i="3"/>
  <c r="T47" i="3"/>
  <c r="Q47" i="3"/>
  <c r="K47" i="3"/>
  <c r="V46" i="3"/>
  <c r="T46" i="3"/>
  <c r="Q46" i="3"/>
  <c r="K46" i="3"/>
  <c r="V45" i="3"/>
  <c r="T45" i="3"/>
  <c r="Q45" i="3"/>
  <c r="K45" i="3"/>
  <c r="V44" i="3"/>
  <c r="T44" i="3"/>
  <c r="Q44" i="3"/>
  <c r="L44" i="3"/>
  <c r="K44" i="3"/>
  <c r="V43" i="3"/>
  <c r="Q43" i="3"/>
  <c r="K43" i="3"/>
  <c r="T43" i="3" s="1"/>
  <c r="V42" i="3"/>
  <c r="Q42" i="3"/>
  <c r="L42" i="3"/>
  <c r="K42" i="3"/>
  <c r="T42" i="3" s="1"/>
  <c r="V41" i="3"/>
  <c r="Q41" i="3"/>
  <c r="K41" i="3"/>
  <c r="K56" i="3" s="1"/>
  <c r="Q40" i="3"/>
  <c r="L40" i="3"/>
  <c r="V40" i="3" s="1"/>
  <c r="V56" i="3" s="1"/>
  <c r="K40" i="3"/>
  <c r="T40" i="3" s="1"/>
  <c r="S36" i="3"/>
  <c r="O36" i="3"/>
  <c r="N36" i="3"/>
  <c r="M36" i="3"/>
  <c r="J36" i="3"/>
  <c r="I36" i="3"/>
  <c r="G36" i="3"/>
  <c r="F36" i="3"/>
  <c r="E36" i="3"/>
  <c r="Q36" i="3" s="1"/>
  <c r="D36" i="3"/>
  <c r="V35" i="3"/>
  <c r="Q35" i="3"/>
  <c r="T35" i="3" s="1"/>
  <c r="K35" i="3"/>
  <c r="V34" i="3"/>
  <c r="Q34" i="3"/>
  <c r="T34" i="3" s="1"/>
  <c r="K34" i="3"/>
  <c r="V33" i="3"/>
  <c r="Q33" i="3"/>
  <c r="T33" i="3" s="1"/>
  <c r="K33" i="3"/>
  <c r="V32" i="3"/>
  <c r="Q32" i="3"/>
  <c r="T32" i="3" s="1"/>
  <c r="K32" i="3"/>
  <c r="V31" i="3"/>
  <c r="Q31" i="3"/>
  <c r="K31" i="3"/>
  <c r="T31" i="3" s="1"/>
  <c r="V30" i="3"/>
  <c r="Q30" i="3"/>
  <c r="K30" i="3"/>
  <c r="T30" i="3" s="1"/>
  <c r="V29" i="3"/>
  <c r="Q29" i="3"/>
  <c r="K29" i="3"/>
  <c r="T29" i="3" s="1"/>
  <c r="V28" i="3"/>
  <c r="Q28" i="3"/>
  <c r="K28" i="3"/>
  <c r="T28" i="3" s="1"/>
  <c r="V27" i="3"/>
  <c r="Q27" i="3"/>
  <c r="K27" i="3"/>
  <c r="T27" i="3" s="1"/>
  <c r="V26" i="3"/>
  <c r="Q26" i="3"/>
  <c r="K26" i="3"/>
  <c r="T26" i="3" s="1"/>
  <c r="Q25" i="3"/>
  <c r="T25" i="3" s="1"/>
  <c r="L25" i="3"/>
  <c r="V25" i="3" s="1"/>
  <c r="K25" i="3"/>
  <c r="V24" i="3"/>
  <c r="Q24" i="3"/>
  <c r="T24" i="3" s="1"/>
  <c r="K24" i="3"/>
  <c r="Q23" i="3"/>
  <c r="T23" i="3" s="1"/>
  <c r="L23" i="3"/>
  <c r="L36" i="3" s="1"/>
  <c r="K23" i="3"/>
  <c r="K36" i="3" s="1"/>
  <c r="V22" i="3"/>
  <c r="T22" i="3"/>
  <c r="Q22" i="3"/>
  <c r="K22" i="3"/>
  <c r="V21" i="3"/>
  <c r="T21" i="3"/>
  <c r="Q21" i="3"/>
  <c r="L21" i="3"/>
  <c r="K21" i="3"/>
  <c r="S17" i="3"/>
  <c r="Q17" i="3"/>
  <c r="O17" i="3"/>
  <c r="N17" i="3"/>
  <c r="M17" i="3"/>
  <c r="J17" i="3"/>
  <c r="I17" i="3"/>
  <c r="G17" i="3"/>
  <c r="F17" i="3"/>
  <c r="E17" i="3"/>
  <c r="D17" i="3"/>
  <c r="T16" i="3"/>
  <c r="Q16" i="3"/>
  <c r="L16" i="3"/>
  <c r="K16" i="3"/>
  <c r="V16" i="3" s="1"/>
  <c r="V15" i="3"/>
  <c r="T15" i="3"/>
  <c r="Q15" i="3"/>
  <c r="K15" i="3"/>
  <c r="V14" i="3"/>
  <c r="T14" i="3"/>
  <c r="Q14" i="3"/>
  <c r="K14" i="3"/>
  <c r="V13" i="3"/>
  <c r="Q13" i="3"/>
  <c r="K13" i="3"/>
  <c r="T13" i="3" s="1"/>
  <c r="V12" i="3"/>
  <c r="Q12" i="3"/>
  <c r="K12" i="3"/>
  <c r="T12" i="3" s="1"/>
  <c r="V11" i="3"/>
  <c r="Q11" i="3"/>
  <c r="K11" i="3"/>
  <c r="T11" i="3" s="1"/>
  <c r="V10" i="3"/>
  <c r="Q10" i="3"/>
  <c r="K10" i="3"/>
  <c r="T10" i="3" s="1"/>
  <c r="V9" i="3"/>
  <c r="Q9" i="3"/>
  <c r="K9" i="3"/>
  <c r="T9" i="3" s="1"/>
  <c r="V8" i="3"/>
  <c r="Q8" i="3"/>
  <c r="K8" i="3"/>
  <c r="T8" i="3" s="1"/>
  <c r="V7" i="3"/>
  <c r="T7" i="3"/>
  <c r="Q7" i="3"/>
  <c r="L7" i="3"/>
  <c r="K7" i="3"/>
  <c r="V6" i="3"/>
  <c r="Q6" i="3"/>
  <c r="K6" i="3"/>
  <c r="T6" i="3" s="1"/>
  <c r="Q5" i="3"/>
  <c r="T5" i="3" s="1"/>
  <c r="L5" i="3"/>
  <c r="V5" i="3" s="1"/>
  <c r="K5" i="3"/>
  <c r="V4" i="3"/>
  <c r="Q4" i="3"/>
  <c r="T4" i="3" s="1"/>
  <c r="K4" i="3"/>
  <c r="T3" i="3"/>
  <c r="Q3" i="3"/>
  <c r="L3" i="3"/>
  <c r="V3" i="3" s="1"/>
  <c r="K3" i="3"/>
  <c r="S70" i="2"/>
  <c r="R70" i="2"/>
  <c r="Q70" i="2"/>
  <c r="O70" i="2"/>
  <c r="N70" i="2"/>
  <c r="M70" i="2"/>
  <c r="J70" i="2"/>
  <c r="I70" i="2"/>
  <c r="G70" i="2"/>
  <c r="F70" i="2"/>
  <c r="E70" i="2"/>
  <c r="V69" i="2"/>
  <c r="Q69" i="2"/>
  <c r="T69" i="2" s="1"/>
  <c r="K69" i="2"/>
  <c r="V68" i="2"/>
  <c r="Q68" i="2"/>
  <c r="T68" i="2" s="1"/>
  <c r="K68" i="2"/>
  <c r="V67" i="2"/>
  <c r="Q67" i="2"/>
  <c r="T67" i="2" s="1"/>
  <c r="K67" i="2"/>
  <c r="V66" i="2"/>
  <c r="Q66" i="2"/>
  <c r="T66" i="2" s="1"/>
  <c r="L66" i="2"/>
  <c r="K66" i="2"/>
  <c r="V65" i="2"/>
  <c r="T65" i="2"/>
  <c r="Q65" i="2"/>
  <c r="L65" i="2"/>
  <c r="K65" i="2"/>
  <c r="V64" i="2"/>
  <c r="T64" i="2"/>
  <c r="Q64" i="2"/>
  <c r="L64" i="2"/>
  <c r="K64" i="2"/>
  <c r="V63" i="2"/>
  <c r="Q63" i="2"/>
  <c r="L63" i="2"/>
  <c r="K63" i="2"/>
  <c r="T63" i="2" s="1"/>
  <c r="V62" i="2"/>
  <c r="Q62" i="2"/>
  <c r="T62" i="2" s="1"/>
  <c r="L62" i="2"/>
  <c r="K62" i="2"/>
  <c r="V61" i="2"/>
  <c r="T61" i="2"/>
  <c r="Q61" i="2"/>
  <c r="L61" i="2"/>
  <c r="K61" i="2"/>
  <c r="V60" i="2"/>
  <c r="Q60" i="2"/>
  <c r="K60" i="2"/>
  <c r="T60" i="2" s="1"/>
  <c r="V59" i="2"/>
  <c r="T59" i="2"/>
  <c r="Q59" i="2"/>
  <c r="L59" i="2"/>
  <c r="K59" i="2"/>
  <c r="V58" i="2"/>
  <c r="Q58" i="2"/>
  <c r="K58" i="2"/>
  <c r="T58" i="2" s="1"/>
  <c r="Q57" i="2"/>
  <c r="T57" i="2" s="1"/>
  <c r="L57" i="2"/>
  <c r="V57" i="2" s="1"/>
  <c r="V70" i="2" s="1"/>
  <c r="K57" i="2"/>
  <c r="S53" i="2"/>
  <c r="R53" i="2"/>
  <c r="O53" i="2"/>
  <c r="N53" i="2"/>
  <c r="M53" i="2"/>
  <c r="J53" i="2"/>
  <c r="I53" i="2"/>
  <c r="G53" i="2"/>
  <c r="F53" i="2"/>
  <c r="E53" i="2"/>
  <c r="Q53" i="2" s="1"/>
  <c r="V52" i="2"/>
  <c r="Q52" i="2"/>
  <c r="K52" i="2"/>
  <c r="T52" i="2" s="1"/>
  <c r="V51" i="2"/>
  <c r="Q51" i="2"/>
  <c r="T51" i="2" s="1"/>
  <c r="K51" i="2"/>
  <c r="V50" i="2"/>
  <c r="Q50" i="2"/>
  <c r="K50" i="2"/>
  <c r="T50" i="2" s="1"/>
  <c r="V49" i="2"/>
  <c r="Q49" i="2"/>
  <c r="L49" i="2"/>
  <c r="K49" i="2"/>
  <c r="T49" i="2" s="1"/>
  <c r="V48" i="2"/>
  <c r="Q48" i="2"/>
  <c r="T48" i="2" s="1"/>
  <c r="L48" i="2"/>
  <c r="K48" i="2"/>
  <c r="V47" i="2"/>
  <c r="T47" i="2"/>
  <c r="Q47" i="2"/>
  <c r="L47" i="2"/>
  <c r="K47" i="2"/>
  <c r="V46" i="2"/>
  <c r="Q46" i="2"/>
  <c r="L46" i="2"/>
  <c r="K46" i="2"/>
  <c r="T46" i="2" s="1"/>
  <c r="V45" i="2"/>
  <c r="Q45" i="2"/>
  <c r="L45" i="2"/>
  <c r="K45" i="2"/>
  <c r="T45" i="2" s="1"/>
  <c r="Q44" i="2"/>
  <c r="L44" i="2"/>
  <c r="K44" i="2"/>
  <c r="V43" i="2"/>
  <c r="Q43" i="2"/>
  <c r="K43" i="2"/>
  <c r="T43" i="2" s="1"/>
  <c r="Q42" i="2"/>
  <c r="K42" i="2"/>
  <c r="V41" i="2"/>
  <c r="T41" i="2"/>
  <c r="Q41" i="2"/>
  <c r="L41" i="2"/>
  <c r="K41" i="2"/>
  <c r="V40" i="2"/>
  <c r="Q40" i="2"/>
  <c r="K40" i="2"/>
  <c r="T40" i="2" s="1"/>
  <c r="V39" i="2"/>
  <c r="Q39" i="2"/>
  <c r="K39" i="2"/>
  <c r="T39" i="2" s="1"/>
  <c r="V38" i="2"/>
  <c r="V53" i="2" s="1"/>
  <c r="T38" i="2"/>
  <c r="Q38" i="2"/>
  <c r="L38" i="2"/>
  <c r="L53" i="2" s="1"/>
  <c r="K38" i="2"/>
  <c r="K53" i="2" s="1"/>
  <c r="V34" i="2"/>
  <c r="S34" i="2"/>
  <c r="Q34" i="2"/>
  <c r="O34" i="2"/>
  <c r="N34" i="2"/>
  <c r="M34" i="2"/>
  <c r="J34" i="2"/>
  <c r="I34" i="2"/>
  <c r="G34" i="2"/>
  <c r="F34" i="2"/>
  <c r="E34" i="2"/>
  <c r="D34" i="2"/>
  <c r="V33" i="2"/>
  <c r="Q33" i="2"/>
  <c r="K33" i="2"/>
  <c r="T33" i="2" s="1"/>
  <c r="V32" i="2"/>
  <c r="Q32" i="2"/>
  <c r="K32" i="2"/>
  <c r="T32" i="2" s="1"/>
  <c r="V31" i="2"/>
  <c r="Q31" i="2"/>
  <c r="K31" i="2"/>
  <c r="T31" i="2" s="1"/>
  <c r="V30" i="2"/>
  <c r="T30" i="2"/>
  <c r="Q30" i="2"/>
  <c r="L30" i="2"/>
  <c r="K30" i="2"/>
  <c r="T29" i="2"/>
  <c r="Q29" i="2"/>
  <c r="L29" i="2"/>
  <c r="V29" i="2" s="1"/>
  <c r="K29" i="2"/>
  <c r="T28" i="2"/>
  <c r="Q28" i="2"/>
  <c r="L28" i="2"/>
  <c r="K28" i="2"/>
  <c r="V27" i="2"/>
  <c r="T27" i="2"/>
  <c r="Q27" i="2"/>
  <c r="L27" i="2"/>
  <c r="K27" i="2"/>
  <c r="V26" i="2"/>
  <c r="Q26" i="2"/>
  <c r="L26" i="2"/>
  <c r="K26" i="2"/>
  <c r="V25" i="2"/>
  <c r="T25" i="2"/>
  <c r="Q25" i="2"/>
  <c r="L25" i="2"/>
  <c r="K25" i="2"/>
  <c r="V24" i="2"/>
  <c r="Q24" i="2"/>
  <c r="K24" i="2"/>
  <c r="T24" i="2" s="1"/>
  <c r="V23" i="2"/>
  <c r="Q23" i="2"/>
  <c r="K23" i="2"/>
  <c r="T23" i="2" s="1"/>
  <c r="T22" i="2"/>
  <c r="Q22" i="2"/>
  <c r="L22" i="2"/>
  <c r="V22" i="2" s="1"/>
  <c r="K22" i="2"/>
  <c r="V21" i="2"/>
  <c r="Q21" i="2"/>
  <c r="T21" i="2" s="1"/>
  <c r="K21" i="2"/>
  <c r="V20" i="2"/>
  <c r="Q20" i="2"/>
  <c r="T20" i="2" s="1"/>
  <c r="K20" i="2"/>
  <c r="T19" i="2"/>
  <c r="T34" i="2" s="1"/>
  <c r="Q19" i="2"/>
  <c r="L19" i="2"/>
  <c r="V19" i="2" s="1"/>
  <c r="K19" i="2"/>
  <c r="K34" i="2" s="1"/>
  <c r="O15" i="2"/>
  <c r="N15" i="2"/>
  <c r="M15" i="2"/>
  <c r="I15" i="2"/>
  <c r="G15" i="2"/>
  <c r="F15" i="2"/>
  <c r="E15" i="2"/>
  <c r="Q15" i="2" s="1"/>
  <c r="V14" i="2"/>
  <c r="T14" i="2"/>
  <c r="Q14" i="2"/>
  <c r="L14" i="2"/>
  <c r="K14" i="2"/>
  <c r="V13" i="2"/>
  <c r="T13" i="2"/>
  <c r="Q13" i="2"/>
  <c r="L13" i="2"/>
  <c r="K13" i="2"/>
  <c r="V12" i="2"/>
  <c r="T12" i="2"/>
  <c r="Q12" i="2"/>
  <c r="L12" i="2"/>
  <c r="K12" i="2"/>
  <c r="T11" i="2"/>
  <c r="Q11" i="2"/>
  <c r="L11" i="2"/>
  <c r="K11" i="2"/>
  <c r="V10" i="2"/>
  <c r="T10" i="2"/>
  <c r="Q10" i="2"/>
  <c r="L10" i="2"/>
  <c r="K10" i="2"/>
  <c r="V9" i="2"/>
  <c r="T9" i="2"/>
  <c r="Q9" i="2"/>
  <c r="L9" i="2"/>
  <c r="K9" i="2"/>
  <c r="V8" i="2"/>
  <c r="Q8" i="2"/>
  <c r="K8" i="2"/>
  <c r="T8" i="2" s="1"/>
  <c r="V7" i="2"/>
  <c r="Q7" i="2"/>
  <c r="K7" i="2"/>
  <c r="T7" i="2" s="1"/>
  <c r="V6" i="2"/>
  <c r="T6" i="2"/>
  <c r="Q6" i="2"/>
  <c r="L6" i="2"/>
  <c r="K6" i="2"/>
  <c r="T5" i="2"/>
  <c r="Q5" i="2"/>
  <c r="K5" i="2"/>
  <c r="T4" i="2"/>
  <c r="Q4" i="2"/>
  <c r="K4" i="2"/>
  <c r="V3" i="2"/>
  <c r="V15" i="2" s="1"/>
  <c r="T3" i="2"/>
  <c r="Q3" i="2"/>
  <c r="L3" i="2"/>
  <c r="L15" i="2" s="1"/>
  <c r="K3" i="2"/>
  <c r="K15" i="2" s="1"/>
  <c r="S86" i="1"/>
  <c r="R86" i="1"/>
  <c r="Q86" i="1"/>
  <c r="O86" i="1"/>
  <c r="N86" i="1"/>
  <c r="M86" i="1"/>
  <c r="J86" i="1"/>
  <c r="I86" i="1"/>
  <c r="G86" i="1"/>
  <c r="F86" i="1"/>
  <c r="E86" i="1"/>
  <c r="V85" i="1"/>
  <c r="T85" i="1"/>
  <c r="Q85" i="1"/>
  <c r="L85" i="1"/>
  <c r="K85" i="1"/>
  <c r="V84" i="1"/>
  <c r="T84" i="1"/>
  <c r="Q84" i="1"/>
  <c r="L84" i="1"/>
  <c r="K84" i="1"/>
  <c r="V83" i="1"/>
  <c r="T83" i="1"/>
  <c r="Q83" i="1"/>
  <c r="L83" i="1"/>
  <c r="K83" i="1"/>
  <c r="V82" i="1"/>
  <c r="T82" i="1"/>
  <c r="Q82" i="1"/>
  <c r="L82" i="1"/>
  <c r="K82" i="1"/>
  <c r="V81" i="1"/>
  <c r="T81" i="1"/>
  <c r="Q81" i="1"/>
  <c r="L81" i="1"/>
  <c r="K81" i="1"/>
  <c r="V80" i="1"/>
  <c r="V86" i="1" s="1"/>
  <c r="T80" i="1"/>
  <c r="Q80" i="1"/>
  <c r="L80" i="1"/>
  <c r="K80" i="1"/>
  <c r="V79" i="1"/>
  <c r="T79" i="1"/>
  <c r="Q79" i="1"/>
  <c r="L79" i="1"/>
  <c r="L86" i="1" s="1"/>
  <c r="K79" i="1"/>
  <c r="V78" i="1"/>
  <c r="T78" i="1"/>
  <c r="Q78" i="1"/>
  <c r="L78" i="1"/>
  <c r="K78" i="1"/>
  <c r="V77" i="1"/>
  <c r="T77" i="1"/>
  <c r="Q77" i="1"/>
  <c r="L77" i="1"/>
  <c r="K77" i="1"/>
  <c r="T76" i="1"/>
  <c r="Q76" i="1"/>
  <c r="K76" i="1"/>
  <c r="Q75" i="1"/>
  <c r="T75" i="1" s="1"/>
  <c r="K75" i="1"/>
  <c r="V74" i="1"/>
  <c r="T74" i="1"/>
  <c r="T86" i="1" s="1"/>
  <c r="Q74" i="1"/>
  <c r="L74" i="1"/>
  <c r="K74" i="1"/>
  <c r="K86" i="1" s="1"/>
  <c r="S68" i="1"/>
  <c r="R68" i="1"/>
  <c r="Q68" i="1"/>
  <c r="O68" i="1"/>
  <c r="N68" i="1"/>
  <c r="M68" i="1"/>
  <c r="L68" i="1"/>
  <c r="K68" i="1"/>
  <c r="J68" i="1"/>
  <c r="I68" i="1"/>
  <c r="G68" i="1"/>
  <c r="F68" i="1"/>
  <c r="E68" i="1"/>
  <c r="D68" i="1"/>
  <c r="V67" i="1"/>
  <c r="T67" i="1"/>
  <c r="Q67" i="1"/>
  <c r="K67" i="1"/>
  <c r="V66" i="1"/>
  <c r="T66" i="1"/>
  <c r="Q66" i="1"/>
  <c r="L66" i="1"/>
  <c r="K66" i="1"/>
  <c r="V65" i="1"/>
  <c r="Q65" i="1"/>
  <c r="L65" i="1"/>
  <c r="T65" i="1" s="1"/>
  <c r="K65" i="1"/>
  <c r="V64" i="1"/>
  <c r="Q64" i="1"/>
  <c r="L64" i="1"/>
  <c r="T64" i="1" s="1"/>
  <c r="K64" i="1"/>
  <c r="V63" i="1"/>
  <c r="T63" i="1"/>
  <c r="Q63" i="1"/>
  <c r="L63" i="1"/>
  <c r="K63" i="1"/>
  <c r="V62" i="1"/>
  <c r="T62" i="1"/>
  <c r="Q62" i="1"/>
  <c r="L62" i="1"/>
  <c r="K62" i="1"/>
  <c r="V61" i="1"/>
  <c r="Q61" i="1"/>
  <c r="L61" i="1"/>
  <c r="T61" i="1" s="1"/>
  <c r="K61" i="1"/>
  <c r="V60" i="1"/>
  <c r="Q60" i="1"/>
  <c r="L60" i="1"/>
  <c r="T60" i="1" s="1"/>
  <c r="K60" i="1"/>
  <c r="T59" i="1"/>
  <c r="Q59" i="1"/>
  <c r="L59" i="1"/>
  <c r="V59" i="1" s="1"/>
  <c r="K59" i="1"/>
  <c r="Q58" i="1"/>
  <c r="K58" i="1"/>
  <c r="Q57" i="1"/>
  <c r="K57" i="1"/>
  <c r="V56" i="1"/>
  <c r="V68" i="1" s="1"/>
  <c r="T56" i="1"/>
  <c r="T68" i="1" s="1"/>
  <c r="Q56" i="1"/>
  <c r="L56" i="1"/>
  <c r="K56" i="1"/>
  <c r="Q33" i="1"/>
  <c r="M33" i="1"/>
  <c r="L33" i="1"/>
  <c r="K33" i="1"/>
  <c r="F33" i="1"/>
  <c r="C33" i="1"/>
  <c r="E32" i="1"/>
  <c r="O32" i="1" s="1"/>
  <c r="G31" i="1"/>
  <c r="O31" i="1" s="1"/>
  <c r="E31" i="1"/>
  <c r="G30" i="1"/>
  <c r="E30" i="1"/>
  <c r="O30" i="1" s="1"/>
  <c r="G29" i="1"/>
  <c r="O29" i="1" s="1"/>
  <c r="E29" i="1"/>
  <c r="O28" i="1"/>
  <c r="G28" i="1"/>
  <c r="E28" i="1"/>
  <c r="O27" i="1"/>
  <c r="O26" i="1"/>
  <c r="G25" i="1"/>
  <c r="O25" i="1" s="1"/>
  <c r="E25" i="1"/>
  <c r="E24" i="1"/>
  <c r="G23" i="1"/>
  <c r="O23" i="1" s="1"/>
  <c r="E23" i="1"/>
  <c r="O22" i="1"/>
  <c r="G22" i="1"/>
  <c r="G33" i="1" s="1"/>
  <c r="E22" i="1"/>
  <c r="E33" i="1" s="1"/>
  <c r="T36" i="3" l="1"/>
  <c r="T15" i="2"/>
  <c r="T53" i="2"/>
  <c r="V76" i="3"/>
  <c r="T96" i="3"/>
  <c r="O33" i="1"/>
  <c r="T70" i="2"/>
  <c r="V17" i="3"/>
  <c r="T17" i="3"/>
  <c r="T56" i="3"/>
  <c r="K70" i="2"/>
  <c r="K17" i="3"/>
  <c r="K96" i="3"/>
  <c r="L39" i="4"/>
  <c r="V61" i="4"/>
  <c r="T69" i="5"/>
  <c r="K85" i="5"/>
  <c r="N37" i="7"/>
  <c r="N48" i="7" s="1"/>
  <c r="V37" i="7"/>
  <c r="K37" i="7"/>
  <c r="Y63" i="11"/>
  <c r="L70" i="2"/>
  <c r="L17" i="3"/>
  <c r="L56" i="3"/>
  <c r="V84" i="4"/>
  <c r="J107" i="4"/>
  <c r="V89" i="4"/>
  <c r="V90" i="4"/>
  <c r="N90" i="4"/>
  <c r="T90" i="4" s="1"/>
  <c r="Q92" i="4"/>
  <c r="N94" i="4"/>
  <c r="N107" i="4" s="1"/>
  <c r="K95" i="4"/>
  <c r="V95" i="4"/>
  <c r="T95" i="4" s="1"/>
  <c r="V96" i="4"/>
  <c r="Q100" i="4"/>
  <c r="N102" i="4"/>
  <c r="N22" i="5"/>
  <c r="N44" i="5"/>
  <c r="V89" i="5"/>
  <c r="N89" i="5"/>
  <c r="K89" i="5"/>
  <c r="V97" i="5"/>
  <c r="N97" i="5"/>
  <c r="K97" i="5"/>
  <c r="V101" i="5"/>
  <c r="N101" i="5"/>
  <c r="K103" i="5"/>
  <c r="V105" i="5"/>
  <c r="N105" i="5"/>
  <c r="E106" i="5"/>
  <c r="Q20" i="6"/>
  <c r="N20" i="6"/>
  <c r="Q66" i="6"/>
  <c r="N82" i="6"/>
  <c r="V82" i="6"/>
  <c r="K82" i="6"/>
  <c r="T93" i="6"/>
  <c r="T109" i="6" s="1"/>
  <c r="K109" i="6"/>
  <c r="N109" i="6"/>
  <c r="N15" i="7"/>
  <c r="T4" i="7"/>
  <c r="M31" i="8"/>
  <c r="M35" i="8"/>
  <c r="M39" i="8"/>
  <c r="M43" i="8"/>
  <c r="M47" i="8"/>
  <c r="Y5" i="9"/>
  <c r="Y23" i="9" s="1"/>
  <c r="Y21" i="9"/>
  <c r="T23" i="9"/>
  <c r="Y34" i="9"/>
  <c r="Z54" i="9"/>
  <c r="Y72" i="9"/>
  <c r="AD118" i="9"/>
  <c r="AC97" i="9"/>
  <c r="Y29" i="10"/>
  <c r="AC19" i="10"/>
  <c r="AC33" i="10"/>
  <c r="AD60" i="10"/>
  <c r="AC36" i="10"/>
  <c r="Y60" i="10"/>
  <c r="AC70" i="10"/>
  <c r="AC92" i="10" s="1"/>
  <c r="AC111" i="10"/>
  <c r="AC116" i="10"/>
  <c r="AC10" i="11"/>
  <c r="AC17" i="11"/>
  <c r="Y31" i="11"/>
  <c r="L63" i="11"/>
  <c r="AC41" i="11"/>
  <c r="AC50" i="11"/>
  <c r="T94" i="11"/>
  <c r="AC70" i="11"/>
  <c r="AC77" i="11"/>
  <c r="AE108" i="11"/>
  <c r="H108" i="11"/>
  <c r="AD3" i="12"/>
  <c r="N29" i="12"/>
  <c r="W59" i="12"/>
  <c r="AD33" i="12"/>
  <c r="I106" i="5"/>
  <c r="V91" i="5"/>
  <c r="N91" i="5"/>
  <c r="K91" i="5"/>
  <c r="T91" i="5" s="1"/>
  <c r="V99" i="5"/>
  <c r="N99" i="5"/>
  <c r="K99" i="5"/>
  <c r="N77" i="6"/>
  <c r="T77" i="6" s="1"/>
  <c r="V77" i="6"/>
  <c r="K77" i="6"/>
  <c r="Y118" i="9"/>
  <c r="AC92" i="9"/>
  <c r="Y92" i="10"/>
  <c r="AD108" i="11"/>
  <c r="V28" i="2"/>
  <c r="V23" i="3"/>
  <c r="V36" i="3" s="1"/>
  <c r="T41" i="3"/>
  <c r="K76" i="3"/>
  <c r="T68" i="3"/>
  <c r="K18" i="4"/>
  <c r="T6" i="4"/>
  <c r="T18" i="4" s="1"/>
  <c r="T22" i="4"/>
  <c r="T39" i="4" s="1"/>
  <c r="L61" i="4"/>
  <c r="V45" i="4"/>
  <c r="K90" i="4"/>
  <c r="K107" i="4" s="1"/>
  <c r="T91" i="4"/>
  <c r="T94" i="4"/>
  <c r="Q94" i="4"/>
  <c r="N96" i="4"/>
  <c r="K97" i="4"/>
  <c r="V97" i="4"/>
  <c r="T97" i="4" s="1"/>
  <c r="V98" i="4"/>
  <c r="T99" i="4"/>
  <c r="V102" i="4"/>
  <c r="Q102" i="4"/>
  <c r="Q103" i="4"/>
  <c r="T103" i="4" s="1"/>
  <c r="T104" i="4"/>
  <c r="T3" i="5"/>
  <c r="T4" i="5"/>
  <c r="T16" i="5"/>
  <c r="T38" i="5"/>
  <c r="K44" i="5"/>
  <c r="N65" i="5"/>
  <c r="T59" i="5"/>
  <c r="K65" i="5"/>
  <c r="Q85" i="5"/>
  <c r="T73" i="5"/>
  <c r="T81" i="5"/>
  <c r="D106" i="5"/>
  <c r="T92" i="5"/>
  <c r="V95" i="5"/>
  <c r="N95" i="5"/>
  <c r="K95" i="5"/>
  <c r="T95" i="5" s="1"/>
  <c r="T99" i="5"/>
  <c r="K101" i="5"/>
  <c r="T101" i="5" s="1"/>
  <c r="Q102" i="5"/>
  <c r="T102" i="5" s="1"/>
  <c r="T104" i="5"/>
  <c r="K105" i="5"/>
  <c r="T3" i="6"/>
  <c r="T9" i="6"/>
  <c r="K20" i="6"/>
  <c r="V43" i="6"/>
  <c r="Q43" i="6"/>
  <c r="T27" i="6"/>
  <c r="T43" i="6" s="1"/>
  <c r="T35" i="6"/>
  <c r="K43" i="6"/>
  <c r="V66" i="6"/>
  <c r="N71" i="6"/>
  <c r="N89" i="6" s="1"/>
  <c r="V71" i="6"/>
  <c r="K71" i="6"/>
  <c r="N75" i="6"/>
  <c r="V75" i="6"/>
  <c r="K75" i="6"/>
  <c r="N79" i="6"/>
  <c r="V79" i="6"/>
  <c r="K79" i="6"/>
  <c r="Q89" i="6"/>
  <c r="T15" i="7"/>
  <c r="Q15" i="7"/>
  <c r="N30" i="7"/>
  <c r="K30" i="7"/>
  <c r="T37" i="7"/>
  <c r="M30" i="8"/>
  <c r="M34" i="8"/>
  <c r="M38" i="8"/>
  <c r="M42" i="8"/>
  <c r="M46" i="8"/>
  <c r="S101" i="8"/>
  <c r="M81" i="8"/>
  <c r="M101" i="8" s="1"/>
  <c r="L23" i="9"/>
  <c r="Z23" i="9"/>
  <c r="Y9" i="9"/>
  <c r="Y38" i="9"/>
  <c r="Y60" i="9"/>
  <c r="Y64" i="9"/>
  <c r="Y68" i="9"/>
  <c r="Y77" i="9"/>
  <c r="L118" i="9"/>
  <c r="AC101" i="9"/>
  <c r="AD29" i="10"/>
  <c r="AC7" i="10"/>
  <c r="L60" i="10"/>
  <c r="AC40" i="10"/>
  <c r="L92" i="10"/>
  <c r="AC74" i="10"/>
  <c r="AC99" i="10"/>
  <c r="AC115" i="10"/>
  <c r="AC5" i="11"/>
  <c r="AC31" i="11" s="1"/>
  <c r="AC14" i="11"/>
  <c r="AC21" i="11"/>
  <c r="AC38" i="11"/>
  <c r="AC63" i="11" s="1"/>
  <c r="AC45" i="11"/>
  <c r="AC54" i="11"/>
  <c r="Y94" i="11"/>
  <c r="AC74" i="11"/>
  <c r="AC81" i="11"/>
  <c r="AD101" i="11"/>
  <c r="AE105" i="11"/>
  <c r="AD105" i="11" s="1"/>
  <c r="H105" i="11"/>
  <c r="L34" i="2"/>
  <c r="L76" i="3"/>
  <c r="V94" i="4"/>
  <c r="T98" i="4"/>
  <c r="J106" i="5"/>
  <c r="N66" i="6"/>
  <c r="N73" i="6"/>
  <c r="V73" i="6"/>
  <c r="K73" i="6"/>
  <c r="T73" i="6" s="1"/>
  <c r="Q30" i="7"/>
  <c r="T21" i="7"/>
  <c r="T30" i="7" s="1"/>
  <c r="T54" i="9"/>
  <c r="Y29" i="9"/>
  <c r="AC6" i="11"/>
  <c r="L31" i="11"/>
  <c r="W89" i="12"/>
  <c r="T67" i="3"/>
  <c r="T76" i="3" s="1"/>
  <c r="L18" i="4"/>
  <c r="T46" i="4"/>
  <c r="T61" i="4" s="1"/>
  <c r="T65" i="4"/>
  <c r="T84" i="4" s="1"/>
  <c r="L84" i="4"/>
  <c r="K84" i="4"/>
  <c r="E107" i="4"/>
  <c r="Q88" i="4"/>
  <c r="T88" i="4" s="1"/>
  <c r="V88" i="4"/>
  <c r="V92" i="4"/>
  <c r="T92" i="4" s="1"/>
  <c r="T93" i="4"/>
  <c r="Q96" i="4"/>
  <c r="T96" i="4" s="1"/>
  <c r="V100" i="4"/>
  <c r="T100" i="4" s="1"/>
  <c r="T101" i="4"/>
  <c r="V104" i="4"/>
  <c r="V105" i="4"/>
  <c r="N105" i="4"/>
  <c r="T105" i="4"/>
  <c r="T12" i="5"/>
  <c r="T34" i="5"/>
  <c r="T44" i="5" s="1"/>
  <c r="T56" i="5"/>
  <c r="T65" i="5" s="1"/>
  <c r="T64" i="5"/>
  <c r="V85" i="5"/>
  <c r="T72" i="5"/>
  <c r="T80" i="5"/>
  <c r="R106" i="5"/>
  <c r="T90" i="5"/>
  <c r="V93" i="5"/>
  <c r="N93" i="5"/>
  <c r="T93" i="5"/>
  <c r="K93" i="5"/>
  <c r="T97" i="5"/>
  <c r="T98" i="5"/>
  <c r="T100" i="5"/>
  <c r="Q100" i="5"/>
  <c r="Q106" i="5" s="1"/>
  <c r="V20" i="6"/>
  <c r="T8" i="6"/>
  <c r="T16" i="6"/>
  <c r="T32" i="6"/>
  <c r="T41" i="6"/>
  <c r="T47" i="6"/>
  <c r="T66" i="6" s="1"/>
  <c r="K66" i="6"/>
  <c r="T82" i="6"/>
  <c r="Q109" i="6"/>
  <c r="Q48" i="7"/>
  <c r="N40" i="7"/>
  <c r="V40" i="7"/>
  <c r="V48" i="7" s="1"/>
  <c r="K40" i="7"/>
  <c r="T40" i="7" s="1"/>
  <c r="N46" i="7"/>
  <c r="V46" i="7"/>
  <c r="K46" i="7"/>
  <c r="J48" i="7"/>
  <c r="M29" i="8"/>
  <c r="M33" i="8"/>
  <c r="M37" i="8"/>
  <c r="M41" i="8"/>
  <c r="M45" i="8"/>
  <c r="Y10" i="9"/>
  <c r="Y13" i="9"/>
  <c r="O54" i="9"/>
  <c r="Y39" i="9"/>
  <c r="Y42" i="9"/>
  <c r="Y61" i="9"/>
  <c r="Z86" i="9"/>
  <c r="Y70" i="9"/>
  <c r="Y74" i="9"/>
  <c r="T118" i="9"/>
  <c r="AC102" i="9"/>
  <c r="AC105" i="9"/>
  <c r="L29" i="10"/>
  <c r="AC8" i="10"/>
  <c r="AC11" i="10"/>
  <c r="AC41" i="10"/>
  <c r="AC44" i="10"/>
  <c r="AC52" i="10"/>
  <c r="AC75" i="10"/>
  <c r="AC78" i="10"/>
  <c r="AD92" i="10"/>
  <c r="AC100" i="10"/>
  <c r="AC125" i="10" s="1"/>
  <c r="AC103" i="10"/>
  <c r="Y125" i="10"/>
  <c r="AC9" i="11"/>
  <c r="AC18" i="11"/>
  <c r="AC42" i="11"/>
  <c r="AC49" i="11"/>
  <c r="AC69" i="11"/>
  <c r="AC94" i="11" s="1"/>
  <c r="AC78" i="11"/>
  <c r="AD98" i="11"/>
  <c r="W124" i="11"/>
  <c r="AD103" i="11"/>
  <c r="H20" i="12"/>
  <c r="H29" i="12" s="1"/>
  <c r="AA20" i="12"/>
  <c r="AD81" i="12"/>
  <c r="N150" i="12"/>
  <c r="AD123" i="12"/>
  <c r="AE6" i="13"/>
  <c r="AE29" i="13" s="1"/>
  <c r="H6" i="13"/>
  <c r="AE50" i="13"/>
  <c r="H50" i="13"/>
  <c r="H43" i="14"/>
  <c r="AB43" i="14"/>
  <c r="AF48" i="14"/>
  <c r="H48" i="14"/>
  <c r="AB48" i="14"/>
  <c r="N86" i="14"/>
  <c r="H70" i="14"/>
  <c r="AB70" i="14"/>
  <c r="AF75" i="15"/>
  <c r="H75" i="15"/>
  <c r="AB75" i="15"/>
  <c r="L125" i="10"/>
  <c r="N124" i="11"/>
  <c r="AA104" i="11"/>
  <c r="AD104" i="11" s="1"/>
  <c r="AE111" i="11"/>
  <c r="AE116" i="11"/>
  <c r="AD116" i="11" s="1"/>
  <c r="W29" i="12"/>
  <c r="AD12" i="12"/>
  <c r="AE16" i="12"/>
  <c r="AD20" i="12"/>
  <c r="AD39" i="12"/>
  <c r="AD45" i="12"/>
  <c r="AD49" i="12"/>
  <c r="AD65" i="12"/>
  <c r="AD89" i="12" s="1"/>
  <c r="AD70" i="12"/>
  <c r="W150" i="12"/>
  <c r="N29" i="13"/>
  <c r="AE12" i="13"/>
  <c r="AA12" i="13"/>
  <c r="H12" i="13"/>
  <c r="AE13" i="13"/>
  <c r="H13" i="13"/>
  <c r="AD24" i="13"/>
  <c r="AD26" i="13"/>
  <c r="AD28" i="13"/>
  <c r="E59" i="13"/>
  <c r="AD57" i="13"/>
  <c r="AE73" i="13"/>
  <c r="H73" i="13"/>
  <c r="AA84" i="13"/>
  <c r="AD84" i="13" s="1"/>
  <c r="H84" i="13"/>
  <c r="N118" i="13"/>
  <c r="E118" i="13"/>
  <c r="AE94" i="13"/>
  <c r="H94" i="13"/>
  <c r="AE96" i="13"/>
  <c r="H96" i="13"/>
  <c r="AE98" i="13"/>
  <c r="H98" i="13"/>
  <c r="AE10" i="14"/>
  <c r="H10" i="14"/>
  <c r="AF64" i="14"/>
  <c r="H64" i="14"/>
  <c r="AB64" i="14"/>
  <c r="H126" i="14"/>
  <c r="AB126" i="14"/>
  <c r="AE126" i="14" s="1"/>
  <c r="AF15" i="15"/>
  <c r="H15" i="15"/>
  <c r="AB15" i="15"/>
  <c r="AE15" i="15" s="1"/>
  <c r="T72" i="6"/>
  <c r="T85" i="6"/>
  <c r="K87" i="6"/>
  <c r="T87" i="6" s="1"/>
  <c r="V87" i="6"/>
  <c r="J89" i="6"/>
  <c r="K44" i="7"/>
  <c r="T44" i="7" s="1"/>
  <c r="V44" i="7"/>
  <c r="AC3" i="10"/>
  <c r="AC29" i="10" s="1"/>
  <c r="AA99" i="11"/>
  <c r="AD99" i="11" s="1"/>
  <c r="H104" i="11"/>
  <c r="AE106" i="11"/>
  <c r="AD106" i="11" s="1"/>
  <c r="AE109" i="11"/>
  <c r="AD111" i="11"/>
  <c r="AD5" i="12"/>
  <c r="AD8" i="12"/>
  <c r="AD16" i="12"/>
  <c r="AD22" i="12"/>
  <c r="AD35" i="12"/>
  <c r="AD40" i="12"/>
  <c r="AD50" i="12"/>
  <c r="N89" i="12"/>
  <c r="AE89" i="12"/>
  <c r="AD66" i="12"/>
  <c r="AD72" i="12"/>
  <c r="AD82" i="12"/>
  <c r="AE119" i="12"/>
  <c r="W119" i="12"/>
  <c r="AA150" i="12"/>
  <c r="W29" i="13"/>
  <c r="AD12" i="13"/>
  <c r="AE17" i="13"/>
  <c r="H17" i="13"/>
  <c r="W59" i="13"/>
  <c r="AE38" i="13"/>
  <c r="AE59" i="13" s="1"/>
  <c r="H38" i="13"/>
  <c r="H59" i="13" s="1"/>
  <c r="AE40" i="13"/>
  <c r="H40" i="13"/>
  <c r="E89" i="13"/>
  <c r="AE64" i="13"/>
  <c r="AE89" i="13" s="1"/>
  <c r="H64" i="13"/>
  <c r="AE66" i="13"/>
  <c r="H66" i="13"/>
  <c r="AE77" i="13"/>
  <c r="H77" i="13"/>
  <c r="AD80" i="13"/>
  <c r="W118" i="13"/>
  <c r="AE102" i="13"/>
  <c r="H102" i="13"/>
  <c r="AE104" i="13"/>
  <c r="H104" i="13"/>
  <c r="AE112" i="13"/>
  <c r="H112" i="13"/>
  <c r="AE4" i="14"/>
  <c r="H4" i="14"/>
  <c r="AA7" i="14"/>
  <c r="AD7" i="14" s="1"/>
  <c r="AE7" i="14"/>
  <c r="AE28" i="14" s="1"/>
  <c r="AD26" i="14"/>
  <c r="AF106" i="14"/>
  <c r="H106" i="14"/>
  <c r="AB106" i="14"/>
  <c r="AE120" i="14"/>
  <c r="K70" i="6"/>
  <c r="T70" i="6" s="1"/>
  <c r="K72" i="6"/>
  <c r="K74" i="6"/>
  <c r="T74" i="6" s="1"/>
  <c r="K76" i="6"/>
  <c r="T76" i="6" s="1"/>
  <c r="K78" i="6"/>
  <c r="T78" i="6" s="1"/>
  <c r="K85" i="6"/>
  <c r="K36" i="7"/>
  <c r="K48" i="7" s="1"/>
  <c r="K42" i="7"/>
  <c r="T42" i="7" s="1"/>
  <c r="H99" i="11"/>
  <c r="H124" i="11" s="1"/>
  <c r="AE107" i="11"/>
  <c r="AD107" i="11" s="1"/>
  <c r="AD109" i="11"/>
  <c r="AA113" i="11"/>
  <c r="AD113" i="11" s="1"/>
  <c r="AE113" i="11"/>
  <c r="AE114" i="11"/>
  <c r="AD114" i="11" s="1"/>
  <c r="AD117" i="11"/>
  <c r="AE10" i="12"/>
  <c r="AD10" i="12" s="1"/>
  <c r="AE14" i="12"/>
  <c r="AD14" i="12" s="1"/>
  <c r="AD18" i="12"/>
  <c r="N59" i="12"/>
  <c r="AE59" i="12"/>
  <c r="AD36" i="12"/>
  <c r="AD42" i="12"/>
  <c r="AD52" i="12"/>
  <c r="H89" i="12"/>
  <c r="AD68" i="12"/>
  <c r="AD73" i="12"/>
  <c r="N119" i="12"/>
  <c r="AD93" i="12"/>
  <c r="H119" i="12"/>
  <c r="AD116" i="12"/>
  <c r="AE150" i="12"/>
  <c r="AD125" i="12"/>
  <c r="AD128" i="12"/>
  <c r="AD135" i="12"/>
  <c r="AD3" i="13"/>
  <c r="AA6" i="13"/>
  <c r="AD6" i="13" s="1"/>
  <c r="AE21" i="13"/>
  <c r="H21" i="13"/>
  <c r="AA25" i="13"/>
  <c r="AD25" i="13" s="1"/>
  <c r="H25" i="13"/>
  <c r="AA27" i="13"/>
  <c r="AD27" i="13" s="1"/>
  <c r="H27" i="13"/>
  <c r="AD33" i="13"/>
  <c r="AE44" i="13"/>
  <c r="H44" i="13"/>
  <c r="AE46" i="13"/>
  <c r="H46" i="13"/>
  <c r="AD49" i="13"/>
  <c r="AA50" i="13"/>
  <c r="AD50" i="13" s="1"/>
  <c r="N59" i="13"/>
  <c r="W89" i="13"/>
  <c r="AD71" i="13"/>
  <c r="AE81" i="13"/>
  <c r="H81" i="13"/>
  <c r="AD108" i="13"/>
  <c r="AF51" i="14"/>
  <c r="AE51" i="14"/>
  <c r="X57" i="14"/>
  <c r="AF103" i="14"/>
  <c r="H103" i="14"/>
  <c r="H115" i="14" s="1"/>
  <c r="AB103" i="14"/>
  <c r="H7" i="15"/>
  <c r="AB7" i="15"/>
  <c r="AE7" i="15" s="1"/>
  <c r="E28" i="15"/>
  <c r="AA112" i="11"/>
  <c r="AD112" i="11" s="1"/>
  <c r="AA115" i="11"/>
  <c r="AD115" i="11" s="1"/>
  <c r="AA4" i="12"/>
  <c r="AD4" i="12" s="1"/>
  <c r="AE15" i="12"/>
  <c r="AD15" i="12" s="1"/>
  <c r="AE19" i="12"/>
  <c r="AD19" i="12" s="1"/>
  <c r="AA16" i="13"/>
  <c r="AD16" i="13" s="1"/>
  <c r="AA20" i="13"/>
  <c r="AD20" i="13" s="1"/>
  <c r="AD36" i="13"/>
  <c r="AA43" i="13"/>
  <c r="AD43" i="13" s="1"/>
  <c r="AA49" i="13"/>
  <c r="AA72" i="13"/>
  <c r="AD72" i="13" s="1"/>
  <c r="AA76" i="13"/>
  <c r="AD76" i="13" s="1"/>
  <c r="AA80" i="13"/>
  <c r="AA101" i="13"/>
  <c r="AD101" i="13" s="1"/>
  <c r="AA111" i="13"/>
  <c r="AD111" i="13" s="1"/>
  <c r="AA116" i="13"/>
  <c r="AD116" i="13" s="1"/>
  <c r="AA6" i="14"/>
  <c r="AA28" i="14" s="1"/>
  <c r="AA9" i="14"/>
  <c r="AD9" i="14" s="1"/>
  <c r="AA13" i="14"/>
  <c r="AA15" i="14"/>
  <c r="AD15" i="14" s="1"/>
  <c r="AA19" i="14"/>
  <c r="AD19" i="14" s="1"/>
  <c r="N57" i="14"/>
  <c r="AE32" i="14"/>
  <c r="E57" i="14"/>
  <c r="H33" i="14"/>
  <c r="AB44" i="14"/>
  <c r="AE44" i="14" s="1"/>
  <c r="AE48" i="14"/>
  <c r="AE61" i="14"/>
  <c r="W86" i="14"/>
  <c r="AE64" i="14"/>
  <c r="AE70" i="14"/>
  <c r="AF76" i="14"/>
  <c r="H76" i="14"/>
  <c r="AE97" i="14"/>
  <c r="AE103" i="14"/>
  <c r="AE106" i="14"/>
  <c r="AE122" i="14"/>
  <c r="AF123" i="14"/>
  <c r="H123" i="14"/>
  <c r="AE130" i="14"/>
  <c r="AE131" i="14"/>
  <c r="N145" i="14"/>
  <c r="W28" i="15"/>
  <c r="AE3" i="15"/>
  <c r="AE5" i="15"/>
  <c r="N28" i="15"/>
  <c r="AF45" i="15"/>
  <c r="H45" i="15"/>
  <c r="AE48" i="15"/>
  <c r="AF49" i="15"/>
  <c r="AF58" i="15" s="1"/>
  <c r="X58" i="15"/>
  <c r="AE49" i="15"/>
  <c r="E58" i="15"/>
  <c r="AE79" i="15"/>
  <c r="AD5" i="13"/>
  <c r="AA15" i="13"/>
  <c r="AD15" i="13" s="1"/>
  <c r="H16" i="13"/>
  <c r="H29" i="13" s="1"/>
  <c r="AA19" i="13"/>
  <c r="AD19" i="13" s="1"/>
  <c r="H20" i="13"/>
  <c r="E29" i="13"/>
  <c r="AA42" i="13"/>
  <c r="AD42" i="13" s="1"/>
  <c r="H43" i="13"/>
  <c r="AA48" i="13"/>
  <c r="AD48" i="13" s="1"/>
  <c r="H49" i="13"/>
  <c r="AA52" i="13"/>
  <c r="AD52" i="13" s="1"/>
  <c r="AD63" i="13"/>
  <c r="AA71" i="13"/>
  <c r="AA89" i="13" s="1"/>
  <c r="H72" i="13"/>
  <c r="AA75" i="13"/>
  <c r="AD75" i="13" s="1"/>
  <c r="H76" i="13"/>
  <c r="AA79" i="13"/>
  <c r="AD79" i="13" s="1"/>
  <c r="H80" i="13"/>
  <c r="AD93" i="13"/>
  <c r="AA100" i="13"/>
  <c r="AA118" i="13" s="1"/>
  <c r="H101" i="13"/>
  <c r="AA108" i="13"/>
  <c r="AA110" i="13"/>
  <c r="AD110" i="13" s="1"/>
  <c r="H111" i="13"/>
  <c r="AD3" i="14"/>
  <c r="H6" i="14"/>
  <c r="AA8" i="14"/>
  <c r="AD8" i="14" s="1"/>
  <c r="H9" i="14"/>
  <c r="AA12" i="14"/>
  <c r="AD12" i="14" s="1"/>
  <c r="H13" i="14"/>
  <c r="H15" i="14"/>
  <c r="AE17" i="14"/>
  <c r="H19" i="14"/>
  <c r="AE21" i="14"/>
  <c r="E28" i="14"/>
  <c r="AE34" i="14"/>
  <c r="AE43" i="14"/>
  <c r="H44" i="14"/>
  <c r="AE63" i="14"/>
  <c r="AE76" i="14"/>
  <c r="E145" i="14"/>
  <c r="AF120" i="14"/>
  <c r="H120" i="14"/>
  <c r="W145" i="14"/>
  <c r="AB49" i="15"/>
  <c r="H49" i="15"/>
  <c r="AD124" i="12"/>
  <c r="AA34" i="13"/>
  <c r="AD34" i="13" s="1"/>
  <c r="N28" i="14"/>
  <c r="AD13" i="14"/>
  <c r="AA14" i="14"/>
  <c r="AD14" i="14" s="1"/>
  <c r="AD17" i="14"/>
  <c r="AA18" i="14"/>
  <c r="AD18" i="14" s="1"/>
  <c r="AD21" i="14"/>
  <c r="AA22" i="14"/>
  <c r="AD22" i="14" s="1"/>
  <c r="AD23" i="14"/>
  <c r="AE33" i="14"/>
  <c r="AE38" i="14"/>
  <c r="E86" i="14"/>
  <c r="AB62" i="14"/>
  <c r="AE62" i="14" s="1"/>
  <c r="AF73" i="14"/>
  <c r="AF86" i="14" s="1"/>
  <c r="H73" i="14"/>
  <c r="H86" i="14" s="1"/>
  <c r="AE75" i="14"/>
  <c r="N115" i="14"/>
  <c r="AE94" i="14"/>
  <c r="AB98" i="14"/>
  <c r="AE98" i="14" s="1"/>
  <c r="AF98" i="14"/>
  <c r="AF115" i="14" s="1"/>
  <c r="AB132" i="14"/>
  <c r="AE132" i="14" s="1"/>
  <c r="AF132" i="14"/>
  <c r="AB135" i="14"/>
  <c r="AE135" i="14" s="1"/>
  <c r="AF135" i="14"/>
  <c r="AE142" i="14"/>
  <c r="AF28" i="15"/>
  <c r="AE14" i="15"/>
  <c r="AE32" i="15"/>
  <c r="N58" i="15"/>
  <c r="AE46" i="15"/>
  <c r="AB52" i="15"/>
  <c r="W87" i="15"/>
  <c r="AF72" i="15"/>
  <c r="H72" i="15"/>
  <c r="AE3" i="16"/>
  <c r="N27" i="16"/>
  <c r="AE4" i="16"/>
  <c r="AF32" i="16"/>
  <c r="H32" i="16"/>
  <c r="AF60" i="16"/>
  <c r="AB60" i="16"/>
  <c r="H60" i="16"/>
  <c r="AF61" i="16"/>
  <c r="H61" i="16"/>
  <c r="AF64" i="16"/>
  <c r="H64" i="16"/>
  <c r="E27" i="17"/>
  <c r="H3" i="17"/>
  <c r="AB19" i="17"/>
  <c r="H19" i="17"/>
  <c r="AB23" i="17"/>
  <c r="H23" i="17"/>
  <c r="H37" i="17"/>
  <c r="AB37" i="17"/>
  <c r="H95" i="17"/>
  <c r="AB95" i="17"/>
  <c r="AF45" i="14"/>
  <c r="AF57" i="14" s="1"/>
  <c r="AF49" i="14"/>
  <c r="AF101" i="14"/>
  <c r="AB102" i="14"/>
  <c r="AE102" i="14" s="1"/>
  <c r="AF104" i="14"/>
  <c r="AB105" i="14"/>
  <c r="AE105" i="14" s="1"/>
  <c r="E115" i="14"/>
  <c r="AB131" i="14"/>
  <c r="AB145" i="14" s="1"/>
  <c r="AB134" i="14"/>
  <c r="AE134" i="14" s="1"/>
  <c r="AB6" i="15"/>
  <c r="AE6" i="15" s="1"/>
  <c r="AB9" i="15"/>
  <c r="AE9" i="15" s="1"/>
  <c r="AB14" i="15"/>
  <c r="W58" i="15"/>
  <c r="AB33" i="15"/>
  <c r="AB58" i="15" s="1"/>
  <c r="AB44" i="15"/>
  <c r="AE44" i="15" s="1"/>
  <c r="E87" i="15"/>
  <c r="AB62" i="15"/>
  <c r="AB68" i="15"/>
  <c r="AE68" i="15" s="1"/>
  <c r="AE69" i="15"/>
  <c r="AF70" i="15"/>
  <c r="H70" i="15"/>
  <c r="AE74" i="15"/>
  <c r="AE84" i="15"/>
  <c r="N87" i="15"/>
  <c r="AF92" i="15"/>
  <c r="AF115" i="15" s="1"/>
  <c r="H92" i="15"/>
  <c r="AB93" i="15"/>
  <c r="AE93" i="15" s="1"/>
  <c r="AB96" i="15"/>
  <c r="AE96" i="15" s="1"/>
  <c r="AE111" i="15"/>
  <c r="AE13" i="16"/>
  <c r="AE15" i="16"/>
  <c r="AF19" i="16"/>
  <c r="AF27" i="16" s="1"/>
  <c r="X27" i="16"/>
  <c r="N55" i="16"/>
  <c r="AE52" i="16"/>
  <c r="N83" i="16"/>
  <c r="AE60" i="16"/>
  <c r="AE62" i="16"/>
  <c r="AE65" i="16"/>
  <c r="AE79" i="16"/>
  <c r="AF88" i="16"/>
  <c r="H88" i="16"/>
  <c r="H110" i="16" s="1"/>
  <c r="AF94" i="16"/>
  <c r="H94" i="16"/>
  <c r="AE107" i="16"/>
  <c r="AB38" i="14"/>
  <c r="AB57" i="14" s="1"/>
  <c r="AB42" i="14"/>
  <c r="AE42" i="14" s="1"/>
  <c r="AB46" i="14"/>
  <c r="AE46" i="14" s="1"/>
  <c r="AB50" i="14"/>
  <c r="AE50" i="14" s="1"/>
  <c r="AB68" i="14"/>
  <c r="AE68" i="14" s="1"/>
  <c r="AB78" i="14"/>
  <c r="AE78" i="14" s="1"/>
  <c r="AB90" i="14"/>
  <c r="AB115" i="14" s="1"/>
  <c r="AB93" i="14"/>
  <c r="AE93" i="14" s="1"/>
  <c r="AB96" i="14"/>
  <c r="AE96" i="14" s="1"/>
  <c r="AB99" i="14"/>
  <c r="AE99" i="14" s="1"/>
  <c r="H131" i="14"/>
  <c r="H134" i="14"/>
  <c r="H137" i="14"/>
  <c r="H138" i="14"/>
  <c r="H139" i="14"/>
  <c r="H6" i="15"/>
  <c r="H28" i="15" s="1"/>
  <c r="H14" i="15"/>
  <c r="AB17" i="15"/>
  <c r="AE17" i="15" s="1"/>
  <c r="AB43" i="15"/>
  <c r="AE43" i="15" s="1"/>
  <c r="H44" i="15"/>
  <c r="H62" i="15"/>
  <c r="AF64" i="15"/>
  <c r="AF87" i="15" s="1"/>
  <c r="AE67" i="15"/>
  <c r="H71" i="15"/>
  <c r="AE75" i="15"/>
  <c r="AE91" i="15"/>
  <c r="N115" i="15"/>
  <c r="H93" i="15"/>
  <c r="H96" i="15"/>
  <c r="H115" i="15" s="1"/>
  <c r="AE7" i="16"/>
  <c r="AE8" i="16"/>
  <c r="AB19" i="16"/>
  <c r="H19" i="16"/>
  <c r="H27" i="16" s="1"/>
  <c r="AB20" i="16"/>
  <c r="H20" i="16"/>
  <c r="AB21" i="16"/>
  <c r="H21" i="16"/>
  <c r="AB22" i="16"/>
  <c r="H22" i="16"/>
  <c r="AE32" i="16"/>
  <c r="AE51" i="16"/>
  <c r="AE64" i="16"/>
  <c r="AE66" i="16"/>
  <c r="AF73" i="16"/>
  <c r="AB73" i="16"/>
  <c r="H73" i="16"/>
  <c r="N110" i="16"/>
  <c r="W27" i="17"/>
  <c r="AB17" i="17"/>
  <c r="H17" i="17"/>
  <c r="AB21" i="17"/>
  <c r="H21" i="17"/>
  <c r="AE26" i="17"/>
  <c r="W54" i="17"/>
  <c r="X54" i="17"/>
  <c r="AF44" i="17"/>
  <c r="W107" i="17"/>
  <c r="AB120" i="17"/>
  <c r="AE120" i="17" s="1"/>
  <c r="E133" i="17"/>
  <c r="H20" i="15"/>
  <c r="H21" i="15"/>
  <c r="H22" i="15"/>
  <c r="H35" i="15"/>
  <c r="H58" i="15" s="1"/>
  <c r="H36" i="15"/>
  <c r="AE64" i="15"/>
  <c r="AE70" i="15"/>
  <c r="W115" i="15"/>
  <c r="AE92" i="15"/>
  <c r="AB95" i="15"/>
  <c r="AE95" i="15" s="1"/>
  <c r="AF99" i="15"/>
  <c r="H99" i="15"/>
  <c r="E115" i="15"/>
  <c r="AE17" i="16"/>
  <c r="AB32" i="16"/>
  <c r="AE38" i="16"/>
  <c r="AE42" i="16"/>
  <c r="AB61" i="16"/>
  <c r="AE61" i="16" s="1"/>
  <c r="AB64" i="16"/>
  <c r="AE68" i="16"/>
  <c r="AE69" i="16"/>
  <c r="AE70" i="16"/>
  <c r="AE71" i="16"/>
  <c r="AE73" i="16"/>
  <c r="AE81" i="16"/>
  <c r="W110" i="16"/>
  <c r="AE88" i="16"/>
  <c r="AE94" i="16"/>
  <c r="AB3" i="17"/>
  <c r="AF7" i="17"/>
  <c r="H7" i="17"/>
  <c r="AF10" i="17"/>
  <c r="H10" i="17"/>
  <c r="AE12" i="17"/>
  <c r="N54" i="17"/>
  <c r="AE32" i="17"/>
  <c r="AF37" i="17"/>
  <c r="AF59" i="17"/>
  <c r="H59" i="17"/>
  <c r="AB59" i="17"/>
  <c r="AE71" i="15"/>
  <c r="AB74" i="15"/>
  <c r="AB91" i="15"/>
  <c r="AB102" i="15"/>
  <c r="AE102" i="15" s="1"/>
  <c r="AB105" i="15"/>
  <c r="AE105" i="15" s="1"/>
  <c r="AB5" i="16"/>
  <c r="AB27" i="16" s="1"/>
  <c r="AB8" i="16"/>
  <c r="AB11" i="16"/>
  <c r="AE11" i="16" s="1"/>
  <c r="AB18" i="16"/>
  <c r="AE18" i="16" s="1"/>
  <c r="AB31" i="16"/>
  <c r="AF33" i="16"/>
  <c r="AF36" i="16"/>
  <c r="AF39" i="16"/>
  <c r="AB45" i="16"/>
  <c r="AE45" i="16" s="1"/>
  <c r="AE47" i="16"/>
  <c r="AE48" i="16"/>
  <c r="AE49" i="16"/>
  <c r="AE50" i="16"/>
  <c r="X55" i="16"/>
  <c r="AB59" i="16"/>
  <c r="AB63" i="16"/>
  <c r="AE63" i="16" s="1"/>
  <c r="AB67" i="16"/>
  <c r="AE67" i="16" s="1"/>
  <c r="AB72" i="16"/>
  <c r="AE72" i="16" s="1"/>
  <c r="AE75" i="16"/>
  <c r="AE76" i="16"/>
  <c r="AE77" i="16"/>
  <c r="AE78" i="16"/>
  <c r="X83" i="16"/>
  <c r="AB87" i="16"/>
  <c r="AB110" i="16" s="1"/>
  <c r="AF89" i="16"/>
  <c r="AF110" i="16" s="1"/>
  <c r="AB91" i="16"/>
  <c r="AE91" i="16" s="1"/>
  <c r="AF99" i="16"/>
  <c r="E110" i="16"/>
  <c r="AF4" i="17"/>
  <c r="AF27" i="17" s="1"/>
  <c r="AB6" i="17"/>
  <c r="AE6" i="17" s="1"/>
  <c r="AB9" i="17"/>
  <c r="AE9" i="17" s="1"/>
  <c r="AB15" i="17"/>
  <c r="AE15" i="17" s="1"/>
  <c r="AE37" i="17"/>
  <c r="AB38" i="17"/>
  <c r="AE38" i="17" s="1"/>
  <c r="AB44" i="17"/>
  <c r="H44" i="17"/>
  <c r="H54" i="17" s="1"/>
  <c r="N81" i="17"/>
  <c r="AE59" i="17"/>
  <c r="AB107" i="17"/>
  <c r="AE90" i="17"/>
  <c r="AE94" i="17"/>
  <c r="AE95" i="17"/>
  <c r="AE97" i="17"/>
  <c r="AF104" i="17"/>
  <c r="X107" i="17"/>
  <c r="H78" i="15"/>
  <c r="H79" i="15"/>
  <c r="H80" i="15"/>
  <c r="H81" i="15"/>
  <c r="E27" i="16"/>
  <c r="H31" i="16"/>
  <c r="H55" i="16" s="1"/>
  <c r="AE31" i="16"/>
  <c r="H59" i="16"/>
  <c r="AE59" i="16"/>
  <c r="H66" i="16"/>
  <c r="N27" i="17"/>
  <c r="H15" i="17"/>
  <c r="AB18" i="17"/>
  <c r="H18" i="17"/>
  <c r="AB20" i="17"/>
  <c r="H20" i="17"/>
  <c r="AB22" i="17"/>
  <c r="H22" i="17"/>
  <c r="AB34" i="17"/>
  <c r="AE34" i="17" s="1"/>
  <c r="AE43" i="17"/>
  <c r="AB45" i="17"/>
  <c r="H45" i="17"/>
  <c r="AB46" i="17"/>
  <c r="H46" i="17"/>
  <c r="AB47" i="17"/>
  <c r="H47" i="17"/>
  <c r="AB48" i="17"/>
  <c r="H48" i="17"/>
  <c r="AB49" i="17"/>
  <c r="H49" i="17"/>
  <c r="AB50" i="17"/>
  <c r="H50" i="17"/>
  <c r="W81" i="17"/>
  <c r="AE62" i="17"/>
  <c r="AE63" i="17"/>
  <c r="AF64" i="17"/>
  <c r="H64" i="17"/>
  <c r="AB68" i="17"/>
  <c r="AE68" i="17" s="1"/>
  <c r="AE78" i="17"/>
  <c r="E107" i="17"/>
  <c r="H85" i="17"/>
  <c r="H107" i="17" s="1"/>
  <c r="AF107" i="17"/>
  <c r="AE87" i="17"/>
  <c r="AE107" i="17" s="1"/>
  <c r="AE91" i="17"/>
  <c r="AE92" i="17"/>
  <c r="N107" i="17"/>
  <c r="W133" i="17"/>
  <c r="AE121" i="17"/>
  <c r="AF123" i="17"/>
  <c r="H123" i="17"/>
  <c r="H133" i="17" s="1"/>
  <c r="E54" i="17"/>
  <c r="AB31" i="17"/>
  <c r="AF34" i="17"/>
  <c r="AF54" i="17" s="1"/>
  <c r="AE40" i="17"/>
  <c r="AE44" i="17"/>
  <c r="E81" i="17"/>
  <c r="AE88" i="17"/>
  <c r="AE117" i="17"/>
  <c r="AB58" i="17"/>
  <c r="AF60" i="17"/>
  <c r="AF81" i="17" s="1"/>
  <c r="AF69" i="17"/>
  <c r="AF86" i="17"/>
  <c r="AB111" i="17"/>
  <c r="AF118" i="17"/>
  <c r="AF133" i="17" s="1"/>
  <c r="AB61" i="17"/>
  <c r="AE61" i="17" s="1"/>
  <c r="AB70" i="17"/>
  <c r="AE70" i="17" s="1"/>
  <c r="AB124" i="17"/>
  <c r="AE124" i="17" s="1"/>
  <c r="N133" i="17"/>
  <c r="AB112" i="17"/>
  <c r="AE112" i="17" s="1"/>
  <c r="C1477" i="20"/>
  <c r="C788" i="20"/>
  <c r="C1227" i="20"/>
  <c r="C1258" i="20"/>
  <c r="C1625" i="20"/>
  <c r="C1507" i="20"/>
  <c r="C1596" i="20"/>
  <c r="C961" i="20"/>
  <c r="D1066" i="20"/>
  <c r="C1353" i="20"/>
  <c r="AB27" i="17" l="1"/>
  <c r="AE5" i="16"/>
  <c r="AE27" i="16" s="1"/>
  <c r="AB28" i="15"/>
  <c r="AB86" i="14"/>
  <c r="AD89" i="13"/>
  <c r="AE33" i="15"/>
  <c r="AE28" i="15"/>
  <c r="AA29" i="13"/>
  <c r="AE145" i="14"/>
  <c r="T36" i="7"/>
  <c r="T48" i="7" s="1"/>
  <c r="AD100" i="13"/>
  <c r="AA124" i="11"/>
  <c r="M49" i="8"/>
  <c r="Y54" i="9"/>
  <c r="AC60" i="10"/>
  <c r="K106" i="5"/>
  <c r="AB81" i="17"/>
  <c r="AE115" i="15"/>
  <c r="AB87" i="15"/>
  <c r="AE62" i="15"/>
  <c r="AE87" i="15" s="1"/>
  <c r="H27" i="17"/>
  <c r="AE90" i="14"/>
  <c r="AE115" i="14" s="1"/>
  <c r="AD118" i="13"/>
  <c r="AE57" i="14"/>
  <c r="H89" i="13"/>
  <c r="AA29" i="12"/>
  <c r="AD6" i="14"/>
  <c r="AD28" i="14" s="1"/>
  <c r="H118" i="13"/>
  <c r="Y86" i="9"/>
  <c r="T20" i="6"/>
  <c r="T22" i="5"/>
  <c r="T89" i="5"/>
  <c r="AD59" i="12"/>
  <c r="AD29" i="12"/>
  <c r="N106" i="5"/>
  <c r="AB133" i="17"/>
  <c r="AE83" i="16"/>
  <c r="AE111" i="17"/>
  <c r="AE133" i="17" s="1"/>
  <c r="H83" i="16"/>
  <c r="AB115" i="15"/>
  <c r="H81" i="17"/>
  <c r="H87" i="15"/>
  <c r="AF55" i="16"/>
  <c r="H145" i="14"/>
  <c r="AD59" i="13"/>
  <c r="K89" i="6"/>
  <c r="H28" i="14"/>
  <c r="AE118" i="13"/>
  <c r="T46" i="7"/>
  <c r="V107" i="4"/>
  <c r="AE29" i="12"/>
  <c r="T71" i="6"/>
  <c r="T105" i="5"/>
  <c r="V106" i="5"/>
  <c r="T102" i="4"/>
  <c r="T107" i="4" s="1"/>
  <c r="AB83" i="16"/>
  <c r="AE58" i="17"/>
  <c r="AE81" i="17" s="1"/>
  <c r="AB54" i="17"/>
  <c r="AE31" i="17"/>
  <c r="AE54" i="17" s="1"/>
  <c r="AE87" i="16"/>
  <c r="AE110" i="16" s="1"/>
  <c r="AE55" i="16"/>
  <c r="AE3" i="17"/>
  <c r="AE27" i="17" s="1"/>
  <c r="AB55" i="16"/>
  <c r="AF83" i="16"/>
  <c r="AE58" i="15"/>
  <c r="AF145" i="14"/>
  <c r="AE86" i="14"/>
  <c r="H57" i="14"/>
  <c r="AA59" i="13"/>
  <c r="AD29" i="13"/>
  <c r="AD119" i="12"/>
  <c r="AE124" i="11"/>
  <c r="AD150" i="12"/>
  <c r="AD124" i="11"/>
  <c r="Q107" i="4"/>
  <c r="T79" i="6"/>
  <c r="T75" i="6"/>
  <c r="T89" i="6" s="1"/>
  <c r="V89" i="6"/>
  <c r="AC118" i="9"/>
  <c r="T85" i="5"/>
  <c r="T106" i="5" l="1"/>
</calcChain>
</file>

<file path=xl/sharedStrings.xml><?xml version="1.0" encoding="utf-8"?>
<sst xmlns="http://schemas.openxmlformats.org/spreadsheetml/2006/main" count="8855" uniqueCount="1395">
  <si>
    <t>Driver(s)</t>
  </si>
  <si>
    <t>Unit</t>
  </si>
  <si>
    <t>Gross</t>
  </si>
  <si>
    <t>Days worked</t>
  </si>
  <si>
    <t>Truck payment</t>
  </si>
  <si>
    <t>PD Insurance</t>
  </si>
  <si>
    <t>Truck payment deducted</t>
  </si>
  <si>
    <t>Fuel</t>
  </si>
  <si>
    <t>Tolls</t>
  </si>
  <si>
    <t>Miles</t>
  </si>
  <si>
    <t>Payment per mile for company($)</t>
  </si>
  <si>
    <t>Payment per mile for driver($)</t>
  </si>
  <si>
    <t>Liability Insurance</t>
  </si>
  <si>
    <t>Company profit</t>
  </si>
  <si>
    <t>Issa Ihab</t>
  </si>
  <si>
    <t>10191,00</t>
  </si>
  <si>
    <t>7 days</t>
  </si>
  <si>
    <t>1 016,94</t>
  </si>
  <si>
    <t>198,5</t>
  </si>
  <si>
    <t>1511,64</t>
  </si>
  <si>
    <t>Paid by L/O</t>
  </si>
  <si>
    <t>268,94</t>
  </si>
  <si>
    <t>661,64</t>
  </si>
  <si>
    <t>2538,22</t>
  </si>
  <si>
    <t>Mustafa Hammoodi</t>
  </si>
  <si>
    <t>7700,00</t>
  </si>
  <si>
    <t>6 days</t>
  </si>
  <si>
    <t>985,25</t>
  </si>
  <si>
    <t>163,25</t>
  </si>
  <si>
    <t>1385,50</t>
  </si>
  <si>
    <t>217,67</t>
  </si>
  <si>
    <t>535,50</t>
  </si>
  <si>
    <t>1931,00</t>
  </si>
  <si>
    <t>Marlin Jouwal Ryans (C/O)</t>
  </si>
  <si>
    <t>7050,00</t>
  </si>
  <si>
    <t>849,25</t>
  </si>
  <si>
    <t>-</t>
  </si>
  <si>
    <t>193,27</t>
  </si>
  <si>
    <t>475,49</t>
  </si>
  <si>
    <t>3357,14</t>
  </si>
  <si>
    <t>Jesus Granados</t>
  </si>
  <si>
    <t>8700,00</t>
  </si>
  <si>
    <t>5 days</t>
  </si>
  <si>
    <t>956,75</t>
  </si>
  <si>
    <t>1330,42</t>
  </si>
  <si>
    <t>195,28</t>
  </si>
  <si>
    <t>480,42</t>
  </si>
  <si>
    <t>2089,17</t>
  </si>
  <si>
    <t>Yury Lanko</t>
  </si>
  <si>
    <t>6290,00</t>
  </si>
  <si>
    <t>1182,01</t>
  </si>
  <si>
    <t>134,95</t>
  </si>
  <si>
    <t>332,01</t>
  </si>
  <si>
    <t>1461,31</t>
  </si>
  <si>
    <t>Gleb Gunin</t>
  </si>
  <si>
    <t>6000,00</t>
  </si>
  <si>
    <t>4 days</t>
  </si>
  <si>
    <t>881,63</t>
  </si>
  <si>
    <t>1149,71</t>
  </si>
  <si>
    <t>121,82</t>
  </si>
  <si>
    <t>299,71</t>
  </si>
  <si>
    <t>1389,58</t>
  </si>
  <si>
    <t>Juan Bolivar</t>
  </si>
  <si>
    <t>4000,00</t>
  </si>
  <si>
    <t>3 days</t>
  </si>
  <si>
    <t>1096,67</t>
  </si>
  <si>
    <t>100,26</t>
  </si>
  <si>
    <t>246,67</t>
  </si>
  <si>
    <t>906,17</t>
  </si>
  <si>
    <t>Yoanny Suarez/ Jadisdier Angel</t>
  </si>
  <si>
    <t>3750,00</t>
  </si>
  <si>
    <t>1028,50</t>
  </si>
  <si>
    <t>72,56</t>
  </si>
  <si>
    <t>178,50</t>
  </si>
  <si>
    <t>968,25</t>
  </si>
  <si>
    <t>Yasser Lopez</t>
  </si>
  <si>
    <t>1200,00</t>
  </si>
  <si>
    <t>2 days</t>
  </si>
  <si>
    <t>863,09</t>
  </si>
  <si>
    <t>5,32</t>
  </si>
  <si>
    <t>13,09</t>
  </si>
  <si>
    <t>292,84</t>
  </si>
  <si>
    <t>Pedro Garcia</t>
  </si>
  <si>
    <t>0,00</t>
  </si>
  <si>
    <t>Home</t>
  </si>
  <si>
    <t>666,5</t>
  </si>
  <si>
    <t>850,00</t>
  </si>
  <si>
    <t>20,25</t>
  </si>
  <si>
    <t>Yaders Hernandez</t>
  </si>
  <si>
    <t>TOTAL</t>
  </si>
  <si>
    <t>54881,00</t>
  </si>
  <si>
    <t>9 193,82</t>
  </si>
  <si>
    <t>1 972,00</t>
  </si>
  <si>
    <t>11247,54</t>
  </si>
  <si>
    <t>3223,03</t>
  </si>
  <si>
    <t>14974,18</t>
  </si>
  <si>
    <t>From April 4 to April 10</t>
  </si>
  <si>
    <t>Truck payment($)</t>
  </si>
  <si>
    <t>Driver profit</t>
  </si>
  <si>
    <t>3 days worked</t>
  </si>
  <si>
    <t>7 days worked</t>
  </si>
  <si>
    <t>6 days worked</t>
  </si>
  <si>
    <t>0 days worked</t>
  </si>
  <si>
    <t>4 days worked</t>
  </si>
  <si>
    <t>Average days worked: 4</t>
  </si>
  <si>
    <t>From April 11 to April 17</t>
  </si>
  <si>
    <t>Payment per mile for company</t>
  </si>
  <si>
    <t>Payment per mile for driver</t>
  </si>
  <si>
    <t>Factoring fee 1%</t>
  </si>
  <si>
    <t>$10 150,00</t>
  </si>
  <si>
    <t>$666,50</t>
  </si>
  <si>
    <t>$198,50</t>
  </si>
  <si>
    <t>$850,00</t>
  </si>
  <si>
    <t>$264,79</t>
  </si>
  <si>
    <t>$651,44</t>
  </si>
  <si>
    <t>$2 482,79</t>
  </si>
  <si>
    <t>$3 447,29</t>
  </si>
  <si>
    <t>101,5</t>
  </si>
  <si>
    <t>$6 160,00</t>
  </si>
  <si>
    <t>5 and half days</t>
  </si>
  <si>
    <t>$163,25</t>
  </si>
  <si>
    <t>$0,00</t>
  </si>
  <si>
    <t>$152,09</t>
  </si>
  <si>
    <t>$765,00</t>
  </si>
  <si>
    <t>61,6</t>
  </si>
  <si>
    <t>$7 200,00</t>
  </si>
  <si>
    <t>$38,39</t>
  </si>
  <si>
    <t>$194,86</t>
  </si>
  <si>
    <t>$1,139,00</t>
  </si>
  <si>
    <t>$2 800,00</t>
  </si>
  <si>
    <t>$6 600,00</t>
  </si>
  <si>
    <t>$166,81</t>
  </si>
  <si>
    <t>$410,38</t>
  </si>
  <si>
    <t>$1 603,81</t>
  </si>
  <si>
    <t>$2 353,64</t>
  </si>
  <si>
    <t>$8 750,00</t>
  </si>
  <si>
    <t>$213,24</t>
  </si>
  <si>
    <t>$524,62</t>
  </si>
  <si>
    <t>$2 123,24</t>
  </si>
  <si>
    <t>$1 105,00</t>
  </si>
  <si>
    <t>87,5</t>
  </si>
  <si>
    <t>$7 600,00</t>
  </si>
  <si>
    <t>$202,60</t>
  </si>
  <si>
    <t>$498,44</t>
  </si>
  <si>
    <t>$1 859,60</t>
  </si>
  <si>
    <t>$830,30</t>
  </si>
  <si>
    <t>$6 589,00</t>
  </si>
  <si>
    <t>$164,11</t>
  </si>
  <si>
    <t>$403,75</t>
  </si>
  <si>
    <t>$1 598,69</t>
  </si>
  <si>
    <t>65,9</t>
  </si>
  <si>
    <t>$8 400,00</t>
  </si>
  <si>
    <t>$248,28</t>
  </si>
  <si>
    <t>$610,81</t>
  </si>
  <si>
    <t>$2 116,53</t>
  </si>
  <si>
    <t>$3 241,55</t>
  </si>
  <si>
    <t>$6 970,00</t>
  </si>
  <si>
    <t>$175,17</t>
  </si>
  <si>
    <t>$430,95</t>
  </si>
  <si>
    <t>$1 728,82</t>
  </si>
  <si>
    <t>$1 771,36</t>
  </si>
  <si>
    <t>69,7</t>
  </si>
  <si>
    <t>$9 700,00</t>
  </si>
  <si>
    <t>$245,72</t>
  </si>
  <si>
    <t>$604,52</t>
  </si>
  <si>
    <t>$2 399,97</t>
  </si>
  <si>
    <t>$1 177,65</t>
  </si>
  <si>
    <t>$9 300,00</t>
  </si>
  <si>
    <t>$215,59</t>
  </si>
  <si>
    <t>$530,40</t>
  </si>
  <si>
    <t>$2 281,84</t>
  </si>
  <si>
    <t>$2 580,58</t>
  </si>
  <si>
    <t>$87 419,00</t>
  </si>
  <si>
    <t>6 days in average</t>
  </si>
  <si>
    <t>$7 331,50</t>
  </si>
  <si>
    <t>$1 972,00</t>
  </si>
  <si>
    <t>$7 650,00</t>
  </si>
  <si>
    <t>$2 243,26</t>
  </si>
  <si>
    <t>$5 518,88</t>
  </si>
  <si>
    <t>20 099,29</t>
  </si>
  <si>
    <t>$23 015,37</t>
  </si>
  <si>
    <t>874,2</t>
  </si>
  <si>
    <t>From April 18 to April 24</t>
  </si>
  <si>
    <t>Type of driver</t>
  </si>
  <si>
    <t>OCAC insurance</t>
  </si>
  <si>
    <t>Mobile expenses</t>
  </si>
  <si>
    <t>L/O (78%)</t>
  </si>
  <si>
    <t>Mustafa Hammoodi (C/O)</t>
  </si>
  <si>
    <t>C/O (500)</t>
  </si>
  <si>
    <t>C/O (400)</t>
  </si>
  <si>
    <t>1 818,25</t>
  </si>
  <si>
    <t>Yoanny Suarez</t>
  </si>
  <si>
    <t>Jadisdier Angel</t>
  </si>
  <si>
    <t>L/O (70%)</t>
  </si>
  <si>
    <t>From April 25 to May 1</t>
  </si>
  <si>
    <t>From May 2 to May 8</t>
  </si>
  <si>
    <t>7(4 loads)</t>
  </si>
  <si>
    <t>C/O (0.75)</t>
  </si>
  <si>
    <t>7(2 loads)</t>
  </si>
  <si>
    <t>Yury Lanko (C/O)</t>
  </si>
  <si>
    <t>Gleb Gunin(C/O)</t>
  </si>
  <si>
    <t>6(5 loads)</t>
  </si>
  <si>
    <t>6 (4 loads)</t>
  </si>
  <si>
    <t>2 (1 load)</t>
  </si>
  <si>
    <t>6 (5 loads)</t>
  </si>
  <si>
    <t>7 (6 loads)</t>
  </si>
  <si>
    <t>From May 9 to May 16</t>
  </si>
  <si>
    <t>Ivenson Barthelmy (C/O)</t>
  </si>
  <si>
    <t>Bobby Thorne (C/O)</t>
  </si>
  <si>
    <t>Mingiian Mankirov (C/O)</t>
  </si>
  <si>
    <t>From May 16 to May 22</t>
  </si>
  <si>
    <t>Issa Ihab (L/O)</t>
  </si>
  <si>
    <t>7 (4 loads)</t>
  </si>
  <si>
    <t>6 (3 loads)</t>
  </si>
  <si>
    <t>5 (4 loads)</t>
  </si>
  <si>
    <t>Jesus Granados (L/O)</t>
  </si>
  <si>
    <t>4 (2 loads)</t>
  </si>
  <si>
    <t>Juan Bolivar (L/O)</t>
  </si>
  <si>
    <t>Yoanny Suarez (C/O)</t>
  </si>
  <si>
    <t>7 (5 loads)</t>
  </si>
  <si>
    <t>Yasser Lopez (C/O)</t>
  </si>
  <si>
    <t>Pedro Garcia (L/O)</t>
  </si>
  <si>
    <t>3 (2 loads)</t>
  </si>
  <si>
    <t>Yaders Hernandez (C/O)</t>
  </si>
  <si>
    <t>Jadisdier Angel (C/O)</t>
  </si>
  <si>
    <t>4 L/O</t>
  </si>
  <si>
    <t>From May 23 to May 29</t>
  </si>
  <si>
    <t>7 (3 loads)</t>
  </si>
  <si>
    <t>3 (3 loads)</t>
  </si>
  <si>
    <t>14,40</t>
  </si>
  <si>
    <t>7 ( 5 loads)</t>
  </si>
  <si>
    <t>6 4 loads)</t>
  </si>
  <si>
    <t>Luberisse Carlintz Eddy C/O</t>
  </si>
  <si>
    <t>4 ( 2 loads)</t>
  </si>
  <si>
    <t>From May 30 to June 5</t>
  </si>
  <si>
    <t>Pedro Garcia (C/O)</t>
  </si>
  <si>
    <t>Claudio Bolatre/ Orlando Pino</t>
  </si>
  <si>
    <t>L/O (75%)</t>
  </si>
  <si>
    <t>5 L/O</t>
  </si>
  <si>
    <t>From June 6 to June 12</t>
  </si>
  <si>
    <t>Andrey Gavrilov (C/O)</t>
  </si>
  <si>
    <t>Javoni Tolbert (C/O)</t>
  </si>
  <si>
    <t>Bekhruz Solikhov (C/O)</t>
  </si>
  <si>
    <t>3 L/O</t>
  </si>
  <si>
    <t>From June 13 to June 19</t>
  </si>
  <si>
    <t>Tracy Lee Ziegler (C/O)</t>
  </si>
  <si>
    <t>From June 20 to June 26</t>
  </si>
  <si>
    <t>Juan Bolivar (C/O)</t>
  </si>
  <si>
    <t>2 L/O</t>
  </si>
  <si>
    <t>From June 27 to July 3</t>
  </si>
  <si>
    <t>From July 4 to July 10</t>
  </si>
  <si>
    <t>C/O (0.80)</t>
  </si>
  <si>
    <t>From July 11 to July 17</t>
  </si>
  <si>
    <t>Yeferson David Lazo(C/O)</t>
  </si>
  <si>
    <t>Edward Brier(C/O)</t>
  </si>
  <si>
    <t>Elmer Sandoval (L/O)</t>
  </si>
  <si>
    <t>From July 18 to July 24</t>
  </si>
  <si>
    <t>Discounts</t>
  </si>
  <si>
    <t>Issa Ihab (C/O)</t>
  </si>
  <si>
    <t>From July 25 to July 31</t>
  </si>
  <si>
    <t>Ali El Attari (C/O)</t>
  </si>
  <si>
    <t xml:space="preserve">Khaled Aleid &amp; Ali Ghreir </t>
  </si>
  <si>
    <t>O/O (82%)</t>
  </si>
  <si>
    <t>MONTHLY REPORT from July 1 to July 31</t>
  </si>
  <si>
    <t>L/O (78%)/C/O</t>
  </si>
  <si>
    <t>From August 1 to August 7</t>
  </si>
  <si>
    <t>Gleb Gunin(C/O)/Curtis Clayton</t>
  </si>
  <si>
    <t>From August 8 to August 14</t>
  </si>
  <si>
    <t>Jesus Granados (C/O)</t>
  </si>
  <si>
    <t>Curtis Clayton (C/O)</t>
  </si>
  <si>
    <t>Yovan Vazquez (C/O)</t>
  </si>
  <si>
    <t>1 O/O</t>
  </si>
  <si>
    <t>From August 15 to August 21</t>
  </si>
  <si>
    <t>Layover/ Detention</t>
  </si>
  <si>
    <t>465184/ 352368</t>
  </si>
  <si>
    <t xml:space="preserve">Good </t>
  </si>
  <si>
    <t>Ivan Ciarreta (C/O)</t>
  </si>
  <si>
    <t>From August 22 to August 28</t>
  </si>
  <si>
    <t>MONTHLY REPORT from August 1 to August 31</t>
  </si>
  <si>
    <t>From August 29 to September 4</t>
  </si>
  <si>
    <t>Joel Fraga (C/O)</t>
  </si>
  <si>
    <t>Joel Tenorio (C/O)</t>
  </si>
  <si>
    <t>From September 5 to September 11</t>
  </si>
  <si>
    <t>Youri/Sergey (C/O)</t>
  </si>
  <si>
    <t>Abdilahi Jama (C/O)</t>
  </si>
  <si>
    <t>Shawn Skidmore (C/O)</t>
  </si>
  <si>
    <t>From September 12 to September 18</t>
  </si>
  <si>
    <t>Layover</t>
  </si>
  <si>
    <t>Detention</t>
  </si>
  <si>
    <t>From September 19 to September 25</t>
  </si>
  <si>
    <t>Youri (C/O)</t>
  </si>
  <si>
    <t>Sergey Mahilevets(C/O)</t>
  </si>
  <si>
    <t>Abdulwahab Fathi (C/O)</t>
  </si>
  <si>
    <t>From September 26 to October 2</t>
  </si>
  <si>
    <t>From October 3 to October 9</t>
  </si>
  <si>
    <t>From October 10 to October 16</t>
  </si>
  <si>
    <t>Andro Grajales (C/O)</t>
  </si>
  <si>
    <t>Jairo Gustavo (C/O)</t>
  </si>
  <si>
    <t>From October 17 to October 23</t>
  </si>
  <si>
    <t>Siarhei Mahilevets (C/O)</t>
  </si>
  <si>
    <t>Edward Brier (C/O)</t>
  </si>
  <si>
    <t>From October 24 to October 30</t>
  </si>
  <si>
    <t>Youri Vassiliev (C/O)</t>
  </si>
  <si>
    <t>From October 31 to November 6</t>
  </si>
  <si>
    <t>Andzej Rynkevic (C/O)</t>
  </si>
  <si>
    <t>C/O (0.65)</t>
  </si>
  <si>
    <t>N/A</t>
  </si>
  <si>
    <t>From November 7 to November 13</t>
  </si>
  <si>
    <t>Siargei Mahilevets</t>
  </si>
  <si>
    <t>2</t>
  </si>
  <si>
    <t>1111</t>
  </si>
  <si>
    <t>5</t>
  </si>
  <si>
    <t>2045</t>
  </si>
  <si>
    <t>Jairo Gustavo</t>
  </si>
  <si>
    <t>2936</t>
  </si>
  <si>
    <t>Andro Grojales</t>
  </si>
  <si>
    <t>1</t>
  </si>
  <si>
    <t>694</t>
  </si>
  <si>
    <t>Youri Vasiliev</t>
  </si>
  <si>
    <t>Edward Brier</t>
  </si>
  <si>
    <t>7</t>
  </si>
  <si>
    <t>2507</t>
  </si>
  <si>
    <t>Ali El Attari</t>
  </si>
  <si>
    <t>3065</t>
  </si>
  <si>
    <t>3578</t>
  </si>
  <si>
    <t>3277</t>
  </si>
  <si>
    <t>4426</t>
  </si>
  <si>
    <t>4</t>
  </si>
  <si>
    <t>3490</t>
  </si>
  <si>
    <t>Andzej Rynkevic</t>
  </si>
  <si>
    <t>3712</t>
  </si>
  <si>
    <t>5012</t>
  </si>
  <si>
    <t>From November 14 to November 20</t>
  </si>
  <si>
    <t>Trailer payment</t>
  </si>
  <si>
    <t>Roni Andrade Lopes</t>
  </si>
  <si>
    <t>6,305</t>
  </si>
  <si>
    <t>2,578</t>
  </si>
  <si>
    <t>3,227</t>
  </si>
  <si>
    <t>4,485</t>
  </si>
  <si>
    <t>1,851</t>
  </si>
  <si>
    <t>From November 21 to November 27</t>
  </si>
  <si>
    <t>Factoring fee 0.85%</t>
  </si>
  <si>
    <t>YARD</t>
  </si>
  <si>
    <t>REPAIR</t>
  </si>
  <si>
    <t>Youri Vasiliyev</t>
  </si>
  <si>
    <t>Andro Grajales</t>
  </si>
  <si>
    <t>From November 28 to December 4</t>
  </si>
  <si>
    <t>Youssef Nkira</t>
  </si>
  <si>
    <t>352374 (SUB 324926)</t>
  </si>
  <si>
    <t>Adrian Jose Ramirez</t>
  </si>
  <si>
    <t>352375 (SUB 585606)</t>
  </si>
  <si>
    <t>From December 5 to December 11</t>
  </si>
  <si>
    <t>Truck payment per mile</t>
  </si>
  <si>
    <t>Per Mile Penske</t>
  </si>
  <si>
    <t>Odometer</t>
  </si>
  <si>
    <t>Julio Heininen Camejo</t>
  </si>
  <si>
    <t>Idowu Kennedy</t>
  </si>
  <si>
    <t>From December 12 to December 18</t>
  </si>
  <si>
    <t>Youri Vassiliev</t>
  </si>
  <si>
    <t>Henry Pinckney</t>
  </si>
  <si>
    <t>9450</t>
  </si>
  <si>
    <t xml:space="preserve">Sainthilaire Chesmy  </t>
  </si>
  <si>
    <t>01</t>
  </si>
  <si>
    <t>Decastro Sander</t>
  </si>
  <si>
    <t xml:space="preserve">Lahens,Jean Saint Pierre  </t>
  </si>
  <si>
    <t>From December 19 to December 25</t>
  </si>
  <si>
    <t>352374 (SUB 331466)</t>
  </si>
  <si>
    <t xml:space="preserve">Sainthilaire Chesmy/Vedel Pierre </t>
  </si>
  <si>
    <t>Alister Chowargir</t>
  </si>
  <si>
    <t>01 UNIT</t>
  </si>
  <si>
    <t>Kennedy Idowu</t>
  </si>
  <si>
    <t>From December 26 to January 1</t>
  </si>
  <si>
    <t>Days
 worked</t>
  </si>
  <si>
    <t>Factoring
 fee 0.85%</t>
  </si>
  <si>
    <t>Mobile
 expenses</t>
  </si>
  <si>
    <t>Truck
 payment</t>
  </si>
  <si>
    <t>IFTA
 Permits</t>
  </si>
  <si>
    <t>Trailer fee</t>
  </si>
  <si>
    <t xml:space="preserve">ELD </t>
  </si>
  <si>
    <t>AL for owners</t>
  </si>
  <si>
    <t>Per
 Mile
 Penske</t>
  </si>
  <si>
    <t>Odom</t>
  </si>
  <si>
    <t>PD</t>
  </si>
  <si>
    <t>AL ins</t>
  </si>
  <si>
    <t xml:space="preserve">OCAC </t>
  </si>
  <si>
    <t>Rate</t>
  </si>
  <si>
    <t>Siarhei Mahilevets</t>
  </si>
  <si>
    <t>Sainthilaire Chesmy (team)</t>
  </si>
  <si>
    <t>From January 2 to January 8</t>
  </si>
  <si>
    <t>From January 9 to January 15</t>
  </si>
  <si>
    <t>Oscar Capeda</t>
  </si>
  <si>
    <t>Alex Asuar</t>
  </si>
  <si>
    <t>From January 16 to January 22</t>
  </si>
  <si>
    <t>Marcos Politi</t>
  </si>
  <si>
    <t>465189  (SUB 278061)</t>
  </si>
  <si>
    <t>Ahmed Ediris, Amr Hanafy</t>
  </si>
  <si>
    <t>From January 23 to January 29</t>
  </si>
  <si>
    <t>359885 /465188</t>
  </si>
  <si>
    <t>465186 / 218</t>
  </si>
  <si>
    <t>218</t>
  </si>
  <si>
    <t>From January 30 to February 05</t>
  </si>
  <si>
    <t>352368 (278061)</t>
  </si>
  <si>
    <t>4,588</t>
  </si>
  <si>
    <t>352374</t>
  </si>
  <si>
    <t>Micheel Escola</t>
  </si>
  <si>
    <t>From February 06 to February 12</t>
  </si>
  <si>
    <t>3159</t>
  </si>
  <si>
    <t>Franklin De Los Santos</t>
  </si>
  <si>
    <t>Ernesto Martinez</t>
  </si>
  <si>
    <t>From February 13 to February 19</t>
  </si>
  <si>
    <t>3672</t>
  </si>
  <si>
    <t>Oscar Cepeda</t>
  </si>
  <si>
    <t>From February 20 to February 26</t>
  </si>
  <si>
    <t>All Miles</t>
  </si>
  <si>
    <t>Loaded Miles</t>
  </si>
  <si>
    <t>Empty Miles</t>
  </si>
  <si>
    <t>RPM</t>
  </si>
  <si>
    <t>2297</t>
  </si>
  <si>
    <t>80</t>
  </si>
  <si>
    <t>Youri Vassilyev</t>
  </si>
  <si>
    <t>From February 27 to March 05</t>
  </si>
  <si>
    <t>352373/359886</t>
  </si>
  <si>
    <t>From March 06 to March 12</t>
  </si>
  <si>
    <t>Julio Heininen Camejo 
(KLVUKR)</t>
  </si>
  <si>
    <t>3125</t>
  </si>
  <si>
    <t>Marcos Politi (KLV TASH)</t>
  </si>
  <si>
    <t>5345</t>
  </si>
  <si>
    <t>Juan Bolivar (KLV UKR)</t>
  </si>
  <si>
    <t>4208</t>
  </si>
  <si>
    <t>Oscar Cepeda (UBS)</t>
  </si>
  <si>
    <t>4701</t>
  </si>
  <si>
    <t>Edward Brier (KLV UKR)</t>
  </si>
  <si>
    <t>Adrian Jose Ramirez (KLV TASH)</t>
  </si>
  <si>
    <t>2779</t>
  </si>
  <si>
    <t>Yaders Hernandez (KLV UKR)</t>
  </si>
  <si>
    <t>Jesus Granados (UBS)</t>
  </si>
  <si>
    <t>3914</t>
  </si>
  <si>
    <t>Micheel Escola (KLV TASH)</t>
  </si>
  <si>
    <t>3265</t>
  </si>
  <si>
    <t>Jadisdier Angel (UBS)</t>
  </si>
  <si>
    <t>3876</t>
  </si>
  <si>
    <t>Siarhei Mahilevets
 (KLV UKR)</t>
  </si>
  <si>
    <t>Sainthilaire Chesmy
 (KLV TASH)</t>
  </si>
  <si>
    <t>Decastro Sander
  (KLV TASH)</t>
  </si>
  <si>
    <t>Alister Chowargir
 (KLV TASH)</t>
  </si>
  <si>
    <t xml:space="preserve">Lahens,Jean Saint Pierre 
(KLV UKR) </t>
  </si>
  <si>
    <t xml:space="preserve">Ernesto Martinez
(KLV UKR) </t>
  </si>
  <si>
    <t>From March 13 to March 19</t>
  </si>
  <si>
    <t>Julio Heininen Camejo(KLVUKR)</t>
  </si>
  <si>
    <t>3757</t>
  </si>
  <si>
    <t>352373 / 359885</t>
  </si>
  <si>
    <t>2075</t>
  </si>
  <si>
    <t>352376/465188</t>
  </si>
  <si>
    <t>2747</t>
  </si>
  <si>
    <t>1947</t>
  </si>
  <si>
    <t>2393</t>
  </si>
  <si>
    <t>2577</t>
  </si>
  <si>
    <t>2584</t>
  </si>
  <si>
    <t>Wilmer Jimenez (KLV UKR)</t>
  </si>
  <si>
    <t>1457</t>
  </si>
  <si>
    <t>3850</t>
  </si>
  <si>
    <t>3153</t>
  </si>
  <si>
    <t>Siarhei Mahilevets (KLV UKR)</t>
  </si>
  <si>
    <t>Sainthilaire Chesmy(KLV TASH)</t>
  </si>
  <si>
    <t>Decastro Sander(KLV TASH)</t>
  </si>
  <si>
    <t>Alister Chowargir(KLV TASH)</t>
  </si>
  <si>
    <t xml:space="preserve">Jean Lahens(KLV UKR) </t>
  </si>
  <si>
    <t xml:space="preserve">Ernesto Martinez(KLV UKR) </t>
  </si>
  <si>
    <t>From March 20 to March 26</t>
  </si>
  <si>
    <t>322</t>
  </si>
  <si>
    <t>352377/352371</t>
  </si>
  <si>
    <t>2662</t>
  </si>
  <si>
    <t>6804</t>
  </si>
  <si>
    <t>2938</t>
  </si>
  <si>
    <t>5046</t>
  </si>
  <si>
    <t>4121</t>
  </si>
  <si>
    <t>5763</t>
  </si>
  <si>
    <t>5032</t>
  </si>
  <si>
    <t>5226</t>
  </si>
  <si>
    <t>2082</t>
  </si>
  <si>
    <t>From March 27 to April 2</t>
  </si>
  <si>
    <t>352371 / 191275</t>
  </si>
  <si>
    <t>1459</t>
  </si>
  <si>
    <t>352372  /191279</t>
  </si>
  <si>
    <t>Jose Palomares (KLV UBS)</t>
  </si>
  <si>
    <t>352373/191277</t>
  </si>
  <si>
    <t>2819</t>
  </si>
  <si>
    <t>846</t>
  </si>
  <si>
    <t>Jose Coito (KLV UKR)</t>
  </si>
  <si>
    <t>1746</t>
  </si>
  <si>
    <t>2886</t>
  </si>
  <si>
    <t>Jackson Habineza (KLV UKR)</t>
  </si>
  <si>
    <t>3254</t>
  </si>
  <si>
    <t>5789</t>
  </si>
  <si>
    <t>Issa Ihab (KLV UKR)</t>
  </si>
  <si>
    <t>4220</t>
  </si>
  <si>
    <t>1993</t>
  </si>
  <si>
    <t>3789</t>
  </si>
  <si>
    <t>4645</t>
  </si>
  <si>
    <t>2715</t>
  </si>
  <si>
    <t xml:space="preserve">Henry Pinckney </t>
  </si>
  <si>
    <t>From April 3 to April 9</t>
  </si>
  <si>
    <t>352376 / 191279</t>
  </si>
  <si>
    <t>352374 / 352377</t>
  </si>
  <si>
    <t>Off</t>
  </si>
  <si>
    <t>Pereira Gutierrez (UBS)</t>
  </si>
  <si>
    <t>From April 10 to April 16</t>
  </si>
  <si>
    <t>191278</t>
  </si>
  <si>
    <t>Nayib Hoepp/Jorge Ruiz</t>
  </si>
  <si>
    <t>Camilo Cano Montoya</t>
  </si>
  <si>
    <t>465181 (Sub 587154)</t>
  </si>
  <si>
    <t>From April 17 to April 23</t>
  </si>
  <si>
    <t>6130</t>
  </si>
  <si>
    <t>From April 24 to April 30</t>
  </si>
  <si>
    <t>Nowroz Ali</t>
  </si>
  <si>
    <t>Yasser Lopez (KLV UBS)</t>
  </si>
  <si>
    <t>Erick Alvarez (KLV UKR)</t>
  </si>
  <si>
    <t>From May 1 to May 7</t>
  </si>
  <si>
    <t>Erick Alvarez / Youri Vassiliev (KLV UKR)</t>
  </si>
  <si>
    <t>Jose Alvarez (KLV UKR)</t>
  </si>
  <si>
    <t>Khalid Alied (KLV UKR)</t>
  </si>
  <si>
    <t>From May 8 to May 14</t>
  </si>
  <si>
    <t>Truck and
Trailer fee</t>
  </si>
  <si>
    <t>Per mile payment for L/O</t>
  </si>
  <si>
    <t>Marcos Politi (UBS)</t>
  </si>
  <si>
    <t>Camilo Cano Montoya (KLV UKR)</t>
  </si>
  <si>
    <t>Adrian Jose Ramirez (UBS) L/O</t>
  </si>
  <si>
    <t>5207</t>
  </si>
  <si>
    <t>Sainthilaire Chesmy(KLV UKR)</t>
  </si>
  <si>
    <t>Decastro Sander(KLV UKR)</t>
  </si>
  <si>
    <t>From May 15 to May 21</t>
  </si>
  <si>
    <t>Eduardo Rodriguez (UBS)</t>
  </si>
  <si>
    <t>Leider Vega (KLV UKR)</t>
  </si>
  <si>
    <t>Nayib Hoepp</t>
  </si>
  <si>
    <t>4022</t>
  </si>
  <si>
    <t>4142</t>
  </si>
  <si>
    <t>4786</t>
  </si>
  <si>
    <t>From May 22 to May 28</t>
  </si>
  <si>
    <t>Maintenance
 charges</t>
  </si>
  <si>
    <t>ELD for company</t>
  </si>
  <si>
    <t>Camilo Diaz (KLV UKR)</t>
  </si>
  <si>
    <t>Yasser Lopez (UBS)</t>
  </si>
  <si>
    <t>2617</t>
  </si>
  <si>
    <t>3819</t>
  </si>
  <si>
    <t>4705.2</t>
  </si>
  <si>
    <t>From May 29 to June 04</t>
  </si>
  <si>
    <t>3,839</t>
  </si>
  <si>
    <t>5,074</t>
  </si>
  <si>
    <t>5,840</t>
  </si>
  <si>
    <t>June 5 to June 11</t>
  </si>
  <si>
    <t>Andrey Stepanets KLV UKR)</t>
  </si>
  <si>
    <t>3339</t>
  </si>
  <si>
    <t>2813</t>
  </si>
  <si>
    <t>968</t>
  </si>
  <si>
    <t>From June 12 to June 18</t>
  </si>
  <si>
    <t>Mouh Seghir Hammoutene</t>
  </si>
  <si>
    <t>2624</t>
  </si>
  <si>
    <t>Miguel David Ochoa Maneiro (UBS)</t>
  </si>
  <si>
    <t>1814</t>
  </si>
  <si>
    <t xml:space="preserve">Adrian Ramirez </t>
  </si>
  <si>
    <t>332</t>
  </si>
  <si>
    <t>From June 19 to June 25</t>
  </si>
  <si>
    <t>Rajbir Singh (KLV UKR)</t>
  </si>
  <si>
    <t>Shade Adrei  (KLV UKR)</t>
  </si>
  <si>
    <t>465182/465180</t>
  </si>
  <si>
    <t>5029</t>
  </si>
  <si>
    <t>2424</t>
  </si>
  <si>
    <t>4018</t>
  </si>
  <si>
    <t>Hernan Figueroa (UBS)</t>
  </si>
  <si>
    <t>2599</t>
  </si>
  <si>
    <t>From June 26 to July 02</t>
  </si>
  <si>
    <t>Yaders Hernandez  (KLV UKR)</t>
  </si>
  <si>
    <t>2720</t>
  </si>
  <si>
    <t>50</t>
  </si>
  <si>
    <t>Victor Rivera (KLV UKR)</t>
  </si>
  <si>
    <t>Shade Andrei  (KLV UKR)</t>
  </si>
  <si>
    <t>191279/465185</t>
  </si>
  <si>
    <t>1995</t>
  </si>
  <si>
    <t>4350</t>
  </si>
  <si>
    <t>3089</t>
  </si>
  <si>
    <t>3427</t>
  </si>
  <si>
    <t>From July 03 to July 09</t>
  </si>
  <si>
    <t>Company
 profit</t>
  </si>
  <si>
    <t xml:space="preserve">2811 </t>
  </si>
  <si>
    <t>294</t>
  </si>
  <si>
    <t>Accident</t>
  </si>
  <si>
    <t>0</t>
  </si>
  <si>
    <t>Oscar Cepeda (KLV UKR)</t>
  </si>
  <si>
    <t>883</t>
  </si>
  <si>
    <t>4059</t>
  </si>
  <si>
    <t>David Ochoa (KLV UKR)</t>
  </si>
  <si>
    <t>2027</t>
  </si>
  <si>
    <t>2673</t>
  </si>
  <si>
    <t>From July 10 to July 16</t>
  </si>
  <si>
    <t>1800</t>
  </si>
  <si>
    <t>93</t>
  </si>
  <si>
    <t>465185/SUB</t>
  </si>
  <si>
    <t>3428</t>
  </si>
  <si>
    <t>6141</t>
  </si>
  <si>
    <t>4285</t>
  </si>
  <si>
    <t>5335</t>
  </si>
  <si>
    <t>From July 17 to July 23</t>
  </si>
  <si>
    <t xml:space="preserve">2683  </t>
  </si>
  <si>
    <t>506</t>
  </si>
  <si>
    <t>2348</t>
  </si>
  <si>
    <t>1681</t>
  </si>
  <si>
    <t>4041</t>
  </si>
  <si>
    <t>3224</t>
  </si>
  <si>
    <t>From July 24 to July 30</t>
  </si>
  <si>
    <t xml:space="preserve">3442 </t>
  </si>
  <si>
    <t>246</t>
  </si>
  <si>
    <t>Andrii Stepanets KLV UKR)</t>
  </si>
  <si>
    <t>465183 / 465189</t>
  </si>
  <si>
    <t>3781</t>
  </si>
  <si>
    <t>2371</t>
  </si>
  <si>
    <t>Miguel David Ochoa (KLV UKR)</t>
  </si>
  <si>
    <t>3404</t>
  </si>
  <si>
    <t>4673</t>
  </si>
  <si>
    <t>191279</t>
  </si>
  <si>
    <t>From July 31 to August 06</t>
  </si>
  <si>
    <t>Pereira Gutierrez (KLV UKR)</t>
  </si>
  <si>
    <t>Andrei Shade (KLV UKR)</t>
  </si>
  <si>
    <t>Jose Coito / Daniel Labastida</t>
  </si>
  <si>
    <t>2838</t>
  </si>
  <si>
    <t>Victor Fernandez (KLV UKR)</t>
  </si>
  <si>
    <t>1797</t>
  </si>
  <si>
    <t>5320</t>
  </si>
  <si>
    <t>3623</t>
  </si>
  <si>
    <t>Hernan Figueroa (KLV UKR)</t>
  </si>
  <si>
    <t>1959</t>
  </si>
  <si>
    <t>2452</t>
  </si>
  <si>
    <t>Serkan Yalinkilic (KLV UKR)</t>
  </si>
  <si>
    <t>2296</t>
  </si>
  <si>
    <t>From August 7 to August 13</t>
  </si>
  <si>
    <t>Jose Coito</t>
  </si>
  <si>
    <t>Youri Vasiliev&amp;Daniel Labestida (KLV UKR)</t>
  </si>
  <si>
    <t>Dioris Villavicencio (UBS)</t>
  </si>
  <si>
    <t>3473</t>
  </si>
  <si>
    <t>3857</t>
  </si>
  <si>
    <t>4816</t>
  </si>
  <si>
    <t>3195</t>
  </si>
  <si>
    <t>3586</t>
  </si>
  <si>
    <t>5099</t>
  </si>
  <si>
    <t>From August 14 to August 20</t>
  </si>
  <si>
    <t>Daniel Labestida (KLV UKR)</t>
  </si>
  <si>
    <t>3480</t>
  </si>
  <si>
    <t>4754</t>
  </si>
  <si>
    <t>3493</t>
  </si>
  <si>
    <t>2637</t>
  </si>
  <si>
    <t>3744</t>
  </si>
  <si>
    <t>3260</t>
  </si>
  <si>
    <t>From August 21 to August 27</t>
  </si>
  <si>
    <t>Andrey Stepanets (UBS)</t>
  </si>
  <si>
    <t>465188/ SUB</t>
  </si>
  <si>
    <t>1432</t>
  </si>
  <si>
    <t>4858</t>
  </si>
  <si>
    <t>1154</t>
  </si>
  <si>
    <t>5389</t>
  </si>
  <si>
    <t>3593</t>
  </si>
  <si>
    <t>Siarhei Mahilevets (UBS)</t>
  </si>
  <si>
    <t>4647</t>
  </si>
  <si>
    <t>Dirceu Azevedo (KLV UKR)</t>
  </si>
  <si>
    <t>945</t>
  </si>
  <si>
    <t>From August 28 to September 03</t>
  </si>
  <si>
    <t>Victor Rivera (KLVUKR)</t>
  </si>
  <si>
    <t>Mouh Seghir (KLV UKR)</t>
  </si>
  <si>
    <t>3641</t>
  </si>
  <si>
    <t>191276/191280</t>
  </si>
  <si>
    <t>3665</t>
  </si>
  <si>
    <t>3566</t>
  </si>
  <si>
    <t>5487</t>
  </si>
  <si>
    <t>5752</t>
  </si>
  <si>
    <t>3607</t>
  </si>
  <si>
    <t>DATE</t>
  </si>
  <si>
    <t>UNIT #</t>
  </si>
  <si>
    <t>DSC</t>
  </si>
  <si>
    <t>PRICE</t>
  </si>
  <si>
    <t>COMPANY PAID</t>
  </si>
  <si>
    <t>DRV</t>
  </si>
  <si>
    <t>STATUS</t>
  </si>
  <si>
    <t>PAYMENT METHOD</t>
  </si>
  <si>
    <t>Velcro for dashcam;</t>
  </si>
  <si>
    <t>Jose Coito C/O;</t>
  </si>
  <si>
    <t>Company Expenses</t>
  </si>
  <si>
    <t>Reimbursement</t>
  </si>
  <si>
    <t>KL039154</t>
  </si>
  <si>
    <t>Tire;</t>
  </si>
  <si>
    <t>Dioris Villavicencio C/O;</t>
  </si>
  <si>
    <t>KLVRT Express Code</t>
  </si>
  <si>
    <t>DEF x5;</t>
  </si>
  <si>
    <t>Andrei Shade C/O;</t>
  </si>
  <si>
    <t>DEF x4;</t>
  </si>
  <si>
    <t>Mouh Seghir C/O;</t>
  </si>
  <si>
    <t>Papers print;</t>
  </si>
  <si>
    <t>Jackson Habineza C/O;</t>
  </si>
  <si>
    <t>Glue for dashcam;</t>
  </si>
  <si>
    <t>Used tire;</t>
  </si>
  <si>
    <t>Pereira Gutierrez C/O;</t>
  </si>
  <si>
    <t>King pin lock;</t>
  </si>
  <si>
    <t>Camilo Diaz C/O;</t>
  </si>
  <si>
    <t>KR028150</t>
  </si>
  <si>
    <t>Trailer repair;</t>
  </si>
  <si>
    <t>Daniel Labastida C/O;</t>
  </si>
  <si>
    <t>Brake cleaner;</t>
  </si>
  <si>
    <t>KR211678</t>
  </si>
  <si>
    <t>Shock absorbers; 3 Used tires; 4 Brake shoes; 4 Brake drums; Wheel seal; Door patch; Roof patch;</t>
  </si>
  <si>
    <t>Dirceu Azevedo L/O;</t>
  </si>
  <si>
    <t>KLVRT Zelle</t>
  </si>
  <si>
    <t>GT004136</t>
  </si>
  <si>
    <t>Hub;</t>
  </si>
  <si>
    <t>Card 9526</t>
  </si>
  <si>
    <t>LR165574</t>
  </si>
  <si>
    <t>Airbag;</t>
  </si>
  <si>
    <t>2 Airbags; 1 Mudflap;</t>
  </si>
  <si>
    <t>LR165497</t>
  </si>
  <si>
    <t>Slack adjuster;</t>
  </si>
  <si>
    <t>LR165709</t>
  </si>
  <si>
    <t>Air valve; Brake slider;</t>
  </si>
  <si>
    <t>Youri Vassiliev;</t>
  </si>
  <si>
    <t>08/21/2023 - 08/27/2023</t>
  </si>
  <si>
    <t>Brake shoe;</t>
  </si>
  <si>
    <t>Siarhei Mahilevets L/O;</t>
  </si>
  <si>
    <t>Wire cutters;</t>
  </si>
  <si>
    <t>Trailer check;</t>
  </si>
  <si>
    <t>KR210365</t>
  </si>
  <si>
    <t>1 used tires;</t>
  </si>
  <si>
    <t>Hernan Figueroa L/O;</t>
  </si>
  <si>
    <t>KR211350</t>
  </si>
  <si>
    <t>Trailer wash;</t>
  </si>
  <si>
    <t>Victor Fernandez L/O;</t>
  </si>
  <si>
    <t>Deduct from the driver</t>
  </si>
  <si>
    <t>LR165492</t>
  </si>
  <si>
    <t>Andrii Stepanets C/O;</t>
  </si>
  <si>
    <t>ABS;</t>
  </si>
  <si>
    <t xml:space="preserve">Brake drum; 2 Rims; </t>
  </si>
  <si>
    <t>AZT</t>
  </si>
  <si>
    <t>Deduct half from UBS</t>
  </si>
  <si>
    <t>LR165454</t>
  </si>
  <si>
    <t>Shock absorber; 4 tires rotation;</t>
  </si>
  <si>
    <t>Sander Decastro O/O;</t>
  </si>
  <si>
    <t>08/14/2023 - 08/20/2023</t>
  </si>
  <si>
    <t>KR211375</t>
  </si>
  <si>
    <t>2 Used tires;</t>
  </si>
  <si>
    <t>JT118212</t>
  </si>
  <si>
    <t>1 used tire;</t>
  </si>
  <si>
    <t>LR165764</t>
  </si>
  <si>
    <t>2 Shock absorbers; 4 slack adjusters; 4 tires;</t>
  </si>
  <si>
    <t>Company</t>
  </si>
  <si>
    <t>LR165451</t>
  </si>
  <si>
    <t>Mudflap; Mudflap hanger;</t>
  </si>
  <si>
    <t>Jadisdier Angel C/O;</t>
  </si>
  <si>
    <t>LR165564</t>
  </si>
  <si>
    <t>Parking;</t>
  </si>
  <si>
    <t>Ernesto Martinez O/O;</t>
  </si>
  <si>
    <t>3 used tires;</t>
  </si>
  <si>
    <t>Tire inflator kit;</t>
  </si>
  <si>
    <t>08/07/2023 - 08/13/2023</t>
  </si>
  <si>
    <t>Jesus Granados L/O;</t>
  </si>
  <si>
    <t>Wash;</t>
  </si>
  <si>
    <t>Shock absorbers; Airbags; Pins;</t>
  </si>
  <si>
    <t>07/31/2023 - 08/06/2023</t>
  </si>
  <si>
    <t>LR165475</t>
  </si>
  <si>
    <t>Tire patch;</t>
  </si>
  <si>
    <t>Yaders Hernandez C/O;</t>
  </si>
  <si>
    <t>Will be reimbursed</t>
  </si>
  <si>
    <t>Windshield;</t>
  </si>
  <si>
    <t>Flight ticket;</t>
  </si>
  <si>
    <t>07/24/2023 - 07/30/2023</t>
  </si>
  <si>
    <t>Truck wash;</t>
  </si>
  <si>
    <t>Juan Bolivar C/O;</t>
  </si>
  <si>
    <t>Hub Replacement;</t>
  </si>
  <si>
    <t>Yaders hernandez C/O;</t>
  </si>
  <si>
    <t>Tire inflator;</t>
  </si>
  <si>
    <t>Cooland; Windshield washer;</t>
  </si>
  <si>
    <t>2 Brake shoes; 2 Brake drums;</t>
  </si>
  <si>
    <t>LR165578</t>
  </si>
  <si>
    <t>Patch;</t>
  </si>
  <si>
    <t>Yasser Lopez C/O;</t>
  </si>
  <si>
    <t>4 Brake shoes;</t>
  </si>
  <si>
    <t>Oil; Coolant; Windshield washer;</t>
  </si>
  <si>
    <t>Victor Rivera C/O;</t>
  </si>
  <si>
    <t xml:space="preserve">Coolant; </t>
  </si>
  <si>
    <t>07/17/2023 - 07/23/2023</t>
  </si>
  <si>
    <t>Fuel tank welding;</t>
  </si>
  <si>
    <t>Winch 191283;</t>
  </si>
  <si>
    <t>JR118212</t>
  </si>
  <si>
    <t>Oil;</t>
  </si>
  <si>
    <t>Towing;</t>
  </si>
  <si>
    <t>King Pin Lock;</t>
  </si>
  <si>
    <t>07/10/2023 - 07/16/2023</t>
  </si>
  <si>
    <t>Glad Hand Seals;</t>
  </si>
  <si>
    <t>Tape;</t>
  </si>
  <si>
    <t>Cash Advance;</t>
  </si>
  <si>
    <t>DEF;</t>
  </si>
  <si>
    <t>Wheel seal;</t>
  </si>
  <si>
    <t>Tire Inflator;</t>
  </si>
  <si>
    <t>07/03/2023 - 07/09/2023</t>
  </si>
  <si>
    <t>RMT Express Code</t>
  </si>
  <si>
    <t>4 Tires; 4 Shock absorbers; 1 Slack adjuster; 4 Brake shoes;</t>
  </si>
  <si>
    <t>2 ABS sensors; 1 ABS light;</t>
  </si>
  <si>
    <t>06/26/2023 - 07/02/2023</t>
  </si>
  <si>
    <t>KT028150</t>
  </si>
  <si>
    <t>4 tires; 1 wheel seal; 1 ABS;</t>
  </si>
  <si>
    <t>Cash advance;</t>
  </si>
  <si>
    <t>Rajbir Seigh C/O;</t>
  </si>
  <si>
    <t>4 Tires; 4 Shock absorbers; 4 Brake shoes; 2 ABS; 1 Wooden panel;</t>
  </si>
  <si>
    <t>Recap Tire;</t>
  </si>
  <si>
    <t xml:space="preserve">4 Brake shoes; 4 Brake drums; 4 Shock absorbers; 4 Tires; 1 Pigtail; </t>
  </si>
  <si>
    <t>06/19/2023 - 06/25/2023</t>
  </si>
  <si>
    <t>Jesus Granados L/O</t>
  </si>
  <si>
    <t>Adrian Ramirez L/O</t>
  </si>
  <si>
    <t>LR165712</t>
  </si>
  <si>
    <t>Valve;</t>
  </si>
  <si>
    <t>DEF; Windshield washer;</t>
  </si>
  <si>
    <t>Leider Vega C/O</t>
  </si>
  <si>
    <t>3 Tires; 4 Shocks; 4 Brake drums; 4 Brake shoes;</t>
  </si>
  <si>
    <t>Yasser Lopez C/O</t>
  </si>
  <si>
    <t>Tire Inflate Kit;</t>
  </si>
  <si>
    <t>Jackson Habineza C/O</t>
  </si>
  <si>
    <t>Gladhand;</t>
  </si>
  <si>
    <t>Jose Alvarez C/O</t>
  </si>
  <si>
    <t>Jadisdier Angel C/O</t>
  </si>
  <si>
    <t>06/12/2023 - 06/18/2023</t>
  </si>
  <si>
    <t>Mudflap; Windshield fluid;</t>
  </si>
  <si>
    <t>Tires; Shock absorbers;</t>
  </si>
  <si>
    <t>Tires; Hub seals;</t>
  </si>
  <si>
    <t>Issa Ihab C/O</t>
  </si>
  <si>
    <t>Cover Panel;</t>
  </si>
  <si>
    <t>Parts;</t>
  </si>
  <si>
    <t>Edward Brier C/O</t>
  </si>
  <si>
    <t>Ali El Attari C/O</t>
  </si>
  <si>
    <t>06/05/2023 - 06/11/2023</t>
  </si>
  <si>
    <t>Paper Logbook;</t>
  </si>
  <si>
    <t>Camilo Diaz C/O</t>
  </si>
  <si>
    <t>Coolant;</t>
  </si>
  <si>
    <t>Paid by broker</t>
  </si>
  <si>
    <t>05/29/2023 - 06/04/2023</t>
  </si>
  <si>
    <t>Jackson Jabineza C/O</t>
  </si>
  <si>
    <t>Panel; 2 Tires;</t>
  </si>
  <si>
    <t>Camilo Cano Montoya C/O</t>
  </si>
  <si>
    <t>$1200 deducted from the driver</t>
  </si>
  <si>
    <t xml:space="preserve">Bolt for a shock absorber; 3 Wheel seals; 1 Brake shoe; </t>
  </si>
  <si>
    <t>DEF; Paper logbook;</t>
  </si>
  <si>
    <t>Truck Wash;</t>
  </si>
  <si>
    <t>05/22/2023 - 05/28/2023</t>
  </si>
  <si>
    <t>COMPANY</t>
  </si>
  <si>
    <t>LEASE</t>
  </si>
  <si>
    <t>OWNER</t>
  </si>
  <si>
    <t>07.04.2022 - 07.10.2022</t>
  </si>
  <si>
    <t>Driver</t>
  </si>
  <si>
    <t>NEW COMDATA</t>
  </si>
  <si>
    <t>OLD COMDATA</t>
  </si>
  <si>
    <t>COMCHECK</t>
  </si>
  <si>
    <t>Andrey Gavrilov</t>
  </si>
  <si>
    <t>Javoni Tolbert</t>
  </si>
  <si>
    <t>Tracy Lee Ziegler</t>
  </si>
  <si>
    <t>Elmer Sandoval</t>
  </si>
  <si>
    <t>Bekhruz Solikhov</t>
  </si>
  <si>
    <t>Carlintz Luberisse</t>
  </si>
  <si>
    <t>Ivenson Barthelmy</t>
  </si>
  <si>
    <t>DRIVERS &amp; UNITS</t>
  </si>
  <si>
    <t>GALLONS</t>
  </si>
  <si>
    <t>DISCOUNTS</t>
  </si>
  <si>
    <t>Total</t>
  </si>
  <si>
    <t>07.11.2022 - 07.17.2022</t>
  </si>
  <si>
    <t>AVERAGE</t>
  </si>
  <si>
    <t>2226</t>
  </si>
  <si>
    <t>2222</t>
  </si>
  <si>
    <t>1018</t>
  </si>
  <si>
    <t>2331</t>
  </si>
  <si>
    <t>2083</t>
  </si>
  <si>
    <t>3266</t>
  </si>
  <si>
    <t>2324</t>
  </si>
  <si>
    <t>2692</t>
  </si>
  <si>
    <t>2820</t>
  </si>
  <si>
    <t>3252</t>
  </si>
  <si>
    <t>3847</t>
  </si>
  <si>
    <t>2847</t>
  </si>
  <si>
    <t>3673</t>
  </si>
  <si>
    <t>3279</t>
  </si>
  <si>
    <t>1774</t>
  </si>
  <si>
    <t>MILES</t>
  </si>
  <si>
    <t>07.18.2022 - 07.24.2022</t>
  </si>
  <si>
    <t>Yeferson David</t>
  </si>
  <si>
    <t>07.25.2022 - 07.31.2022</t>
  </si>
  <si>
    <t>2559</t>
  </si>
  <si>
    <t>1942</t>
  </si>
  <si>
    <t>3025</t>
  </si>
  <si>
    <t>3,066</t>
  </si>
  <si>
    <t>1475</t>
  </si>
  <si>
    <t>1701</t>
  </si>
  <si>
    <t>2141</t>
  </si>
  <si>
    <t>2958</t>
  </si>
  <si>
    <t>1045</t>
  </si>
  <si>
    <t>2746</t>
  </si>
  <si>
    <t>1750</t>
  </si>
  <si>
    <t>3209</t>
  </si>
  <si>
    <t>2723</t>
  </si>
  <si>
    <t>2340</t>
  </si>
  <si>
    <t>2583</t>
  </si>
  <si>
    <t>3638</t>
  </si>
  <si>
    <t>Khalid Aleid</t>
  </si>
  <si>
    <t>08.01.2022 - 08.07.2022</t>
  </si>
  <si>
    <t>2832</t>
  </si>
  <si>
    <t>1052</t>
  </si>
  <si>
    <t>1196</t>
  </si>
  <si>
    <t>3544</t>
  </si>
  <si>
    <t>Clayton Curtis</t>
  </si>
  <si>
    <t>826</t>
  </si>
  <si>
    <t>1784</t>
  </si>
  <si>
    <t>1881</t>
  </si>
  <si>
    <t>1826</t>
  </si>
  <si>
    <t>989</t>
  </si>
  <si>
    <t>3202</t>
  </si>
  <si>
    <t>4881</t>
  </si>
  <si>
    <t>4112</t>
  </si>
  <si>
    <t>08.07.2022 - 08.15.2022</t>
  </si>
  <si>
    <t xml:space="preserve"> Yovan Vasquez</t>
  </si>
  <si>
    <t>1780</t>
  </si>
  <si>
    <t>3527</t>
  </si>
  <si>
    <t>3444</t>
  </si>
  <si>
    <t>1122</t>
  </si>
  <si>
    <t>4046</t>
  </si>
  <si>
    <t>2002</t>
  </si>
  <si>
    <t>937</t>
  </si>
  <si>
    <t>994</t>
  </si>
  <si>
    <t>3898</t>
  </si>
  <si>
    <t>1625</t>
  </si>
  <si>
    <t>4435</t>
  </si>
  <si>
    <t>1248</t>
  </si>
  <si>
    <t>1237</t>
  </si>
  <si>
    <t>3,366</t>
  </si>
  <si>
    <t>1754</t>
  </si>
  <si>
    <t>4423</t>
  </si>
  <si>
    <t>08.15.2022 - 08.21.2022</t>
  </si>
  <si>
    <t>2643</t>
  </si>
  <si>
    <t>3926</t>
  </si>
  <si>
    <t>3161</t>
  </si>
  <si>
    <t>3366</t>
  </si>
  <si>
    <t>Ivan Ciarreta</t>
  </si>
  <si>
    <t>2955</t>
  </si>
  <si>
    <t>2031</t>
  </si>
  <si>
    <t>3178</t>
  </si>
  <si>
    <t>3432</t>
  </si>
  <si>
    <t>3431</t>
  </si>
  <si>
    <t>2807</t>
  </si>
  <si>
    <t>3563</t>
  </si>
  <si>
    <t>1225</t>
  </si>
  <si>
    <t>1369</t>
  </si>
  <si>
    <t>2769</t>
  </si>
  <si>
    <t>4490</t>
  </si>
  <si>
    <t>714</t>
  </si>
  <si>
    <t>08.22.2022 - 08.28.2022</t>
  </si>
  <si>
    <t>499</t>
  </si>
  <si>
    <t>4244</t>
  </si>
  <si>
    <t>3104</t>
  </si>
  <si>
    <t>2985</t>
  </si>
  <si>
    <t>2990</t>
  </si>
  <si>
    <t>2969</t>
  </si>
  <si>
    <t>3026</t>
  </si>
  <si>
    <t>2626</t>
  </si>
  <si>
    <t>1702</t>
  </si>
  <si>
    <t>2329</t>
  </si>
  <si>
    <t>3958</t>
  </si>
  <si>
    <t>1657</t>
  </si>
  <si>
    <t>3860</t>
  </si>
  <si>
    <t>08.29.2022 - 09.04.2022</t>
  </si>
  <si>
    <t>3,103</t>
  </si>
  <si>
    <t>1336</t>
  </si>
  <si>
    <t>Joel Tenorio</t>
  </si>
  <si>
    <t>Joel Fraga</t>
  </si>
  <si>
    <t>09.05.2022 - 09.11.2022</t>
  </si>
  <si>
    <t>2,916</t>
  </si>
  <si>
    <t>Shawn Skidmore</t>
  </si>
  <si>
    <t>1,471</t>
  </si>
  <si>
    <t>Abdilahi Jama</t>
  </si>
  <si>
    <t>1,883</t>
  </si>
  <si>
    <t>1,644</t>
  </si>
  <si>
    <t>3,454</t>
  </si>
  <si>
    <t>Youry Vassiliev/Siargei Mahilevets</t>
  </si>
  <si>
    <t>991</t>
  </si>
  <si>
    <t>09.12.2022 - 09.18.2022</t>
  </si>
  <si>
    <t>Issa Ihaab</t>
  </si>
  <si>
    <t>09.19.2022 - 09.25.2022</t>
  </si>
  <si>
    <t>Abdulwahab Fathi</t>
  </si>
  <si>
    <t xml:space="preserve">Youry Vasilliev </t>
  </si>
  <si>
    <t>09.26.2022 - 10.02.2022</t>
  </si>
  <si>
    <t>3906</t>
  </si>
  <si>
    <t>1518</t>
  </si>
  <si>
    <t>1908</t>
  </si>
  <si>
    <t>3098</t>
  </si>
  <si>
    <t>1259</t>
  </si>
  <si>
    <t>3163</t>
  </si>
  <si>
    <t>3097</t>
  </si>
  <si>
    <t>10.03.2022 - 10.09.2022</t>
  </si>
  <si>
    <t>10.10.2022 - 10.16.2022</t>
  </si>
  <si>
    <t>2,910</t>
  </si>
  <si>
    <t>2,737</t>
  </si>
  <si>
    <t>3,389</t>
  </si>
  <si>
    <t>3,580</t>
  </si>
  <si>
    <t>10.17.2022 - 10.23.2022</t>
  </si>
  <si>
    <t>2049</t>
  </si>
  <si>
    <t>2996</t>
  </si>
  <si>
    <t>3167</t>
  </si>
  <si>
    <t>2926</t>
  </si>
  <si>
    <t>2336</t>
  </si>
  <si>
    <t>10.24.2022 - 10.30.2022</t>
  </si>
  <si>
    <t>2310</t>
  </si>
  <si>
    <t>3040</t>
  </si>
  <si>
    <t>5061</t>
  </si>
  <si>
    <t>2227</t>
  </si>
  <si>
    <t>1706</t>
  </si>
  <si>
    <t>10.31.2022 - 11.06.2022</t>
  </si>
  <si>
    <t>RMT COMDATA</t>
  </si>
  <si>
    <t>6742</t>
  </si>
  <si>
    <t>638</t>
  </si>
  <si>
    <t>1103</t>
  </si>
  <si>
    <t>2284</t>
  </si>
  <si>
    <t>3164</t>
  </si>
  <si>
    <t>5771</t>
  </si>
  <si>
    <t>11.07.2022 - 11.13.2022</t>
  </si>
  <si>
    <t>1,111</t>
  </si>
  <si>
    <t>2,045</t>
  </si>
  <si>
    <t>2,936</t>
  </si>
  <si>
    <t>4,426</t>
  </si>
  <si>
    <t>3,490</t>
  </si>
  <si>
    <t>3,712</t>
  </si>
  <si>
    <t>11.14.2022 - 11.20.2022</t>
  </si>
  <si>
    <t>SAMSARA %</t>
  </si>
  <si>
    <t>Roni Andrade</t>
  </si>
  <si>
    <t>Ahmed Ediris</t>
  </si>
  <si>
    <t>PERCENT</t>
  </si>
  <si>
    <t>11.21.2022 - 11.27.2022</t>
  </si>
  <si>
    <t>352374/324926</t>
  </si>
  <si>
    <t>11.28.2022 - 12.04.2022</t>
  </si>
  <si>
    <t>Adrian Ramirez</t>
  </si>
  <si>
    <t>12.05.2022 - 12.11.2022</t>
  </si>
  <si>
    <t>352377 (001)</t>
  </si>
  <si>
    <t>12.12.2022 - 12.18.2022</t>
  </si>
  <si>
    <t>Zelle</t>
  </si>
  <si>
    <t>paid by himself</t>
  </si>
  <si>
    <t>Sander Decastro</t>
  </si>
  <si>
    <t>Chesmy Sainthilaire</t>
  </si>
  <si>
    <t>Jean Lahens</t>
  </si>
  <si>
    <t>U-2013</t>
  </si>
  <si>
    <t>U-01</t>
  </si>
  <si>
    <t>12.19.2022 - 12.25.2022</t>
  </si>
  <si>
    <t>ZELLE</t>
  </si>
  <si>
    <t>352368</t>
  </si>
  <si>
    <t>352371</t>
  </si>
  <si>
    <t>352372</t>
  </si>
  <si>
    <t>352373</t>
  </si>
  <si>
    <t>352375</t>
  </si>
  <si>
    <t>352376</t>
  </si>
  <si>
    <t>352377</t>
  </si>
  <si>
    <t>359885</t>
  </si>
  <si>
    <t>359886</t>
  </si>
  <si>
    <t>465180</t>
  </si>
  <si>
    <t>465181</t>
  </si>
  <si>
    <t>465182</t>
  </si>
  <si>
    <t>465183</t>
  </si>
  <si>
    <t>465184</t>
  </si>
  <si>
    <t>465185</t>
  </si>
  <si>
    <t>465186</t>
  </si>
  <si>
    <t>465187</t>
  </si>
  <si>
    <t>465188</t>
  </si>
  <si>
    <t>465189</t>
  </si>
  <si>
    <t>Chesmy Sainthilaire / Vedel Pierre</t>
  </si>
  <si>
    <t>1118</t>
  </si>
  <si>
    <t>2013</t>
  </si>
  <si>
    <t>001</t>
  </si>
  <si>
    <t>12.26.2022 - 01.01.2023</t>
  </si>
  <si>
    <t>Youri Vasilliev</t>
  </si>
  <si>
    <t>01.02.2023 - 01.08.2023</t>
  </si>
  <si>
    <t>662.60</t>
  </si>
  <si>
    <t>01.09.2023 - 01.15.2023</t>
  </si>
  <si>
    <t>352373/SUB 278061</t>
  </si>
  <si>
    <t>352377/352373</t>
  </si>
  <si>
    <t>554.68</t>
  </si>
  <si>
    <t>865.94</t>
  </si>
  <si>
    <t>01.16.2023 - 01.22.2023</t>
  </si>
  <si>
    <t>497.33</t>
  </si>
  <si>
    <t>Ahmed Ediris / Amr Hanafy</t>
  </si>
  <si>
    <t>01.23.2023 - 01.29.2023</t>
  </si>
  <si>
    <t>359885 / 465188</t>
  </si>
  <si>
    <t>88.27</t>
  </si>
  <si>
    <t>423.96</t>
  </si>
  <si>
    <t>233.95</t>
  </si>
  <si>
    <t>01.30.2023 - 02.05.2023</t>
  </si>
  <si>
    <t>02.06.2023 - 02.12.2023</t>
  </si>
  <si>
    <t>71.45</t>
  </si>
  <si>
    <t>35237</t>
  </si>
  <si>
    <t>02.13.2023 - 02.19.2023</t>
  </si>
  <si>
    <t>REFEER FUEL</t>
  </si>
  <si>
    <t xml:space="preserve">196.17  </t>
  </si>
  <si>
    <t>02.20.2023 - 02.26.2023</t>
  </si>
  <si>
    <t>359886 / SUB331475</t>
  </si>
  <si>
    <t>02.27.2023 - 03.05.2023</t>
  </si>
  <si>
    <t>594.12</t>
  </si>
  <si>
    <t>03.06.2023 - 03.12.2023</t>
  </si>
  <si>
    <t>46.631</t>
  </si>
  <si>
    <t>660.48</t>
  </si>
  <si>
    <t>70.60</t>
  </si>
  <si>
    <t>03.13.2023 - 03.19.2023</t>
  </si>
  <si>
    <t>485.61</t>
  </si>
  <si>
    <t>352374 / 352368</t>
  </si>
  <si>
    <t>352376 / 465188</t>
  </si>
  <si>
    <t>Wilmer Jimenez</t>
  </si>
  <si>
    <t>656.71</t>
  </si>
  <si>
    <t>03.20.2023 - 03.26.2023</t>
  </si>
  <si>
    <t>julio camejo</t>
  </si>
  <si>
    <t>352374 / 352371</t>
  </si>
  <si>
    <t>352377 / 352371</t>
  </si>
  <si>
    <t>350.05</t>
  </si>
  <si>
    <t>750.29</t>
  </si>
  <si>
    <t>529.23</t>
  </si>
  <si>
    <t>03.27.2023 - 04.02.2023</t>
  </si>
  <si>
    <t>Jose Palomarez</t>
  </si>
  <si>
    <t>352373 / 191277</t>
  </si>
  <si>
    <t>385.47</t>
  </si>
  <si>
    <t>359886 / 191283</t>
  </si>
  <si>
    <t>Jackson Habineza</t>
  </si>
  <si>
    <t>04.03.2023 - 04.09.2023</t>
  </si>
  <si>
    <t>674.81</t>
  </si>
  <si>
    <t>Pereira Gutierrez</t>
  </si>
  <si>
    <t>433.07</t>
  </si>
  <si>
    <t>165.46</t>
  </si>
  <si>
    <t>04.10.2023 - 04.16.2023</t>
  </si>
  <si>
    <t>618.34</t>
  </si>
  <si>
    <t>214.93</t>
  </si>
  <si>
    <t>04.17.2023 - 04.23.2023</t>
  </si>
  <si>
    <t>138.96</t>
  </si>
  <si>
    <t>Nayib Hoepp&amp;Jorge Ruiz</t>
  </si>
  <si>
    <t>SUB587154</t>
  </si>
  <si>
    <t>596.83</t>
  </si>
  <si>
    <t>179.42</t>
  </si>
  <si>
    <t>99.23</t>
  </si>
  <si>
    <t>04.24.2023 - 04.30.2023</t>
  </si>
  <si>
    <t>304.91</t>
  </si>
  <si>
    <t>Erick Alvarez</t>
  </si>
  <si>
    <t>Ali Nowroz</t>
  </si>
  <si>
    <t>465181 (sub 587154)</t>
  </si>
  <si>
    <t>877.33</t>
  </si>
  <si>
    <t>442.86</t>
  </si>
  <si>
    <t>635.93</t>
  </si>
  <si>
    <t>05.01.2023 - 05.07.2023</t>
  </si>
  <si>
    <t>624.9</t>
  </si>
  <si>
    <t>Jose Alvarez</t>
  </si>
  <si>
    <t>671.43</t>
  </si>
  <si>
    <t>535.64</t>
  </si>
  <si>
    <t>315.14</t>
  </si>
  <si>
    <t>416.99</t>
  </si>
  <si>
    <t>1650</t>
  </si>
  <si>
    <t>05.08.2023 - 05.14.2023</t>
  </si>
  <si>
    <t>420.67</t>
  </si>
  <si>
    <t>649.64</t>
  </si>
  <si>
    <t>652.63</t>
  </si>
  <si>
    <t>416.2</t>
  </si>
  <si>
    <t>133.66</t>
  </si>
  <si>
    <t>439.07</t>
  </si>
  <si>
    <t>440.07</t>
  </si>
  <si>
    <t>546.7</t>
  </si>
  <si>
    <t>760.4</t>
  </si>
  <si>
    <t>220.71</t>
  </si>
  <si>
    <t>636.03</t>
  </si>
  <si>
    <t>542.39</t>
  </si>
  <si>
    <t>638.11</t>
  </si>
  <si>
    <t>291.69</t>
  </si>
  <si>
    <t>443.29</t>
  </si>
  <si>
    <t>581.6</t>
  </si>
  <si>
    <t>522.83</t>
  </si>
  <si>
    <t>05.15.2023 - 05.21.2023</t>
  </si>
  <si>
    <t>662</t>
  </si>
  <si>
    <t>159.87</t>
  </si>
  <si>
    <t>Eduardo Rodrifuez</t>
  </si>
  <si>
    <t>730.84</t>
  </si>
  <si>
    <t>Leider Vega</t>
  </si>
  <si>
    <t>568.61</t>
  </si>
  <si>
    <t>299.67</t>
  </si>
  <si>
    <t>162.75</t>
  </si>
  <si>
    <t>645.71</t>
  </si>
  <si>
    <t>554.57</t>
  </si>
  <si>
    <t>170.23</t>
  </si>
  <si>
    <t>162.27</t>
  </si>
  <si>
    <t>496.34</t>
  </si>
  <si>
    <t>768.4</t>
  </si>
  <si>
    <t>227.29</t>
  </si>
  <si>
    <t>361.29</t>
  </si>
  <si>
    <t>486.86</t>
  </si>
  <si>
    <t>05.22.2023 - 05.28.2023</t>
  </si>
  <si>
    <t>Camilo Diaz</t>
  </si>
  <si>
    <t>466.9</t>
  </si>
  <si>
    <t>781.22</t>
  </si>
  <si>
    <t>677.54</t>
  </si>
  <si>
    <t>563.6</t>
  </si>
  <si>
    <t>487.86</t>
  </si>
  <si>
    <t>447.83</t>
  </si>
  <si>
    <t>501.34</t>
  </si>
  <si>
    <t>418.84</t>
  </si>
  <si>
    <t>347.4</t>
  </si>
  <si>
    <t>468.58</t>
  </si>
  <si>
    <t>22 (465184)</t>
  </si>
  <si>
    <t>05.29.2023 - 06.04.2023</t>
  </si>
  <si>
    <t>633.19</t>
  </si>
  <si>
    <t>355.65</t>
  </si>
  <si>
    <t>425.31</t>
  </si>
  <si>
    <t>257.96</t>
  </si>
  <si>
    <t>463.44</t>
  </si>
  <si>
    <t>536.01</t>
  </si>
  <si>
    <t>674.8</t>
  </si>
  <si>
    <t>161.76</t>
  </si>
  <si>
    <t>157.94</t>
  </si>
  <si>
    <t>204.6</t>
  </si>
  <si>
    <t>56</t>
  </si>
  <si>
    <t>456.86</t>
  </si>
  <si>
    <t>204.28</t>
  </si>
  <si>
    <t>374.36</t>
  </si>
  <si>
    <t>194.28</t>
  </si>
  <si>
    <t>06.05.2023 - 06.11.2023</t>
  </si>
  <si>
    <t>466.43</t>
  </si>
  <si>
    <t>569.99</t>
  </si>
  <si>
    <t>666.34</t>
  </si>
  <si>
    <t>110.57</t>
  </si>
  <si>
    <t>479.69</t>
  </si>
  <si>
    <t>585.2</t>
  </si>
  <si>
    <t>Andrey Stepanets</t>
  </si>
  <si>
    <t>402.77</t>
  </si>
  <si>
    <t>701.38</t>
  </si>
  <si>
    <t>704.19</t>
  </si>
  <si>
    <t>100</t>
  </si>
  <si>
    <t>546.03</t>
  </si>
  <si>
    <t>506.05</t>
  </si>
  <si>
    <t>625.29</t>
  </si>
  <si>
    <t>513.88</t>
  </si>
  <si>
    <t>06.12.2023 - 06.18.2023</t>
  </si>
  <si>
    <t>651.84</t>
  </si>
  <si>
    <t>356.78</t>
  </si>
  <si>
    <t>50.16</t>
  </si>
  <si>
    <t>532.04</t>
  </si>
  <si>
    <t>713.88</t>
  </si>
  <si>
    <t>Mough Seghir Hammoutene</t>
  </si>
  <si>
    <t>286.82</t>
  </si>
  <si>
    <t>598.79</t>
  </si>
  <si>
    <t>565.11</t>
  </si>
  <si>
    <t>566.92</t>
  </si>
  <si>
    <t>Miguel David Ochoa Maneiro</t>
  </si>
  <si>
    <t>339.29</t>
  </si>
  <si>
    <t>248.96</t>
  </si>
  <si>
    <t>313.4</t>
  </si>
  <si>
    <t>06.19.2023 - 06.25.2023</t>
  </si>
  <si>
    <t>368.77</t>
  </si>
  <si>
    <t>137.01</t>
  </si>
  <si>
    <t>Rajbir Singh</t>
  </si>
  <si>
    <t>$225.44</t>
  </si>
  <si>
    <t>488.49</t>
  </si>
  <si>
    <t>412.87</t>
  </si>
  <si>
    <t>636.74</t>
  </si>
  <si>
    <t>693.28</t>
  </si>
  <si>
    <t>Mough Seghir</t>
  </si>
  <si>
    <t>186.62</t>
  </si>
  <si>
    <t xml:space="preserve">Shade Adrei </t>
  </si>
  <si>
    <t>607.69</t>
  </si>
  <si>
    <t>885.52</t>
  </si>
  <si>
    <t>640.74</t>
  </si>
  <si>
    <t>575.23</t>
  </si>
  <si>
    <t>Miguel Ochoa</t>
  </si>
  <si>
    <t xml:space="preserve">Hernan Figueroa </t>
  </si>
  <si>
    <t>599.25</t>
  </si>
  <si>
    <t>362.53</t>
  </si>
  <si>
    <t>06.26.2023 - 07.02.2023</t>
  </si>
  <si>
    <t>592.34</t>
  </si>
  <si>
    <t>172.83</t>
  </si>
  <si>
    <t xml:space="preserve">Victor Rivera </t>
  </si>
  <si>
    <t>287.9</t>
  </si>
  <si>
    <t>Andrii Stepanets</t>
  </si>
  <si>
    <t>686.18</t>
  </si>
  <si>
    <t>484.69</t>
  </si>
  <si>
    <t>Andrey Shade</t>
  </si>
  <si>
    <t>128.68</t>
  </si>
  <si>
    <t>494.11</t>
  </si>
  <si>
    <t>453.75</t>
  </si>
  <si>
    <t>191.48</t>
  </si>
  <si>
    <t>420.16</t>
  </si>
  <si>
    <t>07.03.2023 - 07.09.2023</t>
  </si>
  <si>
    <t>$299.01</t>
  </si>
  <si>
    <t>555.82</t>
  </si>
  <si>
    <t>Victor Rivera</t>
  </si>
  <si>
    <t>514.89</t>
  </si>
  <si>
    <t>491.79</t>
  </si>
  <si>
    <t>288.36</t>
  </si>
  <si>
    <t>147.1</t>
  </si>
  <si>
    <t>Andrei Shade</t>
  </si>
  <si>
    <t>206.94</t>
  </si>
  <si>
    <t>134</t>
  </si>
  <si>
    <t>392.48</t>
  </si>
  <si>
    <t>07.10.2023 - 07.16.2023</t>
  </si>
  <si>
    <t>482.20</t>
  </si>
  <si>
    <t>314.79</t>
  </si>
  <si>
    <t>533.02</t>
  </si>
  <si>
    <t>476.87</t>
  </si>
  <si>
    <t>795.08</t>
  </si>
  <si>
    <t xml:space="preserve">Mouh Seghir Hammoutene </t>
  </si>
  <si>
    <t>224.57</t>
  </si>
  <si>
    <t>465185 / SUB</t>
  </si>
  <si>
    <t>650.42</t>
  </si>
  <si>
    <t>631.95</t>
  </si>
  <si>
    <t>624.41</t>
  </si>
  <si>
    <t>711.64</t>
  </si>
  <si>
    <t>224.01</t>
  </si>
  <si>
    <t>07.17.2023 - 07.23.2023</t>
  </si>
  <si>
    <t>302.57</t>
  </si>
  <si>
    <t>435.57</t>
  </si>
  <si>
    <t>536.89</t>
  </si>
  <si>
    <t>$1 768,23</t>
  </si>
  <si>
    <t>498,84</t>
  </si>
  <si>
    <t>507.74</t>
  </si>
  <si>
    <t>476.89</t>
  </si>
  <si>
    <t>$2 111,23</t>
  </si>
  <si>
    <t>527,47</t>
  </si>
  <si>
    <t>$140,45</t>
  </si>
  <si>
    <t>590.77</t>
  </si>
  <si>
    <t>410.62</t>
  </si>
  <si>
    <t>637.24</t>
  </si>
  <si>
    <t>96</t>
  </si>
  <si>
    <t>382.42</t>
  </si>
  <si>
    <t>07.24.2023 - 07.30.2023</t>
  </si>
  <si>
    <t>280.61</t>
  </si>
  <si>
    <t>526.43</t>
  </si>
  <si>
    <t>532.84</t>
  </si>
  <si>
    <t>536.09</t>
  </si>
  <si>
    <t>130.39</t>
  </si>
  <si>
    <t>718.55</t>
  </si>
  <si>
    <t>148.33</t>
  </si>
  <si>
    <t>07.31.2023 - 08.06.2023</t>
  </si>
  <si>
    <t>$75.80</t>
  </si>
  <si>
    <t xml:space="preserve">Yaders Hernandez </t>
  </si>
  <si>
    <t>266.52</t>
  </si>
  <si>
    <t>561.64</t>
  </si>
  <si>
    <t>328.11</t>
  </si>
  <si>
    <t>548.59</t>
  </si>
  <si>
    <t>419.35</t>
  </si>
  <si>
    <t>Victor Fernandez</t>
  </si>
  <si>
    <t>452.28</t>
  </si>
  <si>
    <t>Serkan Yalinkilic</t>
  </si>
  <si>
    <t>439.24</t>
  </si>
  <si>
    <t>310.88</t>
  </si>
  <si>
    <t>08.07.2023 - 08.13.2023</t>
  </si>
  <si>
    <t>$388.25</t>
  </si>
  <si>
    <t xml:space="preserve">Andrey Shade </t>
  </si>
  <si>
    <t>339.56</t>
  </si>
  <si>
    <t>507.09</t>
  </si>
  <si>
    <t>411.36</t>
  </si>
  <si>
    <t>781.11</t>
  </si>
  <si>
    <t>Youri Vasiliev &amp; Daniel Labestida</t>
  </si>
  <si>
    <t>332.71</t>
  </si>
  <si>
    <t>940.63</t>
  </si>
  <si>
    <t>Dior Villavicencio</t>
  </si>
  <si>
    <t xml:space="preserve">Victor Fernandez </t>
  </si>
  <si>
    <t>503.28</t>
  </si>
  <si>
    <t>520.96</t>
  </si>
  <si>
    <t>465188 / SUB</t>
  </si>
  <si>
    <t>401.38</t>
  </si>
  <si>
    <t>452.27</t>
  </si>
  <si>
    <t>08.14.2023 - 08.20.2023</t>
  </si>
  <si>
    <t xml:space="preserve">Camilo Diaz </t>
  </si>
  <si>
    <t>Daniel Labastida</t>
  </si>
  <si>
    <t>528.14</t>
  </si>
  <si>
    <t xml:space="preserve">SUB </t>
  </si>
  <si>
    <t>123.63</t>
  </si>
  <si>
    <t>181.39</t>
  </si>
  <si>
    <t>08.21.2023 - 08.27.2023</t>
  </si>
  <si>
    <t>244.78</t>
  </si>
  <si>
    <t>166.22</t>
  </si>
  <si>
    <t>412.34</t>
  </si>
  <si>
    <t>297.54</t>
  </si>
  <si>
    <t>430.17</t>
  </si>
  <si>
    <t>Daniel Labestida</t>
  </si>
  <si>
    <t>618.04</t>
  </si>
  <si>
    <t>254.97</t>
  </si>
  <si>
    <t>513.02</t>
  </si>
  <si>
    <t xml:space="preserve">Dirceu Azevedo </t>
  </si>
  <si>
    <t>153.62</t>
  </si>
  <si>
    <t>170.76</t>
  </si>
  <si>
    <t>08.28.2023 - 09.03.2023</t>
  </si>
  <si>
    <t>129.15</t>
  </si>
  <si>
    <t>662.5</t>
  </si>
  <si>
    <t>607.54</t>
  </si>
  <si>
    <t>581.3</t>
  </si>
  <si>
    <t>Dioris Villavicencio</t>
  </si>
  <si>
    <t>486.32</t>
  </si>
  <si>
    <t>521</t>
  </si>
  <si>
    <t>191276 / 191280</t>
  </si>
  <si>
    <t>767.16</t>
  </si>
  <si>
    <t>495.04</t>
  </si>
  <si>
    <t>09.04.2023 - 09.10.2023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</si>
</sst>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"/>
    <numFmt numFmtId="165" formatCode="&quot;$&quot;#,##0.0000"/>
    <numFmt numFmtId="166" formatCode="&quot;$&quot;#,##0"/>
    <numFmt numFmtId="167" formatCode="[$$]#,##0.00"/>
    <numFmt numFmtId="168" formatCode="mm/dd/yyyy"/>
    <numFmt numFmtId="169" formatCode="_(&quot;$&quot;* #,##0.00_);_(&quot;$&quot;* \(#,##0.00\);_(&quot;$&quot;* &quot;-&quot;??_);_(@_)"/>
  </numFmts>
  <fonts count="29">
    <font>
      <sz val="10"/>
      <color rgb="FF000000"/>
      <name val="Arial"/>
      <scheme val="minor"/>
    </font>
    <font>
      <sz val="11"/>
      <color rgb="FFFFFFFF"/>
      <name val="Calibri"/>
    </font>
    <font>
      <sz val="11"/>
      <color rgb="FF000000"/>
      <name val="Calibri"/>
    </font>
    <font>
      <sz val="10"/>
      <name val="Arial"/>
    </font>
    <font>
      <b/>
      <sz val="11"/>
      <color rgb="FF000000"/>
      <name val="Calibri"/>
    </font>
    <font>
      <sz val="11"/>
      <color theme="1"/>
      <name val="Calibri"/>
    </font>
    <font>
      <sz val="10"/>
      <color theme="1"/>
      <name val="Arial"/>
      <scheme val="minor"/>
    </font>
    <font>
      <sz val="18"/>
      <color rgb="FFFFFFFF"/>
      <name val="Calibri"/>
    </font>
    <font>
      <sz val="10"/>
      <color theme="1"/>
      <name val="Arial"/>
    </font>
    <font>
      <sz val="11"/>
      <color rgb="FFFFFFFF"/>
      <name val="Docs-Calibri"/>
    </font>
    <font>
      <sz val="10"/>
      <color theme="1"/>
      <name val="Calibri"/>
    </font>
    <font>
      <sz val="11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000000"/>
      <name val="Calibri"/>
    </font>
    <font>
      <sz val="11"/>
      <color rgb="FF000000"/>
      <name val="Docs-Calibri"/>
    </font>
    <font>
      <sz val="10"/>
      <color rgb="FFFF0000"/>
      <name val="Calibri"/>
    </font>
    <font>
      <sz val="10"/>
      <color rgb="FFFF0000"/>
      <name val="Calibri"/>
    </font>
    <font>
      <sz val="10"/>
      <color rgb="FF000000"/>
      <name val="Calibri"/>
    </font>
    <font>
      <sz val="11"/>
      <color rgb="FFFF0000"/>
      <name val="Calibri"/>
    </font>
    <font>
      <sz val="9"/>
      <color theme="1"/>
      <name val="Calibri"/>
    </font>
    <font>
      <sz val="10"/>
      <color rgb="FFFFFF00"/>
      <name val="Calibri"/>
    </font>
    <font>
      <sz val="10"/>
      <color rgb="FFFFFF00"/>
      <name val="Calibri"/>
    </font>
    <font>
      <b/>
      <sz val="12"/>
      <color theme="1"/>
      <name val="Calibri"/>
    </font>
    <font>
      <sz val="12"/>
      <color theme="1"/>
      <name val="Arial"/>
      <scheme val="minor"/>
    </font>
    <font>
      <b/>
      <sz val="10"/>
      <color theme="1"/>
      <name val="Calibri"/>
    </font>
    <font>
      <sz val="10"/>
      <color rgb="FF000000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9BC2E6"/>
        <bgColor rgb="FF9BC2E6"/>
      </patternFill>
    </fill>
    <fill>
      <patternFill patternType="solid">
        <fgColor rgb="FFBDD7EE"/>
        <bgColor rgb="FFBDD7EE"/>
      </patternFill>
    </fill>
    <fill>
      <patternFill patternType="solid">
        <fgColor rgb="FFA9D08E"/>
        <bgColor rgb="FFA9D08E"/>
      </patternFill>
    </fill>
    <fill>
      <patternFill patternType="solid">
        <fgColor rgb="FF2F75B5"/>
        <bgColor rgb="FF2F75B5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CC4125"/>
        <bgColor rgb="FFCC4125"/>
      </patternFill>
    </fill>
    <fill>
      <patternFill patternType="solid">
        <fgColor rgb="FFEAD1DC"/>
        <bgColor rgb="FFEAD1DC"/>
      </patternFill>
    </fill>
    <fill>
      <patternFill patternType="solid">
        <fgColor rgb="FF9900FF"/>
        <bgColor rgb="FF9900FF"/>
      </patternFill>
    </fill>
    <fill>
      <patternFill patternType="solid">
        <fgColor rgb="FFB4A7D6"/>
        <bgColor rgb="FFB4A7D6"/>
      </patternFill>
    </fill>
    <fill>
      <patternFill patternType="solid">
        <fgColor theme="0"/>
        <bgColor theme="0"/>
      </patternFill>
    </fill>
    <fill>
      <patternFill patternType="solid">
        <fgColor rgb="FF3C78D8"/>
        <bgColor rgb="FF3C78D8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F9CB9C"/>
        <bgColor rgb="FFF9CB9C"/>
      </patternFill>
    </fill>
    <fill>
      <patternFill patternType="solid">
        <fgColor rgb="FFFF2323"/>
        <bgColor rgb="FFFF2323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theme="6"/>
        <bgColor theme="6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FF00FF"/>
        <bgColor rgb="FFFF00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47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4" fontId="2" fillId="4" borderId="2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center"/>
    </xf>
    <xf numFmtId="0" fontId="2" fillId="5" borderId="1" xfId="0" applyFont="1" applyFill="1" applyBorder="1"/>
    <xf numFmtId="0" fontId="2" fillId="5" borderId="2" xfId="0" applyFont="1" applyFill="1" applyBorder="1" applyAlignment="1">
      <alignment horizontal="center"/>
    </xf>
    <xf numFmtId="3" fontId="2" fillId="5" borderId="2" xfId="0" applyNumberFormat="1" applyFont="1" applyFill="1" applyBorder="1" applyAlignment="1">
      <alignment horizontal="center"/>
    </xf>
    <xf numFmtId="164" fontId="2" fillId="5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4" fontId="2" fillId="5" borderId="2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right"/>
    </xf>
    <xf numFmtId="164" fontId="4" fillId="6" borderId="2" xfId="0" applyNumberFormat="1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4" fontId="2" fillId="7" borderId="2" xfId="0" applyNumberFormat="1" applyFont="1" applyFill="1" applyBorder="1" applyAlignment="1">
      <alignment horizontal="center"/>
    </xf>
    <xf numFmtId="164" fontId="2" fillId="7" borderId="2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4" fontId="2" fillId="8" borderId="2" xfId="0" applyNumberFormat="1" applyFont="1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4" fontId="2" fillId="9" borderId="2" xfId="0" applyNumberFormat="1" applyFont="1" applyFill="1" applyBorder="1" applyAlignment="1">
      <alignment horizontal="center"/>
    </xf>
    <xf numFmtId="164" fontId="2" fillId="9" borderId="2" xfId="0" applyNumberFormat="1" applyFont="1" applyFill="1" applyBorder="1" applyAlignment="1">
      <alignment horizontal="center"/>
    </xf>
    <xf numFmtId="0" fontId="2" fillId="10" borderId="1" xfId="0" applyFont="1" applyFill="1" applyBorder="1"/>
    <xf numFmtId="0" fontId="2" fillId="10" borderId="2" xfId="0" applyFont="1" applyFill="1" applyBorder="1" applyAlignment="1">
      <alignment horizontal="center"/>
    </xf>
    <xf numFmtId="4" fontId="2" fillId="10" borderId="2" xfId="0" applyNumberFormat="1" applyFont="1" applyFill="1" applyBorder="1" applyAlignment="1">
      <alignment horizontal="center"/>
    </xf>
    <xf numFmtId="164" fontId="2" fillId="10" borderId="2" xfId="0" applyNumberFormat="1" applyFont="1" applyFill="1" applyBorder="1" applyAlignment="1">
      <alignment horizontal="center"/>
    </xf>
    <xf numFmtId="0" fontId="5" fillId="8" borderId="6" xfId="0" applyFont="1" applyFill="1" applyBorder="1"/>
    <xf numFmtId="164" fontId="5" fillId="8" borderId="6" xfId="0" applyNumberFormat="1" applyFont="1" applyFill="1" applyBorder="1" applyAlignment="1">
      <alignment horizontal="center"/>
    </xf>
    <xf numFmtId="164" fontId="5" fillId="8" borderId="2" xfId="0" applyNumberFormat="1" applyFont="1" applyFill="1" applyBorder="1"/>
    <xf numFmtId="164" fontId="5" fillId="8" borderId="6" xfId="0" applyNumberFormat="1" applyFont="1" applyFill="1" applyBorder="1"/>
    <xf numFmtId="4" fontId="5" fillId="8" borderId="6" xfId="0" applyNumberFormat="1" applyFont="1" applyFill="1" applyBorder="1" applyAlignment="1">
      <alignment horizontal="center"/>
    </xf>
    <xf numFmtId="0" fontId="2" fillId="10" borderId="7" xfId="0" applyFont="1" applyFill="1" applyBorder="1"/>
    <xf numFmtId="0" fontId="2" fillId="10" borderId="8" xfId="0" applyFont="1" applyFill="1" applyBorder="1" applyAlignment="1">
      <alignment horizontal="center"/>
    </xf>
    <xf numFmtId="4" fontId="2" fillId="10" borderId="8" xfId="0" applyNumberFormat="1" applyFont="1" applyFill="1" applyBorder="1" applyAlignment="1">
      <alignment horizontal="center"/>
    </xf>
    <xf numFmtId="164" fontId="2" fillId="10" borderId="8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4" fontId="2" fillId="11" borderId="2" xfId="0" applyNumberFormat="1" applyFont="1" applyFill="1" applyBorder="1" applyAlignment="1">
      <alignment horizontal="center"/>
    </xf>
    <xf numFmtId="164" fontId="2" fillId="11" borderId="2" xfId="0" applyNumberFormat="1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7" borderId="6" xfId="0" applyFont="1" applyFill="1" applyBorder="1"/>
    <xf numFmtId="0" fontId="5" fillId="7" borderId="6" xfId="0" applyFont="1" applyFill="1" applyBorder="1" applyAlignment="1">
      <alignment horizontal="center"/>
    </xf>
    <xf numFmtId="164" fontId="5" fillId="7" borderId="6" xfId="0" applyNumberFormat="1" applyFont="1" applyFill="1" applyBorder="1" applyAlignment="1">
      <alignment horizontal="center"/>
    </xf>
    <xf numFmtId="164" fontId="5" fillId="7" borderId="2" xfId="0" applyNumberFormat="1" applyFont="1" applyFill="1" applyBorder="1"/>
    <xf numFmtId="164" fontId="5" fillId="7" borderId="6" xfId="0" applyNumberFormat="1" applyFont="1" applyFill="1" applyBorder="1"/>
    <xf numFmtId="3" fontId="2" fillId="8" borderId="2" xfId="0" applyNumberFormat="1" applyFont="1" applyFill="1" applyBorder="1" applyAlignment="1">
      <alignment horizontal="center"/>
    </xf>
    <xf numFmtId="3" fontId="5" fillId="8" borderId="6" xfId="0" applyNumberFormat="1" applyFont="1" applyFill="1" applyBorder="1" applyAlignment="1">
      <alignment horizontal="center"/>
    </xf>
    <xf numFmtId="3" fontId="2" fillId="7" borderId="2" xfId="0" applyNumberFormat="1" applyFont="1" applyFill="1" applyBorder="1" applyAlignment="1">
      <alignment horizontal="center"/>
    </xf>
    <xf numFmtId="4" fontId="6" fillId="0" borderId="0" xfId="0" applyNumberFormat="1" applyFont="1"/>
    <xf numFmtId="3" fontId="2" fillId="10" borderId="8" xfId="0" applyNumberFormat="1" applyFont="1" applyFill="1" applyBorder="1" applyAlignment="1">
      <alignment horizontal="center"/>
    </xf>
    <xf numFmtId="164" fontId="2" fillId="8" borderId="6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4" fontId="2" fillId="12" borderId="2" xfId="0" applyNumberFormat="1" applyFont="1" applyFill="1" applyBorder="1" applyAlignment="1">
      <alignment horizontal="center"/>
    </xf>
    <xf numFmtId="164" fontId="2" fillId="12" borderId="2" xfId="0" applyNumberFormat="1" applyFont="1" applyFill="1" applyBorder="1" applyAlignment="1">
      <alignment horizontal="center"/>
    </xf>
    <xf numFmtId="3" fontId="2" fillId="12" borderId="2" xfId="0" applyNumberFormat="1" applyFont="1" applyFill="1" applyBorder="1" applyAlignment="1">
      <alignment horizontal="center"/>
    </xf>
    <xf numFmtId="0" fontId="2" fillId="14" borderId="7" xfId="0" applyFont="1" applyFill="1" applyBorder="1"/>
    <xf numFmtId="0" fontId="2" fillId="14" borderId="8" xfId="0" applyFont="1" applyFill="1" applyBorder="1" applyAlignment="1">
      <alignment horizontal="center"/>
    </xf>
    <xf numFmtId="4" fontId="2" fillId="14" borderId="8" xfId="0" applyNumberFormat="1" applyFont="1" applyFill="1" applyBorder="1" applyAlignment="1">
      <alignment horizontal="center"/>
    </xf>
    <xf numFmtId="164" fontId="2" fillId="14" borderId="8" xfId="0" applyNumberFormat="1" applyFont="1" applyFill="1" applyBorder="1" applyAlignment="1">
      <alignment horizontal="center"/>
    </xf>
    <xf numFmtId="3" fontId="2" fillId="14" borderId="8" xfId="0" applyNumberFormat="1" applyFont="1" applyFill="1" applyBorder="1" applyAlignment="1">
      <alignment horizontal="center"/>
    </xf>
    <xf numFmtId="164" fontId="5" fillId="8" borderId="2" xfId="0" applyNumberFormat="1" applyFont="1" applyFill="1" applyBorder="1" applyAlignment="1">
      <alignment horizontal="center"/>
    </xf>
    <xf numFmtId="164" fontId="2" fillId="15" borderId="8" xfId="0" applyNumberFormat="1" applyFont="1" applyFill="1" applyBorder="1" applyAlignment="1">
      <alignment horizontal="center"/>
    </xf>
    <xf numFmtId="0" fontId="2" fillId="10" borderId="6" xfId="0" applyFont="1" applyFill="1" applyBorder="1"/>
    <xf numFmtId="0" fontId="2" fillId="10" borderId="6" xfId="0" applyFont="1" applyFill="1" applyBorder="1" applyAlignment="1">
      <alignment horizontal="center"/>
    </xf>
    <xf numFmtId="4" fontId="2" fillId="10" borderId="6" xfId="0" applyNumberFormat="1" applyFont="1" applyFill="1" applyBorder="1" applyAlignment="1">
      <alignment horizontal="center"/>
    </xf>
    <xf numFmtId="164" fontId="2" fillId="10" borderId="6" xfId="0" applyNumberFormat="1" applyFont="1" applyFill="1" applyBorder="1" applyAlignment="1">
      <alignment horizontal="center"/>
    </xf>
    <xf numFmtId="3" fontId="2" fillId="10" borderId="6" xfId="0" applyNumberFormat="1" applyFont="1" applyFill="1" applyBorder="1" applyAlignment="1">
      <alignment horizontal="center"/>
    </xf>
    <xf numFmtId="0" fontId="8" fillId="2" borderId="6" xfId="0" applyFont="1" applyFill="1" applyBorder="1"/>
    <xf numFmtId="0" fontId="9" fillId="2" borderId="0" xfId="0" applyFont="1" applyFill="1" applyAlignment="1">
      <alignment horizontal="center"/>
    </xf>
    <xf numFmtId="164" fontId="5" fillId="8" borderId="1" xfId="0" applyNumberFormat="1" applyFont="1" applyFill="1" applyBorder="1" applyAlignment="1">
      <alignment horizontal="center"/>
    </xf>
    <xf numFmtId="164" fontId="5" fillId="12" borderId="1" xfId="0" applyNumberFormat="1" applyFont="1" applyFill="1" applyBorder="1" applyAlignment="1">
      <alignment horizontal="center"/>
    </xf>
    <xf numFmtId="164" fontId="5" fillId="10" borderId="1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64" fontId="2" fillId="8" borderId="10" xfId="0" applyNumberFormat="1" applyFont="1" applyFill="1" applyBorder="1" applyAlignment="1">
      <alignment horizontal="center"/>
    </xf>
    <xf numFmtId="164" fontId="2" fillId="12" borderId="10" xfId="0" applyNumberFormat="1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164" fontId="2" fillId="10" borderId="3" xfId="0" applyNumberFormat="1" applyFont="1" applyFill="1" applyBorder="1" applyAlignment="1">
      <alignment horizontal="center"/>
    </xf>
    <xf numFmtId="164" fontId="2" fillId="12" borderId="6" xfId="0" applyNumberFormat="1" applyFont="1" applyFill="1" applyBorder="1" applyAlignment="1">
      <alignment horizontal="center"/>
    </xf>
    <xf numFmtId="0" fontId="6" fillId="0" borderId="0" xfId="0" applyFont="1"/>
    <xf numFmtId="0" fontId="2" fillId="16" borderId="1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4" fontId="2" fillId="16" borderId="2" xfId="0" applyNumberFormat="1" applyFont="1" applyFill="1" applyBorder="1" applyAlignment="1">
      <alignment horizontal="center"/>
    </xf>
    <xf numFmtId="164" fontId="2" fillId="16" borderId="2" xfId="0" applyNumberFormat="1" applyFont="1" applyFill="1" applyBorder="1" applyAlignment="1">
      <alignment horizontal="center"/>
    </xf>
    <xf numFmtId="164" fontId="2" fillId="16" borderId="6" xfId="0" applyNumberFormat="1" applyFont="1" applyFill="1" applyBorder="1" applyAlignment="1">
      <alignment horizontal="center"/>
    </xf>
    <xf numFmtId="164" fontId="5" fillId="16" borderId="1" xfId="0" applyNumberFormat="1" applyFont="1" applyFill="1" applyBorder="1" applyAlignment="1">
      <alignment horizontal="center"/>
    </xf>
    <xf numFmtId="0" fontId="6" fillId="15" borderId="0" xfId="0" applyFont="1" applyFill="1"/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1" fillId="17" borderId="5" xfId="0" applyFont="1" applyFill="1" applyBorder="1" applyAlignment="1">
      <alignment horizontal="center"/>
    </xf>
    <xf numFmtId="0" fontId="1" fillId="17" borderId="9" xfId="0" applyFont="1" applyFill="1" applyBorder="1" applyAlignment="1">
      <alignment horizontal="center"/>
    </xf>
    <xf numFmtId="0" fontId="1" fillId="17" borderId="6" xfId="0" applyFont="1" applyFill="1" applyBorder="1" applyAlignment="1">
      <alignment horizontal="center"/>
    </xf>
    <xf numFmtId="0" fontId="2" fillId="18" borderId="6" xfId="0" applyFont="1" applyFill="1" applyBorder="1" applyAlignment="1">
      <alignment horizontal="center"/>
    </xf>
    <xf numFmtId="0" fontId="5" fillId="18" borderId="6" xfId="0" applyFont="1" applyFill="1" applyBorder="1" applyAlignment="1">
      <alignment horizontal="center"/>
    </xf>
    <xf numFmtId="49" fontId="2" fillId="19" borderId="6" xfId="0" applyNumberFormat="1" applyFont="1" applyFill="1" applyBorder="1" applyAlignment="1">
      <alignment horizontal="center"/>
    </xf>
    <xf numFmtId="164" fontId="2" fillId="19" borderId="6" xfId="0" applyNumberFormat="1" applyFont="1" applyFill="1" applyBorder="1" applyAlignment="1">
      <alignment horizontal="center"/>
    </xf>
    <xf numFmtId="164" fontId="2" fillId="19" borderId="2" xfId="0" applyNumberFormat="1" applyFont="1" applyFill="1" applyBorder="1" applyAlignment="1">
      <alignment horizontal="center"/>
    </xf>
    <xf numFmtId="4" fontId="2" fillId="19" borderId="2" xfId="0" applyNumberFormat="1" applyFont="1" applyFill="1" applyBorder="1" applyAlignment="1">
      <alignment horizontal="center"/>
    </xf>
    <xf numFmtId="164" fontId="10" fillId="19" borderId="6" xfId="0" applyNumberFormat="1" applyFont="1" applyFill="1" applyBorder="1" applyAlignment="1">
      <alignment horizontal="center"/>
    </xf>
    <xf numFmtId="49" fontId="5" fillId="19" borderId="6" xfId="0" applyNumberFormat="1" applyFont="1" applyFill="1" applyBorder="1" applyAlignment="1">
      <alignment horizontal="center"/>
    </xf>
    <xf numFmtId="164" fontId="5" fillId="19" borderId="5" xfId="0" applyNumberFormat="1" applyFont="1" applyFill="1" applyBorder="1" applyAlignment="1">
      <alignment horizontal="center"/>
    </xf>
    <xf numFmtId="49" fontId="5" fillId="19" borderId="5" xfId="0" applyNumberFormat="1" applyFont="1" applyFill="1" applyBorder="1" applyAlignment="1">
      <alignment horizontal="center"/>
    </xf>
    <xf numFmtId="164" fontId="5" fillId="19" borderId="5" xfId="0" applyNumberFormat="1" applyFont="1" applyFill="1" applyBorder="1"/>
    <xf numFmtId="0" fontId="5" fillId="4" borderId="6" xfId="0" applyFont="1" applyFill="1" applyBorder="1" applyAlignment="1">
      <alignment horizontal="center"/>
    </xf>
    <xf numFmtId="0" fontId="2" fillId="19" borderId="6" xfId="0" applyFont="1" applyFill="1" applyBorder="1" applyAlignment="1">
      <alignment horizontal="center"/>
    </xf>
    <xf numFmtId="3" fontId="2" fillId="19" borderId="5" xfId="0" applyNumberFormat="1" applyFont="1" applyFill="1" applyBorder="1" applyAlignment="1">
      <alignment horizontal="center"/>
    </xf>
    <xf numFmtId="49" fontId="2" fillId="19" borderId="5" xfId="0" applyNumberFormat="1" applyFont="1" applyFill="1" applyBorder="1" applyAlignment="1">
      <alignment horizontal="center"/>
    </xf>
    <xf numFmtId="49" fontId="6" fillId="19" borderId="5" xfId="0" applyNumberFormat="1" applyFont="1" applyFill="1" applyBorder="1" applyAlignment="1">
      <alignment horizontal="center"/>
    </xf>
    <xf numFmtId="3" fontId="11" fillId="19" borderId="5" xfId="0" applyNumberFormat="1" applyFont="1" applyFill="1" applyBorder="1" applyAlignment="1">
      <alignment horizontal="center"/>
    </xf>
    <xf numFmtId="0" fontId="5" fillId="19" borderId="6" xfId="0" applyFont="1" applyFill="1" applyBorder="1" applyAlignment="1">
      <alignment horizontal="center"/>
    </xf>
    <xf numFmtId="3" fontId="5" fillId="19" borderId="5" xfId="0" applyNumberFormat="1" applyFont="1" applyFill="1" applyBorder="1" applyAlignment="1">
      <alignment horizontal="center"/>
    </xf>
    <xf numFmtId="49" fontId="2" fillId="10" borderId="6" xfId="0" applyNumberFormat="1" applyFont="1" applyFill="1" applyBorder="1" applyAlignment="1">
      <alignment horizontal="center"/>
    </xf>
    <xf numFmtId="1" fontId="2" fillId="19" borderId="11" xfId="0" applyNumberFormat="1" applyFont="1" applyFill="1" applyBorder="1" applyAlignment="1">
      <alignment horizontal="center"/>
    </xf>
    <xf numFmtId="1" fontId="6" fillId="19" borderId="11" xfId="0" applyNumberFormat="1" applyFont="1" applyFill="1" applyBorder="1" applyAlignment="1">
      <alignment horizontal="center"/>
    </xf>
    <xf numFmtId="1" fontId="11" fillId="19" borderId="11" xfId="0" applyNumberFormat="1" applyFont="1" applyFill="1" applyBorder="1" applyAlignment="1">
      <alignment horizontal="center"/>
    </xf>
    <xf numFmtId="1" fontId="5" fillId="19" borderId="11" xfId="0" applyNumberFormat="1" applyFont="1" applyFill="1" applyBorder="1" applyAlignment="1">
      <alignment horizontal="center"/>
    </xf>
    <xf numFmtId="0" fontId="10" fillId="0" borderId="0" xfId="0" applyFont="1"/>
    <xf numFmtId="3" fontId="8" fillId="19" borderId="1" xfId="0" applyNumberFormat="1" applyFont="1" applyFill="1" applyBorder="1" applyAlignment="1">
      <alignment horizontal="center"/>
    </xf>
    <xf numFmtId="165" fontId="2" fillId="19" borderId="2" xfId="0" applyNumberFormat="1" applyFont="1" applyFill="1" applyBorder="1" applyAlignment="1">
      <alignment horizontal="center"/>
    </xf>
    <xf numFmtId="3" fontId="2" fillId="19" borderId="2" xfId="0" applyNumberFormat="1" applyFont="1" applyFill="1" applyBorder="1" applyAlignment="1">
      <alignment horizontal="center"/>
    </xf>
    <xf numFmtId="164" fontId="5" fillId="19" borderId="6" xfId="0" applyNumberFormat="1" applyFont="1" applyFill="1" applyBorder="1" applyAlignment="1">
      <alignment horizontal="center"/>
    </xf>
    <xf numFmtId="3" fontId="5" fillId="19" borderId="1" xfId="0" applyNumberFormat="1" applyFont="1" applyFill="1" applyBorder="1" applyAlignment="1">
      <alignment horizontal="center"/>
    </xf>
    <xf numFmtId="165" fontId="2" fillId="10" borderId="6" xfId="0" applyNumberFormat="1" applyFont="1" applyFill="1" applyBorder="1" applyAlignment="1">
      <alignment horizontal="center"/>
    </xf>
    <xf numFmtId="0" fontId="2" fillId="18" borderId="0" xfId="0" applyFont="1" applyFill="1" applyAlignment="1">
      <alignment horizontal="center"/>
    </xf>
    <xf numFmtId="164" fontId="5" fillId="19" borderId="2" xfId="0" applyNumberFormat="1" applyFont="1" applyFill="1" applyBorder="1" applyAlignment="1">
      <alignment horizontal="center"/>
    </xf>
    <xf numFmtId="164" fontId="5" fillId="19" borderId="12" xfId="0" applyNumberFormat="1" applyFont="1" applyFill="1" applyBorder="1" applyAlignment="1">
      <alignment horizontal="center"/>
    </xf>
    <xf numFmtId="0" fontId="2" fillId="20" borderId="6" xfId="0" applyFont="1" applyFill="1" applyBorder="1" applyAlignment="1">
      <alignment horizontal="center"/>
    </xf>
    <xf numFmtId="49" fontId="2" fillId="20" borderId="6" xfId="0" applyNumberFormat="1" applyFont="1" applyFill="1" applyBorder="1" applyAlignment="1">
      <alignment horizontal="center"/>
    </xf>
    <xf numFmtId="3" fontId="2" fillId="21" borderId="6" xfId="0" applyNumberFormat="1" applyFont="1" applyFill="1" applyBorder="1" applyAlignment="1">
      <alignment horizontal="center"/>
    </xf>
    <xf numFmtId="164" fontId="2" fillId="21" borderId="5" xfId="0" applyNumberFormat="1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164" fontId="2" fillId="21" borderId="6" xfId="0" applyNumberFormat="1" applyFont="1" applyFill="1" applyBorder="1" applyAlignment="1">
      <alignment horizontal="center"/>
    </xf>
    <xf numFmtId="164" fontId="2" fillId="21" borderId="2" xfId="0" applyNumberFormat="1" applyFont="1" applyFill="1" applyBorder="1" applyAlignment="1">
      <alignment horizontal="center"/>
    </xf>
    <xf numFmtId="165" fontId="2" fillId="21" borderId="2" xfId="0" applyNumberFormat="1" applyFont="1" applyFill="1" applyBorder="1" applyAlignment="1">
      <alignment horizontal="center"/>
    </xf>
    <xf numFmtId="3" fontId="2" fillId="21" borderId="2" xfId="0" applyNumberFormat="1" applyFont="1" applyFill="1" applyBorder="1" applyAlignment="1">
      <alignment horizontal="center"/>
    </xf>
    <xf numFmtId="9" fontId="2" fillId="21" borderId="2" xfId="0" applyNumberFormat="1" applyFont="1" applyFill="1" applyBorder="1" applyAlignment="1">
      <alignment horizontal="center"/>
    </xf>
    <xf numFmtId="1" fontId="2" fillId="10" borderId="6" xfId="0" applyNumberFormat="1" applyFont="1" applyFill="1" applyBorder="1" applyAlignment="1">
      <alignment horizontal="center"/>
    </xf>
    <xf numFmtId="166" fontId="2" fillId="10" borderId="6" xfId="0" applyNumberFormat="1" applyFont="1" applyFill="1" applyBorder="1" applyAlignment="1">
      <alignment horizontal="center"/>
    </xf>
    <xf numFmtId="164" fontId="5" fillId="19" borderId="1" xfId="0" applyNumberFormat="1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0" fontId="6" fillId="2" borderId="4" xfId="0" applyFont="1" applyFill="1" applyBorder="1"/>
    <xf numFmtId="0" fontId="6" fillId="2" borderId="5" xfId="0" applyFont="1" applyFill="1" applyBorder="1"/>
    <xf numFmtId="0" fontId="1" fillId="17" borderId="1" xfId="0" applyFont="1" applyFill="1" applyBorder="1" applyAlignment="1">
      <alignment horizontal="center" wrapText="1"/>
    </xf>
    <xf numFmtId="1" fontId="2" fillId="19" borderId="6" xfId="0" applyNumberFormat="1" applyFont="1" applyFill="1" applyBorder="1" applyAlignment="1">
      <alignment horizontal="center"/>
    </xf>
    <xf numFmtId="165" fontId="2" fillId="19" borderId="6" xfId="0" applyNumberFormat="1" applyFont="1" applyFill="1" applyBorder="1" applyAlignment="1">
      <alignment horizontal="center"/>
    </xf>
    <xf numFmtId="3" fontId="2" fillId="19" borderId="6" xfId="0" applyNumberFormat="1" applyFont="1" applyFill="1" applyBorder="1" applyAlignment="1">
      <alignment horizontal="center"/>
    </xf>
    <xf numFmtId="4" fontId="2" fillId="19" borderId="6" xfId="0" applyNumberFormat="1" applyFont="1" applyFill="1" applyBorder="1" applyAlignment="1">
      <alignment horizontal="center"/>
    </xf>
    <xf numFmtId="1" fontId="5" fillId="19" borderId="6" xfId="0" applyNumberFormat="1" applyFont="1" applyFill="1" applyBorder="1" applyAlignment="1">
      <alignment horizontal="center"/>
    </xf>
    <xf numFmtId="164" fontId="5" fillId="19" borderId="6" xfId="0" applyNumberFormat="1" applyFont="1" applyFill="1" applyBorder="1"/>
    <xf numFmtId="3" fontId="5" fillId="19" borderId="6" xfId="0" applyNumberFormat="1" applyFont="1" applyFill="1" applyBorder="1" applyAlignment="1">
      <alignment horizontal="center"/>
    </xf>
    <xf numFmtId="0" fontId="2" fillId="21" borderId="6" xfId="0" applyFont="1" applyFill="1" applyBorder="1" applyAlignment="1">
      <alignment horizontal="center"/>
    </xf>
    <xf numFmtId="165" fontId="2" fillId="21" borderId="6" xfId="0" applyNumberFormat="1" applyFont="1" applyFill="1" applyBorder="1" applyAlignment="1">
      <alignment horizontal="center"/>
    </xf>
    <xf numFmtId="9" fontId="2" fillId="21" borderId="6" xfId="0" applyNumberFormat="1" applyFont="1" applyFill="1" applyBorder="1" applyAlignment="1">
      <alignment horizontal="center"/>
    </xf>
    <xf numFmtId="4" fontId="2" fillId="10" borderId="6" xfId="0" applyNumberFormat="1" applyFont="1" applyFill="1" applyBorder="1" applyAlignment="1">
      <alignment horizontal="center" vertical="center" wrapText="1"/>
    </xf>
    <xf numFmtId="164" fontId="2" fillId="10" borderId="6" xfId="0" applyNumberFormat="1" applyFont="1" applyFill="1" applyBorder="1" applyAlignment="1">
      <alignment horizontal="center" vertical="center" wrapText="1"/>
    </xf>
    <xf numFmtId="1" fontId="2" fillId="10" borderId="6" xfId="0" applyNumberFormat="1" applyFont="1" applyFill="1" applyBorder="1" applyAlignment="1">
      <alignment horizontal="center" vertical="center" wrapText="1"/>
    </xf>
    <xf numFmtId="165" fontId="2" fillId="10" borderId="6" xfId="0" applyNumberFormat="1" applyFont="1" applyFill="1" applyBorder="1" applyAlignment="1">
      <alignment horizontal="center" vertical="center" wrapText="1"/>
    </xf>
    <xf numFmtId="3" fontId="2" fillId="10" borderId="6" xfId="0" applyNumberFormat="1" applyFont="1" applyFill="1" applyBorder="1" applyAlignment="1">
      <alignment horizontal="center" vertical="center" wrapText="1"/>
    </xf>
    <xf numFmtId="166" fontId="2" fillId="10" borderId="6" xfId="0" applyNumberFormat="1" applyFont="1" applyFill="1" applyBorder="1" applyAlignment="1">
      <alignment horizontal="center" vertical="center" wrapText="1"/>
    </xf>
    <xf numFmtId="0" fontId="5" fillId="20" borderId="6" xfId="0" applyFont="1" applyFill="1" applyBorder="1" applyAlignment="1">
      <alignment horizontal="center"/>
    </xf>
    <xf numFmtId="164" fontId="5" fillId="21" borderId="6" xfId="0" applyNumberFormat="1" applyFont="1" applyFill="1" applyBorder="1" applyAlignment="1">
      <alignment horizontal="center"/>
    </xf>
    <xf numFmtId="164" fontId="5" fillId="21" borderId="6" xfId="0" applyNumberFormat="1" applyFont="1" applyFill="1" applyBorder="1"/>
    <xf numFmtId="49" fontId="2" fillId="10" borderId="6" xfId="0" applyNumberFormat="1" applyFont="1" applyFill="1" applyBorder="1" applyAlignment="1">
      <alignment horizontal="center" vertical="center" wrapText="1"/>
    </xf>
    <xf numFmtId="0" fontId="12" fillId="18" borderId="0" xfId="0" applyFont="1" applyFill="1" applyAlignment="1">
      <alignment horizontal="center"/>
    </xf>
    <xf numFmtId="49" fontId="2" fillId="10" borderId="6" xfId="0" applyNumberFormat="1" applyFont="1" applyFill="1" applyBorder="1" applyAlignment="1">
      <alignment horizontal="left" vertical="center" wrapText="1"/>
    </xf>
    <xf numFmtId="0" fontId="2" fillId="22" borderId="0" xfId="0" applyFont="1" applyFill="1"/>
    <xf numFmtId="0" fontId="2" fillId="22" borderId="0" xfId="0" applyFont="1" applyFill="1" applyAlignment="1">
      <alignment horizontal="center"/>
    </xf>
    <xf numFmtId="49" fontId="2" fillId="22" borderId="0" xfId="0" applyNumberFormat="1" applyFont="1" applyFill="1" applyAlignment="1">
      <alignment horizontal="center" vertical="center" wrapText="1"/>
    </xf>
    <xf numFmtId="164" fontId="2" fillId="22" borderId="0" xfId="0" applyNumberFormat="1" applyFont="1" applyFill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165" fontId="2" fillId="22" borderId="0" xfId="0" applyNumberFormat="1" applyFont="1" applyFill="1" applyAlignment="1">
      <alignment horizontal="center" vertical="center" wrapText="1"/>
    </xf>
    <xf numFmtId="3" fontId="2" fillId="22" borderId="0" xfId="0" applyNumberFormat="1" applyFont="1" applyFill="1" applyAlignment="1">
      <alignment horizontal="center" vertical="center" wrapText="1"/>
    </xf>
    <xf numFmtId="4" fontId="2" fillId="22" borderId="0" xfId="0" applyNumberFormat="1" applyFont="1" applyFill="1" applyAlignment="1">
      <alignment horizontal="center" vertical="center" wrapText="1"/>
    </xf>
    <xf numFmtId="166" fontId="2" fillId="22" borderId="0" xfId="0" applyNumberFormat="1" applyFont="1" applyFill="1" applyAlignment="1">
      <alignment horizontal="center" vertical="center" wrapText="1"/>
    </xf>
    <xf numFmtId="164" fontId="5" fillId="19" borderId="1" xfId="0" applyNumberFormat="1" applyFont="1" applyFill="1" applyBorder="1"/>
    <xf numFmtId="0" fontId="5" fillId="18" borderId="0" xfId="0" applyFont="1" applyFill="1" applyAlignment="1">
      <alignment horizontal="center"/>
    </xf>
    <xf numFmtId="0" fontId="13" fillId="18" borderId="6" xfId="0" applyFont="1" applyFill="1" applyBorder="1" applyAlignment="1">
      <alignment horizontal="center"/>
    </xf>
    <xf numFmtId="1" fontId="10" fillId="18" borderId="6" xfId="0" applyNumberFormat="1" applyFont="1" applyFill="1" applyBorder="1" applyAlignment="1">
      <alignment horizontal="center"/>
    </xf>
    <xf numFmtId="0" fontId="10" fillId="18" borderId="6" xfId="0" applyFont="1" applyFill="1" applyBorder="1" applyAlignment="1">
      <alignment horizontal="center" wrapText="1"/>
    </xf>
    <xf numFmtId="0" fontId="10" fillId="18" borderId="6" xfId="0" applyFont="1" applyFill="1" applyBorder="1" applyAlignment="1">
      <alignment horizontal="center"/>
    </xf>
    <xf numFmtId="49" fontId="10" fillId="18" borderId="6" xfId="0" applyNumberFormat="1" applyFont="1" applyFill="1" applyBorder="1" applyAlignment="1">
      <alignment horizontal="center"/>
    </xf>
    <xf numFmtId="0" fontId="13" fillId="18" borderId="0" xfId="0" applyFont="1" applyFill="1" applyAlignment="1">
      <alignment horizontal="center"/>
    </xf>
    <xf numFmtId="0" fontId="14" fillId="18" borderId="6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 vertical="center" wrapText="1"/>
    </xf>
    <xf numFmtId="3" fontId="15" fillId="21" borderId="0" xfId="0" applyNumberFormat="1" applyFont="1" applyFill="1" applyAlignment="1">
      <alignment horizontal="center"/>
    </xf>
    <xf numFmtId="3" fontId="15" fillId="21" borderId="6" xfId="0" applyNumberFormat="1" applyFont="1" applyFill="1" applyBorder="1" applyAlignment="1">
      <alignment horizontal="center"/>
    </xf>
    <xf numFmtId="164" fontId="5" fillId="10" borderId="6" xfId="0" applyNumberFormat="1" applyFont="1" applyFill="1" applyBorder="1" applyAlignment="1">
      <alignment horizontal="center"/>
    </xf>
    <xf numFmtId="164" fontId="5" fillId="21" borderId="1" xfId="0" applyNumberFormat="1" applyFont="1" applyFill="1" applyBorder="1" applyAlignment="1">
      <alignment horizontal="center"/>
    </xf>
    <xf numFmtId="0" fontId="16" fillId="18" borderId="6" xfId="0" applyFont="1" applyFill="1" applyBorder="1" applyAlignment="1">
      <alignment horizontal="center"/>
    </xf>
    <xf numFmtId="0" fontId="17" fillId="18" borderId="6" xfId="0" applyFont="1" applyFill="1" applyBorder="1" applyAlignment="1">
      <alignment horizontal="center"/>
    </xf>
    <xf numFmtId="0" fontId="18" fillId="18" borderId="6" xfId="0" applyFont="1" applyFill="1" applyBorder="1" applyAlignment="1">
      <alignment horizontal="center"/>
    </xf>
    <xf numFmtId="0" fontId="19" fillId="20" borderId="6" xfId="0" applyFont="1" applyFill="1" applyBorder="1" applyAlignment="1">
      <alignment horizontal="center"/>
    </xf>
    <xf numFmtId="49" fontId="2" fillId="10" borderId="6" xfId="0" applyNumberFormat="1" applyFont="1" applyFill="1" applyBorder="1" applyAlignment="1">
      <alignment horizontal="center" vertical="center"/>
    </xf>
    <xf numFmtId="164" fontId="2" fillId="10" borderId="6" xfId="0" applyNumberFormat="1" applyFont="1" applyFill="1" applyBorder="1" applyAlignment="1">
      <alignment horizontal="center" vertical="center"/>
    </xf>
    <xf numFmtId="4" fontId="2" fillId="10" borderId="6" xfId="0" applyNumberFormat="1" applyFont="1" applyFill="1" applyBorder="1" applyAlignment="1">
      <alignment horizontal="center" vertical="center"/>
    </xf>
    <xf numFmtId="164" fontId="6" fillId="19" borderId="6" xfId="0" applyNumberFormat="1" applyFont="1" applyFill="1" applyBorder="1" applyAlignment="1">
      <alignment horizontal="center"/>
    </xf>
    <xf numFmtId="3" fontId="2" fillId="10" borderId="6" xfId="0" applyNumberFormat="1" applyFont="1" applyFill="1" applyBorder="1" applyAlignment="1">
      <alignment horizontal="center" vertical="center"/>
    </xf>
    <xf numFmtId="1" fontId="17" fillId="18" borderId="6" xfId="0" applyNumberFormat="1" applyFont="1" applyFill="1" applyBorder="1" applyAlignment="1">
      <alignment horizontal="center"/>
    </xf>
    <xf numFmtId="4" fontId="2" fillId="17" borderId="6" xfId="0" applyNumberFormat="1" applyFont="1" applyFill="1" applyBorder="1" applyAlignment="1">
      <alignment horizontal="center"/>
    </xf>
    <xf numFmtId="164" fontId="15" fillId="19" borderId="6" xfId="0" applyNumberFormat="1" applyFont="1" applyFill="1" applyBorder="1" applyAlignment="1">
      <alignment horizontal="center"/>
    </xf>
    <xf numFmtId="1" fontId="14" fillId="18" borderId="6" xfId="0" applyNumberFormat="1" applyFont="1" applyFill="1" applyBorder="1" applyAlignment="1">
      <alignment horizontal="center"/>
    </xf>
    <xf numFmtId="4" fontId="2" fillId="23" borderId="6" xfId="0" applyNumberFormat="1" applyFont="1" applyFill="1" applyBorder="1" applyAlignment="1">
      <alignment horizontal="center"/>
    </xf>
    <xf numFmtId="0" fontId="19" fillId="21" borderId="6" xfId="0" applyFont="1" applyFill="1" applyBorder="1" applyAlignment="1">
      <alignment horizontal="center"/>
    </xf>
    <xf numFmtId="0" fontId="16" fillId="18" borderId="0" xfId="0" applyFont="1" applyFill="1" applyAlignment="1">
      <alignment horizontal="center"/>
    </xf>
    <xf numFmtId="4" fontId="2" fillId="2" borderId="6" xfId="0" applyNumberFormat="1" applyFont="1" applyFill="1" applyBorder="1" applyAlignment="1">
      <alignment horizontal="center"/>
    </xf>
    <xf numFmtId="9" fontId="2" fillId="19" borderId="6" xfId="0" applyNumberFormat="1" applyFont="1" applyFill="1" applyBorder="1" applyAlignment="1">
      <alignment horizontal="center"/>
    </xf>
    <xf numFmtId="49" fontId="17" fillId="18" borderId="6" xfId="0" applyNumberFormat="1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1" fontId="10" fillId="7" borderId="6" xfId="0" applyNumberFormat="1" applyFont="1" applyFill="1" applyBorder="1" applyAlignment="1">
      <alignment horizontal="center"/>
    </xf>
    <xf numFmtId="0" fontId="2" fillId="25" borderId="6" xfId="0" applyFont="1" applyFill="1" applyBorder="1" applyAlignment="1">
      <alignment horizontal="center"/>
    </xf>
    <xf numFmtId="164" fontId="2" fillId="25" borderId="6" xfId="0" applyNumberFormat="1" applyFont="1" applyFill="1" applyBorder="1" applyAlignment="1">
      <alignment horizontal="center"/>
    </xf>
    <xf numFmtId="49" fontId="2" fillId="25" borderId="6" xfId="0" applyNumberFormat="1" applyFont="1" applyFill="1" applyBorder="1" applyAlignment="1">
      <alignment horizontal="center"/>
    </xf>
    <xf numFmtId="164" fontId="5" fillId="25" borderId="1" xfId="0" applyNumberFormat="1" applyFont="1" applyFill="1" applyBorder="1" applyAlignment="1">
      <alignment horizontal="center"/>
    </xf>
    <xf numFmtId="164" fontId="5" fillId="25" borderId="6" xfId="0" applyNumberFormat="1" applyFont="1" applyFill="1" applyBorder="1" applyAlignment="1">
      <alignment horizontal="center"/>
    </xf>
    <xf numFmtId="165" fontId="2" fillId="25" borderId="6" xfId="0" applyNumberFormat="1" applyFont="1" applyFill="1" applyBorder="1" applyAlignment="1">
      <alignment horizontal="center"/>
    </xf>
    <xf numFmtId="9" fontId="2" fillId="25" borderId="6" xfId="0" applyNumberFormat="1" applyFont="1" applyFill="1" applyBorder="1" applyAlignment="1">
      <alignment horizontal="center"/>
    </xf>
    <xf numFmtId="164" fontId="10" fillId="21" borderId="6" xfId="0" applyNumberFormat="1" applyFont="1" applyFill="1" applyBorder="1" applyAlignment="1">
      <alignment horizontal="center"/>
    </xf>
    <xf numFmtId="4" fontId="5" fillId="19" borderId="6" xfId="0" applyNumberFormat="1" applyFont="1" applyFill="1" applyBorder="1" applyAlignment="1">
      <alignment horizontal="center"/>
    </xf>
    <xf numFmtId="164" fontId="5" fillId="26" borderId="5" xfId="0" applyNumberFormat="1" applyFont="1" applyFill="1" applyBorder="1" applyAlignment="1">
      <alignment horizontal="center"/>
    </xf>
    <xf numFmtId="0" fontId="10" fillId="27" borderId="6" xfId="0" applyFont="1" applyFill="1" applyBorder="1" applyAlignment="1">
      <alignment horizontal="center"/>
    </xf>
    <xf numFmtId="1" fontId="10" fillId="27" borderId="6" xfId="0" applyNumberFormat="1" applyFont="1" applyFill="1" applyBorder="1" applyAlignment="1">
      <alignment horizontal="center"/>
    </xf>
    <xf numFmtId="0" fontId="14" fillId="7" borderId="6" xfId="0" applyFont="1" applyFill="1" applyBorder="1" applyAlignment="1">
      <alignment horizontal="center"/>
    </xf>
    <xf numFmtId="49" fontId="19" fillId="20" borderId="6" xfId="0" applyNumberFormat="1" applyFont="1" applyFill="1" applyBorder="1" applyAlignment="1">
      <alignment horizontal="center"/>
    </xf>
    <xf numFmtId="0" fontId="20" fillId="19" borderId="6" xfId="0" applyFont="1" applyFill="1" applyBorder="1" applyAlignment="1">
      <alignment horizontal="center"/>
    </xf>
    <xf numFmtId="0" fontId="14" fillId="28" borderId="6" xfId="0" applyFont="1" applyFill="1" applyBorder="1" applyAlignment="1">
      <alignment horizontal="center"/>
    </xf>
    <xf numFmtId="1" fontId="10" fillId="28" borderId="6" xfId="0" applyNumberFormat="1" applyFont="1" applyFill="1" applyBorder="1" applyAlignment="1">
      <alignment horizontal="center"/>
    </xf>
    <xf numFmtId="0" fontId="21" fillId="18" borderId="6" xfId="0" applyFont="1" applyFill="1" applyBorder="1" applyAlignment="1">
      <alignment horizontal="center"/>
    </xf>
    <xf numFmtId="164" fontId="5" fillId="19" borderId="0" xfId="0" applyNumberFormat="1" applyFont="1" applyFill="1" applyAlignment="1">
      <alignment horizontal="center"/>
    </xf>
    <xf numFmtId="0" fontId="22" fillId="18" borderId="6" xfId="0" applyFont="1" applyFill="1" applyBorder="1" applyAlignment="1">
      <alignment horizontal="center"/>
    </xf>
    <xf numFmtId="49" fontId="5" fillId="25" borderId="6" xfId="0" applyNumberFormat="1" applyFont="1" applyFill="1" applyBorder="1" applyAlignment="1">
      <alignment horizontal="center"/>
    </xf>
    <xf numFmtId="3" fontId="2" fillId="25" borderId="6" xfId="0" applyNumberFormat="1" applyFont="1" applyFill="1" applyBorder="1" applyAlignment="1">
      <alignment horizontal="center"/>
    </xf>
    <xf numFmtId="1" fontId="14" fillId="7" borderId="6" xfId="0" applyNumberFormat="1" applyFont="1" applyFill="1" applyBorder="1" applyAlignment="1">
      <alignment horizontal="center"/>
    </xf>
    <xf numFmtId="0" fontId="23" fillId="23" borderId="0" xfId="0" applyFont="1" applyFill="1" applyAlignment="1">
      <alignment horizontal="center" vertical="center" wrapText="1"/>
    </xf>
    <xf numFmtId="167" fontId="23" fillId="23" borderId="0" xfId="0" applyNumberFormat="1" applyFont="1" applyFill="1" applyAlignment="1">
      <alignment horizontal="center" vertical="center" wrapText="1"/>
    </xf>
    <xf numFmtId="0" fontId="23" fillId="0" borderId="0" xfId="0" applyFont="1" applyAlignment="1">
      <alignment horizontal="center"/>
    </xf>
    <xf numFmtId="168" fontId="6" fillId="0" borderId="0" xfId="0" applyNumberFormat="1" applyFont="1"/>
    <xf numFmtId="164" fontId="6" fillId="0" borderId="0" xfId="0" applyNumberFormat="1" applyFont="1"/>
    <xf numFmtId="0" fontId="23" fillId="0" borderId="0" xfId="0" applyFont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4" fillId="0" borderId="0" xfId="0" applyFont="1"/>
    <xf numFmtId="166" fontId="6" fillId="0" borderId="0" xfId="0" applyNumberFormat="1" applyFont="1"/>
    <xf numFmtId="168" fontId="23" fillId="0" borderId="13" xfId="0" applyNumberFormat="1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164" fontId="23" fillId="0" borderId="14" xfId="0" applyNumberFormat="1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168" fontId="23" fillId="0" borderId="15" xfId="0" applyNumberFormat="1" applyFont="1" applyBorder="1" applyAlignment="1">
      <alignment horizontal="center" vertical="center" wrapText="1"/>
    </xf>
    <xf numFmtId="164" fontId="23" fillId="0" borderId="0" xfId="0" applyNumberFormat="1" applyFont="1" applyAlignment="1">
      <alignment horizontal="center" vertical="center" wrapText="1"/>
    </xf>
    <xf numFmtId="166" fontId="23" fillId="0" borderId="0" xfId="0" applyNumberFormat="1" applyFont="1" applyAlignment="1">
      <alignment horizontal="center" vertical="center" wrapText="1"/>
    </xf>
    <xf numFmtId="0" fontId="23" fillId="29" borderId="16" xfId="0" applyFont="1" applyFill="1" applyBorder="1" applyAlignment="1">
      <alignment horizontal="center" vertical="center" wrapText="1"/>
    </xf>
    <xf numFmtId="0" fontId="23" fillId="29" borderId="10" xfId="0" applyFont="1" applyFill="1" applyBorder="1" applyAlignment="1">
      <alignment horizontal="center" vertical="center" wrapText="1"/>
    </xf>
    <xf numFmtId="164" fontId="23" fillId="29" borderId="10" xfId="0" applyNumberFormat="1" applyFont="1" applyFill="1" applyBorder="1" applyAlignment="1">
      <alignment horizontal="center" vertical="center" wrapText="1"/>
    </xf>
    <xf numFmtId="0" fontId="23" fillId="29" borderId="2" xfId="0" applyFont="1" applyFill="1" applyBorder="1" applyAlignment="1">
      <alignment horizontal="center" vertical="center" wrapText="1"/>
    </xf>
    <xf numFmtId="167" fontId="23" fillId="0" borderId="14" xfId="0" applyNumberFormat="1" applyFont="1" applyBorder="1" applyAlignment="1">
      <alignment horizontal="center" vertical="center" wrapText="1"/>
    </xf>
    <xf numFmtId="167" fontId="23" fillId="0" borderId="0" xfId="0" applyNumberFormat="1" applyFont="1" applyAlignment="1">
      <alignment horizontal="center" vertical="center" wrapText="1"/>
    </xf>
    <xf numFmtId="0" fontId="23" fillId="20" borderId="16" xfId="0" applyFont="1" applyFill="1" applyBorder="1" applyAlignment="1">
      <alignment horizontal="center" vertical="center" wrapText="1"/>
    </xf>
    <xf numFmtId="0" fontId="23" fillId="20" borderId="10" xfId="0" applyFont="1" applyFill="1" applyBorder="1" applyAlignment="1">
      <alignment horizontal="center" vertical="center" wrapText="1"/>
    </xf>
    <xf numFmtId="167" fontId="23" fillId="20" borderId="10" xfId="0" applyNumberFormat="1" applyFont="1" applyFill="1" applyBorder="1" applyAlignment="1">
      <alignment horizontal="center" vertical="center" wrapText="1"/>
    </xf>
    <xf numFmtId="0" fontId="23" fillId="20" borderId="2" xfId="0" applyFont="1" applyFill="1" applyBorder="1" applyAlignment="1">
      <alignment horizontal="center" vertical="center" wrapText="1"/>
    </xf>
    <xf numFmtId="0" fontId="23" fillId="20" borderId="15" xfId="0" applyFont="1" applyFill="1" applyBorder="1" applyAlignment="1">
      <alignment horizontal="center" vertical="center" wrapText="1"/>
    </xf>
    <xf numFmtId="0" fontId="23" fillId="20" borderId="0" xfId="0" applyFont="1" applyFill="1" applyAlignment="1">
      <alignment horizontal="center" vertical="center" wrapText="1"/>
    </xf>
    <xf numFmtId="167" fontId="23" fillId="20" borderId="0" xfId="0" applyNumberFormat="1" applyFont="1" applyFill="1" applyAlignment="1">
      <alignment horizontal="center" vertical="center" wrapText="1"/>
    </xf>
    <xf numFmtId="0" fontId="23" fillId="20" borderId="8" xfId="0" applyFont="1" applyFill="1" applyBorder="1" applyAlignment="1">
      <alignment horizontal="center" vertical="center" wrapText="1"/>
    </xf>
    <xf numFmtId="168" fontId="23" fillId="0" borderId="16" xfId="0" applyNumberFormat="1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167" fontId="23" fillId="0" borderId="10" xfId="0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167" fontId="25" fillId="0" borderId="0" xfId="0" applyNumberFormat="1" applyFont="1" applyAlignment="1">
      <alignment horizontal="center" vertical="center" wrapText="1"/>
    </xf>
    <xf numFmtId="0" fontId="6" fillId="18" borderId="17" xfId="0" applyFont="1" applyFill="1" applyBorder="1" applyAlignment="1">
      <alignment horizontal="center"/>
    </xf>
    <xf numFmtId="0" fontId="6" fillId="22" borderId="0" xfId="0" applyFont="1" applyFill="1"/>
    <xf numFmtId="0" fontId="6" fillId="22" borderId="18" xfId="0" applyFont="1" applyFill="1" applyBorder="1" applyAlignment="1">
      <alignment horizontal="center"/>
    </xf>
    <xf numFmtId="0" fontId="8" fillId="22" borderId="0" xfId="0" applyFont="1" applyFill="1"/>
    <xf numFmtId="0" fontId="8" fillId="0" borderId="0" xfId="0" applyFont="1"/>
    <xf numFmtId="0" fontId="6" fillId="30" borderId="17" xfId="0" applyFont="1" applyFill="1" applyBorder="1" applyAlignment="1">
      <alignment horizontal="center"/>
    </xf>
    <xf numFmtId="0" fontId="6" fillId="22" borderId="0" xfId="0" applyFont="1" applyFill="1" applyAlignment="1">
      <alignment horizontal="center"/>
    </xf>
    <xf numFmtId="49" fontId="6" fillId="22" borderId="0" xfId="0" applyNumberFormat="1" applyFont="1" applyFill="1" applyAlignment="1">
      <alignment horizontal="center"/>
    </xf>
    <xf numFmtId="0" fontId="6" fillId="13" borderId="19" xfId="0" applyFont="1" applyFill="1" applyBorder="1" applyAlignment="1">
      <alignment horizontal="center"/>
    </xf>
    <xf numFmtId="164" fontId="8" fillId="22" borderId="0" xfId="0" applyNumberFormat="1" applyFont="1" applyFill="1"/>
    <xf numFmtId="0" fontId="6" fillId="16" borderId="20" xfId="0" applyFont="1" applyFill="1" applyBorder="1" applyAlignment="1">
      <alignment horizontal="center"/>
    </xf>
    <xf numFmtId="0" fontId="6" fillId="31" borderId="21" xfId="0" applyFont="1" applyFill="1" applyBorder="1" applyAlignment="1">
      <alignment horizontal="center"/>
    </xf>
    <xf numFmtId="0" fontId="6" fillId="31" borderId="22" xfId="0" applyFont="1" applyFill="1" applyBorder="1" applyAlignment="1">
      <alignment horizontal="center"/>
    </xf>
    <xf numFmtId="0" fontId="6" fillId="31" borderId="20" xfId="0" applyFont="1" applyFill="1" applyBorder="1" applyAlignment="1">
      <alignment horizontal="center"/>
    </xf>
    <xf numFmtId="0" fontId="6" fillId="31" borderId="25" xfId="0" applyFont="1" applyFill="1" applyBorder="1" applyAlignment="1">
      <alignment horizontal="center"/>
    </xf>
    <xf numFmtId="0" fontId="8" fillId="0" borderId="26" xfId="0" applyFont="1" applyBorder="1"/>
    <xf numFmtId="0" fontId="6" fillId="18" borderId="27" xfId="0" applyFont="1" applyFill="1" applyBorder="1" applyAlignment="1">
      <alignment horizontal="center"/>
    </xf>
    <xf numFmtId="0" fontId="6" fillId="18" borderId="28" xfId="0" applyFont="1" applyFill="1" applyBorder="1" applyAlignment="1">
      <alignment horizontal="center"/>
    </xf>
    <xf numFmtId="164" fontId="6" fillId="20" borderId="29" xfId="0" applyNumberFormat="1" applyFont="1" applyFill="1" applyBorder="1" applyAlignment="1">
      <alignment horizontal="center"/>
    </xf>
    <xf numFmtId="4" fontId="6" fillId="20" borderId="30" xfId="0" applyNumberFormat="1" applyFont="1" applyFill="1" applyBorder="1" applyAlignment="1">
      <alignment horizontal="center"/>
    </xf>
    <xf numFmtId="164" fontId="6" fillId="20" borderId="31" xfId="0" applyNumberFormat="1" applyFont="1" applyFill="1" applyBorder="1" applyAlignment="1">
      <alignment horizontal="center"/>
    </xf>
    <xf numFmtId="164" fontId="6" fillId="20" borderId="32" xfId="0" applyNumberFormat="1" applyFont="1" applyFill="1" applyBorder="1" applyAlignment="1">
      <alignment horizontal="center"/>
    </xf>
    <xf numFmtId="164" fontId="6" fillId="20" borderId="2" xfId="0" applyNumberFormat="1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/>
    </xf>
    <xf numFmtId="164" fontId="6" fillId="20" borderId="33" xfId="0" applyNumberFormat="1" applyFont="1" applyFill="1" applyBorder="1" applyAlignment="1">
      <alignment horizontal="center"/>
    </xf>
    <xf numFmtId="0" fontId="6" fillId="20" borderId="30" xfId="0" applyFont="1" applyFill="1" applyBorder="1" applyAlignment="1">
      <alignment horizontal="center"/>
    </xf>
    <xf numFmtId="164" fontId="8" fillId="0" borderId="26" xfId="0" applyNumberFormat="1" applyFont="1" applyBorder="1"/>
    <xf numFmtId="164" fontId="8" fillId="0" borderId="0" xfId="0" applyNumberFormat="1" applyFont="1"/>
    <xf numFmtId="164" fontId="6" fillId="20" borderId="11" xfId="0" applyNumberFormat="1" applyFont="1" applyFill="1" applyBorder="1" applyAlignment="1">
      <alignment horizontal="center"/>
    </xf>
    <xf numFmtId="4" fontId="6" fillId="20" borderId="6" xfId="0" applyNumberFormat="1" applyFont="1" applyFill="1" applyBorder="1" applyAlignment="1">
      <alignment horizontal="center"/>
    </xf>
    <xf numFmtId="164" fontId="6" fillId="20" borderId="3" xfId="0" applyNumberFormat="1" applyFont="1" applyFill="1" applyBorder="1" applyAlignment="1">
      <alignment horizontal="center"/>
    </xf>
    <xf numFmtId="164" fontId="6" fillId="20" borderId="34" xfId="0" applyNumberFormat="1" applyFont="1" applyFill="1" applyBorder="1" applyAlignment="1">
      <alignment horizontal="center"/>
    </xf>
    <xf numFmtId="164" fontId="6" fillId="20" borderId="5" xfId="0" applyNumberFormat="1" applyFont="1" applyFill="1" applyBorder="1" applyAlignment="1">
      <alignment horizontal="center"/>
    </xf>
    <xf numFmtId="0" fontId="6" fillId="20" borderId="6" xfId="0" applyFont="1" applyFill="1" applyBorder="1" applyAlignment="1">
      <alignment horizontal="center"/>
    </xf>
    <xf numFmtId="164" fontId="6" fillId="20" borderId="35" xfId="0" applyNumberFormat="1" applyFont="1" applyFill="1" applyBorder="1" applyAlignment="1">
      <alignment horizontal="center"/>
    </xf>
    <xf numFmtId="4" fontId="6" fillId="20" borderId="36" xfId="0" applyNumberFormat="1" applyFont="1" applyFill="1" applyBorder="1" applyAlignment="1">
      <alignment horizontal="center"/>
    </xf>
    <xf numFmtId="164" fontId="6" fillId="20" borderId="37" xfId="0" applyNumberFormat="1" applyFont="1" applyFill="1" applyBorder="1" applyAlignment="1">
      <alignment horizontal="center"/>
    </xf>
    <xf numFmtId="0" fontId="6" fillId="18" borderId="38" xfId="0" applyFont="1" applyFill="1" applyBorder="1" applyAlignment="1">
      <alignment horizontal="center"/>
    </xf>
    <xf numFmtId="164" fontId="6" fillId="20" borderId="13" xfId="0" applyNumberFormat="1" applyFont="1" applyFill="1" applyBorder="1" applyAlignment="1">
      <alignment horizontal="center"/>
    </xf>
    <xf numFmtId="164" fontId="6" fillId="20" borderId="39" xfId="0" applyNumberFormat="1" applyFont="1" applyFill="1" applyBorder="1" applyAlignment="1">
      <alignment horizontal="center"/>
    </xf>
    <xf numFmtId="4" fontId="6" fillId="20" borderId="40" xfId="0" applyNumberFormat="1" applyFont="1" applyFill="1" applyBorder="1" applyAlignment="1">
      <alignment horizontal="center"/>
    </xf>
    <xf numFmtId="164" fontId="6" fillId="20" borderId="41" xfId="0" applyNumberFormat="1" applyFont="1" applyFill="1" applyBorder="1" applyAlignment="1">
      <alignment horizontal="center"/>
    </xf>
    <xf numFmtId="164" fontId="6" fillId="20" borderId="9" xfId="0" applyNumberFormat="1" applyFont="1" applyFill="1" applyBorder="1" applyAlignment="1">
      <alignment horizontal="center"/>
    </xf>
    <xf numFmtId="0" fontId="6" fillId="20" borderId="36" xfId="0" applyFont="1" applyFill="1" applyBorder="1" applyAlignment="1">
      <alignment horizontal="center"/>
    </xf>
    <xf numFmtId="0" fontId="6" fillId="20" borderId="40" xfId="0" applyFont="1" applyFill="1" applyBorder="1" applyAlignment="1">
      <alignment horizontal="center"/>
    </xf>
    <xf numFmtId="0" fontId="6" fillId="8" borderId="25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23" xfId="0" applyFont="1" applyFill="1" applyBorder="1" applyAlignment="1">
      <alignment horizontal="center"/>
    </xf>
    <xf numFmtId="0" fontId="6" fillId="8" borderId="42" xfId="0" applyFont="1" applyFill="1" applyBorder="1" applyAlignment="1">
      <alignment horizontal="center"/>
    </xf>
    <xf numFmtId="0" fontId="6" fillId="8" borderId="43" xfId="0" applyFont="1" applyFill="1" applyBorder="1" applyAlignment="1">
      <alignment horizontal="center"/>
    </xf>
    <xf numFmtId="164" fontId="6" fillId="8" borderId="45" xfId="0" applyNumberFormat="1" applyFont="1" applyFill="1" applyBorder="1" applyAlignment="1">
      <alignment horizontal="center"/>
    </xf>
    <xf numFmtId="4" fontId="6" fillId="8" borderId="46" xfId="0" applyNumberFormat="1" applyFont="1" applyFill="1" applyBorder="1" applyAlignment="1">
      <alignment horizontal="center"/>
    </xf>
    <xf numFmtId="164" fontId="6" fillId="8" borderId="47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16" borderId="18" xfId="0" applyFont="1" applyFill="1" applyBorder="1" applyAlignment="1">
      <alignment horizontal="center"/>
    </xf>
    <xf numFmtId="49" fontId="6" fillId="20" borderId="29" xfId="0" applyNumberFormat="1" applyFont="1" applyFill="1" applyBorder="1" applyAlignment="1">
      <alignment horizontal="center"/>
    </xf>
    <xf numFmtId="0" fontId="6" fillId="20" borderId="33" xfId="0" applyFont="1" applyFill="1" applyBorder="1" applyAlignment="1">
      <alignment horizontal="center"/>
    </xf>
    <xf numFmtId="49" fontId="6" fillId="20" borderId="11" xfId="0" applyNumberFormat="1" applyFont="1" applyFill="1" applyBorder="1" applyAlignment="1">
      <alignment horizontal="center"/>
    </xf>
    <xf numFmtId="0" fontId="6" fillId="20" borderId="34" xfId="0" applyFont="1" applyFill="1" applyBorder="1" applyAlignment="1">
      <alignment horizontal="center"/>
    </xf>
    <xf numFmtId="49" fontId="6" fillId="20" borderId="39" xfId="0" applyNumberFormat="1" applyFont="1" applyFill="1" applyBorder="1" applyAlignment="1">
      <alignment horizontal="center"/>
    </xf>
    <xf numFmtId="4" fontId="6" fillId="20" borderId="0" xfId="0" applyNumberFormat="1" applyFont="1" applyFill="1" applyAlignment="1">
      <alignment horizontal="center"/>
    </xf>
    <xf numFmtId="0" fontId="6" fillId="4" borderId="17" xfId="0" applyFont="1" applyFill="1" applyBorder="1" applyAlignment="1">
      <alignment horizontal="center"/>
    </xf>
    <xf numFmtId="164" fontId="6" fillId="20" borderId="48" xfId="0" applyNumberFormat="1" applyFont="1" applyFill="1" applyBorder="1" applyAlignment="1">
      <alignment horizontal="center"/>
    </xf>
    <xf numFmtId="0" fontId="6" fillId="31" borderId="18" xfId="0" applyFont="1" applyFill="1" applyBorder="1" applyAlignment="1">
      <alignment horizontal="center"/>
    </xf>
    <xf numFmtId="0" fontId="6" fillId="30" borderId="38" xfId="0" applyFont="1" applyFill="1" applyBorder="1" applyAlignment="1">
      <alignment horizontal="center"/>
    </xf>
    <xf numFmtId="0" fontId="6" fillId="13" borderId="38" xfId="0" applyFont="1" applyFill="1" applyBorder="1" applyAlignment="1">
      <alignment horizontal="center"/>
    </xf>
    <xf numFmtId="164" fontId="6" fillId="32" borderId="11" xfId="0" applyNumberFormat="1" applyFont="1" applyFill="1" applyBorder="1" applyAlignment="1">
      <alignment horizontal="center"/>
    </xf>
    <xf numFmtId="3" fontId="2" fillId="20" borderId="2" xfId="0" applyNumberFormat="1" applyFont="1" applyFill="1" applyBorder="1" applyAlignment="1">
      <alignment horizontal="center"/>
    </xf>
    <xf numFmtId="49" fontId="2" fillId="20" borderId="0" xfId="0" applyNumberFormat="1" applyFont="1" applyFill="1" applyAlignment="1">
      <alignment horizontal="center"/>
    </xf>
    <xf numFmtId="3" fontId="5" fillId="20" borderId="6" xfId="0" applyNumberFormat="1" applyFont="1" applyFill="1" applyBorder="1" applyAlignment="1">
      <alignment horizontal="center"/>
    </xf>
    <xf numFmtId="0" fontId="26" fillId="18" borderId="0" xfId="0" applyFont="1" applyFill="1" applyAlignment="1">
      <alignment horizontal="center"/>
    </xf>
    <xf numFmtId="0" fontId="26" fillId="18" borderId="6" xfId="0" applyFont="1" applyFill="1" applyBorder="1" applyAlignment="1">
      <alignment horizontal="center"/>
    </xf>
    <xf numFmtId="0" fontId="6" fillId="18" borderId="49" xfId="0" applyFont="1" applyFill="1" applyBorder="1" applyAlignment="1">
      <alignment horizontal="center"/>
    </xf>
    <xf numFmtId="164" fontId="6" fillId="20" borderId="50" xfId="0" applyNumberFormat="1" applyFont="1" applyFill="1" applyBorder="1" applyAlignment="1">
      <alignment horizontal="center"/>
    </xf>
    <xf numFmtId="0" fontId="6" fillId="18" borderId="4" xfId="0" applyFont="1" applyFill="1" applyBorder="1" applyAlignment="1">
      <alignment horizontal="center"/>
    </xf>
    <xf numFmtId="0" fontId="6" fillId="18" borderId="51" xfId="0" applyFont="1" applyFill="1" applyBorder="1" applyAlignment="1">
      <alignment horizontal="center"/>
    </xf>
    <xf numFmtId="4" fontId="6" fillId="20" borderId="34" xfId="0" applyNumberFormat="1" applyFont="1" applyFill="1" applyBorder="1" applyAlignment="1">
      <alignment horizontal="center"/>
    </xf>
    <xf numFmtId="0" fontId="6" fillId="18" borderId="52" xfId="0" applyFont="1" applyFill="1" applyBorder="1" applyAlignment="1">
      <alignment horizontal="center"/>
    </xf>
    <xf numFmtId="164" fontId="26" fillId="20" borderId="0" xfId="0" applyNumberFormat="1" applyFont="1" applyFill="1" applyAlignment="1">
      <alignment horizontal="center"/>
    </xf>
    <xf numFmtId="0" fontId="6" fillId="8" borderId="44" xfId="0" applyFont="1" applyFill="1" applyBorder="1" applyAlignment="1">
      <alignment horizontal="center"/>
    </xf>
    <xf numFmtId="0" fontId="6" fillId="31" borderId="53" xfId="0" applyFont="1" applyFill="1" applyBorder="1" applyAlignment="1">
      <alignment horizontal="center"/>
    </xf>
    <xf numFmtId="0" fontId="26" fillId="18" borderId="27" xfId="0" applyFont="1" applyFill="1" applyBorder="1" applyAlignment="1">
      <alignment horizontal="center"/>
    </xf>
    <xf numFmtId="0" fontId="6" fillId="18" borderId="54" xfId="0" applyFont="1" applyFill="1" applyBorder="1" applyAlignment="1">
      <alignment horizontal="center"/>
    </xf>
    <xf numFmtId="0" fontId="26" fillId="18" borderId="17" xfId="0" applyFont="1" applyFill="1" applyBorder="1" applyAlignment="1">
      <alignment horizontal="center"/>
    </xf>
    <xf numFmtId="0" fontId="6" fillId="18" borderId="14" xfId="0" applyFont="1" applyFill="1" applyBorder="1" applyAlignment="1">
      <alignment horizontal="center"/>
    </xf>
    <xf numFmtId="0" fontId="6" fillId="8" borderId="46" xfId="0" applyFont="1" applyFill="1" applyBorder="1" applyAlignment="1">
      <alignment horizontal="center"/>
    </xf>
    <xf numFmtId="0" fontId="6" fillId="8" borderId="47" xfId="0" applyFont="1" applyFill="1" applyBorder="1" applyAlignment="1">
      <alignment horizontal="center"/>
    </xf>
    <xf numFmtId="3" fontId="11" fillId="20" borderId="2" xfId="0" applyNumberFormat="1" applyFont="1" applyFill="1" applyBorder="1" applyAlignment="1">
      <alignment horizontal="center"/>
    </xf>
    <xf numFmtId="0" fontId="26" fillId="20" borderId="0" xfId="0" applyFont="1" applyFill="1" applyAlignment="1">
      <alignment horizontal="center"/>
    </xf>
    <xf numFmtId="3" fontId="2" fillId="20" borderId="55" xfId="0" applyNumberFormat="1" applyFont="1" applyFill="1" applyBorder="1" applyAlignment="1">
      <alignment horizontal="center"/>
    </xf>
    <xf numFmtId="164" fontId="6" fillId="20" borderId="6" xfId="0" applyNumberFormat="1" applyFont="1" applyFill="1" applyBorder="1" applyAlignment="1">
      <alignment horizontal="center"/>
    </xf>
    <xf numFmtId="49" fontId="2" fillId="20" borderId="26" xfId="0" applyNumberFormat="1" applyFont="1" applyFill="1" applyBorder="1" applyAlignment="1">
      <alignment horizontal="center"/>
    </xf>
    <xf numFmtId="3" fontId="11" fillId="20" borderId="55" xfId="0" applyNumberFormat="1" applyFont="1" applyFill="1" applyBorder="1" applyAlignment="1">
      <alignment horizontal="center"/>
    </xf>
    <xf numFmtId="0" fontId="26" fillId="20" borderId="6" xfId="0" applyFont="1" applyFill="1" applyBorder="1" applyAlignment="1">
      <alignment horizontal="center"/>
    </xf>
    <xf numFmtId="3" fontId="5" fillId="20" borderId="11" xfId="0" applyNumberFormat="1" applyFont="1" applyFill="1" applyBorder="1" applyAlignment="1">
      <alignment horizontal="center"/>
    </xf>
    <xf numFmtId="3" fontId="2" fillId="20" borderId="56" xfId="0" applyNumberFormat="1" applyFont="1" applyFill="1" applyBorder="1" applyAlignment="1">
      <alignment horizontal="center"/>
    </xf>
    <xf numFmtId="49" fontId="5" fillId="20" borderId="11" xfId="0" applyNumberFormat="1" applyFont="1" applyFill="1" applyBorder="1" applyAlignment="1">
      <alignment horizontal="center"/>
    </xf>
    <xf numFmtId="4" fontId="26" fillId="20" borderId="6" xfId="0" applyNumberFormat="1" applyFont="1" applyFill="1" applyBorder="1" applyAlignment="1">
      <alignment horizontal="center"/>
    </xf>
    <xf numFmtId="1" fontId="6" fillId="20" borderId="29" xfId="0" applyNumberFormat="1" applyFont="1" applyFill="1" applyBorder="1" applyAlignment="1">
      <alignment horizontal="center"/>
    </xf>
    <xf numFmtId="49" fontId="6" fillId="20" borderId="31" xfId="0" applyNumberFormat="1" applyFont="1" applyFill="1" applyBorder="1" applyAlignment="1">
      <alignment horizontal="center"/>
    </xf>
    <xf numFmtId="0" fontId="6" fillId="20" borderId="27" xfId="0" applyFont="1" applyFill="1" applyBorder="1"/>
    <xf numFmtId="1" fontId="2" fillId="20" borderId="11" xfId="0" applyNumberFormat="1" applyFont="1" applyFill="1" applyBorder="1" applyAlignment="1">
      <alignment horizontal="center"/>
    </xf>
    <xf numFmtId="49" fontId="6" fillId="20" borderId="3" xfId="0" applyNumberFormat="1" applyFont="1" applyFill="1" applyBorder="1" applyAlignment="1">
      <alignment horizontal="center"/>
    </xf>
    <xf numFmtId="0" fontId="6" fillId="20" borderId="17" xfId="0" applyFont="1" applyFill="1" applyBorder="1"/>
    <xf numFmtId="1" fontId="6" fillId="20" borderId="11" xfId="0" applyNumberFormat="1" applyFont="1" applyFill="1" applyBorder="1" applyAlignment="1">
      <alignment horizontal="center"/>
    </xf>
    <xf numFmtId="1" fontId="11" fillId="20" borderId="11" xfId="0" applyNumberFormat="1" applyFont="1" applyFill="1" applyBorder="1" applyAlignment="1">
      <alignment horizontal="center"/>
    </xf>
    <xf numFmtId="1" fontId="5" fillId="20" borderId="11" xfId="0" applyNumberFormat="1" applyFont="1" applyFill="1" applyBorder="1" applyAlignment="1">
      <alignment horizontal="center"/>
    </xf>
    <xf numFmtId="164" fontId="26" fillId="20" borderId="11" xfId="0" applyNumberFormat="1" applyFont="1" applyFill="1" applyBorder="1" applyAlignment="1">
      <alignment horizontal="center"/>
    </xf>
    <xf numFmtId="0" fontId="6" fillId="13" borderId="17" xfId="0" applyFont="1" applyFill="1" applyBorder="1" applyAlignment="1">
      <alignment horizontal="center"/>
    </xf>
    <xf numFmtId="164" fontId="26" fillId="20" borderId="5" xfId="0" applyNumberFormat="1" applyFont="1" applyFill="1" applyBorder="1" applyAlignment="1">
      <alignment horizontal="center"/>
    </xf>
    <xf numFmtId="164" fontId="26" fillId="20" borderId="57" xfId="0" applyNumberFormat="1" applyFont="1" applyFill="1" applyBorder="1" applyAlignment="1">
      <alignment horizontal="center"/>
    </xf>
    <xf numFmtId="164" fontId="6" fillId="20" borderId="57" xfId="0" applyNumberFormat="1" applyFont="1" applyFill="1" applyBorder="1" applyAlignment="1">
      <alignment horizontal="center"/>
    </xf>
    <xf numFmtId="164" fontId="6" fillId="20" borderId="58" xfId="0" applyNumberFormat="1" applyFont="1" applyFill="1" applyBorder="1" applyAlignment="1">
      <alignment horizontal="center"/>
    </xf>
    <xf numFmtId="1" fontId="2" fillId="20" borderId="39" xfId="0" applyNumberFormat="1" applyFont="1" applyFill="1" applyBorder="1" applyAlignment="1">
      <alignment horizontal="center"/>
    </xf>
    <xf numFmtId="49" fontId="6" fillId="20" borderId="58" xfId="0" applyNumberFormat="1" applyFont="1" applyFill="1" applyBorder="1" applyAlignment="1">
      <alignment horizontal="center"/>
    </xf>
    <xf numFmtId="0" fontId="6" fillId="20" borderId="19" xfId="0" applyFont="1" applyFill="1" applyBorder="1" applyAlignment="1">
      <alignment horizontal="center"/>
    </xf>
    <xf numFmtId="0" fontId="6" fillId="8" borderId="21" xfId="0" applyFont="1" applyFill="1" applyBorder="1" applyAlignment="1">
      <alignment horizontal="center"/>
    </xf>
    <xf numFmtId="1" fontId="6" fillId="18" borderId="54" xfId="0" applyNumberFormat="1" applyFont="1" applyFill="1" applyBorder="1" applyAlignment="1">
      <alignment horizontal="center"/>
    </xf>
    <xf numFmtId="0" fontId="6" fillId="20" borderId="27" xfId="0" applyFont="1" applyFill="1" applyBorder="1" applyAlignment="1">
      <alignment horizontal="center"/>
    </xf>
    <xf numFmtId="1" fontId="6" fillId="18" borderId="4" xfId="0" applyNumberFormat="1" applyFont="1" applyFill="1" applyBorder="1" applyAlignment="1">
      <alignment horizontal="center"/>
    </xf>
    <xf numFmtId="0" fontId="6" fillId="20" borderId="17" xfId="0" applyFont="1" applyFill="1" applyBorder="1" applyAlignment="1">
      <alignment horizontal="center"/>
    </xf>
    <xf numFmtId="49" fontId="6" fillId="18" borderId="4" xfId="0" applyNumberFormat="1" applyFont="1" applyFill="1" applyBorder="1" applyAlignment="1">
      <alignment horizontal="center"/>
    </xf>
    <xf numFmtId="0" fontId="6" fillId="18" borderId="6" xfId="0" applyFont="1" applyFill="1" applyBorder="1" applyAlignment="1">
      <alignment horizontal="center"/>
    </xf>
    <xf numFmtId="0" fontId="6" fillId="18" borderId="6" xfId="0" applyFont="1" applyFill="1" applyBorder="1" applyAlignment="1">
      <alignment horizontal="center" wrapText="1"/>
    </xf>
    <xf numFmtId="0" fontId="27" fillId="18" borderId="6" xfId="0" applyFont="1" applyFill="1" applyBorder="1" applyAlignment="1">
      <alignment horizontal="center"/>
    </xf>
    <xf numFmtId="0" fontId="6" fillId="20" borderId="6" xfId="0" applyFont="1" applyFill="1" applyBorder="1"/>
    <xf numFmtId="3" fontId="6" fillId="20" borderId="6" xfId="0" applyNumberFormat="1" applyFont="1" applyFill="1" applyBorder="1" applyAlignment="1">
      <alignment horizontal="center"/>
    </xf>
    <xf numFmtId="0" fontId="28" fillId="13" borderId="17" xfId="0" applyFont="1" applyFill="1" applyBorder="1" applyAlignment="1">
      <alignment horizontal="center"/>
    </xf>
    <xf numFmtId="0" fontId="6" fillId="31" borderId="6" xfId="0" applyFont="1" applyFill="1" applyBorder="1" applyAlignment="1">
      <alignment horizontal="center"/>
    </xf>
    <xf numFmtId="0" fontId="6" fillId="31" borderId="23" xfId="0" applyFont="1" applyFill="1" applyBorder="1" applyAlignment="1">
      <alignment horizontal="center"/>
    </xf>
    <xf numFmtId="49" fontId="6" fillId="18" borderId="54" xfId="0" applyNumberFormat="1" applyFont="1" applyFill="1" applyBorder="1" applyAlignment="1">
      <alignment horizontal="center"/>
    </xf>
    <xf numFmtId="49" fontId="6" fillId="18" borderId="6" xfId="0" applyNumberFormat="1" applyFont="1" applyFill="1" applyBorder="1" applyAlignment="1">
      <alignment horizontal="center"/>
    </xf>
    <xf numFmtId="0" fontId="6" fillId="13" borderId="6" xfId="0" applyFont="1" applyFill="1" applyBorder="1" applyAlignment="1">
      <alignment horizontal="center"/>
    </xf>
    <xf numFmtId="1" fontId="2" fillId="20" borderId="6" xfId="0" applyNumberFormat="1" applyFont="1" applyFill="1" applyBorder="1" applyAlignment="1">
      <alignment horizontal="center"/>
    </xf>
    <xf numFmtId="49" fontId="6" fillId="20" borderId="6" xfId="0" applyNumberFormat="1" applyFont="1" applyFill="1" applyBorder="1" applyAlignment="1">
      <alignment horizontal="center"/>
    </xf>
    <xf numFmtId="164" fontId="26" fillId="20" borderId="6" xfId="0" applyNumberFormat="1" applyFont="1" applyFill="1" applyBorder="1" applyAlignment="1">
      <alignment horizontal="center"/>
    </xf>
    <xf numFmtId="0" fontId="6" fillId="8" borderId="59" xfId="0" applyFont="1" applyFill="1" applyBorder="1" applyAlignment="1">
      <alignment horizontal="center"/>
    </xf>
    <xf numFmtId="1" fontId="6" fillId="18" borderId="6" xfId="0" applyNumberFormat="1" applyFont="1" applyFill="1" applyBorder="1" applyAlignment="1">
      <alignment horizontal="center"/>
    </xf>
    <xf numFmtId="1" fontId="6" fillId="20" borderId="6" xfId="0" applyNumberFormat="1" applyFont="1" applyFill="1" applyBorder="1" applyAlignment="1">
      <alignment horizontal="center"/>
    </xf>
    <xf numFmtId="1" fontId="11" fillId="20" borderId="6" xfId="0" applyNumberFormat="1" applyFont="1" applyFill="1" applyBorder="1" applyAlignment="1">
      <alignment horizontal="center"/>
    </xf>
    <xf numFmtId="1" fontId="5" fillId="20" borderId="6" xfId="0" applyNumberFormat="1" applyFont="1" applyFill="1" applyBorder="1" applyAlignment="1">
      <alignment horizontal="center"/>
    </xf>
    <xf numFmtId="0" fontId="6" fillId="20" borderId="0" xfId="0" applyFont="1" applyFill="1"/>
    <xf numFmtId="3" fontId="5" fillId="20" borderId="1" xfId="0" applyNumberFormat="1" applyFont="1" applyFill="1" applyBorder="1" applyAlignment="1">
      <alignment horizontal="center"/>
    </xf>
    <xf numFmtId="164" fontId="5" fillId="20" borderId="6" xfId="0" applyNumberFormat="1" applyFont="1" applyFill="1" applyBorder="1" applyAlignment="1">
      <alignment horizontal="center"/>
    </xf>
    <xf numFmtId="164" fontId="5" fillId="20" borderId="1" xfId="0" applyNumberFormat="1" applyFont="1" applyFill="1" applyBorder="1" applyAlignment="1">
      <alignment horizontal="center"/>
    </xf>
    <xf numFmtId="0" fontId="6" fillId="0" borderId="6" xfId="0" applyFont="1" applyBorder="1"/>
    <xf numFmtId="0" fontId="6" fillId="8" borderId="45" xfId="0" applyFont="1" applyFill="1" applyBorder="1" applyAlignment="1">
      <alignment horizontal="center"/>
    </xf>
    <xf numFmtId="1" fontId="8" fillId="20" borderId="1" xfId="0" applyNumberFormat="1" applyFont="1" applyFill="1" applyBorder="1"/>
    <xf numFmtId="169" fontId="6" fillId="20" borderId="6" xfId="0" applyNumberFormat="1" applyFont="1" applyFill="1" applyBorder="1" applyAlignment="1">
      <alignment horizontal="center"/>
    </xf>
    <xf numFmtId="3" fontId="2" fillId="20" borderId="6" xfId="0" applyNumberFormat="1" applyFont="1" applyFill="1" applyBorder="1" applyAlignment="1">
      <alignment horizontal="center"/>
    </xf>
    <xf numFmtId="1" fontId="2" fillId="20" borderId="1" xfId="0" applyNumberFormat="1" applyFont="1" applyFill="1" applyBorder="1" applyAlignment="1">
      <alignment horizontal="center"/>
    </xf>
    <xf numFmtId="169" fontId="26" fillId="20" borderId="6" xfId="0" applyNumberFormat="1" applyFont="1" applyFill="1" applyBorder="1" applyAlignment="1">
      <alignment horizontal="center"/>
    </xf>
    <xf numFmtId="169" fontId="6" fillId="8" borderId="45" xfId="0" applyNumberFormat="1" applyFont="1" applyFill="1" applyBorder="1" applyAlignment="1">
      <alignment horizontal="center"/>
    </xf>
    <xf numFmtId="0" fontId="6" fillId="30" borderId="6" xfId="0" applyFont="1" applyFill="1" applyBorder="1" applyAlignment="1">
      <alignment horizontal="center"/>
    </xf>
    <xf numFmtId="0" fontId="6" fillId="18" borderId="0" xfId="0" applyFont="1" applyFill="1" applyAlignment="1">
      <alignment horizontal="center"/>
    </xf>
    <xf numFmtId="0" fontId="12" fillId="18" borderId="6" xfId="0" applyFont="1" applyFill="1" applyBorder="1" applyAlignment="1">
      <alignment horizontal="center"/>
    </xf>
    <xf numFmtId="164" fontId="8" fillId="20" borderId="6" xfId="0" applyNumberFormat="1" applyFont="1" applyFill="1" applyBorder="1" applyAlignment="1">
      <alignment horizontal="center"/>
    </xf>
    <xf numFmtId="49" fontId="8" fillId="20" borderId="5" xfId="0" applyNumberFormat="1" applyFont="1" applyFill="1" applyBorder="1" applyAlignment="1">
      <alignment horizontal="center"/>
    </xf>
    <xf numFmtId="164" fontId="8" fillId="20" borderId="5" xfId="0" applyNumberFormat="1" applyFont="1" applyFill="1" applyBorder="1" applyAlignment="1">
      <alignment horizontal="center"/>
    </xf>
    <xf numFmtId="0" fontId="6" fillId="33" borderId="6" xfId="0" applyFont="1" applyFill="1" applyBorder="1" applyAlignment="1">
      <alignment horizontal="center"/>
    </xf>
    <xf numFmtId="164" fontId="8" fillId="20" borderId="36" xfId="0" applyNumberFormat="1" applyFont="1" applyFill="1" applyBorder="1" applyAlignment="1">
      <alignment horizontal="center"/>
    </xf>
    <xf numFmtId="49" fontId="8" fillId="20" borderId="9" xfId="0" applyNumberFormat="1" applyFont="1" applyFill="1" applyBorder="1" applyAlignment="1">
      <alignment horizontal="center"/>
    </xf>
    <xf numFmtId="164" fontId="8" fillId="20" borderId="9" xfId="0" applyNumberFormat="1" applyFont="1" applyFill="1" applyBorder="1" applyAlignment="1">
      <alignment horizontal="center"/>
    </xf>
    <xf numFmtId="0" fontId="26" fillId="30" borderId="6" xfId="0" applyFont="1" applyFill="1" applyBorder="1" applyAlignment="1">
      <alignment horizontal="center"/>
    </xf>
    <xf numFmtId="49" fontId="6" fillId="8" borderId="46" xfId="0" applyNumberFormat="1" applyFont="1" applyFill="1" applyBorder="1" applyAlignment="1">
      <alignment horizontal="center"/>
    </xf>
    <xf numFmtId="0" fontId="6" fillId="30" borderId="6" xfId="0" applyFont="1" applyFill="1" applyBorder="1" applyAlignment="1">
      <alignment horizontal="center" wrapText="1"/>
    </xf>
    <xf numFmtId="49" fontId="6" fillId="8" borderId="45" xfId="0" applyNumberFormat="1" applyFont="1" applyFill="1" applyBorder="1" applyAlignment="1">
      <alignment horizontal="center"/>
    </xf>
    <xf numFmtId="4" fontId="6" fillId="8" borderId="45" xfId="0" applyNumberFormat="1" applyFont="1" applyFill="1" applyBorder="1" applyAlignment="1">
      <alignment horizontal="center"/>
    </xf>
    <xf numFmtId="164" fontId="8" fillId="20" borderId="5" xfId="0" applyNumberFormat="1" applyFont="1" applyFill="1" applyBorder="1" applyAlignment="1">
      <alignment horizontal="right"/>
    </xf>
    <xf numFmtId="4" fontId="8" fillId="20" borderId="5" xfId="0" applyNumberFormat="1" applyFont="1" applyFill="1" applyBorder="1" applyAlignment="1">
      <alignment horizontal="center"/>
    </xf>
    <xf numFmtId="49" fontId="8" fillId="20" borderId="5" xfId="0" applyNumberFormat="1" applyFont="1" applyFill="1" applyBorder="1"/>
    <xf numFmtId="164" fontId="8" fillId="20" borderId="6" xfId="0" applyNumberFormat="1" applyFont="1" applyFill="1" applyBorder="1" applyAlignment="1">
      <alignment horizontal="right"/>
    </xf>
    <xf numFmtId="49" fontId="8" fillId="20" borderId="2" xfId="0" applyNumberFormat="1" applyFont="1" applyFill="1" applyBorder="1" applyAlignment="1">
      <alignment horizontal="center"/>
    </xf>
    <xf numFmtId="0" fontId="12" fillId="22" borderId="6" xfId="0" applyFont="1" applyFill="1" applyBorder="1" applyAlignment="1">
      <alignment horizontal="center"/>
    </xf>
    <xf numFmtId="1" fontId="6" fillId="22" borderId="6" xfId="0" applyNumberFormat="1" applyFont="1" applyFill="1" applyBorder="1" applyAlignment="1">
      <alignment horizontal="center"/>
    </xf>
    <xf numFmtId="164" fontId="6" fillId="22" borderId="6" xfId="0" applyNumberFormat="1" applyFont="1" applyFill="1" applyBorder="1" applyAlignment="1">
      <alignment horizontal="center"/>
    </xf>
    <xf numFmtId="4" fontId="6" fillId="22" borderId="6" xfId="0" applyNumberFormat="1" applyFont="1" applyFill="1" applyBorder="1" applyAlignment="1">
      <alignment horizontal="center"/>
    </xf>
    <xf numFmtId="0" fontId="6" fillId="22" borderId="6" xfId="0" applyFont="1" applyFill="1" applyBorder="1" applyAlignment="1">
      <alignment horizontal="center"/>
    </xf>
    <xf numFmtId="3" fontId="5" fillId="22" borderId="1" xfId="0" applyNumberFormat="1" applyFont="1" applyFill="1" applyBorder="1" applyAlignment="1">
      <alignment horizontal="center"/>
    </xf>
    <xf numFmtId="49" fontId="6" fillId="22" borderId="6" xfId="0" applyNumberFormat="1" applyFont="1" applyFill="1" applyBorder="1" applyAlignment="1">
      <alignment horizontal="center"/>
    </xf>
    <xf numFmtId="49" fontId="8" fillId="20" borderId="14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7" fillId="13" borderId="3" xfId="0" applyFont="1" applyFill="1" applyBorder="1" applyAlignment="1">
      <alignment horizontal="center"/>
    </xf>
    <xf numFmtId="0" fontId="1" fillId="24" borderId="3" xfId="0" applyFont="1" applyFill="1" applyBorder="1" applyAlignment="1">
      <alignment horizontal="center"/>
    </xf>
    <xf numFmtId="0" fontId="6" fillId="31" borderId="22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6" fillId="31" borderId="20" xfId="0" applyFont="1" applyFill="1" applyBorder="1" applyAlignment="1">
      <alignment horizontal="center"/>
    </xf>
    <xf numFmtId="0" fontId="3" fillId="0" borderId="18" xfId="0" applyFont="1" applyBorder="1"/>
    <xf numFmtId="0" fontId="3" fillId="0" borderId="24" xfId="0" applyFont="1" applyBorder="1"/>
    <xf numFmtId="0" fontId="6" fillId="31" borderId="25" xfId="0" applyFont="1" applyFill="1" applyBorder="1" applyAlignment="1">
      <alignment horizontal="center"/>
    </xf>
    <xf numFmtId="0" fontId="6" fillId="8" borderId="25" xfId="0" applyFont="1" applyFill="1" applyBorder="1" applyAlignment="1">
      <alignment horizontal="center"/>
    </xf>
    <xf numFmtId="0" fontId="6" fillId="8" borderId="42" xfId="0" applyFont="1" applyFill="1" applyBorder="1" applyAlignment="1">
      <alignment horizontal="center"/>
    </xf>
    <xf numFmtId="0" fontId="3" fillId="0" borderId="44" xfId="0" applyFont="1" applyBorder="1"/>
    <xf numFmtId="0" fontId="6" fillId="16" borderId="20" xfId="0" applyFont="1" applyFill="1" applyBorder="1" applyAlignment="1">
      <alignment horizontal="center"/>
    </xf>
    <xf numFmtId="0" fontId="6" fillId="31" borderId="18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43" xfId="0" applyFont="1" applyFill="1" applyBorder="1" applyAlignment="1">
      <alignment horizontal="center"/>
    </xf>
    <xf numFmtId="0" fontId="28" fillId="31" borderId="2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86"/>
  <sheetViews>
    <sheetView topLeftCell="A167" workbookViewId="0"/>
  </sheetViews>
  <sheetFormatPr baseColWidth="10" defaultColWidth="12.6640625" defaultRowHeight="15.75" customHeight="1"/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>
      <c r="A2" s="3" t="s">
        <v>14</v>
      </c>
      <c r="B2" s="4">
        <v>465188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/>
      <c r="I2" s="4" t="s">
        <v>20</v>
      </c>
      <c r="J2" s="4" t="s">
        <v>20</v>
      </c>
      <c r="K2" s="4">
        <v>3892</v>
      </c>
      <c r="L2" s="4" t="s">
        <v>21</v>
      </c>
      <c r="M2" s="5" t="s">
        <v>22</v>
      </c>
      <c r="N2" s="4"/>
      <c r="O2" s="4" t="s">
        <v>23</v>
      </c>
    </row>
    <row r="3" spans="1:15">
      <c r="A3" s="3" t="s">
        <v>24</v>
      </c>
      <c r="B3" s="4">
        <v>359886</v>
      </c>
      <c r="C3" s="4" t="s">
        <v>25</v>
      </c>
      <c r="D3" s="4" t="s">
        <v>26</v>
      </c>
      <c r="E3" s="4" t="s">
        <v>27</v>
      </c>
      <c r="F3" s="4" t="s">
        <v>28</v>
      </c>
      <c r="G3" s="4" t="s">
        <v>29</v>
      </c>
      <c r="H3" s="4"/>
      <c r="I3" s="4" t="s">
        <v>20</v>
      </c>
      <c r="J3" s="4" t="s">
        <v>20</v>
      </c>
      <c r="K3" s="4">
        <v>3150</v>
      </c>
      <c r="L3" s="4" t="s">
        <v>30</v>
      </c>
      <c r="M3" s="5" t="s">
        <v>31</v>
      </c>
      <c r="N3" s="4"/>
      <c r="O3" s="4" t="s">
        <v>32</v>
      </c>
    </row>
    <row r="4" spans="1:15">
      <c r="A4" s="3" t="s">
        <v>33</v>
      </c>
      <c r="B4" s="4">
        <v>352368</v>
      </c>
      <c r="C4" s="4" t="s">
        <v>34</v>
      </c>
      <c r="D4" s="4" t="s">
        <v>16</v>
      </c>
      <c r="E4" s="4" t="s">
        <v>35</v>
      </c>
      <c r="F4" s="4" t="s">
        <v>28</v>
      </c>
      <c r="G4" s="4" t="s">
        <v>36</v>
      </c>
      <c r="H4" s="6"/>
      <c r="I4" s="6">
        <v>2200</v>
      </c>
      <c r="J4" s="6">
        <v>287.08999999999997</v>
      </c>
      <c r="K4" s="4">
        <v>2797</v>
      </c>
      <c r="L4" s="4" t="s">
        <v>37</v>
      </c>
      <c r="M4" s="5" t="s">
        <v>38</v>
      </c>
      <c r="N4" s="4"/>
      <c r="O4" s="4" t="s">
        <v>39</v>
      </c>
    </row>
    <row r="5" spans="1:15">
      <c r="A5" s="3" t="s">
        <v>40</v>
      </c>
      <c r="B5" s="4">
        <v>465184</v>
      </c>
      <c r="C5" s="4" t="s">
        <v>41</v>
      </c>
      <c r="D5" s="4" t="s">
        <v>42</v>
      </c>
      <c r="E5" s="4" t="s">
        <v>43</v>
      </c>
      <c r="F5" s="4" t="s">
        <v>18</v>
      </c>
      <c r="G5" s="4" t="s">
        <v>44</v>
      </c>
      <c r="H5" s="4"/>
      <c r="I5" s="4" t="s">
        <v>20</v>
      </c>
      <c r="J5" s="4" t="s">
        <v>20</v>
      </c>
      <c r="K5" s="4">
        <v>2826</v>
      </c>
      <c r="L5" s="4" t="s">
        <v>45</v>
      </c>
      <c r="M5" s="5" t="s">
        <v>46</v>
      </c>
      <c r="N5" s="4"/>
      <c r="O5" s="4" t="s">
        <v>47</v>
      </c>
    </row>
    <row r="6" spans="1:15">
      <c r="A6" s="3" t="s">
        <v>48</v>
      </c>
      <c r="B6" s="4">
        <v>465183</v>
      </c>
      <c r="C6" s="4" t="s">
        <v>49</v>
      </c>
      <c r="D6" s="4" t="s">
        <v>26</v>
      </c>
      <c r="E6" s="4">
        <v>906</v>
      </c>
      <c r="F6" s="4" t="s">
        <v>18</v>
      </c>
      <c r="G6" s="4" t="s">
        <v>50</v>
      </c>
      <c r="H6" s="4"/>
      <c r="I6" s="4" t="s">
        <v>20</v>
      </c>
      <c r="J6" s="4" t="s">
        <v>20</v>
      </c>
      <c r="K6" s="4">
        <v>1953</v>
      </c>
      <c r="L6" s="4" t="s">
        <v>51</v>
      </c>
      <c r="M6" s="5" t="s">
        <v>52</v>
      </c>
      <c r="N6" s="4"/>
      <c r="O6" s="4" t="s">
        <v>53</v>
      </c>
    </row>
    <row r="7" spans="1:15">
      <c r="A7" s="3" t="s">
        <v>54</v>
      </c>
      <c r="B7" s="4">
        <v>465185</v>
      </c>
      <c r="C7" s="4" t="s">
        <v>55</v>
      </c>
      <c r="D7" s="4" t="s">
        <v>56</v>
      </c>
      <c r="E7" s="4" t="s">
        <v>57</v>
      </c>
      <c r="F7" s="4" t="s">
        <v>18</v>
      </c>
      <c r="G7" s="4" t="s">
        <v>58</v>
      </c>
      <c r="H7" s="4"/>
      <c r="I7" s="4" t="s">
        <v>20</v>
      </c>
      <c r="J7" s="4" t="s">
        <v>20</v>
      </c>
      <c r="K7" s="4">
        <v>1763</v>
      </c>
      <c r="L7" s="4" t="s">
        <v>59</v>
      </c>
      <c r="M7" s="5" t="s">
        <v>60</v>
      </c>
      <c r="N7" s="4"/>
      <c r="O7" s="4" t="s">
        <v>61</v>
      </c>
    </row>
    <row r="8" spans="1:15">
      <c r="A8" s="3" t="s">
        <v>62</v>
      </c>
      <c r="B8" s="4">
        <v>465180</v>
      </c>
      <c r="C8" s="4" t="s">
        <v>63</v>
      </c>
      <c r="D8" s="4" t="s">
        <v>64</v>
      </c>
      <c r="E8" s="4">
        <v>872</v>
      </c>
      <c r="F8" s="4" t="s">
        <v>18</v>
      </c>
      <c r="G8" s="4" t="s">
        <v>65</v>
      </c>
      <c r="H8" s="4"/>
      <c r="I8" s="4" t="s">
        <v>20</v>
      </c>
      <c r="J8" s="4" t="s">
        <v>20</v>
      </c>
      <c r="K8" s="4">
        <v>1451</v>
      </c>
      <c r="L8" s="4" t="s">
        <v>66</v>
      </c>
      <c r="M8" s="5" t="s">
        <v>67</v>
      </c>
      <c r="N8" s="4"/>
      <c r="O8" s="4" t="s">
        <v>68</v>
      </c>
    </row>
    <row r="9" spans="1:15">
      <c r="A9" s="3" t="s">
        <v>69</v>
      </c>
      <c r="B9" s="4">
        <v>352372</v>
      </c>
      <c r="C9" s="4" t="s">
        <v>70</v>
      </c>
      <c r="D9" s="4" t="s">
        <v>64</v>
      </c>
      <c r="E9" s="4">
        <v>722</v>
      </c>
      <c r="F9" s="4" t="s">
        <v>28</v>
      </c>
      <c r="G9" s="4" t="s">
        <v>71</v>
      </c>
      <c r="H9" s="4"/>
      <c r="I9" s="4" t="s">
        <v>20</v>
      </c>
      <c r="J9" s="4" t="s">
        <v>20</v>
      </c>
      <c r="K9" s="4">
        <v>1050</v>
      </c>
      <c r="L9" s="4" t="s">
        <v>72</v>
      </c>
      <c r="M9" s="5" t="s">
        <v>73</v>
      </c>
      <c r="N9" s="4"/>
      <c r="O9" s="4" t="s">
        <v>74</v>
      </c>
    </row>
    <row r="10" spans="1:15">
      <c r="A10" s="3" t="s">
        <v>75</v>
      </c>
      <c r="B10" s="4">
        <v>359885</v>
      </c>
      <c r="C10" s="4" t="s">
        <v>76</v>
      </c>
      <c r="D10" s="4" t="s">
        <v>77</v>
      </c>
      <c r="E10" s="4">
        <v>671</v>
      </c>
      <c r="F10" s="4" t="s">
        <v>28</v>
      </c>
      <c r="G10" s="4" t="s">
        <v>78</v>
      </c>
      <c r="H10" s="4"/>
      <c r="I10" s="4" t="s">
        <v>20</v>
      </c>
      <c r="J10" s="4" t="s">
        <v>20</v>
      </c>
      <c r="K10" s="4">
        <v>77</v>
      </c>
      <c r="L10" s="4" t="s">
        <v>79</v>
      </c>
      <c r="M10" s="5" t="s">
        <v>80</v>
      </c>
      <c r="N10" s="4"/>
      <c r="O10" s="4" t="s">
        <v>81</v>
      </c>
    </row>
    <row r="11" spans="1:15">
      <c r="A11" s="3" t="s">
        <v>82</v>
      </c>
      <c r="B11" s="4">
        <v>352371</v>
      </c>
      <c r="C11" s="4" t="s">
        <v>83</v>
      </c>
      <c r="D11" s="4" t="s">
        <v>84</v>
      </c>
      <c r="E11" s="4" t="s">
        <v>85</v>
      </c>
      <c r="F11" s="4" t="s">
        <v>28</v>
      </c>
      <c r="G11" s="4" t="s">
        <v>86</v>
      </c>
      <c r="H11" s="4"/>
      <c r="I11" s="4" t="s">
        <v>20</v>
      </c>
      <c r="J11" s="4" t="s">
        <v>20</v>
      </c>
      <c r="K11" s="4">
        <v>0</v>
      </c>
      <c r="L11" s="4">
        <v>0</v>
      </c>
      <c r="M11" s="5">
        <v>0</v>
      </c>
      <c r="N11" s="4"/>
      <c r="O11" s="4" t="s">
        <v>87</v>
      </c>
    </row>
    <row r="12" spans="1:15">
      <c r="A12" s="3" t="s">
        <v>88</v>
      </c>
      <c r="B12" s="4">
        <v>352376</v>
      </c>
      <c r="C12" s="4" t="s">
        <v>83</v>
      </c>
      <c r="D12" s="4" t="s">
        <v>84</v>
      </c>
      <c r="E12" s="4" t="s">
        <v>85</v>
      </c>
      <c r="F12" s="4" t="s">
        <v>28</v>
      </c>
      <c r="G12" s="4" t="s">
        <v>86</v>
      </c>
      <c r="H12" s="4"/>
      <c r="I12" s="4" t="s">
        <v>20</v>
      </c>
      <c r="J12" s="4" t="s">
        <v>20</v>
      </c>
      <c r="K12" s="4">
        <v>0</v>
      </c>
      <c r="L12" s="4">
        <v>0</v>
      </c>
      <c r="M12" s="5">
        <v>0</v>
      </c>
      <c r="N12" s="4"/>
      <c r="O12" s="4" t="s">
        <v>87</v>
      </c>
    </row>
    <row r="13" spans="1:15">
      <c r="A13" s="7" t="s">
        <v>89</v>
      </c>
      <c r="B13" s="8"/>
      <c r="C13" s="8" t="s">
        <v>90</v>
      </c>
      <c r="D13" s="8"/>
      <c r="E13" s="8" t="s">
        <v>91</v>
      </c>
      <c r="F13" s="8" t="s">
        <v>92</v>
      </c>
      <c r="G13" s="8" t="s">
        <v>93</v>
      </c>
      <c r="H13" s="8"/>
      <c r="I13" s="8"/>
      <c r="J13" s="8"/>
      <c r="K13" s="8">
        <v>18959</v>
      </c>
      <c r="L13" s="9">
        <v>13100669</v>
      </c>
      <c r="M13" s="10" t="s">
        <v>94</v>
      </c>
      <c r="N13" s="8"/>
      <c r="O13" s="8" t="s">
        <v>95</v>
      </c>
    </row>
    <row r="20" spans="1:17">
      <c r="A20" s="457" t="s">
        <v>96</v>
      </c>
      <c r="B20" s="458"/>
      <c r="C20" s="458"/>
      <c r="D20" s="458"/>
      <c r="E20" s="458"/>
      <c r="F20" s="458"/>
      <c r="G20" s="458"/>
      <c r="H20" s="458"/>
      <c r="I20" s="458"/>
      <c r="J20" s="458"/>
      <c r="K20" s="458"/>
      <c r="L20" s="458"/>
      <c r="M20" s="458"/>
      <c r="N20" s="458"/>
      <c r="O20" s="459"/>
      <c r="P20" s="12"/>
      <c r="Q20" s="12"/>
    </row>
    <row r="21" spans="1:17">
      <c r="A21" s="1" t="s">
        <v>0</v>
      </c>
      <c r="B21" s="2" t="s">
        <v>1</v>
      </c>
      <c r="C21" s="2" t="s">
        <v>2</v>
      </c>
      <c r="D21" s="2" t="s">
        <v>3</v>
      </c>
      <c r="E21" s="2" t="s">
        <v>97</v>
      </c>
      <c r="F21" s="2" t="s">
        <v>5</v>
      </c>
      <c r="G21" s="2" t="s">
        <v>6</v>
      </c>
      <c r="H21" s="2"/>
      <c r="I21" s="2" t="s">
        <v>7</v>
      </c>
      <c r="J21" s="2" t="s">
        <v>8</v>
      </c>
      <c r="K21" s="2" t="s">
        <v>9</v>
      </c>
      <c r="L21" s="2" t="s">
        <v>10</v>
      </c>
      <c r="M21" s="2" t="s">
        <v>11</v>
      </c>
      <c r="N21" s="2" t="s">
        <v>12</v>
      </c>
      <c r="O21" s="2" t="s">
        <v>13</v>
      </c>
      <c r="P21" s="2"/>
      <c r="Q21" s="2" t="s">
        <v>98</v>
      </c>
    </row>
    <row r="22" spans="1:17">
      <c r="A22" s="3" t="s">
        <v>14</v>
      </c>
      <c r="B22" s="4">
        <v>465188</v>
      </c>
      <c r="C22" s="5">
        <v>4527</v>
      </c>
      <c r="D22" s="4" t="s">
        <v>99</v>
      </c>
      <c r="E22" s="5">
        <f>SUM(E27,L22)</f>
        <v>783.97</v>
      </c>
      <c r="F22" s="5">
        <v>198.5</v>
      </c>
      <c r="G22" s="5">
        <f>SUM(G26,M22)</f>
        <v>1139</v>
      </c>
      <c r="H22" s="4"/>
      <c r="I22" s="4" t="s">
        <v>20</v>
      </c>
      <c r="J22" s="4" t="s">
        <v>20</v>
      </c>
      <c r="K22" s="4">
        <v>1700</v>
      </c>
      <c r="L22" s="5">
        <v>117.47</v>
      </c>
      <c r="M22" s="5">
        <v>289</v>
      </c>
      <c r="N22" s="4"/>
      <c r="O22" s="5">
        <f t="shared" ref="O22:O23" si="0">((C22/100*22)+(G22-E22))-F22</f>
        <v>1152.47</v>
      </c>
      <c r="P22" s="5"/>
      <c r="Q22" s="5">
        <v>747</v>
      </c>
    </row>
    <row r="23" spans="1:17">
      <c r="A23" s="3" t="s">
        <v>24</v>
      </c>
      <c r="B23" s="4">
        <v>359886</v>
      </c>
      <c r="C23" s="5">
        <v>3800</v>
      </c>
      <c r="D23" s="4" t="s">
        <v>99</v>
      </c>
      <c r="E23" s="5">
        <f>SUM(E26,L23)</f>
        <v>797.37</v>
      </c>
      <c r="F23" s="5">
        <v>163.25</v>
      </c>
      <c r="G23" s="5">
        <f>SUM(G26,M23)</f>
        <v>1169.43</v>
      </c>
      <c r="H23" s="4"/>
      <c r="I23" s="4" t="s">
        <v>20</v>
      </c>
      <c r="J23" s="4" t="s">
        <v>20</v>
      </c>
      <c r="K23" s="4">
        <v>1894</v>
      </c>
      <c r="L23" s="5">
        <v>130.87</v>
      </c>
      <c r="M23" s="5">
        <v>319.43</v>
      </c>
      <c r="N23" s="4"/>
      <c r="O23" s="5">
        <f t="shared" si="0"/>
        <v>1044.81</v>
      </c>
      <c r="P23" s="5"/>
      <c r="Q23" s="5">
        <v>1787</v>
      </c>
    </row>
    <row r="24" spans="1:17">
      <c r="A24" s="3" t="s">
        <v>33</v>
      </c>
      <c r="B24" s="4">
        <v>352368</v>
      </c>
      <c r="C24" s="5">
        <v>6778</v>
      </c>
      <c r="D24" s="4" t="s">
        <v>100</v>
      </c>
      <c r="E24" s="5">
        <f>SUM(E26,L24)</f>
        <v>818.1</v>
      </c>
      <c r="F24" s="5">
        <v>163.25</v>
      </c>
      <c r="G24" s="5">
        <v>0</v>
      </c>
      <c r="H24" s="6"/>
      <c r="I24" s="6">
        <v>2000</v>
      </c>
      <c r="J24" s="6">
        <v>278.39999999999998</v>
      </c>
      <c r="K24" s="4">
        <v>2194</v>
      </c>
      <c r="L24" s="5">
        <v>151.6</v>
      </c>
      <c r="M24" s="5">
        <v>0</v>
      </c>
      <c r="N24" s="4"/>
      <c r="O24" s="4">
        <v>718.75</v>
      </c>
      <c r="P24" s="5"/>
      <c r="Q24" s="5">
        <v>2800</v>
      </c>
    </row>
    <row r="25" spans="1:17">
      <c r="A25" s="3" t="s">
        <v>40</v>
      </c>
      <c r="B25" s="4">
        <v>465184</v>
      </c>
      <c r="C25" s="5">
        <v>8550</v>
      </c>
      <c r="D25" s="4" t="s">
        <v>101</v>
      </c>
      <c r="E25" s="5">
        <f>SUM(E26,L25)</f>
        <v>860.87</v>
      </c>
      <c r="F25" s="5">
        <v>198.5</v>
      </c>
      <c r="G25" s="5">
        <f>SUM(G26,M25)</f>
        <v>1328.21</v>
      </c>
      <c r="H25" s="4"/>
      <c r="I25" s="4" t="s">
        <v>20</v>
      </c>
      <c r="J25" s="4" t="s">
        <v>20</v>
      </c>
      <c r="K25" s="4">
        <v>2813</v>
      </c>
      <c r="L25" s="5">
        <v>194.37</v>
      </c>
      <c r="M25" s="5">
        <v>478.21</v>
      </c>
      <c r="N25" s="4"/>
      <c r="O25" s="5">
        <f t="shared" ref="O25:O32" si="1">((C25/100*22)+(G25-E25))-F25</f>
        <v>2149.84</v>
      </c>
      <c r="P25" s="5"/>
      <c r="Q25" s="5">
        <v>2790.36</v>
      </c>
    </row>
    <row r="26" spans="1:17">
      <c r="A26" s="3" t="s">
        <v>48</v>
      </c>
      <c r="B26" s="4">
        <v>465183</v>
      </c>
      <c r="C26" s="5">
        <v>0</v>
      </c>
      <c r="D26" s="4" t="s">
        <v>102</v>
      </c>
      <c r="E26" s="5">
        <v>666.5</v>
      </c>
      <c r="F26" s="5">
        <v>198.5</v>
      </c>
      <c r="G26" s="5">
        <v>850</v>
      </c>
      <c r="H26" s="4"/>
      <c r="I26" s="4" t="s">
        <v>20</v>
      </c>
      <c r="J26" s="4" t="s">
        <v>20</v>
      </c>
      <c r="K26" s="4">
        <v>0</v>
      </c>
      <c r="L26" s="5">
        <v>0</v>
      </c>
      <c r="M26" s="5">
        <v>0</v>
      </c>
      <c r="N26" s="4"/>
      <c r="O26" s="5">
        <f t="shared" si="1"/>
        <v>-15</v>
      </c>
      <c r="P26" s="5"/>
      <c r="Q26" s="5">
        <v>0</v>
      </c>
    </row>
    <row r="27" spans="1:17">
      <c r="A27" s="3" t="s">
        <v>54</v>
      </c>
      <c r="B27" s="4">
        <v>465185</v>
      </c>
      <c r="C27" s="5">
        <v>0</v>
      </c>
      <c r="D27" s="4" t="s">
        <v>102</v>
      </c>
      <c r="E27" s="5">
        <v>666.5</v>
      </c>
      <c r="F27" s="5">
        <v>198.5</v>
      </c>
      <c r="G27" s="5">
        <v>850</v>
      </c>
      <c r="H27" s="4"/>
      <c r="I27" s="4" t="s">
        <v>20</v>
      </c>
      <c r="J27" s="4" t="s">
        <v>20</v>
      </c>
      <c r="K27" s="4">
        <v>0</v>
      </c>
      <c r="L27" s="5">
        <v>0</v>
      </c>
      <c r="M27" s="5">
        <v>0</v>
      </c>
      <c r="N27" s="4"/>
      <c r="O27" s="5">
        <f t="shared" si="1"/>
        <v>-15</v>
      </c>
      <c r="P27" s="5"/>
      <c r="Q27" s="5">
        <v>0</v>
      </c>
    </row>
    <row r="28" spans="1:17">
      <c r="A28" s="3" t="s">
        <v>62</v>
      </c>
      <c r="B28" s="4">
        <v>465180</v>
      </c>
      <c r="C28" s="5">
        <v>7850</v>
      </c>
      <c r="D28" s="4" t="s">
        <v>100</v>
      </c>
      <c r="E28" s="5">
        <f>SUM(E27,L28)</f>
        <v>843.74</v>
      </c>
      <c r="F28" s="5">
        <v>198.5</v>
      </c>
      <c r="G28" s="5">
        <f>SUM(G27,M28)</f>
        <v>1286.05</v>
      </c>
      <c r="H28" s="4"/>
      <c r="I28" s="4" t="s">
        <v>20</v>
      </c>
      <c r="J28" s="4" t="s">
        <v>20</v>
      </c>
      <c r="K28" s="4">
        <v>2565</v>
      </c>
      <c r="L28" s="5">
        <v>177.24</v>
      </c>
      <c r="M28" s="5">
        <v>436.05</v>
      </c>
      <c r="N28" s="4"/>
      <c r="O28" s="5">
        <f t="shared" si="1"/>
        <v>1970.81</v>
      </c>
      <c r="P28" s="5"/>
      <c r="Q28" s="5">
        <v>4481.95</v>
      </c>
    </row>
    <row r="29" spans="1:17">
      <c r="A29" s="3" t="s">
        <v>69</v>
      </c>
      <c r="B29" s="4">
        <v>352372</v>
      </c>
      <c r="C29" s="5">
        <v>10450</v>
      </c>
      <c r="D29" s="4" t="s">
        <v>100</v>
      </c>
      <c r="E29" s="5">
        <f>SUM(E27,L29)</f>
        <v>929.56</v>
      </c>
      <c r="F29" s="5">
        <v>163.25</v>
      </c>
      <c r="G29" s="5">
        <f>SUM(G27,M29)</f>
        <v>1497.19</v>
      </c>
      <c r="H29" s="4"/>
      <c r="I29" s="4" t="s">
        <v>20</v>
      </c>
      <c r="J29" s="4" t="s">
        <v>20</v>
      </c>
      <c r="K29" s="4">
        <v>3807</v>
      </c>
      <c r="L29" s="5">
        <v>263.06</v>
      </c>
      <c r="M29" s="5">
        <v>647.19000000000005</v>
      </c>
      <c r="N29" s="4"/>
      <c r="O29" s="5">
        <f t="shared" si="1"/>
        <v>2703.38</v>
      </c>
      <c r="P29" s="5"/>
      <c r="Q29" s="5">
        <v>5081.2</v>
      </c>
    </row>
    <row r="30" spans="1:17">
      <c r="A30" s="3" t="s">
        <v>75</v>
      </c>
      <c r="B30" s="4">
        <v>359885</v>
      </c>
      <c r="C30" s="5">
        <v>5475</v>
      </c>
      <c r="D30" s="4" t="s">
        <v>103</v>
      </c>
      <c r="E30" s="5">
        <f>SUM(E27,L30)</f>
        <v>802.28</v>
      </c>
      <c r="F30" s="5">
        <v>163.25</v>
      </c>
      <c r="G30" s="5">
        <f>SUM(G27,M30)</f>
        <v>1184.05</v>
      </c>
      <c r="H30" s="4"/>
      <c r="I30" s="4" t="s">
        <v>20</v>
      </c>
      <c r="J30" s="4" t="s">
        <v>20</v>
      </c>
      <c r="K30" s="4">
        <v>1965</v>
      </c>
      <c r="L30" s="5">
        <v>135.78</v>
      </c>
      <c r="M30" s="5">
        <v>334.05</v>
      </c>
      <c r="N30" s="4"/>
      <c r="O30" s="5">
        <f t="shared" si="1"/>
        <v>1423.02</v>
      </c>
      <c r="P30" s="5"/>
      <c r="Q30" s="5">
        <v>306.7</v>
      </c>
    </row>
    <row r="31" spans="1:17">
      <c r="A31" s="3" t="s">
        <v>82</v>
      </c>
      <c r="B31" s="4">
        <v>352371</v>
      </c>
      <c r="C31" s="5">
        <v>2890</v>
      </c>
      <c r="D31" s="4" t="s">
        <v>103</v>
      </c>
      <c r="E31" s="5">
        <f>SUM(E27,L31)</f>
        <v>799.72</v>
      </c>
      <c r="F31" s="5">
        <v>163.25</v>
      </c>
      <c r="G31" s="5">
        <f>SUM(G27,M31)</f>
        <v>1177.76</v>
      </c>
      <c r="H31" s="4"/>
      <c r="I31" s="4" t="s">
        <v>20</v>
      </c>
      <c r="J31" s="4" t="s">
        <v>20</v>
      </c>
      <c r="K31" s="4">
        <v>1928</v>
      </c>
      <c r="L31" s="5">
        <v>133.22</v>
      </c>
      <c r="M31" s="5">
        <v>327.76</v>
      </c>
      <c r="N31" s="4"/>
      <c r="O31" s="5">
        <f t="shared" si="1"/>
        <v>850.58999999999992</v>
      </c>
      <c r="P31" s="5"/>
      <c r="Q31" s="5">
        <v>0</v>
      </c>
    </row>
    <row r="32" spans="1:17">
      <c r="A32" s="3" t="s">
        <v>88</v>
      </c>
      <c r="B32" s="4">
        <v>352376</v>
      </c>
      <c r="C32" s="5">
        <v>6350</v>
      </c>
      <c r="D32" s="4" t="s">
        <v>101</v>
      </c>
      <c r="E32" s="5">
        <f>SUM(E27,L32)</f>
        <v>845.5</v>
      </c>
      <c r="F32" s="5">
        <v>163.25</v>
      </c>
      <c r="G32" s="5">
        <v>1291</v>
      </c>
      <c r="H32" s="4"/>
      <c r="I32" s="4" t="s">
        <v>20</v>
      </c>
      <c r="J32" s="4" t="s">
        <v>20</v>
      </c>
      <c r="K32" s="4">
        <v>2598</v>
      </c>
      <c r="L32" s="5">
        <v>179</v>
      </c>
      <c r="M32" s="5">
        <v>441</v>
      </c>
      <c r="N32" s="4"/>
      <c r="O32" s="5">
        <f t="shared" si="1"/>
        <v>1679.25</v>
      </c>
      <c r="P32" s="5"/>
      <c r="Q32" s="5">
        <v>76.69</v>
      </c>
    </row>
    <row r="33" spans="1:18">
      <c r="A33" s="7" t="s">
        <v>89</v>
      </c>
      <c r="B33" s="8"/>
      <c r="C33" s="13">
        <f>SUM(C22,C23,C24,C25,C26,C27,C28,C29,C30,C31,C32)</f>
        <v>56670</v>
      </c>
      <c r="D33" s="8" t="s">
        <v>104</v>
      </c>
      <c r="E33" s="13">
        <f t="shared" ref="E33:G33" si="2">SUM(E22:E32)</f>
        <v>8814.1099999999988</v>
      </c>
      <c r="F33" s="13">
        <f t="shared" si="2"/>
        <v>1972</v>
      </c>
      <c r="G33" s="13">
        <f t="shared" si="2"/>
        <v>11772.69</v>
      </c>
      <c r="H33" s="8"/>
      <c r="I33" s="8"/>
      <c r="J33" s="8"/>
      <c r="K33" s="8">
        <f t="shared" ref="K33:M33" si="3">SUM(K22:K32)</f>
        <v>21464</v>
      </c>
      <c r="L33" s="13">
        <f t="shared" si="3"/>
        <v>1482.61</v>
      </c>
      <c r="M33" s="10">
        <f t="shared" si="3"/>
        <v>3272.6900000000005</v>
      </c>
      <c r="N33" s="8"/>
      <c r="O33" s="13">
        <f>SUM(O22:O32)</f>
        <v>13662.920000000002</v>
      </c>
      <c r="P33" s="13"/>
      <c r="Q33" s="13">
        <f>SUM(Q22:Q32)</f>
        <v>18070.900000000001</v>
      </c>
    </row>
    <row r="37" spans="1:18">
      <c r="A37" s="457" t="s">
        <v>105</v>
      </c>
      <c r="B37" s="458"/>
      <c r="C37" s="458"/>
      <c r="D37" s="458"/>
      <c r="E37" s="458"/>
      <c r="F37" s="458"/>
      <c r="G37" s="458"/>
      <c r="H37" s="458"/>
      <c r="I37" s="458"/>
      <c r="J37" s="458"/>
      <c r="K37" s="458"/>
      <c r="L37" s="458"/>
      <c r="M37" s="458"/>
      <c r="N37" s="458"/>
      <c r="O37" s="458"/>
      <c r="P37" s="458"/>
      <c r="Q37" s="458"/>
      <c r="R37" s="459"/>
    </row>
    <row r="38" spans="1:18">
      <c r="A38" s="1" t="s">
        <v>0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2"/>
      <c r="I38" s="2" t="s">
        <v>7</v>
      </c>
      <c r="J38" s="2" t="s">
        <v>8</v>
      </c>
      <c r="K38" s="2" t="s">
        <v>9</v>
      </c>
      <c r="L38" s="2" t="s">
        <v>106</v>
      </c>
      <c r="M38" s="2" t="s">
        <v>107</v>
      </c>
      <c r="N38" s="2" t="s">
        <v>12</v>
      </c>
      <c r="O38" s="2" t="s">
        <v>13</v>
      </c>
      <c r="P38" s="2"/>
      <c r="Q38" s="14" t="s">
        <v>98</v>
      </c>
      <c r="R38" s="2" t="s">
        <v>108</v>
      </c>
    </row>
    <row r="39" spans="1:18">
      <c r="A39" s="3" t="s">
        <v>14</v>
      </c>
      <c r="B39" s="4">
        <v>465188</v>
      </c>
      <c r="C39" s="4" t="s">
        <v>109</v>
      </c>
      <c r="D39" s="4" t="s">
        <v>16</v>
      </c>
      <c r="E39" s="4" t="s">
        <v>110</v>
      </c>
      <c r="F39" s="4" t="s">
        <v>111</v>
      </c>
      <c r="G39" s="4" t="s">
        <v>112</v>
      </c>
      <c r="H39" s="4"/>
      <c r="I39" s="4" t="s">
        <v>20</v>
      </c>
      <c r="J39" s="4" t="s">
        <v>20</v>
      </c>
      <c r="K39" s="4">
        <v>3832</v>
      </c>
      <c r="L39" s="4" t="s">
        <v>113</v>
      </c>
      <c r="M39" s="4" t="s">
        <v>114</v>
      </c>
      <c r="N39" s="4"/>
      <c r="O39" s="4" t="s">
        <v>115</v>
      </c>
      <c r="P39" s="15"/>
      <c r="Q39" s="15" t="s">
        <v>116</v>
      </c>
      <c r="R39" s="4" t="s">
        <v>117</v>
      </c>
    </row>
    <row r="40" spans="1:18">
      <c r="A40" s="3" t="s">
        <v>24</v>
      </c>
      <c r="B40" s="4">
        <v>359886</v>
      </c>
      <c r="C40" s="4" t="s">
        <v>118</v>
      </c>
      <c r="D40" s="4" t="s">
        <v>119</v>
      </c>
      <c r="E40" s="4" t="s">
        <v>110</v>
      </c>
      <c r="F40" s="4" t="s">
        <v>120</v>
      </c>
      <c r="G40" s="4" t="s">
        <v>121</v>
      </c>
      <c r="H40" s="6"/>
      <c r="I40" s="6">
        <v>1661</v>
      </c>
      <c r="J40" s="6">
        <v>3.72</v>
      </c>
      <c r="K40" s="4">
        <v>2201</v>
      </c>
      <c r="L40" s="4" t="s">
        <v>122</v>
      </c>
      <c r="M40" s="4">
        <v>0</v>
      </c>
      <c r="N40" s="4"/>
      <c r="O40" s="4" t="s">
        <v>123</v>
      </c>
      <c r="P40" s="16"/>
      <c r="Q40" s="16">
        <v>2750</v>
      </c>
      <c r="R40" s="4" t="s">
        <v>124</v>
      </c>
    </row>
    <row r="41" spans="1:18">
      <c r="A41" s="3" t="s">
        <v>33</v>
      </c>
      <c r="B41" s="4">
        <v>352368</v>
      </c>
      <c r="C41" s="4" t="s">
        <v>125</v>
      </c>
      <c r="D41" s="4" t="s">
        <v>26</v>
      </c>
      <c r="E41" s="4" t="s">
        <v>110</v>
      </c>
      <c r="F41" s="4" t="s">
        <v>120</v>
      </c>
      <c r="G41" s="4" t="s">
        <v>121</v>
      </c>
      <c r="H41" s="6"/>
      <c r="I41" s="6">
        <v>2200</v>
      </c>
      <c r="J41" s="4" t="s">
        <v>126</v>
      </c>
      <c r="K41" s="4">
        <v>2820</v>
      </c>
      <c r="L41" s="4" t="s">
        <v>127</v>
      </c>
      <c r="M41" s="4">
        <v>0</v>
      </c>
      <c r="N41" s="4"/>
      <c r="O41" s="4" t="s">
        <v>128</v>
      </c>
      <c r="P41" s="15"/>
      <c r="Q41" s="15" t="s">
        <v>129</v>
      </c>
      <c r="R41" s="4">
        <v>72</v>
      </c>
    </row>
    <row r="42" spans="1:18">
      <c r="A42" s="3" t="s">
        <v>40</v>
      </c>
      <c r="B42" s="4">
        <v>465184</v>
      </c>
      <c r="C42" s="4" t="s">
        <v>130</v>
      </c>
      <c r="D42" s="4" t="s">
        <v>26</v>
      </c>
      <c r="E42" s="4" t="s">
        <v>110</v>
      </c>
      <c r="F42" s="4" t="s">
        <v>111</v>
      </c>
      <c r="G42" s="4" t="s">
        <v>112</v>
      </c>
      <c r="H42" s="4"/>
      <c r="I42" s="4" t="s">
        <v>20</v>
      </c>
      <c r="J42" s="4" t="s">
        <v>20</v>
      </c>
      <c r="K42" s="4">
        <v>2414</v>
      </c>
      <c r="L42" s="4" t="s">
        <v>131</v>
      </c>
      <c r="M42" s="4" t="s">
        <v>132</v>
      </c>
      <c r="N42" s="4"/>
      <c r="O42" s="4" t="s">
        <v>133</v>
      </c>
      <c r="P42" s="15"/>
      <c r="Q42" s="15" t="s">
        <v>134</v>
      </c>
      <c r="R42" s="4">
        <v>66</v>
      </c>
    </row>
    <row r="43" spans="1:18">
      <c r="A43" s="3" t="s">
        <v>48</v>
      </c>
      <c r="B43" s="4">
        <v>465183</v>
      </c>
      <c r="C43" s="4" t="s">
        <v>135</v>
      </c>
      <c r="D43" s="4" t="s">
        <v>16</v>
      </c>
      <c r="E43" s="4" t="s">
        <v>110</v>
      </c>
      <c r="F43" s="4" t="s">
        <v>111</v>
      </c>
      <c r="G43" s="4" t="s">
        <v>112</v>
      </c>
      <c r="H43" s="4"/>
      <c r="I43" s="4" t="s">
        <v>20</v>
      </c>
      <c r="J43" s="4" t="s">
        <v>20</v>
      </c>
      <c r="K43" s="4">
        <v>3086</v>
      </c>
      <c r="L43" s="4" t="s">
        <v>136</v>
      </c>
      <c r="M43" s="4" t="s">
        <v>137</v>
      </c>
      <c r="N43" s="4"/>
      <c r="O43" s="4" t="s">
        <v>138</v>
      </c>
      <c r="P43" s="15"/>
      <c r="Q43" s="15" t="s">
        <v>139</v>
      </c>
      <c r="R43" s="4" t="s">
        <v>140</v>
      </c>
    </row>
    <row r="44" spans="1:18">
      <c r="A44" s="3" t="s">
        <v>54</v>
      </c>
      <c r="B44" s="4">
        <v>465185</v>
      </c>
      <c r="C44" s="4" t="s">
        <v>141</v>
      </c>
      <c r="D44" s="4" t="s">
        <v>26</v>
      </c>
      <c r="E44" s="4" t="s">
        <v>110</v>
      </c>
      <c r="F44" s="4" t="s">
        <v>111</v>
      </c>
      <c r="G44" s="4" t="s">
        <v>112</v>
      </c>
      <c r="H44" s="4"/>
      <c r="I44" s="4" t="s">
        <v>20</v>
      </c>
      <c r="J44" s="4" t="s">
        <v>20</v>
      </c>
      <c r="K44" s="4">
        <v>2932</v>
      </c>
      <c r="L44" s="4" t="s">
        <v>142</v>
      </c>
      <c r="M44" s="4" t="s">
        <v>143</v>
      </c>
      <c r="N44" s="4"/>
      <c r="O44" s="4" t="s">
        <v>144</v>
      </c>
      <c r="P44" s="15"/>
      <c r="Q44" s="15" t="s">
        <v>145</v>
      </c>
      <c r="R44" s="4">
        <v>76</v>
      </c>
    </row>
    <row r="45" spans="1:18">
      <c r="A45" s="3" t="s">
        <v>62</v>
      </c>
      <c r="B45" s="4">
        <v>465180</v>
      </c>
      <c r="C45" s="4" t="s">
        <v>146</v>
      </c>
      <c r="D45" s="4" t="s">
        <v>16</v>
      </c>
      <c r="E45" s="4" t="s">
        <v>110</v>
      </c>
      <c r="F45" s="4" t="s">
        <v>111</v>
      </c>
      <c r="G45" s="4" t="s">
        <v>112</v>
      </c>
      <c r="H45" s="4"/>
      <c r="I45" s="4" t="s">
        <v>20</v>
      </c>
      <c r="J45" s="4" t="s">
        <v>20</v>
      </c>
      <c r="K45" s="4">
        <v>2375</v>
      </c>
      <c r="L45" s="4" t="s">
        <v>147</v>
      </c>
      <c r="M45" s="4" t="s">
        <v>148</v>
      </c>
      <c r="N45" s="4"/>
      <c r="O45" s="4" t="s">
        <v>149</v>
      </c>
      <c r="P45" s="15"/>
      <c r="Q45" s="15" t="s">
        <v>121</v>
      </c>
      <c r="R45" s="4" t="s">
        <v>150</v>
      </c>
    </row>
    <row r="46" spans="1:18">
      <c r="A46" s="3" t="s">
        <v>69</v>
      </c>
      <c r="B46" s="4">
        <v>352372</v>
      </c>
      <c r="C46" s="4" t="s">
        <v>151</v>
      </c>
      <c r="D46" s="4" t="s">
        <v>42</v>
      </c>
      <c r="E46" s="4" t="s">
        <v>110</v>
      </c>
      <c r="F46" s="4" t="s">
        <v>120</v>
      </c>
      <c r="G46" s="4" t="s">
        <v>112</v>
      </c>
      <c r="H46" s="4"/>
      <c r="I46" s="4" t="s">
        <v>20</v>
      </c>
      <c r="J46" s="4" t="s">
        <v>20</v>
      </c>
      <c r="K46" s="4">
        <v>3593</v>
      </c>
      <c r="L46" s="4" t="s">
        <v>152</v>
      </c>
      <c r="M46" s="4" t="s">
        <v>153</v>
      </c>
      <c r="N46" s="4"/>
      <c r="O46" s="4" t="s">
        <v>154</v>
      </c>
      <c r="P46" s="15"/>
      <c r="Q46" s="15" t="s">
        <v>155</v>
      </c>
      <c r="R46" s="4">
        <v>84</v>
      </c>
    </row>
    <row r="47" spans="1:18">
      <c r="A47" s="3" t="s">
        <v>75</v>
      </c>
      <c r="B47" s="4">
        <v>359885</v>
      </c>
      <c r="C47" s="4" t="s">
        <v>156</v>
      </c>
      <c r="D47" s="4" t="s">
        <v>26</v>
      </c>
      <c r="E47" s="4" t="s">
        <v>110</v>
      </c>
      <c r="F47" s="4" t="s">
        <v>120</v>
      </c>
      <c r="G47" s="4" t="s">
        <v>112</v>
      </c>
      <c r="H47" s="4"/>
      <c r="I47" s="4" t="s">
        <v>20</v>
      </c>
      <c r="J47" s="4" t="s">
        <v>20</v>
      </c>
      <c r="K47" s="4">
        <v>2535</v>
      </c>
      <c r="L47" s="4" t="s">
        <v>157</v>
      </c>
      <c r="M47" s="4" t="s">
        <v>158</v>
      </c>
      <c r="N47" s="4"/>
      <c r="O47" s="4" t="s">
        <v>159</v>
      </c>
      <c r="P47" s="15"/>
      <c r="Q47" s="15" t="s">
        <v>160</v>
      </c>
      <c r="R47" s="4" t="s">
        <v>161</v>
      </c>
    </row>
    <row r="48" spans="1:18">
      <c r="A48" s="3" t="s">
        <v>82</v>
      </c>
      <c r="B48" s="4">
        <v>352371</v>
      </c>
      <c r="C48" s="4" t="s">
        <v>162</v>
      </c>
      <c r="D48" s="4" t="s">
        <v>16</v>
      </c>
      <c r="E48" s="4" t="s">
        <v>110</v>
      </c>
      <c r="F48" s="4" t="s">
        <v>120</v>
      </c>
      <c r="G48" s="4" t="s">
        <v>112</v>
      </c>
      <c r="H48" s="4"/>
      <c r="I48" s="4" t="s">
        <v>20</v>
      </c>
      <c r="J48" s="4" t="s">
        <v>20</v>
      </c>
      <c r="K48" s="4">
        <v>3556</v>
      </c>
      <c r="L48" s="4" t="s">
        <v>163</v>
      </c>
      <c r="M48" s="4" t="s">
        <v>164</v>
      </c>
      <c r="N48" s="4"/>
      <c r="O48" s="4" t="s">
        <v>165</v>
      </c>
      <c r="P48" s="15"/>
      <c r="Q48" s="15" t="s">
        <v>166</v>
      </c>
      <c r="R48" s="4">
        <v>97</v>
      </c>
    </row>
    <row r="49" spans="1:22">
      <c r="A49" s="3" t="s">
        <v>88</v>
      </c>
      <c r="B49" s="4">
        <v>352376</v>
      </c>
      <c r="C49" s="4" t="s">
        <v>167</v>
      </c>
      <c r="D49" s="4" t="s">
        <v>16</v>
      </c>
      <c r="E49" s="4" t="s">
        <v>110</v>
      </c>
      <c r="F49" s="4" t="s">
        <v>120</v>
      </c>
      <c r="G49" s="4" t="s">
        <v>112</v>
      </c>
      <c r="H49" s="4"/>
      <c r="I49" s="4" t="s">
        <v>20</v>
      </c>
      <c r="J49" s="4" t="s">
        <v>20</v>
      </c>
      <c r="K49" s="4">
        <v>3120</v>
      </c>
      <c r="L49" s="4" t="s">
        <v>168</v>
      </c>
      <c r="M49" s="4" t="s">
        <v>169</v>
      </c>
      <c r="N49" s="4"/>
      <c r="O49" s="4" t="s">
        <v>170</v>
      </c>
      <c r="P49" s="15"/>
      <c r="Q49" s="15" t="s">
        <v>171</v>
      </c>
      <c r="R49" s="4">
        <v>93</v>
      </c>
    </row>
    <row r="50" spans="1:22">
      <c r="A50" s="7" t="s">
        <v>89</v>
      </c>
      <c r="B50" s="8"/>
      <c r="C50" s="8" t="s">
        <v>172</v>
      </c>
      <c r="D50" s="8" t="s">
        <v>173</v>
      </c>
      <c r="E50" s="8" t="s">
        <v>174</v>
      </c>
      <c r="F50" s="8" t="s">
        <v>175</v>
      </c>
      <c r="G50" s="8" t="s">
        <v>176</v>
      </c>
      <c r="H50" s="8"/>
      <c r="I50" s="8"/>
      <c r="J50" s="8"/>
      <c r="K50" s="8">
        <v>32464</v>
      </c>
      <c r="L50" s="8" t="s">
        <v>177</v>
      </c>
      <c r="M50" s="8" t="s">
        <v>178</v>
      </c>
      <c r="N50" s="8"/>
      <c r="O50" s="4" t="s">
        <v>179</v>
      </c>
      <c r="P50" s="15"/>
      <c r="Q50" s="15" t="s">
        <v>180</v>
      </c>
      <c r="R50" s="4" t="s">
        <v>181</v>
      </c>
    </row>
    <row r="54" spans="1:22">
      <c r="A54" s="457" t="s">
        <v>182</v>
      </c>
      <c r="B54" s="458"/>
      <c r="C54" s="458"/>
      <c r="D54" s="458"/>
      <c r="E54" s="458"/>
      <c r="F54" s="458"/>
      <c r="G54" s="458"/>
      <c r="H54" s="458"/>
      <c r="I54" s="458"/>
      <c r="J54" s="458"/>
      <c r="K54" s="458"/>
      <c r="L54" s="458"/>
      <c r="M54" s="458"/>
      <c r="N54" s="458"/>
      <c r="O54" s="458"/>
      <c r="P54" s="458"/>
      <c r="Q54" s="458"/>
      <c r="R54" s="458"/>
      <c r="S54" s="458"/>
      <c r="T54" s="458"/>
      <c r="U54" s="458"/>
      <c r="V54" s="459"/>
    </row>
    <row r="55" spans="1:22">
      <c r="A55" s="1" t="s">
        <v>0</v>
      </c>
      <c r="B55" s="2" t="s">
        <v>1</v>
      </c>
      <c r="C55" s="2" t="s">
        <v>183</v>
      </c>
      <c r="D55" s="2" t="s">
        <v>3</v>
      </c>
      <c r="E55" s="2" t="s">
        <v>2</v>
      </c>
      <c r="F55" s="2" t="s">
        <v>4</v>
      </c>
      <c r="G55" s="2" t="s">
        <v>6</v>
      </c>
      <c r="H55" s="2"/>
      <c r="I55" s="2" t="s">
        <v>7</v>
      </c>
      <c r="J55" s="2" t="s">
        <v>9</v>
      </c>
      <c r="K55" s="2" t="s">
        <v>106</v>
      </c>
      <c r="L55" s="2" t="s">
        <v>107</v>
      </c>
      <c r="M55" s="2" t="s">
        <v>5</v>
      </c>
      <c r="N55" s="2" t="s">
        <v>12</v>
      </c>
      <c r="O55" s="2" t="s">
        <v>184</v>
      </c>
      <c r="P55" s="2"/>
      <c r="Q55" s="2" t="s">
        <v>108</v>
      </c>
      <c r="R55" s="2" t="s">
        <v>8</v>
      </c>
      <c r="S55" s="12" t="s">
        <v>185</v>
      </c>
      <c r="T55" s="2" t="s">
        <v>13</v>
      </c>
      <c r="U55" s="2"/>
      <c r="V55" s="14" t="s">
        <v>98</v>
      </c>
    </row>
    <row r="56" spans="1:22">
      <c r="A56" s="3" t="s">
        <v>14</v>
      </c>
      <c r="B56" s="4">
        <v>465188</v>
      </c>
      <c r="C56" s="5" t="s">
        <v>186</v>
      </c>
      <c r="D56" s="5">
        <v>7</v>
      </c>
      <c r="E56" s="6">
        <v>6840</v>
      </c>
      <c r="F56" s="6">
        <v>666.5</v>
      </c>
      <c r="G56" s="6">
        <v>850</v>
      </c>
      <c r="H56" s="6"/>
      <c r="I56" s="6">
        <v>1823.05</v>
      </c>
      <c r="J56" s="5">
        <v>2527</v>
      </c>
      <c r="K56" s="6">
        <f t="shared" ref="K56:K68" si="4">J56*0.072</f>
        <v>181.94399999999999</v>
      </c>
      <c r="L56" s="6">
        <f>J56*0.17</f>
        <v>429.59000000000003</v>
      </c>
      <c r="M56" s="6">
        <v>198.5</v>
      </c>
      <c r="N56" s="6">
        <v>160.46</v>
      </c>
      <c r="O56" s="6">
        <v>26.25</v>
      </c>
      <c r="P56" s="6"/>
      <c r="Q56" s="6">
        <f t="shared" ref="Q56:Q68" si="5">E56*0.01</f>
        <v>68.400000000000006</v>
      </c>
      <c r="R56" s="6">
        <v>0</v>
      </c>
      <c r="S56" s="6">
        <v>0</v>
      </c>
      <c r="T56" s="6">
        <f>E56*0.22+L56-K56+G56-F56</f>
        <v>1935.9459999999999</v>
      </c>
      <c r="U56" s="4"/>
      <c r="V56" s="6">
        <f>(E56*0.78)-I56-G56-O56-L56</f>
        <v>2206.3099999999995</v>
      </c>
    </row>
    <row r="57" spans="1:22">
      <c r="A57" s="3" t="s">
        <v>187</v>
      </c>
      <c r="B57" s="4">
        <v>359886</v>
      </c>
      <c r="C57" s="5" t="s">
        <v>188</v>
      </c>
      <c r="D57" s="5">
        <v>6</v>
      </c>
      <c r="E57" s="6">
        <v>7348</v>
      </c>
      <c r="F57" s="6">
        <v>666.5</v>
      </c>
      <c r="G57" s="6">
        <v>0</v>
      </c>
      <c r="H57" s="5"/>
      <c r="I57" s="5">
        <v>2603.9699999999998</v>
      </c>
      <c r="J57" s="5">
        <v>2594</v>
      </c>
      <c r="K57" s="6">
        <f t="shared" si="4"/>
        <v>186.76799999999997</v>
      </c>
      <c r="L57" s="6">
        <v>0</v>
      </c>
      <c r="M57" s="6">
        <v>163.25</v>
      </c>
      <c r="N57" s="6">
        <v>160.46</v>
      </c>
      <c r="O57" s="6">
        <v>26.25</v>
      </c>
      <c r="P57" s="6"/>
      <c r="Q57" s="6">
        <f t="shared" si="5"/>
        <v>73.48</v>
      </c>
      <c r="R57" s="6">
        <v>0</v>
      </c>
      <c r="S57" s="6">
        <v>7</v>
      </c>
      <c r="T57" s="5">
        <v>260</v>
      </c>
      <c r="U57" s="4"/>
      <c r="V57" s="4">
        <v>3200</v>
      </c>
    </row>
    <row r="58" spans="1:22">
      <c r="A58" s="3" t="s">
        <v>33</v>
      </c>
      <c r="B58" s="4">
        <v>352368</v>
      </c>
      <c r="C58" s="5" t="s">
        <v>189</v>
      </c>
      <c r="D58" s="5">
        <v>8</v>
      </c>
      <c r="E58" s="6">
        <v>9200</v>
      </c>
      <c r="F58" s="6">
        <v>666.5</v>
      </c>
      <c r="G58" s="6">
        <v>0</v>
      </c>
      <c r="H58" s="6"/>
      <c r="I58" s="6">
        <v>3299.72</v>
      </c>
      <c r="J58" s="5">
        <v>4310</v>
      </c>
      <c r="K58" s="6">
        <f t="shared" si="4"/>
        <v>310.32</v>
      </c>
      <c r="L58" s="6">
        <v>0</v>
      </c>
      <c r="M58" s="6">
        <v>163.25</v>
      </c>
      <c r="N58" s="6">
        <v>160.46</v>
      </c>
      <c r="O58" s="6">
        <v>32.5</v>
      </c>
      <c r="P58" s="6"/>
      <c r="Q58" s="6">
        <f t="shared" si="5"/>
        <v>92</v>
      </c>
      <c r="R58" s="6">
        <v>0</v>
      </c>
      <c r="S58" s="6">
        <v>7</v>
      </c>
      <c r="T58" s="4" t="s">
        <v>190</v>
      </c>
      <c r="U58" s="4"/>
      <c r="V58" s="4">
        <v>2650</v>
      </c>
    </row>
    <row r="59" spans="1:22">
      <c r="A59" s="3" t="s">
        <v>40</v>
      </c>
      <c r="B59" s="4">
        <v>465184</v>
      </c>
      <c r="C59" s="5" t="s">
        <v>186</v>
      </c>
      <c r="D59" s="5">
        <v>6</v>
      </c>
      <c r="E59" s="6">
        <v>8100</v>
      </c>
      <c r="F59" s="6">
        <v>666.5</v>
      </c>
      <c r="G59" s="6">
        <v>850</v>
      </c>
      <c r="H59" s="6"/>
      <c r="I59" s="6">
        <v>1668.23</v>
      </c>
      <c r="J59" s="5">
        <v>2240</v>
      </c>
      <c r="K59" s="6">
        <f t="shared" si="4"/>
        <v>161.28</v>
      </c>
      <c r="L59" s="6">
        <f t="shared" ref="L59:L66" si="6">J59*0.17</f>
        <v>380.8</v>
      </c>
      <c r="M59" s="6" t="s">
        <v>111</v>
      </c>
      <c r="N59" s="6">
        <v>160.46</v>
      </c>
      <c r="O59" s="6">
        <v>40</v>
      </c>
      <c r="P59" s="6"/>
      <c r="Q59" s="6">
        <f t="shared" si="5"/>
        <v>81</v>
      </c>
      <c r="R59" s="6">
        <v>7.55</v>
      </c>
      <c r="S59" s="6">
        <v>0</v>
      </c>
      <c r="T59" s="6">
        <f t="shared" ref="T59:T67" si="7">E59*0.22+L59-K59</f>
        <v>2001.5200000000002</v>
      </c>
      <c r="U59" s="4"/>
      <c r="V59" s="6">
        <f>(E59*0.78)-I59-G59-O59-R59-L59</f>
        <v>3371.42</v>
      </c>
    </row>
    <row r="60" spans="1:22">
      <c r="A60" s="3" t="s">
        <v>48</v>
      </c>
      <c r="B60" s="4">
        <v>465183</v>
      </c>
      <c r="C60" s="5" t="s">
        <v>186</v>
      </c>
      <c r="D60" s="5">
        <v>2</v>
      </c>
      <c r="E60" s="6">
        <v>2000</v>
      </c>
      <c r="F60" s="6">
        <v>666.5</v>
      </c>
      <c r="G60" s="6">
        <v>850</v>
      </c>
      <c r="H60" s="6"/>
      <c r="I60" s="6">
        <v>493</v>
      </c>
      <c r="J60" s="5">
        <v>843</v>
      </c>
      <c r="K60" s="6">
        <f t="shared" si="4"/>
        <v>60.695999999999998</v>
      </c>
      <c r="L60" s="6">
        <f t="shared" si="6"/>
        <v>143.31</v>
      </c>
      <c r="M60" s="6" t="s">
        <v>111</v>
      </c>
      <c r="N60" s="6">
        <v>160.46</v>
      </c>
      <c r="O60" s="6">
        <v>0</v>
      </c>
      <c r="P60" s="6"/>
      <c r="Q60" s="6">
        <f t="shared" si="5"/>
        <v>20</v>
      </c>
      <c r="R60" s="6">
        <v>0</v>
      </c>
      <c r="S60" s="6">
        <v>0</v>
      </c>
      <c r="T60" s="6">
        <f t="shared" si="7"/>
        <v>522.61399999999992</v>
      </c>
      <c r="U60" s="4"/>
      <c r="V60" s="6">
        <f>(E60*0.78)</f>
        <v>1560</v>
      </c>
    </row>
    <row r="61" spans="1:22">
      <c r="A61" s="3" t="s">
        <v>54</v>
      </c>
      <c r="B61" s="4">
        <v>465185</v>
      </c>
      <c r="C61" s="5" t="s">
        <v>186</v>
      </c>
      <c r="D61" s="5">
        <v>5</v>
      </c>
      <c r="E61" s="6">
        <v>5900</v>
      </c>
      <c r="F61" s="6">
        <v>666.5</v>
      </c>
      <c r="G61" s="6">
        <v>850</v>
      </c>
      <c r="H61" s="6"/>
      <c r="I61" s="6">
        <v>2661.54</v>
      </c>
      <c r="J61" s="5">
        <v>2890</v>
      </c>
      <c r="K61" s="6">
        <f t="shared" si="4"/>
        <v>208.07999999999998</v>
      </c>
      <c r="L61" s="6">
        <f t="shared" si="6"/>
        <v>491.3</v>
      </c>
      <c r="M61" s="6" t="s">
        <v>111</v>
      </c>
      <c r="N61" s="6">
        <v>160.46</v>
      </c>
      <c r="O61" s="6">
        <v>32.5</v>
      </c>
      <c r="P61" s="6"/>
      <c r="Q61" s="6">
        <f t="shared" si="5"/>
        <v>59</v>
      </c>
      <c r="R61" s="6">
        <v>0</v>
      </c>
      <c r="S61" s="6">
        <v>0</v>
      </c>
      <c r="T61" s="6">
        <f t="shared" si="7"/>
        <v>1581.22</v>
      </c>
      <c r="U61" s="4"/>
      <c r="V61" s="6">
        <f t="shared" ref="V61:V64" si="8">E61*0.78</f>
        <v>4602</v>
      </c>
    </row>
    <row r="62" spans="1:22">
      <c r="A62" s="3" t="s">
        <v>62</v>
      </c>
      <c r="B62" s="4">
        <v>465180</v>
      </c>
      <c r="C62" s="5" t="s">
        <v>186</v>
      </c>
      <c r="D62" s="5">
        <v>4</v>
      </c>
      <c r="E62" s="6">
        <v>2875</v>
      </c>
      <c r="F62" s="6">
        <v>666.5</v>
      </c>
      <c r="G62" s="6">
        <v>850</v>
      </c>
      <c r="H62" s="6"/>
      <c r="I62" s="6">
        <v>880.04</v>
      </c>
      <c r="J62" s="5">
        <v>1151</v>
      </c>
      <c r="K62" s="6">
        <f t="shared" si="4"/>
        <v>82.872</v>
      </c>
      <c r="L62" s="6">
        <f t="shared" si="6"/>
        <v>195.67000000000002</v>
      </c>
      <c r="M62" s="6" t="s">
        <v>111</v>
      </c>
      <c r="N62" s="6">
        <v>160.46</v>
      </c>
      <c r="O62" s="6">
        <v>26.25</v>
      </c>
      <c r="P62" s="6"/>
      <c r="Q62" s="6">
        <f t="shared" si="5"/>
        <v>28.75</v>
      </c>
      <c r="R62" s="6">
        <v>0</v>
      </c>
      <c r="S62" s="6">
        <v>0</v>
      </c>
      <c r="T62" s="6">
        <f t="shared" si="7"/>
        <v>745.29800000000012</v>
      </c>
      <c r="U62" s="4"/>
      <c r="V62" s="6">
        <f t="shared" si="8"/>
        <v>2242.5</v>
      </c>
    </row>
    <row r="63" spans="1:22">
      <c r="A63" s="3" t="s">
        <v>191</v>
      </c>
      <c r="B63" s="4">
        <v>352372</v>
      </c>
      <c r="C63" s="5" t="s">
        <v>186</v>
      </c>
      <c r="D63" s="5">
        <v>7</v>
      </c>
      <c r="E63" s="6">
        <v>8115</v>
      </c>
      <c r="F63" s="6">
        <v>666.5</v>
      </c>
      <c r="G63" s="6">
        <v>850</v>
      </c>
      <c r="H63" s="6"/>
      <c r="I63" s="6">
        <v>1737.47</v>
      </c>
      <c r="J63" s="5">
        <v>2867</v>
      </c>
      <c r="K63" s="6">
        <f t="shared" si="4"/>
        <v>206.42399999999998</v>
      </c>
      <c r="L63" s="6">
        <f t="shared" si="6"/>
        <v>487.39000000000004</v>
      </c>
      <c r="M63" s="6" t="s">
        <v>120</v>
      </c>
      <c r="N63" s="6">
        <v>160.46</v>
      </c>
      <c r="O63" s="6">
        <v>40</v>
      </c>
      <c r="P63" s="6"/>
      <c r="Q63" s="6">
        <f t="shared" si="5"/>
        <v>81.150000000000006</v>
      </c>
      <c r="R63" s="6">
        <v>84.64</v>
      </c>
      <c r="S63" s="6">
        <v>0</v>
      </c>
      <c r="T63" s="6">
        <f t="shared" si="7"/>
        <v>2066.2660000000001</v>
      </c>
      <c r="U63" s="4"/>
      <c r="V63" s="6">
        <f t="shared" si="8"/>
        <v>6329.7</v>
      </c>
    </row>
    <row r="64" spans="1:22">
      <c r="A64" s="3" t="s">
        <v>75</v>
      </c>
      <c r="B64" s="4">
        <v>359885</v>
      </c>
      <c r="C64" s="5" t="s">
        <v>186</v>
      </c>
      <c r="D64" s="5">
        <v>7</v>
      </c>
      <c r="E64" s="6">
        <v>7000</v>
      </c>
      <c r="F64" s="6">
        <v>666.5</v>
      </c>
      <c r="G64" s="6">
        <v>850</v>
      </c>
      <c r="H64" s="6"/>
      <c r="I64" s="6">
        <v>1865.57</v>
      </c>
      <c r="J64" s="5">
        <v>2828</v>
      </c>
      <c r="K64" s="6">
        <f t="shared" si="4"/>
        <v>203.61599999999999</v>
      </c>
      <c r="L64" s="6">
        <f t="shared" si="6"/>
        <v>480.76000000000005</v>
      </c>
      <c r="M64" s="6" t="s">
        <v>120</v>
      </c>
      <c r="N64" s="6">
        <v>160.46</v>
      </c>
      <c r="O64" s="6">
        <v>40</v>
      </c>
      <c r="P64" s="6"/>
      <c r="Q64" s="6">
        <f t="shared" si="5"/>
        <v>70</v>
      </c>
      <c r="R64" s="6">
        <v>14.44</v>
      </c>
      <c r="S64" s="6">
        <v>0</v>
      </c>
      <c r="T64" s="6">
        <f t="shared" si="7"/>
        <v>1817.144</v>
      </c>
      <c r="U64" s="4"/>
      <c r="V64" s="6">
        <f t="shared" si="8"/>
        <v>5460</v>
      </c>
    </row>
    <row r="65" spans="1:22">
      <c r="A65" s="3" t="s">
        <v>82</v>
      </c>
      <c r="B65" s="4">
        <v>352371</v>
      </c>
      <c r="C65" s="5" t="s">
        <v>186</v>
      </c>
      <c r="D65" s="5">
        <v>5</v>
      </c>
      <c r="E65" s="6">
        <v>7900</v>
      </c>
      <c r="F65" s="6">
        <v>666.5</v>
      </c>
      <c r="G65" s="6">
        <v>850</v>
      </c>
      <c r="H65" s="6"/>
      <c r="I65" s="6">
        <v>3109.1</v>
      </c>
      <c r="J65" s="5">
        <v>3670</v>
      </c>
      <c r="K65" s="6">
        <f t="shared" si="4"/>
        <v>264.23999999999995</v>
      </c>
      <c r="L65" s="6">
        <f t="shared" si="6"/>
        <v>623.90000000000009</v>
      </c>
      <c r="M65" s="6" t="s">
        <v>120</v>
      </c>
      <c r="N65" s="6">
        <v>160.46</v>
      </c>
      <c r="O65" s="6">
        <v>32.5</v>
      </c>
      <c r="P65" s="6"/>
      <c r="Q65" s="6">
        <f t="shared" si="5"/>
        <v>79</v>
      </c>
      <c r="R65" s="6">
        <v>90</v>
      </c>
      <c r="S65" s="6">
        <v>0</v>
      </c>
      <c r="T65" s="6">
        <f t="shared" si="7"/>
        <v>2097.6600000000003</v>
      </c>
      <c r="U65" s="4"/>
      <c r="V65" s="6">
        <f>(E65*0.78)-I65-G65-O65-R65-L65</f>
        <v>1456.5</v>
      </c>
    </row>
    <row r="66" spans="1:22">
      <c r="A66" s="3" t="s">
        <v>88</v>
      </c>
      <c r="B66" s="4">
        <v>352376</v>
      </c>
      <c r="C66" s="5" t="s">
        <v>186</v>
      </c>
      <c r="D66" s="5">
        <v>7</v>
      </c>
      <c r="E66" s="6">
        <v>7950</v>
      </c>
      <c r="F66" s="6">
        <v>666.5</v>
      </c>
      <c r="G66" s="6">
        <v>850</v>
      </c>
      <c r="H66" s="5"/>
      <c r="I66" s="5">
        <v>2156.86</v>
      </c>
      <c r="J66" s="5">
        <v>2265</v>
      </c>
      <c r="K66" s="6">
        <f t="shared" si="4"/>
        <v>163.07999999999998</v>
      </c>
      <c r="L66" s="6">
        <f t="shared" si="6"/>
        <v>385.05</v>
      </c>
      <c r="M66" s="6" t="s">
        <v>120</v>
      </c>
      <c r="N66" s="6">
        <v>160.46</v>
      </c>
      <c r="O66" s="6">
        <v>26.25</v>
      </c>
      <c r="P66" s="6"/>
      <c r="Q66" s="6">
        <f t="shared" si="5"/>
        <v>79.5</v>
      </c>
      <c r="R66" s="6">
        <v>296.22000000000003</v>
      </c>
      <c r="S66" s="6">
        <v>0</v>
      </c>
      <c r="T66" s="6">
        <f t="shared" si="7"/>
        <v>1970.9700000000003</v>
      </c>
      <c r="U66" s="4"/>
      <c r="V66" s="6">
        <f t="shared" ref="V66:V67" si="9">E66*0.78</f>
        <v>6201</v>
      </c>
    </row>
    <row r="67" spans="1:22">
      <c r="A67" s="3" t="s">
        <v>192</v>
      </c>
      <c r="B67" s="4">
        <v>352373</v>
      </c>
      <c r="C67" s="5" t="s">
        <v>193</v>
      </c>
      <c r="D67" s="5">
        <v>3</v>
      </c>
      <c r="E67" s="6">
        <v>2600</v>
      </c>
      <c r="F67" s="6">
        <v>666.5</v>
      </c>
      <c r="G67" s="6">
        <v>850</v>
      </c>
      <c r="H67" s="6"/>
      <c r="I67" s="6">
        <v>1217.98</v>
      </c>
      <c r="J67" s="5">
        <v>1294</v>
      </c>
      <c r="K67" s="6">
        <f t="shared" si="4"/>
        <v>93.167999999999992</v>
      </c>
      <c r="L67" s="6">
        <v>0</v>
      </c>
      <c r="M67" s="6" t="s">
        <v>120</v>
      </c>
      <c r="N67" s="6">
        <v>160.46</v>
      </c>
      <c r="O67" s="6">
        <v>40</v>
      </c>
      <c r="P67" s="6"/>
      <c r="Q67" s="6">
        <f t="shared" si="5"/>
        <v>26</v>
      </c>
      <c r="R67" s="6">
        <v>47.7</v>
      </c>
      <c r="S67" s="6">
        <v>0</v>
      </c>
      <c r="T67" s="6">
        <f t="shared" si="7"/>
        <v>478.83199999999999</v>
      </c>
      <c r="U67" s="4"/>
      <c r="V67" s="6">
        <f t="shared" si="9"/>
        <v>2028</v>
      </c>
    </row>
    <row r="68" spans="1:22">
      <c r="A68" s="7" t="s">
        <v>89</v>
      </c>
      <c r="B68" s="8">
        <v>12</v>
      </c>
      <c r="C68" s="13"/>
      <c r="D68" s="13">
        <f>AVERAGE(D56:D67)</f>
        <v>5.583333333333333</v>
      </c>
      <c r="E68" s="10">
        <f t="shared" ref="E68:G68" si="10">SUM(E56:E67)</f>
        <v>75828</v>
      </c>
      <c r="F68" s="10">
        <f t="shared" si="10"/>
        <v>7998</v>
      </c>
      <c r="G68" s="10">
        <f t="shared" si="10"/>
        <v>8500</v>
      </c>
      <c r="H68" s="10"/>
      <c r="I68" s="10">
        <f t="shared" ref="I68:J68" si="11">SUM(I56:I67)</f>
        <v>23516.53</v>
      </c>
      <c r="J68" s="13">
        <f t="shared" si="11"/>
        <v>29479</v>
      </c>
      <c r="K68" s="10">
        <f t="shared" si="4"/>
        <v>2122.4879999999998</v>
      </c>
      <c r="L68" s="10">
        <f>J68*0.17</f>
        <v>5011.43</v>
      </c>
      <c r="M68" s="10">
        <f t="shared" ref="M68:O68" si="12">SUM(M56:M67)</f>
        <v>525</v>
      </c>
      <c r="N68" s="10">
        <f t="shared" si="12"/>
        <v>1925.5200000000002</v>
      </c>
      <c r="O68" s="10">
        <f t="shared" si="12"/>
        <v>362.5</v>
      </c>
      <c r="P68" s="10"/>
      <c r="Q68" s="10">
        <f t="shared" si="5"/>
        <v>758.28</v>
      </c>
      <c r="R68" s="10">
        <f t="shared" ref="R68:T68" si="13">SUM(R56:R67)</f>
        <v>540.55000000000007</v>
      </c>
      <c r="S68" s="10">
        <f t="shared" si="13"/>
        <v>14</v>
      </c>
      <c r="T68" s="10">
        <f t="shared" si="13"/>
        <v>15477.47</v>
      </c>
      <c r="U68" s="8"/>
      <c r="V68" s="10">
        <f>SUM(V56:V67)</f>
        <v>41307.43</v>
      </c>
    </row>
    <row r="72" spans="1:22">
      <c r="A72" s="457" t="s">
        <v>194</v>
      </c>
      <c r="B72" s="458"/>
      <c r="C72" s="458"/>
      <c r="D72" s="458"/>
      <c r="E72" s="458"/>
      <c r="F72" s="458"/>
      <c r="G72" s="458"/>
      <c r="H72" s="458"/>
      <c r="I72" s="458"/>
      <c r="J72" s="458"/>
      <c r="K72" s="458"/>
      <c r="L72" s="458"/>
      <c r="M72" s="458"/>
      <c r="N72" s="458"/>
      <c r="O72" s="458"/>
      <c r="P72" s="458"/>
      <c r="Q72" s="458"/>
      <c r="R72" s="458"/>
      <c r="S72" s="458"/>
      <c r="T72" s="458"/>
      <c r="U72" s="458"/>
      <c r="V72" s="459"/>
    </row>
    <row r="73" spans="1:22">
      <c r="A73" s="1" t="s">
        <v>0</v>
      </c>
      <c r="B73" s="2" t="s">
        <v>1</v>
      </c>
      <c r="C73" s="2" t="s">
        <v>183</v>
      </c>
      <c r="D73" s="2" t="s">
        <v>3</v>
      </c>
      <c r="E73" s="2" t="s">
        <v>2</v>
      </c>
      <c r="F73" s="2" t="s">
        <v>4</v>
      </c>
      <c r="G73" s="2" t="s">
        <v>6</v>
      </c>
      <c r="H73" s="2"/>
      <c r="I73" s="2" t="s">
        <v>7</v>
      </c>
      <c r="J73" s="2" t="s">
        <v>9</v>
      </c>
      <c r="K73" s="2" t="s">
        <v>106</v>
      </c>
      <c r="L73" s="2" t="s">
        <v>107</v>
      </c>
      <c r="M73" s="2" t="s">
        <v>5</v>
      </c>
      <c r="N73" s="2" t="s">
        <v>12</v>
      </c>
      <c r="O73" s="2" t="s">
        <v>184</v>
      </c>
      <c r="P73" s="2"/>
      <c r="Q73" s="2" t="s">
        <v>108</v>
      </c>
      <c r="R73" s="2" t="s">
        <v>8</v>
      </c>
      <c r="S73" s="12" t="s">
        <v>185</v>
      </c>
      <c r="T73" s="2" t="s">
        <v>13</v>
      </c>
      <c r="U73" s="2"/>
      <c r="V73" s="14" t="s">
        <v>98</v>
      </c>
    </row>
    <row r="74" spans="1:22">
      <c r="A74" s="3" t="s">
        <v>14</v>
      </c>
      <c r="B74" s="4">
        <v>465188</v>
      </c>
      <c r="C74" s="5" t="s">
        <v>186</v>
      </c>
      <c r="D74" s="5">
        <v>6</v>
      </c>
      <c r="E74" s="6">
        <v>7200</v>
      </c>
      <c r="F74" s="6">
        <v>666.5</v>
      </c>
      <c r="G74" s="6">
        <v>850</v>
      </c>
      <c r="H74" s="6"/>
      <c r="I74" s="6">
        <v>2325.73</v>
      </c>
      <c r="J74" s="5">
        <v>3060</v>
      </c>
      <c r="K74" s="6">
        <f t="shared" ref="K74:K85" si="14">J74*0.071</f>
        <v>217.26</v>
      </c>
      <c r="L74" s="6">
        <f>J74*0.17</f>
        <v>520.20000000000005</v>
      </c>
      <c r="M74" s="6">
        <v>198.5</v>
      </c>
      <c r="N74" s="6">
        <v>160.46</v>
      </c>
      <c r="O74" s="6">
        <v>26.25</v>
      </c>
      <c r="P74" s="6"/>
      <c r="Q74" s="6">
        <f t="shared" ref="Q74:Q86" si="15">E74*0.01</f>
        <v>72</v>
      </c>
      <c r="R74" s="6">
        <v>0</v>
      </c>
      <c r="S74" s="6">
        <v>0</v>
      </c>
      <c r="T74" s="6">
        <f>E74*0.22</f>
        <v>1584</v>
      </c>
      <c r="U74" s="4"/>
      <c r="V74" s="6">
        <f>E74*0.78</f>
        <v>5616</v>
      </c>
    </row>
    <row r="75" spans="1:22">
      <c r="A75" s="3" t="s">
        <v>187</v>
      </c>
      <c r="B75" s="4">
        <v>359886</v>
      </c>
      <c r="C75" s="5" t="s">
        <v>189</v>
      </c>
      <c r="D75" s="5">
        <v>6</v>
      </c>
      <c r="E75" s="6">
        <v>5765</v>
      </c>
      <c r="F75" s="6">
        <v>666.5</v>
      </c>
      <c r="G75" s="6">
        <v>0</v>
      </c>
      <c r="H75" s="5"/>
      <c r="I75" s="5">
        <v>2207.16</v>
      </c>
      <c r="J75" s="5">
        <v>2085</v>
      </c>
      <c r="K75" s="6">
        <f t="shared" si="14"/>
        <v>148.035</v>
      </c>
      <c r="L75" s="6">
        <v>0</v>
      </c>
      <c r="M75" s="6">
        <v>163.25</v>
      </c>
      <c r="N75" s="6">
        <v>160.46</v>
      </c>
      <c r="O75" s="6">
        <v>26.25</v>
      </c>
      <c r="P75" s="6"/>
      <c r="Q75" s="6">
        <f t="shared" si="15"/>
        <v>57.65</v>
      </c>
      <c r="R75" s="6">
        <v>0</v>
      </c>
      <c r="S75" s="6">
        <v>7</v>
      </c>
      <c r="T75" s="6">
        <f>E75-I75-V75-M75-N75-O75-Q75-S75</f>
        <v>143.23000000000013</v>
      </c>
      <c r="U75" s="6"/>
      <c r="V75" s="6">
        <v>3000</v>
      </c>
    </row>
    <row r="76" spans="1:22">
      <c r="A76" s="3" t="s">
        <v>33</v>
      </c>
      <c r="B76" s="4">
        <v>352368</v>
      </c>
      <c r="C76" s="5" t="s">
        <v>189</v>
      </c>
      <c r="D76" s="5">
        <v>4</v>
      </c>
      <c r="E76" s="6">
        <v>4100</v>
      </c>
      <c r="F76" s="6">
        <v>666.5</v>
      </c>
      <c r="G76" s="6">
        <v>0</v>
      </c>
      <c r="H76" s="6"/>
      <c r="I76" s="6">
        <v>1600</v>
      </c>
      <c r="J76" s="5">
        <v>1610</v>
      </c>
      <c r="K76" s="6">
        <f t="shared" si="14"/>
        <v>114.30999999999999</v>
      </c>
      <c r="L76" s="6">
        <v>0</v>
      </c>
      <c r="M76" s="6">
        <v>163.25</v>
      </c>
      <c r="N76" s="6">
        <v>160.46</v>
      </c>
      <c r="O76" s="6">
        <v>32.5</v>
      </c>
      <c r="P76" s="6"/>
      <c r="Q76" s="6">
        <f t="shared" si="15"/>
        <v>41</v>
      </c>
      <c r="R76" s="6">
        <v>0</v>
      </c>
      <c r="S76" s="6">
        <v>7</v>
      </c>
      <c r="T76" s="6">
        <f>E76-I76-M76-N76-O76-Q76-V76</f>
        <v>-197.21000000000004</v>
      </c>
      <c r="U76" s="6"/>
      <c r="V76" s="6">
        <v>2300</v>
      </c>
    </row>
    <row r="77" spans="1:22">
      <c r="A77" s="3" t="s">
        <v>40</v>
      </c>
      <c r="B77" s="4">
        <v>465184</v>
      </c>
      <c r="C77" s="5" t="s">
        <v>186</v>
      </c>
      <c r="D77" s="5">
        <v>7</v>
      </c>
      <c r="E77" s="6">
        <v>8800</v>
      </c>
      <c r="F77" s="6">
        <v>666.5</v>
      </c>
      <c r="G77" s="6">
        <v>850</v>
      </c>
      <c r="H77" s="6"/>
      <c r="I77" s="6">
        <v>2458.02</v>
      </c>
      <c r="J77" s="5">
        <v>3382</v>
      </c>
      <c r="K77" s="6">
        <f t="shared" si="14"/>
        <v>240.12199999999999</v>
      </c>
      <c r="L77" s="6">
        <f t="shared" ref="L77:L85" si="16">J77*0.17</f>
        <v>574.94000000000005</v>
      </c>
      <c r="M77" s="6" t="s">
        <v>111</v>
      </c>
      <c r="N77" s="6">
        <v>160.46</v>
      </c>
      <c r="O77" s="6">
        <v>40</v>
      </c>
      <c r="P77" s="6"/>
      <c r="Q77" s="6">
        <f t="shared" si="15"/>
        <v>88</v>
      </c>
      <c r="R77" s="6">
        <v>7.55</v>
      </c>
      <c r="S77" s="6">
        <v>0</v>
      </c>
      <c r="T77" s="6">
        <f t="shared" ref="T77:T84" si="17">E77*0.22</f>
        <v>1936</v>
      </c>
      <c r="U77" s="4"/>
      <c r="V77" s="6">
        <f t="shared" ref="V77:V84" si="18">E77*0.78</f>
        <v>6864</v>
      </c>
    </row>
    <row r="78" spans="1:22">
      <c r="A78" s="3" t="s">
        <v>48</v>
      </c>
      <c r="B78" s="4">
        <v>465183</v>
      </c>
      <c r="C78" s="5" t="s">
        <v>186</v>
      </c>
      <c r="D78" s="5">
        <v>0</v>
      </c>
      <c r="E78" s="6">
        <v>0</v>
      </c>
      <c r="F78" s="6">
        <v>666.5</v>
      </c>
      <c r="G78" s="6">
        <v>850</v>
      </c>
      <c r="H78" s="6"/>
      <c r="I78" s="6">
        <v>0</v>
      </c>
      <c r="J78" s="5">
        <v>0</v>
      </c>
      <c r="K78" s="6">
        <f t="shared" si="14"/>
        <v>0</v>
      </c>
      <c r="L78" s="6">
        <f t="shared" si="16"/>
        <v>0</v>
      </c>
      <c r="M78" s="6" t="s">
        <v>111</v>
      </c>
      <c r="N78" s="6">
        <v>160.46</v>
      </c>
      <c r="O78" s="6">
        <v>0</v>
      </c>
      <c r="P78" s="6"/>
      <c r="Q78" s="6">
        <f t="shared" si="15"/>
        <v>0</v>
      </c>
      <c r="R78" s="6">
        <v>0</v>
      </c>
      <c r="S78" s="6">
        <v>0</v>
      </c>
      <c r="T78" s="6">
        <f t="shared" si="17"/>
        <v>0</v>
      </c>
      <c r="U78" s="4"/>
      <c r="V78" s="6">
        <f t="shared" si="18"/>
        <v>0</v>
      </c>
    </row>
    <row r="79" spans="1:22">
      <c r="A79" s="3" t="s">
        <v>54</v>
      </c>
      <c r="B79" s="4">
        <v>465185</v>
      </c>
      <c r="C79" s="5" t="s">
        <v>186</v>
      </c>
      <c r="D79" s="5">
        <v>3.5</v>
      </c>
      <c r="E79" s="6">
        <v>4950</v>
      </c>
      <c r="F79" s="6">
        <v>666.5</v>
      </c>
      <c r="G79" s="6">
        <v>850</v>
      </c>
      <c r="H79" s="6"/>
      <c r="I79" s="6">
        <v>1102.29</v>
      </c>
      <c r="J79" s="5">
        <v>1019</v>
      </c>
      <c r="K79" s="6">
        <f t="shared" si="14"/>
        <v>72.34899999999999</v>
      </c>
      <c r="L79" s="6">
        <f t="shared" si="16"/>
        <v>173.23000000000002</v>
      </c>
      <c r="M79" s="6" t="s">
        <v>111</v>
      </c>
      <c r="N79" s="6">
        <v>160.46</v>
      </c>
      <c r="O79" s="6">
        <v>32.5</v>
      </c>
      <c r="P79" s="6"/>
      <c r="Q79" s="6">
        <f t="shared" si="15"/>
        <v>49.5</v>
      </c>
      <c r="R79" s="6">
        <v>0</v>
      </c>
      <c r="S79" s="6">
        <v>0</v>
      </c>
      <c r="T79" s="6">
        <f t="shared" si="17"/>
        <v>1089</v>
      </c>
      <c r="U79" s="4"/>
      <c r="V79" s="6">
        <f t="shared" si="18"/>
        <v>3861</v>
      </c>
    </row>
    <row r="80" spans="1:22">
      <c r="A80" s="3" t="s">
        <v>62</v>
      </c>
      <c r="B80" s="4">
        <v>465180</v>
      </c>
      <c r="C80" s="5" t="s">
        <v>186</v>
      </c>
      <c r="D80" s="5">
        <v>6</v>
      </c>
      <c r="E80" s="6">
        <v>6300</v>
      </c>
      <c r="F80" s="6">
        <v>666.5</v>
      </c>
      <c r="G80" s="6">
        <v>850</v>
      </c>
      <c r="H80" s="6"/>
      <c r="I80" s="6">
        <v>2161.73</v>
      </c>
      <c r="J80" s="5">
        <v>2241</v>
      </c>
      <c r="K80" s="6">
        <f t="shared" si="14"/>
        <v>159.11099999999999</v>
      </c>
      <c r="L80" s="6">
        <f t="shared" si="16"/>
        <v>380.97</v>
      </c>
      <c r="M80" s="6" t="s">
        <v>111</v>
      </c>
      <c r="N80" s="6">
        <v>160.46</v>
      </c>
      <c r="O80" s="6">
        <v>26.25</v>
      </c>
      <c r="P80" s="6"/>
      <c r="Q80" s="6">
        <f t="shared" si="15"/>
        <v>63</v>
      </c>
      <c r="R80" s="6">
        <v>0</v>
      </c>
      <c r="S80" s="6">
        <v>0</v>
      </c>
      <c r="T80" s="6">
        <f t="shared" si="17"/>
        <v>1386</v>
      </c>
      <c r="U80" s="4"/>
      <c r="V80" s="6">
        <f t="shared" si="18"/>
        <v>4914</v>
      </c>
    </row>
    <row r="81" spans="1:22">
      <c r="A81" s="3" t="s">
        <v>191</v>
      </c>
      <c r="B81" s="4">
        <v>352372</v>
      </c>
      <c r="C81" s="5" t="s">
        <v>186</v>
      </c>
      <c r="D81" s="5">
        <v>4</v>
      </c>
      <c r="E81" s="6">
        <v>5450</v>
      </c>
      <c r="F81" s="6">
        <v>666.5</v>
      </c>
      <c r="G81" s="6">
        <v>850</v>
      </c>
      <c r="H81" s="6"/>
      <c r="I81" s="6">
        <v>1168.1300000000001</v>
      </c>
      <c r="J81" s="5">
        <v>2048</v>
      </c>
      <c r="K81" s="6">
        <f t="shared" si="14"/>
        <v>145.40799999999999</v>
      </c>
      <c r="L81" s="6">
        <f t="shared" si="16"/>
        <v>348.16</v>
      </c>
      <c r="M81" s="6" t="s">
        <v>120</v>
      </c>
      <c r="N81" s="6">
        <v>160.46</v>
      </c>
      <c r="O81" s="6">
        <v>40</v>
      </c>
      <c r="P81" s="6"/>
      <c r="Q81" s="6">
        <f t="shared" si="15"/>
        <v>54.5</v>
      </c>
      <c r="R81" s="6">
        <v>84.64</v>
      </c>
      <c r="S81" s="6">
        <v>0</v>
      </c>
      <c r="T81" s="6">
        <f t="shared" si="17"/>
        <v>1199</v>
      </c>
      <c r="U81" s="4"/>
      <c r="V81" s="6">
        <f t="shared" si="18"/>
        <v>4251</v>
      </c>
    </row>
    <row r="82" spans="1:22">
      <c r="A82" s="3" t="s">
        <v>75</v>
      </c>
      <c r="B82" s="4">
        <v>359885</v>
      </c>
      <c r="C82" s="5" t="s">
        <v>186</v>
      </c>
      <c r="D82" s="5">
        <v>5</v>
      </c>
      <c r="E82" s="6">
        <v>7430</v>
      </c>
      <c r="F82" s="6">
        <v>666.5</v>
      </c>
      <c r="G82" s="6">
        <v>850</v>
      </c>
      <c r="H82" s="6"/>
      <c r="I82" s="6">
        <v>2019.63</v>
      </c>
      <c r="J82" s="5">
        <v>2793</v>
      </c>
      <c r="K82" s="6">
        <f t="shared" si="14"/>
        <v>198.30299999999997</v>
      </c>
      <c r="L82" s="6">
        <f t="shared" si="16"/>
        <v>474.81000000000006</v>
      </c>
      <c r="M82" s="6" t="s">
        <v>120</v>
      </c>
      <c r="N82" s="6">
        <v>160.46</v>
      </c>
      <c r="O82" s="6">
        <v>40</v>
      </c>
      <c r="P82" s="6"/>
      <c r="Q82" s="6">
        <f t="shared" si="15"/>
        <v>74.3</v>
      </c>
      <c r="R82" s="6">
        <v>14.44</v>
      </c>
      <c r="S82" s="6">
        <v>0</v>
      </c>
      <c r="T82" s="6">
        <f t="shared" si="17"/>
        <v>1634.6</v>
      </c>
      <c r="U82" s="4"/>
      <c r="V82" s="6">
        <f t="shared" si="18"/>
        <v>5795.4000000000005</v>
      </c>
    </row>
    <row r="83" spans="1:22">
      <c r="A83" s="3" t="s">
        <v>82</v>
      </c>
      <c r="B83" s="4">
        <v>352371</v>
      </c>
      <c r="C83" s="5" t="s">
        <v>186</v>
      </c>
      <c r="D83" s="5">
        <v>7</v>
      </c>
      <c r="E83" s="6">
        <v>8830</v>
      </c>
      <c r="F83" s="6">
        <v>666.5</v>
      </c>
      <c r="G83" s="6">
        <v>850</v>
      </c>
      <c r="H83" s="6"/>
      <c r="I83" s="6">
        <v>2365.41</v>
      </c>
      <c r="J83" s="5">
        <v>2790</v>
      </c>
      <c r="K83" s="6">
        <f t="shared" si="14"/>
        <v>198.08999999999997</v>
      </c>
      <c r="L83" s="6">
        <f t="shared" si="16"/>
        <v>474.3</v>
      </c>
      <c r="M83" s="6" t="s">
        <v>120</v>
      </c>
      <c r="N83" s="6">
        <v>160.46</v>
      </c>
      <c r="O83" s="6">
        <v>32.5</v>
      </c>
      <c r="P83" s="6"/>
      <c r="Q83" s="6">
        <f t="shared" si="15"/>
        <v>88.3</v>
      </c>
      <c r="R83" s="6">
        <v>90</v>
      </c>
      <c r="S83" s="6">
        <v>0</v>
      </c>
      <c r="T83" s="6">
        <f t="shared" si="17"/>
        <v>1942.6</v>
      </c>
      <c r="U83" s="4"/>
      <c r="V83" s="6">
        <f t="shared" si="18"/>
        <v>6887.4000000000005</v>
      </c>
    </row>
    <row r="84" spans="1:22">
      <c r="A84" s="3" t="s">
        <v>88</v>
      </c>
      <c r="B84" s="4">
        <v>352376</v>
      </c>
      <c r="C84" s="5" t="s">
        <v>186</v>
      </c>
      <c r="D84" s="5">
        <v>6</v>
      </c>
      <c r="E84" s="6">
        <v>5845</v>
      </c>
      <c r="F84" s="6">
        <v>666.5</v>
      </c>
      <c r="G84" s="6">
        <v>850</v>
      </c>
      <c r="H84" s="6"/>
      <c r="I84" s="6">
        <v>1614.71</v>
      </c>
      <c r="J84" s="5">
        <v>1855</v>
      </c>
      <c r="K84" s="6">
        <f t="shared" si="14"/>
        <v>131.70499999999998</v>
      </c>
      <c r="L84" s="6">
        <f t="shared" si="16"/>
        <v>315.35000000000002</v>
      </c>
      <c r="M84" s="6" t="s">
        <v>120</v>
      </c>
      <c r="N84" s="6">
        <v>160.46</v>
      </c>
      <c r="O84" s="6">
        <v>26.25</v>
      </c>
      <c r="P84" s="6"/>
      <c r="Q84" s="6">
        <f t="shared" si="15"/>
        <v>58.45</v>
      </c>
      <c r="R84" s="6">
        <v>296.22000000000003</v>
      </c>
      <c r="S84" s="6">
        <v>0</v>
      </c>
      <c r="T84" s="6">
        <f t="shared" si="17"/>
        <v>1285.9000000000001</v>
      </c>
      <c r="U84" s="4"/>
      <c r="V84" s="6">
        <f t="shared" si="18"/>
        <v>4559.1000000000004</v>
      </c>
    </row>
    <row r="85" spans="1:22">
      <c r="A85" s="3" t="s">
        <v>192</v>
      </c>
      <c r="B85" s="4">
        <v>352373</v>
      </c>
      <c r="C85" s="5" t="s">
        <v>193</v>
      </c>
      <c r="D85" s="5">
        <v>7</v>
      </c>
      <c r="E85" s="6">
        <v>8650</v>
      </c>
      <c r="F85" s="6">
        <v>666.5</v>
      </c>
      <c r="G85" s="6">
        <v>850</v>
      </c>
      <c r="H85" s="6"/>
      <c r="I85" s="6">
        <v>2593.77</v>
      </c>
      <c r="J85" s="5">
        <v>3422</v>
      </c>
      <c r="K85" s="6">
        <f t="shared" si="14"/>
        <v>242.96199999999999</v>
      </c>
      <c r="L85" s="6">
        <f t="shared" si="16"/>
        <v>581.74</v>
      </c>
      <c r="M85" s="6" t="s">
        <v>120</v>
      </c>
      <c r="N85" s="6">
        <v>160.46</v>
      </c>
      <c r="O85" s="6">
        <v>40</v>
      </c>
      <c r="P85" s="6"/>
      <c r="Q85" s="6">
        <f t="shared" si="15"/>
        <v>86.5</v>
      </c>
      <c r="R85" s="6">
        <v>0</v>
      </c>
      <c r="S85" s="6">
        <v>0</v>
      </c>
      <c r="T85" s="6">
        <f>E85*0.3</f>
        <v>2595</v>
      </c>
      <c r="U85" s="4"/>
      <c r="V85" s="6">
        <f>E85*0.7</f>
        <v>6055</v>
      </c>
    </row>
    <row r="86" spans="1:22">
      <c r="A86" s="7" t="s">
        <v>89</v>
      </c>
      <c r="B86" s="8">
        <v>12</v>
      </c>
      <c r="C86" s="13"/>
      <c r="D86" s="13"/>
      <c r="E86" s="10">
        <f t="shared" ref="E86:G86" si="19">SUM(E74:E85)</f>
        <v>73320</v>
      </c>
      <c r="F86" s="10">
        <f t="shared" si="19"/>
        <v>7998</v>
      </c>
      <c r="G86" s="10">
        <f t="shared" si="19"/>
        <v>8500</v>
      </c>
      <c r="H86" s="10"/>
      <c r="I86" s="10">
        <f t="shared" ref="I86:O86" si="20">SUM(I74:I85)</f>
        <v>21616.58</v>
      </c>
      <c r="J86" s="13">
        <f t="shared" si="20"/>
        <v>26305</v>
      </c>
      <c r="K86" s="10">
        <f t="shared" si="20"/>
        <v>1867.6549999999997</v>
      </c>
      <c r="L86" s="10">
        <f t="shared" si="20"/>
        <v>3843.7000000000007</v>
      </c>
      <c r="M86" s="10">
        <f t="shared" si="20"/>
        <v>525</v>
      </c>
      <c r="N86" s="10">
        <f t="shared" si="20"/>
        <v>1925.5200000000002</v>
      </c>
      <c r="O86" s="10">
        <f t="shared" si="20"/>
        <v>362.5</v>
      </c>
      <c r="P86" s="10"/>
      <c r="Q86" s="10">
        <f t="shared" si="15"/>
        <v>733.2</v>
      </c>
      <c r="R86" s="10">
        <f t="shared" ref="R86:T86" si="21">SUM(R74:R85)</f>
        <v>492.85</v>
      </c>
      <c r="S86" s="10">
        <f t="shared" si="21"/>
        <v>14</v>
      </c>
      <c r="T86" s="10">
        <f t="shared" si="21"/>
        <v>14598.12</v>
      </c>
      <c r="U86" s="8"/>
      <c r="V86" s="10">
        <f>SUM(V74:V85)</f>
        <v>54102.9</v>
      </c>
    </row>
  </sheetData>
  <mergeCells count="4">
    <mergeCell ref="A20:O20"/>
    <mergeCell ref="A37:R37"/>
    <mergeCell ref="A54:V54"/>
    <mergeCell ref="A72:V7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D125"/>
  <sheetViews>
    <sheetView workbookViewId="0"/>
  </sheetViews>
  <sheetFormatPr baseColWidth="10" defaultColWidth="12.6640625" defaultRowHeight="15.75" customHeight="1"/>
  <sheetData>
    <row r="1" spans="1:30">
      <c r="A1" s="457" t="s">
        <v>388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148"/>
      <c r="AB1" s="148"/>
      <c r="AC1" s="148"/>
      <c r="AD1" s="149"/>
    </row>
    <row r="2" spans="1:30">
      <c r="A2" s="95" t="s">
        <v>0</v>
      </c>
      <c r="B2" s="95" t="s">
        <v>1</v>
      </c>
      <c r="C2" s="95" t="s">
        <v>372</v>
      </c>
      <c r="D2" s="95" t="s">
        <v>2</v>
      </c>
      <c r="E2" s="95" t="s">
        <v>9</v>
      </c>
      <c r="F2" s="95" t="s">
        <v>7</v>
      </c>
      <c r="G2" s="95" t="s">
        <v>8</v>
      </c>
      <c r="H2" s="95"/>
      <c r="I2" s="95" t="s">
        <v>287</v>
      </c>
      <c r="J2" s="95" t="s">
        <v>288</v>
      </c>
      <c r="K2" s="95" t="s">
        <v>257</v>
      </c>
      <c r="L2" s="95" t="s">
        <v>373</v>
      </c>
      <c r="M2" s="95" t="s">
        <v>374</v>
      </c>
      <c r="N2" s="95" t="s">
        <v>375</v>
      </c>
      <c r="O2" s="95" t="s">
        <v>376</v>
      </c>
      <c r="P2" s="95"/>
      <c r="Q2" s="95" t="s">
        <v>377</v>
      </c>
      <c r="R2" s="150" t="s">
        <v>378</v>
      </c>
      <c r="S2" s="150" t="s">
        <v>379</v>
      </c>
      <c r="T2" s="150" t="s">
        <v>352</v>
      </c>
      <c r="U2" s="95"/>
      <c r="V2" s="95" t="s">
        <v>380</v>
      </c>
      <c r="W2" s="95" t="s">
        <v>381</v>
      </c>
      <c r="X2" s="95" t="s">
        <v>382</v>
      </c>
      <c r="Y2" s="95" t="s">
        <v>383</v>
      </c>
      <c r="Z2" s="95" t="s">
        <v>384</v>
      </c>
      <c r="AA2" s="95" t="s">
        <v>385</v>
      </c>
      <c r="AB2" s="95" t="s">
        <v>333</v>
      </c>
      <c r="AC2" s="95" t="s">
        <v>13</v>
      </c>
      <c r="AD2" s="95" t="s">
        <v>98</v>
      </c>
    </row>
    <row r="3" spans="1:30">
      <c r="A3" s="100" t="s">
        <v>349</v>
      </c>
      <c r="B3" s="101">
        <v>352368</v>
      </c>
      <c r="C3" s="112">
        <v>5</v>
      </c>
      <c r="D3" s="103">
        <v>10375</v>
      </c>
      <c r="E3" s="151">
        <v>4592</v>
      </c>
      <c r="F3" s="128">
        <v>2582.19</v>
      </c>
      <c r="G3" s="103">
        <v>33.51</v>
      </c>
      <c r="H3" s="103"/>
      <c r="I3" s="103">
        <v>100</v>
      </c>
      <c r="J3" s="103"/>
      <c r="K3" s="128">
        <v>47.9</v>
      </c>
      <c r="L3" s="103">
        <f t="shared" ref="L3:L28" si="0">D3*0.0085</f>
        <v>88.1875</v>
      </c>
      <c r="M3" s="103">
        <v>7</v>
      </c>
      <c r="N3" s="103">
        <v>689.44</v>
      </c>
      <c r="O3" s="103"/>
      <c r="P3" s="103"/>
      <c r="Q3" s="103">
        <v>0</v>
      </c>
      <c r="R3" s="103"/>
      <c r="S3" s="103"/>
      <c r="T3" s="103">
        <f t="shared" ref="T3:T22" si="1">W3*V3</f>
        <v>88.831399999999988</v>
      </c>
      <c r="U3" s="152"/>
      <c r="V3" s="152">
        <v>7.4899999999999994E-2</v>
      </c>
      <c r="W3" s="153">
        <v>1186</v>
      </c>
      <c r="X3" s="103">
        <v>359.07</v>
      </c>
      <c r="Y3" s="103">
        <f t="shared" ref="Y3:Y28" si="2">E3*0.1</f>
        <v>459.20000000000005</v>
      </c>
      <c r="Z3" s="103">
        <v>32.5</v>
      </c>
      <c r="AA3" s="154">
        <v>0.8</v>
      </c>
      <c r="AB3" s="103">
        <v>95</v>
      </c>
      <c r="AC3" s="103">
        <f t="shared" ref="AC3:AC19" si="3">D3-F3-G3-Z3-Y3-X3-N3-AD3+K3-AB3-I3-T3-M3-L3</f>
        <v>2214.3710999999998</v>
      </c>
      <c r="AD3" s="103">
        <f t="shared" ref="AD3:AD22" si="4">E3*AA3</f>
        <v>3673.6000000000004</v>
      </c>
    </row>
    <row r="4" spans="1:30">
      <c r="A4" s="100" t="s">
        <v>355</v>
      </c>
      <c r="B4" s="101">
        <v>352371</v>
      </c>
      <c r="C4" s="112"/>
      <c r="D4" s="103"/>
      <c r="E4" s="151"/>
      <c r="F4" s="128"/>
      <c r="G4" s="128">
        <v>42.47</v>
      </c>
      <c r="H4" s="103"/>
      <c r="I4" s="103"/>
      <c r="J4" s="103"/>
      <c r="K4" s="128"/>
      <c r="L4" s="103">
        <f t="shared" si="0"/>
        <v>0</v>
      </c>
      <c r="M4" s="103">
        <v>7</v>
      </c>
      <c r="N4" s="103">
        <v>689.44</v>
      </c>
      <c r="O4" s="103"/>
      <c r="P4" s="103"/>
      <c r="Q4" s="103">
        <v>0</v>
      </c>
      <c r="R4" s="103"/>
      <c r="S4" s="103"/>
      <c r="T4" s="103">
        <f t="shared" si="1"/>
        <v>12.575709999999999</v>
      </c>
      <c r="U4" s="152"/>
      <c r="V4" s="152">
        <v>7.4899999999999994E-2</v>
      </c>
      <c r="W4" s="153">
        <v>167.9</v>
      </c>
      <c r="X4" s="103">
        <v>359.07</v>
      </c>
      <c r="Y4" s="103">
        <f t="shared" si="2"/>
        <v>0</v>
      </c>
      <c r="Z4" s="103">
        <v>32.5</v>
      </c>
      <c r="AA4" s="154">
        <v>0.75</v>
      </c>
      <c r="AB4" s="103">
        <v>95</v>
      </c>
      <c r="AC4" s="103">
        <f t="shared" si="3"/>
        <v>-1238.0557100000001</v>
      </c>
      <c r="AD4" s="103">
        <f t="shared" si="4"/>
        <v>0</v>
      </c>
    </row>
    <row r="5" spans="1:30">
      <c r="A5" s="101"/>
      <c r="B5" s="101">
        <v>352372</v>
      </c>
      <c r="C5" s="112"/>
      <c r="D5" s="103"/>
      <c r="E5" s="151"/>
      <c r="F5" s="117"/>
      <c r="G5" s="117"/>
      <c r="H5" s="103"/>
      <c r="I5" s="103"/>
      <c r="J5" s="103"/>
      <c r="K5" s="103"/>
      <c r="L5" s="103">
        <f t="shared" si="0"/>
        <v>0</v>
      </c>
      <c r="M5" s="103">
        <v>7</v>
      </c>
      <c r="N5" s="103">
        <v>689.44</v>
      </c>
      <c r="O5" s="103"/>
      <c r="P5" s="103"/>
      <c r="Q5" s="103">
        <v>0</v>
      </c>
      <c r="R5" s="103"/>
      <c r="S5" s="103"/>
      <c r="T5" s="103">
        <f t="shared" si="1"/>
        <v>0</v>
      </c>
      <c r="U5" s="152"/>
      <c r="V5" s="152">
        <v>7.4899999999999994E-2</v>
      </c>
      <c r="W5" s="153"/>
      <c r="X5" s="103">
        <v>359.07</v>
      </c>
      <c r="Y5" s="103">
        <f t="shared" si="2"/>
        <v>0</v>
      </c>
      <c r="Z5" s="103"/>
      <c r="AA5" s="154"/>
      <c r="AB5" s="103">
        <v>95</v>
      </c>
      <c r="AC5" s="103">
        <f t="shared" si="3"/>
        <v>-1150.51</v>
      </c>
      <c r="AD5" s="103">
        <f t="shared" si="4"/>
        <v>0</v>
      </c>
    </row>
    <row r="6" spans="1:30">
      <c r="A6" s="101" t="s">
        <v>347</v>
      </c>
      <c r="B6" s="101">
        <v>352373</v>
      </c>
      <c r="C6" s="112">
        <v>5</v>
      </c>
      <c r="D6" s="103">
        <v>6300</v>
      </c>
      <c r="E6" s="155">
        <v>3150</v>
      </c>
      <c r="F6" s="128">
        <v>2626.07</v>
      </c>
      <c r="G6" s="128">
        <v>44.45</v>
      </c>
      <c r="H6" s="103"/>
      <c r="I6" s="103"/>
      <c r="J6" s="103"/>
      <c r="K6" s="128">
        <v>284</v>
      </c>
      <c r="L6" s="103">
        <f t="shared" si="0"/>
        <v>53.550000000000004</v>
      </c>
      <c r="M6" s="103">
        <v>7</v>
      </c>
      <c r="N6" s="103">
        <v>689.44</v>
      </c>
      <c r="O6" s="103"/>
      <c r="P6" s="103"/>
      <c r="Q6" s="103">
        <v>0</v>
      </c>
      <c r="R6" s="103"/>
      <c r="S6" s="103"/>
      <c r="T6" s="103">
        <f t="shared" si="1"/>
        <v>67.791989999999998</v>
      </c>
      <c r="U6" s="152"/>
      <c r="V6" s="152">
        <v>7.4899999999999994E-2</v>
      </c>
      <c r="W6" s="153">
        <v>905.1</v>
      </c>
      <c r="X6" s="103">
        <v>359.07</v>
      </c>
      <c r="Y6" s="103">
        <f t="shared" si="2"/>
        <v>315</v>
      </c>
      <c r="Z6" s="103">
        <v>32.5</v>
      </c>
      <c r="AA6" s="154">
        <v>0.8</v>
      </c>
      <c r="AB6" s="103">
        <v>95</v>
      </c>
      <c r="AC6" s="103">
        <f t="shared" si="3"/>
        <v>-225.87199000000021</v>
      </c>
      <c r="AD6" s="103">
        <f t="shared" si="4"/>
        <v>2520</v>
      </c>
    </row>
    <row r="7" spans="1:30">
      <c r="A7" s="101" t="s">
        <v>191</v>
      </c>
      <c r="B7" s="101" t="s">
        <v>366</v>
      </c>
      <c r="C7" s="112"/>
      <c r="D7" s="103"/>
      <c r="E7" s="155"/>
      <c r="F7" s="128"/>
      <c r="G7" s="128"/>
      <c r="H7" s="103"/>
      <c r="I7" s="103"/>
      <c r="J7" s="103"/>
      <c r="K7" s="128"/>
      <c r="L7" s="103">
        <f t="shared" si="0"/>
        <v>0</v>
      </c>
      <c r="M7" s="103">
        <v>7</v>
      </c>
      <c r="N7" s="103">
        <v>689.44</v>
      </c>
      <c r="O7" s="103"/>
      <c r="P7" s="103"/>
      <c r="Q7" s="103">
        <v>0</v>
      </c>
      <c r="R7" s="103"/>
      <c r="S7" s="103"/>
      <c r="T7" s="103">
        <f t="shared" si="1"/>
        <v>0</v>
      </c>
      <c r="U7" s="152"/>
      <c r="V7" s="152">
        <v>7.4899999999999994E-2</v>
      </c>
      <c r="W7" s="153"/>
      <c r="X7" s="103">
        <v>359.07</v>
      </c>
      <c r="Y7" s="103">
        <f t="shared" si="2"/>
        <v>0</v>
      </c>
      <c r="Z7" s="103">
        <v>40</v>
      </c>
      <c r="AA7" s="154">
        <v>0.8</v>
      </c>
      <c r="AB7" s="103">
        <v>95</v>
      </c>
      <c r="AC7" s="103">
        <f t="shared" si="3"/>
        <v>-1190.51</v>
      </c>
      <c r="AD7" s="103">
        <f t="shared" si="4"/>
        <v>0</v>
      </c>
    </row>
    <row r="8" spans="1:30">
      <c r="A8" s="101"/>
      <c r="B8" s="101">
        <v>352375</v>
      </c>
      <c r="C8" s="112"/>
      <c r="D8" s="103"/>
      <c r="E8" s="151"/>
      <c r="F8" s="128"/>
      <c r="G8" s="128"/>
      <c r="H8" s="103"/>
      <c r="I8" s="103"/>
      <c r="J8" s="103"/>
      <c r="K8" s="128"/>
      <c r="L8" s="103">
        <f t="shared" si="0"/>
        <v>0</v>
      </c>
      <c r="M8" s="103">
        <v>7</v>
      </c>
      <c r="N8" s="103">
        <v>689.44</v>
      </c>
      <c r="O8" s="103"/>
      <c r="P8" s="103"/>
      <c r="Q8" s="103">
        <v>0</v>
      </c>
      <c r="R8" s="103"/>
      <c r="S8" s="103"/>
      <c r="T8" s="103">
        <f t="shared" si="1"/>
        <v>0</v>
      </c>
      <c r="U8" s="152"/>
      <c r="V8" s="152">
        <v>7.4899999999999994E-2</v>
      </c>
      <c r="W8" s="153"/>
      <c r="X8" s="103">
        <v>359.07</v>
      </c>
      <c r="Y8" s="103">
        <f t="shared" si="2"/>
        <v>0</v>
      </c>
      <c r="Z8" s="103">
        <v>32.5</v>
      </c>
      <c r="AA8" s="154"/>
      <c r="AB8" s="103">
        <v>95</v>
      </c>
      <c r="AC8" s="103">
        <f t="shared" si="3"/>
        <v>-1183.01</v>
      </c>
      <c r="AD8" s="103">
        <f t="shared" si="4"/>
        <v>0</v>
      </c>
    </row>
    <row r="9" spans="1:30">
      <c r="A9" s="101" t="s">
        <v>62</v>
      </c>
      <c r="B9" s="101">
        <v>352376</v>
      </c>
      <c r="C9" s="112">
        <v>4</v>
      </c>
      <c r="D9" s="103">
        <v>3800</v>
      </c>
      <c r="E9" s="155">
        <v>2229</v>
      </c>
      <c r="F9" s="128">
        <v>1453.53</v>
      </c>
      <c r="G9" s="128"/>
      <c r="H9" s="103"/>
      <c r="I9" s="103"/>
      <c r="J9" s="103"/>
      <c r="K9" s="128">
        <v>261.91000000000003</v>
      </c>
      <c r="L9" s="103">
        <f t="shared" si="0"/>
        <v>32.300000000000004</v>
      </c>
      <c r="M9" s="103">
        <v>7</v>
      </c>
      <c r="N9" s="103">
        <v>689.44</v>
      </c>
      <c r="O9" s="103"/>
      <c r="P9" s="103"/>
      <c r="Q9" s="103">
        <v>0</v>
      </c>
      <c r="R9" s="103"/>
      <c r="S9" s="103"/>
      <c r="T9" s="103">
        <f t="shared" si="1"/>
        <v>170.79446999999999</v>
      </c>
      <c r="U9" s="152"/>
      <c r="V9" s="152">
        <v>7.4899999999999994E-2</v>
      </c>
      <c r="W9" s="153">
        <v>2280.3000000000002</v>
      </c>
      <c r="X9" s="103">
        <v>359.07</v>
      </c>
      <c r="Y9" s="103">
        <f t="shared" si="2"/>
        <v>222.9</v>
      </c>
      <c r="Z9" s="103">
        <v>26.25</v>
      </c>
      <c r="AA9" s="154">
        <v>0.75</v>
      </c>
      <c r="AB9" s="103">
        <v>95</v>
      </c>
      <c r="AC9" s="103">
        <f t="shared" si="3"/>
        <v>-666.12446999999975</v>
      </c>
      <c r="AD9" s="103">
        <f t="shared" si="4"/>
        <v>1671.75</v>
      </c>
    </row>
    <row r="10" spans="1:30">
      <c r="A10" s="101"/>
      <c r="B10" s="101">
        <v>352377</v>
      </c>
      <c r="C10" s="112"/>
      <c r="D10" s="103"/>
      <c r="E10" s="151"/>
      <c r="F10" s="128"/>
      <c r="G10" s="128"/>
      <c r="H10" s="103"/>
      <c r="I10" s="103"/>
      <c r="J10" s="103"/>
      <c r="K10" s="128"/>
      <c r="L10" s="103">
        <f t="shared" si="0"/>
        <v>0</v>
      </c>
      <c r="M10" s="103">
        <v>7</v>
      </c>
      <c r="N10" s="103">
        <v>689.44</v>
      </c>
      <c r="O10" s="103"/>
      <c r="P10" s="103"/>
      <c r="Q10" s="103">
        <v>0</v>
      </c>
      <c r="R10" s="103"/>
      <c r="S10" s="103"/>
      <c r="T10" s="103">
        <f t="shared" si="1"/>
        <v>0</v>
      </c>
      <c r="U10" s="152"/>
      <c r="V10" s="152">
        <v>7.4899999999999994E-2</v>
      </c>
      <c r="W10" s="153"/>
      <c r="X10" s="103">
        <v>359.07</v>
      </c>
      <c r="Y10" s="103">
        <f t="shared" si="2"/>
        <v>0</v>
      </c>
      <c r="Z10" s="103"/>
      <c r="AA10" s="154">
        <v>0.7</v>
      </c>
      <c r="AB10" s="103">
        <v>95</v>
      </c>
      <c r="AC10" s="103">
        <f t="shared" si="3"/>
        <v>-1150.51</v>
      </c>
      <c r="AD10" s="103">
        <f t="shared" si="4"/>
        <v>0</v>
      </c>
    </row>
    <row r="11" spans="1:30">
      <c r="A11" s="101" t="s">
        <v>345</v>
      </c>
      <c r="B11" s="101">
        <v>359885</v>
      </c>
      <c r="C11" s="112"/>
      <c r="D11" s="103"/>
      <c r="E11" s="151"/>
      <c r="F11" s="128"/>
      <c r="G11" s="128">
        <v>5.65</v>
      </c>
      <c r="H11" s="103"/>
      <c r="I11" s="103"/>
      <c r="J11" s="103"/>
      <c r="K11" s="128"/>
      <c r="L11" s="103">
        <f t="shared" si="0"/>
        <v>0</v>
      </c>
      <c r="M11" s="103">
        <v>7</v>
      </c>
      <c r="N11" s="103">
        <v>689.44</v>
      </c>
      <c r="O11" s="103"/>
      <c r="P11" s="103"/>
      <c r="Q11" s="103">
        <v>0</v>
      </c>
      <c r="R11" s="103"/>
      <c r="S11" s="103"/>
      <c r="T11" s="103">
        <f t="shared" si="1"/>
        <v>0</v>
      </c>
      <c r="U11" s="152"/>
      <c r="V11" s="152">
        <v>7.4899999999999994E-2</v>
      </c>
      <c r="W11" s="153"/>
      <c r="X11" s="103">
        <v>359.07</v>
      </c>
      <c r="Y11" s="103">
        <f t="shared" si="2"/>
        <v>0</v>
      </c>
      <c r="Z11" s="103">
        <v>26.25</v>
      </c>
      <c r="AA11" s="154">
        <v>0.75</v>
      </c>
      <c r="AB11" s="103">
        <v>95</v>
      </c>
      <c r="AC11" s="103">
        <f t="shared" si="3"/>
        <v>-1182.4100000000001</v>
      </c>
      <c r="AD11" s="103">
        <f t="shared" si="4"/>
        <v>0</v>
      </c>
    </row>
    <row r="12" spans="1:30">
      <c r="A12" s="100"/>
      <c r="B12" s="101">
        <v>359886</v>
      </c>
      <c r="C12" s="112"/>
      <c r="D12" s="103"/>
      <c r="E12" s="151"/>
      <c r="F12" s="128"/>
      <c r="G12" s="128"/>
      <c r="H12" s="103"/>
      <c r="I12" s="103"/>
      <c r="J12" s="103"/>
      <c r="K12" s="128"/>
      <c r="L12" s="103">
        <f t="shared" si="0"/>
        <v>0</v>
      </c>
      <c r="M12" s="103">
        <v>7</v>
      </c>
      <c r="N12" s="103">
        <v>689.44</v>
      </c>
      <c r="O12" s="103"/>
      <c r="P12" s="103"/>
      <c r="Q12" s="103">
        <v>0</v>
      </c>
      <c r="R12" s="103"/>
      <c r="S12" s="103"/>
      <c r="T12" s="103">
        <f t="shared" si="1"/>
        <v>0</v>
      </c>
      <c r="U12" s="152"/>
      <c r="V12" s="152">
        <v>7.4899999999999994E-2</v>
      </c>
      <c r="W12" s="153"/>
      <c r="X12" s="103">
        <v>359.07</v>
      </c>
      <c r="Y12" s="103">
        <f t="shared" si="2"/>
        <v>0</v>
      </c>
      <c r="Z12" s="103">
        <v>32.5</v>
      </c>
      <c r="AA12" s="154">
        <v>0.75</v>
      </c>
      <c r="AB12" s="103">
        <v>95</v>
      </c>
      <c r="AC12" s="103">
        <f t="shared" si="3"/>
        <v>-1183.01</v>
      </c>
      <c r="AD12" s="103">
        <f t="shared" si="4"/>
        <v>0</v>
      </c>
    </row>
    <row r="13" spans="1:30">
      <c r="A13" s="101" t="s">
        <v>319</v>
      </c>
      <c r="B13" s="101">
        <v>465180</v>
      </c>
      <c r="C13" s="112">
        <v>3</v>
      </c>
      <c r="D13" s="103">
        <v>2125</v>
      </c>
      <c r="E13" s="151">
        <v>591</v>
      </c>
      <c r="F13" s="128">
        <v>172.49</v>
      </c>
      <c r="G13" s="128"/>
      <c r="H13" s="103"/>
      <c r="I13" s="103"/>
      <c r="J13" s="103"/>
      <c r="K13" s="128">
        <v>27.01</v>
      </c>
      <c r="L13" s="103">
        <f t="shared" si="0"/>
        <v>18.0625</v>
      </c>
      <c r="M13" s="103">
        <v>7</v>
      </c>
      <c r="N13" s="103">
        <v>789.51</v>
      </c>
      <c r="O13" s="103"/>
      <c r="P13" s="103"/>
      <c r="Q13" s="103">
        <v>0</v>
      </c>
      <c r="R13" s="103"/>
      <c r="S13" s="103"/>
      <c r="T13" s="103">
        <f t="shared" si="1"/>
        <v>1.6420300000000003</v>
      </c>
      <c r="U13" s="152"/>
      <c r="V13" s="152">
        <v>7.4300000000000005E-2</v>
      </c>
      <c r="W13" s="153">
        <v>22.1</v>
      </c>
      <c r="X13" s="103">
        <v>359.07</v>
      </c>
      <c r="Y13" s="103">
        <f t="shared" si="2"/>
        <v>59.1</v>
      </c>
      <c r="Z13" s="103">
        <v>26.25</v>
      </c>
      <c r="AA13" s="154">
        <v>0.75</v>
      </c>
      <c r="AB13" s="103">
        <v>95</v>
      </c>
      <c r="AC13" s="103">
        <f t="shared" si="3"/>
        <v>180.63547000000014</v>
      </c>
      <c r="AD13" s="103">
        <f t="shared" si="4"/>
        <v>443.25</v>
      </c>
    </row>
    <row r="14" spans="1:30">
      <c r="A14" s="101" t="s">
        <v>322</v>
      </c>
      <c r="B14" s="101">
        <v>465181</v>
      </c>
      <c r="C14" s="117">
        <v>5</v>
      </c>
      <c r="D14" s="128">
        <v>8200</v>
      </c>
      <c r="E14" s="151">
        <v>2643</v>
      </c>
      <c r="F14" s="128">
        <v>2552.9699999999998</v>
      </c>
      <c r="G14" s="128">
        <v>36.01</v>
      </c>
      <c r="H14" s="128"/>
      <c r="I14" s="128">
        <v>400</v>
      </c>
      <c r="J14" s="156"/>
      <c r="K14" s="128">
        <v>479.36</v>
      </c>
      <c r="L14" s="103">
        <f t="shared" si="0"/>
        <v>69.7</v>
      </c>
      <c r="M14" s="103">
        <v>7</v>
      </c>
      <c r="N14" s="103">
        <v>789.51</v>
      </c>
      <c r="O14" s="103"/>
      <c r="P14" s="103"/>
      <c r="Q14" s="103">
        <v>0</v>
      </c>
      <c r="R14" s="103"/>
      <c r="S14" s="103"/>
      <c r="T14" s="103">
        <f t="shared" si="1"/>
        <v>210.29129000000003</v>
      </c>
      <c r="U14" s="152"/>
      <c r="V14" s="152">
        <v>7.4300000000000005E-2</v>
      </c>
      <c r="W14" s="153">
        <v>2830.3</v>
      </c>
      <c r="X14" s="103">
        <v>359.07</v>
      </c>
      <c r="Y14" s="103">
        <f t="shared" si="2"/>
        <v>264.3</v>
      </c>
      <c r="Z14" s="103">
        <v>26.25</v>
      </c>
      <c r="AA14" s="154">
        <v>0.8</v>
      </c>
      <c r="AB14" s="103">
        <v>95</v>
      </c>
      <c r="AC14" s="103">
        <f t="shared" si="3"/>
        <v>1754.8587100000002</v>
      </c>
      <c r="AD14" s="103">
        <f t="shared" si="4"/>
        <v>2114.4</v>
      </c>
    </row>
    <row r="15" spans="1:30">
      <c r="A15" s="101" t="s">
        <v>358</v>
      </c>
      <c r="B15" s="101">
        <v>465182</v>
      </c>
      <c r="C15" s="112"/>
      <c r="D15" s="103"/>
      <c r="E15" s="151"/>
      <c r="F15" s="128"/>
      <c r="G15" s="128">
        <v>34.799999999999997</v>
      </c>
      <c r="H15" s="128"/>
      <c r="I15" s="128"/>
      <c r="J15" s="156"/>
      <c r="K15" s="128"/>
      <c r="L15" s="103">
        <f t="shared" si="0"/>
        <v>0</v>
      </c>
      <c r="M15" s="103">
        <v>7</v>
      </c>
      <c r="N15" s="103">
        <v>789.51</v>
      </c>
      <c r="O15" s="103"/>
      <c r="P15" s="103"/>
      <c r="Q15" s="103">
        <v>0</v>
      </c>
      <c r="R15" s="103"/>
      <c r="S15" s="103"/>
      <c r="T15" s="103">
        <f t="shared" si="1"/>
        <v>181.91612000000001</v>
      </c>
      <c r="U15" s="152"/>
      <c r="V15" s="152">
        <v>7.4300000000000005E-2</v>
      </c>
      <c r="W15" s="153">
        <v>2448.4</v>
      </c>
      <c r="X15" s="103">
        <v>359.07</v>
      </c>
      <c r="Y15" s="103">
        <f t="shared" si="2"/>
        <v>0</v>
      </c>
      <c r="Z15" s="103">
        <v>26.25</v>
      </c>
      <c r="AA15" s="154">
        <v>0.75</v>
      </c>
      <c r="AB15" s="103">
        <v>95</v>
      </c>
      <c r="AC15" s="103">
        <f t="shared" si="3"/>
        <v>-1493.5461200000002</v>
      </c>
      <c r="AD15" s="103">
        <f t="shared" si="4"/>
        <v>0</v>
      </c>
    </row>
    <row r="16" spans="1:30">
      <c r="A16" s="101" t="s">
        <v>88</v>
      </c>
      <c r="B16" s="101">
        <v>465183</v>
      </c>
      <c r="C16" s="117">
        <v>5</v>
      </c>
      <c r="D16" s="103">
        <v>5315</v>
      </c>
      <c r="E16" s="151">
        <v>2874</v>
      </c>
      <c r="F16" s="128">
        <v>2251.58</v>
      </c>
      <c r="G16" s="128">
        <v>1.08</v>
      </c>
      <c r="H16" s="128"/>
      <c r="I16" s="128"/>
      <c r="J16" s="156"/>
      <c r="K16" s="128">
        <v>374.18</v>
      </c>
      <c r="L16" s="103">
        <f t="shared" si="0"/>
        <v>45.177500000000002</v>
      </c>
      <c r="M16" s="103">
        <v>7</v>
      </c>
      <c r="N16" s="103">
        <v>789.51</v>
      </c>
      <c r="O16" s="103"/>
      <c r="P16" s="103"/>
      <c r="Q16" s="103">
        <v>0</v>
      </c>
      <c r="R16" s="103"/>
      <c r="S16" s="103"/>
      <c r="T16" s="103">
        <f t="shared" si="1"/>
        <v>211.02686</v>
      </c>
      <c r="U16" s="152"/>
      <c r="V16" s="152">
        <v>7.4300000000000005E-2</v>
      </c>
      <c r="W16" s="153">
        <v>2840.2</v>
      </c>
      <c r="X16" s="103">
        <v>359.07</v>
      </c>
      <c r="Y16" s="103">
        <f t="shared" si="2"/>
        <v>287.40000000000003</v>
      </c>
      <c r="Z16" s="103">
        <v>40</v>
      </c>
      <c r="AA16" s="154">
        <v>0.8</v>
      </c>
      <c r="AB16" s="103">
        <v>95</v>
      </c>
      <c r="AC16" s="103">
        <f t="shared" si="3"/>
        <v>-696.86436000000037</v>
      </c>
      <c r="AD16" s="103">
        <f t="shared" si="4"/>
        <v>2299.2000000000003</v>
      </c>
    </row>
    <row r="17" spans="1:30">
      <c r="A17" s="100" t="s">
        <v>40</v>
      </c>
      <c r="B17" s="101">
        <v>465184</v>
      </c>
      <c r="C17" s="117">
        <v>6</v>
      </c>
      <c r="D17" s="103">
        <v>14100</v>
      </c>
      <c r="E17" s="151">
        <v>6327</v>
      </c>
      <c r="F17" s="128">
        <v>3344.61</v>
      </c>
      <c r="G17" s="128">
        <v>8.36</v>
      </c>
      <c r="H17" s="128"/>
      <c r="I17" s="128"/>
      <c r="J17" s="156"/>
      <c r="K17" s="128">
        <v>69.66</v>
      </c>
      <c r="L17" s="103">
        <f t="shared" si="0"/>
        <v>119.85000000000001</v>
      </c>
      <c r="M17" s="103">
        <v>7</v>
      </c>
      <c r="N17" s="103">
        <v>789.51</v>
      </c>
      <c r="O17" s="103"/>
      <c r="P17" s="103"/>
      <c r="Q17" s="103">
        <v>0</v>
      </c>
      <c r="R17" s="103"/>
      <c r="S17" s="103"/>
      <c r="T17" s="103">
        <f t="shared" si="1"/>
        <v>328.71063000000004</v>
      </c>
      <c r="U17" s="152"/>
      <c r="V17" s="152">
        <v>7.4300000000000005E-2</v>
      </c>
      <c r="W17" s="153">
        <v>4424.1000000000004</v>
      </c>
      <c r="X17" s="103">
        <v>359.07</v>
      </c>
      <c r="Y17" s="103">
        <f t="shared" si="2"/>
        <v>632.70000000000005</v>
      </c>
      <c r="Z17" s="103">
        <v>26.25</v>
      </c>
      <c r="AA17" s="154">
        <v>0.8</v>
      </c>
      <c r="AB17" s="103">
        <v>95</v>
      </c>
      <c r="AC17" s="103">
        <f t="shared" si="3"/>
        <v>3396.9993699999977</v>
      </c>
      <c r="AD17" s="103">
        <f t="shared" si="4"/>
        <v>5061.6000000000004</v>
      </c>
    </row>
    <row r="18" spans="1:30">
      <c r="A18" s="101" t="s">
        <v>75</v>
      </c>
      <c r="B18" s="101">
        <v>465185</v>
      </c>
      <c r="C18" s="117">
        <v>5</v>
      </c>
      <c r="D18" s="103">
        <v>6148</v>
      </c>
      <c r="E18" s="151">
        <v>2573</v>
      </c>
      <c r="F18" s="128">
        <v>1961.71</v>
      </c>
      <c r="G18" s="128">
        <v>7.48</v>
      </c>
      <c r="H18" s="128"/>
      <c r="I18" s="128">
        <v>200</v>
      </c>
      <c r="J18" s="156"/>
      <c r="K18" s="128">
        <v>194.36</v>
      </c>
      <c r="L18" s="103">
        <f t="shared" si="0"/>
        <v>52.258000000000003</v>
      </c>
      <c r="M18" s="103">
        <v>7</v>
      </c>
      <c r="N18" s="103">
        <v>789.51</v>
      </c>
      <c r="O18" s="103"/>
      <c r="P18" s="103"/>
      <c r="Q18" s="103">
        <v>0</v>
      </c>
      <c r="R18" s="103"/>
      <c r="S18" s="103"/>
      <c r="T18" s="103">
        <f t="shared" si="1"/>
        <v>202.14801</v>
      </c>
      <c r="U18" s="152"/>
      <c r="V18" s="152">
        <v>7.4300000000000005E-2</v>
      </c>
      <c r="W18" s="153">
        <v>2720.7</v>
      </c>
      <c r="X18" s="103">
        <v>359.07</v>
      </c>
      <c r="Y18" s="103">
        <f t="shared" si="2"/>
        <v>257.3</v>
      </c>
      <c r="Z18" s="103">
        <v>40</v>
      </c>
      <c r="AA18" s="154">
        <v>0.8</v>
      </c>
      <c r="AB18" s="103">
        <v>95</v>
      </c>
      <c r="AC18" s="103">
        <f t="shared" si="3"/>
        <v>312.48399000000023</v>
      </c>
      <c r="AD18" s="103">
        <f t="shared" si="4"/>
        <v>2058.4</v>
      </c>
    </row>
    <row r="19" spans="1:30">
      <c r="A19" s="101" t="s">
        <v>386</v>
      </c>
      <c r="B19" s="101">
        <v>465186</v>
      </c>
      <c r="C19" s="112">
        <v>7</v>
      </c>
      <c r="D19" s="103">
        <v>12485</v>
      </c>
      <c r="E19" s="151">
        <v>5444</v>
      </c>
      <c r="F19" s="128">
        <v>3149.77</v>
      </c>
      <c r="G19" s="128">
        <v>61.5</v>
      </c>
      <c r="H19" s="128"/>
      <c r="I19" s="128"/>
      <c r="J19" s="156"/>
      <c r="K19" s="128">
        <v>55.55</v>
      </c>
      <c r="L19" s="103">
        <f t="shared" si="0"/>
        <v>106.1225</v>
      </c>
      <c r="M19" s="103">
        <v>7</v>
      </c>
      <c r="N19" s="103">
        <v>789.51</v>
      </c>
      <c r="O19" s="103"/>
      <c r="P19" s="103"/>
      <c r="Q19" s="103">
        <v>0</v>
      </c>
      <c r="R19" s="103"/>
      <c r="S19" s="103"/>
      <c r="T19" s="103">
        <f t="shared" si="1"/>
        <v>411.25793000000004</v>
      </c>
      <c r="U19" s="152"/>
      <c r="V19" s="152">
        <v>7.4300000000000005E-2</v>
      </c>
      <c r="W19" s="153">
        <v>5535.1</v>
      </c>
      <c r="X19" s="103">
        <v>359.07</v>
      </c>
      <c r="Y19" s="103">
        <f t="shared" si="2"/>
        <v>544.4</v>
      </c>
      <c r="Z19" s="103">
        <v>32.5</v>
      </c>
      <c r="AA19" s="154">
        <v>0.75</v>
      </c>
      <c r="AB19" s="103">
        <v>95</v>
      </c>
      <c r="AC19" s="103">
        <f t="shared" si="3"/>
        <v>2901.41957</v>
      </c>
      <c r="AD19" s="103">
        <f t="shared" si="4"/>
        <v>4083</v>
      </c>
    </row>
    <row r="20" spans="1:30">
      <c r="A20" s="101" t="s">
        <v>192</v>
      </c>
      <c r="B20" s="101">
        <v>465187</v>
      </c>
      <c r="C20" s="117">
        <v>7</v>
      </c>
      <c r="D20" s="103">
        <v>9000</v>
      </c>
      <c r="E20" s="151">
        <v>4057</v>
      </c>
      <c r="F20" s="128">
        <v>3153.46</v>
      </c>
      <c r="G20" s="128">
        <v>110.61</v>
      </c>
      <c r="H20" s="128"/>
      <c r="I20" s="128"/>
      <c r="J20" s="156"/>
      <c r="K20" s="128">
        <v>270.11</v>
      </c>
      <c r="L20" s="103">
        <f t="shared" si="0"/>
        <v>76.5</v>
      </c>
      <c r="M20" s="103">
        <v>7</v>
      </c>
      <c r="N20" s="103">
        <v>789.51</v>
      </c>
      <c r="O20" s="103"/>
      <c r="P20" s="103"/>
      <c r="Q20" s="103">
        <v>0</v>
      </c>
      <c r="R20" s="103"/>
      <c r="S20" s="103"/>
      <c r="T20" s="103">
        <f t="shared" si="1"/>
        <v>294.17599000000001</v>
      </c>
      <c r="U20" s="152"/>
      <c r="V20" s="152">
        <v>7.4300000000000005E-2</v>
      </c>
      <c r="W20" s="153">
        <v>3959.3</v>
      </c>
      <c r="X20" s="103">
        <v>359.07</v>
      </c>
      <c r="Y20" s="103">
        <f t="shared" si="2"/>
        <v>405.70000000000005</v>
      </c>
      <c r="Z20" s="103">
        <v>40</v>
      </c>
      <c r="AA20" s="154">
        <v>0.8</v>
      </c>
      <c r="AB20" s="103">
        <v>95</v>
      </c>
      <c r="AC20" s="103">
        <f>D20-F20-G20-Z20-Y20-X20-N20-AD20+K20-AB20-I14-T20-M20-L20</f>
        <v>293.4840100000003</v>
      </c>
      <c r="AD20" s="103">
        <f t="shared" si="4"/>
        <v>3245.6000000000004</v>
      </c>
    </row>
    <row r="21" spans="1:30">
      <c r="A21" s="101" t="s">
        <v>14</v>
      </c>
      <c r="B21" s="101">
        <v>465188</v>
      </c>
      <c r="C21" s="117">
        <v>5</v>
      </c>
      <c r="D21" s="128">
        <v>9800</v>
      </c>
      <c r="E21" s="151">
        <v>3150</v>
      </c>
      <c r="F21" s="128">
        <v>2024.98</v>
      </c>
      <c r="G21" s="128">
        <v>12.76</v>
      </c>
      <c r="H21" s="128"/>
      <c r="I21" s="128"/>
      <c r="J21" s="156"/>
      <c r="K21" s="128">
        <v>336.72</v>
      </c>
      <c r="L21" s="103">
        <f t="shared" si="0"/>
        <v>83.300000000000011</v>
      </c>
      <c r="M21" s="103">
        <v>7</v>
      </c>
      <c r="N21" s="103">
        <v>789.51</v>
      </c>
      <c r="O21" s="103"/>
      <c r="P21" s="103"/>
      <c r="Q21" s="103">
        <v>0</v>
      </c>
      <c r="R21" s="103"/>
      <c r="S21" s="103"/>
      <c r="T21" s="103">
        <f t="shared" si="1"/>
        <v>276.31427000000002</v>
      </c>
      <c r="U21" s="152"/>
      <c r="V21" s="152">
        <v>7.4300000000000005E-2</v>
      </c>
      <c r="W21" s="153">
        <v>3718.9</v>
      </c>
      <c r="X21" s="103">
        <v>359.07</v>
      </c>
      <c r="Y21" s="103">
        <f t="shared" si="2"/>
        <v>315</v>
      </c>
      <c r="Z21" s="103">
        <v>32.5</v>
      </c>
      <c r="AA21" s="154">
        <v>0.8</v>
      </c>
      <c r="AB21" s="103">
        <v>95</v>
      </c>
      <c r="AC21" s="103">
        <f t="shared" ref="AC21:AC22" si="5">D21-F21-G21-Z21-Y21-X21-N21-AD21+K21-AB21-I21-T21-M21-L21</f>
        <v>3621.2857300000005</v>
      </c>
      <c r="AD21" s="103">
        <f t="shared" si="4"/>
        <v>2520</v>
      </c>
    </row>
    <row r="22" spans="1:30">
      <c r="A22" s="101"/>
      <c r="B22" s="101">
        <v>465189</v>
      </c>
      <c r="C22" s="112"/>
      <c r="D22" s="103"/>
      <c r="E22" s="157"/>
      <c r="F22" s="128"/>
      <c r="G22" s="128">
        <v>50</v>
      </c>
      <c r="H22" s="128"/>
      <c r="I22" s="128"/>
      <c r="J22" s="156"/>
      <c r="K22" s="128"/>
      <c r="L22" s="103">
        <f t="shared" si="0"/>
        <v>0</v>
      </c>
      <c r="M22" s="103">
        <v>7</v>
      </c>
      <c r="N22" s="103">
        <v>789.51</v>
      </c>
      <c r="O22" s="103"/>
      <c r="P22" s="103"/>
      <c r="Q22" s="103">
        <v>0</v>
      </c>
      <c r="R22" s="103"/>
      <c r="S22" s="103"/>
      <c r="T22" s="103">
        <f t="shared" si="1"/>
        <v>155.81452999999999</v>
      </c>
      <c r="U22" s="152"/>
      <c r="V22" s="152">
        <v>7.4300000000000005E-2</v>
      </c>
      <c r="W22" s="153">
        <v>2097.1</v>
      </c>
      <c r="X22" s="103">
        <v>359.07</v>
      </c>
      <c r="Y22" s="103">
        <f t="shared" si="2"/>
        <v>0</v>
      </c>
      <c r="Z22" s="103">
        <v>32.5</v>
      </c>
      <c r="AA22" s="154">
        <v>0.75</v>
      </c>
      <c r="AB22" s="103">
        <v>95</v>
      </c>
      <c r="AC22" s="103">
        <f t="shared" si="5"/>
        <v>-1488.89453</v>
      </c>
      <c r="AD22" s="103">
        <f t="shared" si="4"/>
        <v>0</v>
      </c>
    </row>
    <row r="23" spans="1:30">
      <c r="A23" s="134" t="s">
        <v>359</v>
      </c>
      <c r="B23" s="135" t="s">
        <v>360</v>
      </c>
      <c r="C23" s="136">
        <v>2</v>
      </c>
      <c r="D23" s="139">
        <v>4500</v>
      </c>
      <c r="E23" s="136">
        <v>1769</v>
      </c>
      <c r="F23" s="139">
        <v>2451.58</v>
      </c>
      <c r="G23" s="139">
        <v>9.75</v>
      </c>
      <c r="H23" s="139"/>
      <c r="I23" s="139"/>
      <c r="J23" s="139"/>
      <c r="K23" s="139">
        <v>55.93</v>
      </c>
      <c r="L23" s="139">
        <f t="shared" si="0"/>
        <v>38.25</v>
      </c>
      <c r="M23" s="139">
        <v>0</v>
      </c>
      <c r="N23" s="139">
        <v>0</v>
      </c>
      <c r="O23" s="139">
        <v>50</v>
      </c>
      <c r="P23" s="139"/>
      <c r="Q23" s="139">
        <v>199</v>
      </c>
      <c r="R23" s="139">
        <v>30</v>
      </c>
      <c r="S23" s="139">
        <v>300</v>
      </c>
      <c r="T23" s="139">
        <v>0</v>
      </c>
      <c r="U23" s="159"/>
      <c r="V23" s="159">
        <v>0</v>
      </c>
      <c r="W23" s="136">
        <v>3061.7</v>
      </c>
      <c r="X23" s="139">
        <v>0</v>
      </c>
      <c r="Y23" s="139">
        <f t="shared" si="2"/>
        <v>176.9</v>
      </c>
      <c r="Z23" s="139"/>
      <c r="AA23" s="160">
        <v>0.87</v>
      </c>
      <c r="AB23" s="139">
        <v>95</v>
      </c>
      <c r="AC23" s="139">
        <f t="shared" ref="AC23:AC24" si="6">D23*0.13+S23-L23+O23+Q23+R23</f>
        <v>1125.75</v>
      </c>
      <c r="AD23" s="139">
        <f t="shared" ref="AD23:AD24" si="7">D23*0.87-F23-G23-O23-Q23-R23-S23</f>
        <v>874.67000000000007</v>
      </c>
    </row>
    <row r="24" spans="1:30">
      <c r="A24" s="134" t="s">
        <v>387</v>
      </c>
      <c r="B24" s="135" t="s">
        <v>362</v>
      </c>
      <c r="C24" s="136">
        <v>6</v>
      </c>
      <c r="D24" s="139">
        <v>9044</v>
      </c>
      <c r="E24" s="136">
        <v>4136</v>
      </c>
      <c r="F24" s="139">
        <v>2976</v>
      </c>
      <c r="G24" s="139"/>
      <c r="H24" s="139"/>
      <c r="I24" s="139"/>
      <c r="J24" s="139"/>
      <c r="K24" s="139">
        <v>199.17</v>
      </c>
      <c r="L24" s="139">
        <f t="shared" si="0"/>
        <v>76.874000000000009</v>
      </c>
      <c r="M24" s="139">
        <v>7</v>
      </c>
      <c r="N24" s="139">
        <v>0</v>
      </c>
      <c r="O24" s="139">
        <v>50</v>
      </c>
      <c r="P24" s="139"/>
      <c r="Q24" s="139">
        <v>199</v>
      </c>
      <c r="R24" s="139">
        <v>30</v>
      </c>
      <c r="S24" s="139">
        <v>300</v>
      </c>
      <c r="T24" s="139">
        <v>0</v>
      </c>
      <c r="U24" s="159"/>
      <c r="V24" s="159">
        <v>0</v>
      </c>
      <c r="W24" s="136">
        <v>4225.6000000000004</v>
      </c>
      <c r="X24" s="139">
        <v>0</v>
      </c>
      <c r="Y24" s="139">
        <f t="shared" si="2"/>
        <v>413.6</v>
      </c>
      <c r="Z24" s="139"/>
      <c r="AA24" s="160">
        <v>0.87</v>
      </c>
      <c r="AB24" s="139">
        <v>95</v>
      </c>
      <c r="AC24" s="139">
        <f t="shared" si="6"/>
        <v>1677.846</v>
      </c>
      <c r="AD24" s="139">
        <f t="shared" si="7"/>
        <v>4313.28</v>
      </c>
    </row>
    <row r="25" spans="1:30">
      <c r="A25" s="134" t="s">
        <v>363</v>
      </c>
      <c r="B25" s="134">
        <v>1118</v>
      </c>
      <c r="C25" s="136">
        <v>5</v>
      </c>
      <c r="D25" s="139">
        <v>5772</v>
      </c>
      <c r="E25" s="136">
        <v>1791</v>
      </c>
      <c r="F25" s="139">
        <v>1466.02</v>
      </c>
      <c r="G25" s="139">
        <v>24.66</v>
      </c>
      <c r="H25" s="139"/>
      <c r="I25" s="139"/>
      <c r="J25" s="139"/>
      <c r="K25" s="139">
        <v>0</v>
      </c>
      <c r="L25" s="139">
        <f t="shared" si="0"/>
        <v>49.062000000000005</v>
      </c>
      <c r="M25" s="139">
        <v>0</v>
      </c>
      <c r="N25" s="139">
        <v>0</v>
      </c>
      <c r="O25" s="139">
        <v>0</v>
      </c>
      <c r="P25" s="139"/>
      <c r="Q25" s="139">
        <v>0</v>
      </c>
      <c r="R25" s="139">
        <v>0</v>
      </c>
      <c r="S25" s="139">
        <v>0</v>
      </c>
      <c r="T25" s="139">
        <v>0</v>
      </c>
      <c r="U25" s="159"/>
      <c r="V25" s="159">
        <v>0</v>
      </c>
      <c r="W25" s="136">
        <v>2270.8000000000002</v>
      </c>
      <c r="X25" s="139">
        <v>0</v>
      </c>
      <c r="Y25" s="139">
        <f t="shared" si="2"/>
        <v>179.10000000000002</v>
      </c>
      <c r="Z25" s="139"/>
      <c r="AA25" s="160">
        <v>0.8</v>
      </c>
      <c r="AB25" s="139">
        <v>95</v>
      </c>
      <c r="AC25" s="139">
        <f>D25*0.2-Y25-L25-I25-AB25</f>
        <v>831.23800000000006</v>
      </c>
      <c r="AD25" s="139">
        <f>D25*AA25-F25-G25</f>
        <v>3126.9200000000005</v>
      </c>
    </row>
    <row r="26" spans="1:30">
      <c r="A26" s="134" t="s">
        <v>368</v>
      </c>
      <c r="B26" s="134" t="s">
        <v>369</v>
      </c>
      <c r="C26" s="136">
        <v>2</v>
      </c>
      <c r="D26" s="139">
        <v>3400</v>
      </c>
      <c r="E26" s="136">
        <v>1027</v>
      </c>
      <c r="F26" s="139">
        <v>825.7</v>
      </c>
      <c r="G26" s="139">
        <v>36.99</v>
      </c>
      <c r="H26" s="139"/>
      <c r="I26" s="139"/>
      <c r="J26" s="139"/>
      <c r="K26" s="139">
        <v>67.87</v>
      </c>
      <c r="L26" s="139">
        <f t="shared" si="0"/>
        <v>28.900000000000002</v>
      </c>
      <c r="M26" s="139">
        <v>7</v>
      </c>
      <c r="N26" s="139">
        <v>0</v>
      </c>
      <c r="O26" s="139">
        <v>50</v>
      </c>
      <c r="P26" s="139"/>
      <c r="Q26" s="139">
        <v>199</v>
      </c>
      <c r="R26" s="139">
        <v>30</v>
      </c>
      <c r="S26" s="139">
        <v>300</v>
      </c>
      <c r="T26" s="139">
        <v>0</v>
      </c>
      <c r="U26" s="159"/>
      <c r="V26" s="159">
        <v>0</v>
      </c>
      <c r="W26" s="136">
        <v>1380.4</v>
      </c>
      <c r="X26" s="139">
        <v>0</v>
      </c>
      <c r="Y26" s="139">
        <f t="shared" si="2"/>
        <v>102.7</v>
      </c>
      <c r="Z26" s="139"/>
      <c r="AA26" s="160">
        <v>0.89</v>
      </c>
      <c r="AB26" s="139">
        <v>95</v>
      </c>
      <c r="AC26" s="139">
        <f>D26*0.11-AB26-Y26+S26+R26+Q26+O26</f>
        <v>755.3</v>
      </c>
      <c r="AD26" s="139">
        <f>D26*AA26-F26-G26-O26-Q26-R26-S26</f>
        <v>1584.3100000000004</v>
      </c>
    </row>
    <row r="27" spans="1:30">
      <c r="A27" s="134" t="s">
        <v>364</v>
      </c>
      <c r="B27" s="134">
        <v>2013</v>
      </c>
      <c r="C27" s="136">
        <v>6</v>
      </c>
      <c r="D27" s="139">
        <v>3600</v>
      </c>
      <c r="E27" s="136">
        <v>2287</v>
      </c>
      <c r="F27" s="139">
        <v>1734.91</v>
      </c>
      <c r="G27" s="139">
        <v>5.36</v>
      </c>
      <c r="H27" s="139"/>
      <c r="I27" s="139"/>
      <c r="J27" s="139"/>
      <c r="K27" s="139">
        <v>119.39</v>
      </c>
      <c r="L27" s="139">
        <f t="shared" si="0"/>
        <v>30.6</v>
      </c>
      <c r="M27" s="139">
        <v>0</v>
      </c>
      <c r="N27" s="139">
        <v>0</v>
      </c>
      <c r="O27" s="139">
        <v>50</v>
      </c>
      <c r="P27" s="139"/>
      <c r="Q27" s="139">
        <v>199</v>
      </c>
      <c r="R27" s="139">
        <v>30</v>
      </c>
      <c r="S27" s="139">
        <v>300</v>
      </c>
      <c r="T27" s="139">
        <v>0</v>
      </c>
      <c r="U27" s="159"/>
      <c r="V27" s="159">
        <v>0</v>
      </c>
      <c r="W27" s="136">
        <v>2286.4</v>
      </c>
      <c r="X27" s="139">
        <v>0</v>
      </c>
      <c r="Y27" s="139">
        <f t="shared" si="2"/>
        <v>228.70000000000002</v>
      </c>
      <c r="Z27" s="139"/>
      <c r="AA27" s="160">
        <v>0.87</v>
      </c>
      <c r="AB27" s="139">
        <v>95</v>
      </c>
      <c r="AC27" s="139">
        <f t="shared" ref="AC27:AC28" si="8">D27*0.13+S27-L27+O27+Q27+R27</f>
        <v>1016.4</v>
      </c>
      <c r="AD27" s="139">
        <f t="shared" ref="AD27:AD28" si="9">D27*AA27-F27-G27-S27-R27-Q27-O27</f>
        <v>812.73</v>
      </c>
    </row>
    <row r="28" spans="1:30">
      <c r="A28" s="134" t="s">
        <v>370</v>
      </c>
      <c r="B28" s="134">
        <v>1</v>
      </c>
      <c r="C28" s="136"/>
      <c r="D28" s="139"/>
      <c r="E28" s="158"/>
      <c r="F28" s="139"/>
      <c r="G28" s="139"/>
      <c r="H28" s="139"/>
      <c r="I28" s="139"/>
      <c r="J28" s="139"/>
      <c r="K28" s="139"/>
      <c r="L28" s="139">
        <f t="shared" si="0"/>
        <v>0</v>
      </c>
      <c r="M28" s="139">
        <v>7</v>
      </c>
      <c r="N28" s="139">
        <v>0</v>
      </c>
      <c r="O28" s="139">
        <v>0</v>
      </c>
      <c r="P28" s="139"/>
      <c r="Q28" s="139">
        <v>0</v>
      </c>
      <c r="R28" s="139">
        <v>0</v>
      </c>
      <c r="S28" s="139">
        <v>0</v>
      </c>
      <c r="T28" s="139">
        <v>0</v>
      </c>
      <c r="U28" s="159"/>
      <c r="V28" s="159">
        <v>0</v>
      </c>
      <c r="W28" s="136"/>
      <c r="X28" s="139">
        <v>0</v>
      </c>
      <c r="Y28" s="139">
        <f t="shared" si="2"/>
        <v>0</v>
      </c>
      <c r="Z28" s="139"/>
      <c r="AA28" s="160">
        <v>0.8</v>
      </c>
      <c r="AB28" s="139">
        <v>95</v>
      </c>
      <c r="AC28" s="139">
        <f t="shared" si="8"/>
        <v>0</v>
      </c>
      <c r="AD28" s="139">
        <f t="shared" si="9"/>
        <v>0</v>
      </c>
    </row>
    <row r="29" spans="1:30">
      <c r="A29" s="71" t="s">
        <v>89</v>
      </c>
      <c r="B29" s="72">
        <v>26</v>
      </c>
      <c r="C29" s="161">
        <f>AVERAGE(C3:C22)</f>
        <v>5.1818181818181817</v>
      </c>
      <c r="D29" s="162">
        <f t="shared" ref="D29:G29" si="10">SUM(D3:D28)</f>
        <v>113964</v>
      </c>
      <c r="E29" s="163">
        <f t="shared" si="10"/>
        <v>48640</v>
      </c>
      <c r="F29" s="162">
        <f t="shared" si="10"/>
        <v>34727.570000000007</v>
      </c>
      <c r="G29" s="162">
        <f t="shared" si="10"/>
        <v>525.43999999999994</v>
      </c>
      <c r="H29" s="162"/>
      <c r="I29" s="162">
        <f t="shared" ref="I29:O29" si="11">SUM(I3:I28)</f>
        <v>700</v>
      </c>
      <c r="J29" s="162">
        <f t="shared" si="11"/>
        <v>0</v>
      </c>
      <c r="K29" s="162">
        <f t="shared" si="11"/>
        <v>2843.12</v>
      </c>
      <c r="L29" s="162">
        <f t="shared" si="11"/>
        <v>968.69400000000007</v>
      </c>
      <c r="M29" s="162">
        <f t="shared" si="11"/>
        <v>161</v>
      </c>
      <c r="N29" s="162">
        <f t="shared" si="11"/>
        <v>14789.500000000004</v>
      </c>
      <c r="O29" s="162">
        <f t="shared" si="11"/>
        <v>200</v>
      </c>
      <c r="P29" s="162"/>
      <c r="Q29" s="162">
        <f t="shared" ref="Q29:T29" si="12">SUM(Q3:Q28)</f>
        <v>796</v>
      </c>
      <c r="R29" s="162">
        <f t="shared" si="12"/>
        <v>120</v>
      </c>
      <c r="S29" s="162">
        <f t="shared" si="12"/>
        <v>1200</v>
      </c>
      <c r="T29" s="162">
        <f t="shared" si="12"/>
        <v>2613.2912299999998</v>
      </c>
      <c r="U29" s="164"/>
      <c r="V29" s="164">
        <f>AVERAGE(V3:V28)</f>
        <v>5.7384615384615381E-2</v>
      </c>
      <c r="W29" s="165">
        <f>SUM(W2:W28)</f>
        <v>48360.4</v>
      </c>
      <c r="X29" s="162">
        <f t="shared" ref="X29:Z29" si="13">SUM(X3:X28)</f>
        <v>7181.3999999999987</v>
      </c>
      <c r="Y29" s="162">
        <f t="shared" si="13"/>
        <v>4864.0000000000009</v>
      </c>
      <c r="Z29" s="162">
        <f t="shared" si="13"/>
        <v>577.5</v>
      </c>
      <c r="AA29" s="161">
        <f>AVERAGE(AA3:AA28)</f>
        <v>0.79166666666666685</v>
      </c>
      <c r="AB29" s="166">
        <f t="shared" ref="AB29:AD29" si="14">SUM(AB3:AB28)</f>
        <v>2470</v>
      </c>
      <c r="AC29" s="162">
        <f t="shared" si="14"/>
        <v>7232.7547699999977</v>
      </c>
      <c r="AD29" s="162">
        <f t="shared" si="14"/>
        <v>40402.71</v>
      </c>
    </row>
    <row r="31" spans="1:30">
      <c r="A31" s="457" t="s">
        <v>389</v>
      </c>
      <c r="B31" s="458"/>
      <c r="C31" s="458"/>
      <c r="D31" s="458"/>
      <c r="E31" s="458"/>
      <c r="F31" s="458"/>
      <c r="G31" s="458"/>
      <c r="H31" s="458"/>
      <c r="I31" s="458"/>
      <c r="J31" s="458"/>
      <c r="K31" s="458"/>
      <c r="L31" s="458"/>
      <c r="M31" s="458"/>
      <c r="N31" s="458"/>
      <c r="O31" s="458"/>
      <c r="P31" s="458"/>
      <c r="Q31" s="458"/>
      <c r="R31" s="458"/>
      <c r="S31" s="458"/>
      <c r="T31" s="458"/>
      <c r="U31" s="458"/>
      <c r="V31" s="458"/>
      <c r="W31" s="458"/>
      <c r="X31" s="458"/>
      <c r="Y31" s="458"/>
      <c r="Z31" s="458"/>
      <c r="AA31" s="458"/>
      <c r="AB31" s="458"/>
      <c r="AC31" s="458"/>
      <c r="AD31" s="459"/>
    </row>
    <row r="32" spans="1:30">
      <c r="A32" s="95" t="s">
        <v>0</v>
      </c>
      <c r="B32" s="95" t="s">
        <v>1</v>
      </c>
      <c r="C32" s="95" t="s">
        <v>372</v>
      </c>
      <c r="D32" s="95" t="s">
        <v>2</v>
      </c>
      <c r="E32" s="95" t="s">
        <v>9</v>
      </c>
      <c r="F32" s="95" t="s">
        <v>7</v>
      </c>
      <c r="G32" s="95" t="s">
        <v>8</v>
      </c>
      <c r="H32" s="95"/>
      <c r="I32" s="95" t="s">
        <v>287</v>
      </c>
      <c r="J32" s="95" t="s">
        <v>288</v>
      </c>
      <c r="K32" s="95" t="s">
        <v>257</v>
      </c>
      <c r="L32" s="95" t="s">
        <v>373</v>
      </c>
      <c r="M32" s="95" t="s">
        <v>374</v>
      </c>
      <c r="N32" s="95" t="s">
        <v>375</v>
      </c>
      <c r="O32" s="95" t="s">
        <v>376</v>
      </c>
      <c r="P32" s="95"/>
      <c r="Q32" s="95" t="s">
        <v>377</v>
      </c>
      <c r="R32" s="150" t="s">
        <v>378</v>
      </c>
      <c r="S32" s="150" t="s">
        <v>379</v>
      </c>
      <c r="T32" s="150" t="s">
        <v>352</v>
      </c>
      <c r="U32" s="95"/>
      <c r="V32" s="95" t="s">
        <v>380</v>
      </c>
      <c r="W32" s="95" t="s">
        <v>381</v>
      </c>
      <c r="X32" s="95" t="s">
        <v>382</v>
      </c>
      <c r="Y32" s="95" t="s">
        <v>383</v>
      </c>
      <c r="Z32" s="95" t="s">
        <v>384</v>
      </c>
      <c r="AA32" s="95" t="s">
        <v>385</v>
      </c>
      <c r="AB32" s="95" t="s">
        <v>333</v>
      </c>
      <c r="AC32" s="95" t="s">
        <v>13</v>
      </c>
      <c r="AD32" s="95" t="s">
        <v>98</v>
      </c>
    </row>
    <row r="33" spans="1:30">
      <c r="A33" s="100"/>
      <c r="B33" s="101">
        <v>352368</v>
      </c>
      <c r="C33" s="112"/>
      <c r="D33" s="103"/>
      <c r="E33" s="151"/>
      <c r="F33" s="128"/>
      <c r="G33" s="103"/>
      <c r="H33" s="103"/>
      <c r="I33" s="103"/>
      <c r="J33" s="103"/>
      <c r="K33" s="128"/>
      <c r="L33" s="103">
        <f t="shared" ref="L33:L59" si="15">D33*0.0085</f>
        <v>0</v>
      </c>
      <c r="M33" s="103">
        <v>7</v>
      </c>
      <c r="N33" s="103">
        <v>689.44</v>
      </c>
      <c r="O33" s="103"/>
      <c r="P33" s="103"/>
      <c r="Q33" s="103">
        <v>0</v>
      </c>
      <c r="R33" s="103"/>
      <c r="S33" s="103"/>
      <c r="T33" s="103">
        <f t="shared" ref="T33:T52" si="16">W33*V33</f>
        <v>0</v>
      </c>
      <c r="U33" s="152"/>
      <c r="V33" s="152">
        <v>7.4899999999999994E-2</v>
      </c>
      <c r="W33" s="153"/>
      <c r="X33" s="103">
        <v>359.07</v>
      </c>
      <c r="Y33" s="103">
        <f t="shared" ref="Y33:Y59" si="17">E33*0.1</f>
        <v>0</v>
      </c>
      <c r="Z33" s="103"/>
      <c r="AA33" s="154"/>
      <c r="AB33" s="103">
        <v>95</v>
      </c>
      <c r="AC33" s="103">
        <f t="shared" ref="AC33:AC49" si="18">D33-F33-G33-Z33-Y33-X33-N33-AD33+K33-AB33-I33-T33-M33-L33</f>
        <v>-1150.51</v>
      </c>
      <c r="AD33" s="103">
        <f t="shared" ref="AD33:AD38" si="19">E33*AA33</f>
        <v>0</v>
      </c>
    </row>
    <row r="34" spans="1:30">
      <c r="A34" s="100" t="s">
        <v>355</v>
      </c>
      <c r="B34" s="101">
        <v>352371</v>
      </c>
      <c r="C34" s="112">
        <v>5</v>
      </c>
      <c r="D34" s="103">
        <v>8200</v>
      </c>
      <c r="E34" s="151">
        <v>4282</v>
      </c>
      <c r="F34" s="128">
        <v>3490.11</v>
      </c>
      <c r="G34" s="128">
        <v>71.290000000000006</v>
      </c>
      <c r="H34" s="103"/>
      <c r="I34" s="103"/>
      <c r="J34" s="103"/>
      <c r="K34" s="128">
        <v>290.64999999999998</v>
      </c>
      <c r="L34" s="103">
        <f t="shared" si="15"/>
        <v>69.7</v>
      </c>
      <c r="M34" s="103">
        <v>7</v>
      </c>
      <c r="N34" s="103">
        <v>689.44</v>
      </c>
      <c r="O34" s="103"/>
      <c r="P34" s="103"/>
      <c r="Q34" s="103">
        <v>0</v>
      </c>
      <c r="R34" s="103"/>
      <c r="S34" s="103"/>
      <c r="T34" s="103">
        <f t="shared" si="16"/>
        <v>330.26405999999997</v>
      </c>
      <c r="U34" s="152"/>
      <c r="V34" s="152">
        <v>7.4899999999999994E-2</v>
      </c>
      <c r="W34" s="153">
        <v>4409.3999999999996</v>
      </c>
      <c r="X34" s="103">
        <v>359.07</v>
      </c>
      <c r="Y34" s="103">
        <f t="shared" si="17"/>
        <v>428.20000000000005</v>
      </c>
      <c r="Z34" s="103">
        <v>32.5</v>
      </c>
      <c r="AA34" s="154">
        <v>0.75</v>
      </c>
      <c r="AB34" s="103">
        <v>95</v>
      </c>
      <c r="AC34" s="103">
        <f t="shared" si="18"/>
        <v>-293.42406000000057</v>
      </c>
      <c r="AD34" s="103">
        <f t="shared" si="19"/>
        <v>3211.5</v>
      </c>
    </row>
    <row r="35" spans="1:30">
      <c r="A35" s="101"/>
      <c r="B35" s="101">
        <v>352372</v>
      </c>
      <c r="C35" s="112"/>
      <c r="D35" s="103"/>
      <c r="E35" s="151"/>
      <c r="F35" s="117"/>
      <c r="G35" s="117"/>
      <c r="H35" s="103"/>
      <c r="I35" s="103"/>
      <c r="J35" s="103"/>
      <c r="K35" s="103"/>
      <c r="L35" s="103">
        <f t="shared" si="15"/>
        <v>0</v>
      </c>
      <c r="M35" s="103">
        <v>7</v>
      </c>
      <c r="N35" s="103">
        <v>689.44</v>
      </c>
      <c r="O35" s="103"/>
      <c r="P35" s="103"/>
      <c r="Q35" s="103">
        <v>0</v>
      </c>
      <c r="R35" s="103"/>
      <c r="S35" s="103"/>
      <c r="T35" s="103">
        <f t="shared" si="16"/>
        <v>0</v>
      </c>
      <c r="U35" s="152"/>
      <c r="V35" s="152">
        <v>7.4899999999999994E-2</v>
      </c>
      <c r="W35" s="153"/>
      <c r="X35" s="103">
        <v>359.07</v>
      </c>
      <c r="Y35" s="103">
        <f t="shared" si="17"/>
        <v>0</v>
      </c>
      <c r="Z35" s="103"/>
      <c r="AA35" s="154"/>
      <c r="AB35" s="103">
        <v>95</v>
      </c>
      <c r="AC35" s="103">
        <f t="shared" si="18"/>
        <v>-1150.51</v>
      </c>
      <c r="AD35" s="103">
        <f t="shared" si="19"/>
        <v>0</v>
      </c>
    </row>
    <row r="36" spans="1:30">
      <c r="A36" s="101"/>
      <c r="B36" s="101">
        <v>352373</v>
      </c>
      <c r="C36" s="112"/>
      <c r="D36" s="103"/>
      <c r="E36" s="155"/>
      <c r="F36" s="128"/>
      <c r="G36" s="128"/>
      <c r="H36" s="103"/>
      <c r="I36" s="103"/>
      <c r="J36" s="103"/>
      <c r="K36" s="128"/>
      <c r="L36" s="103">
        <f t="shared" si="15"/>
        <v>0</v>
      </c>
      <c r="M36" s="103">
        <v>7</v>
      </c>
      <c r="N36" s="103">
        <v>689.44</v>
      </c>
      <c r="O36" s="103"/>
      <c r="P36" s="103"/>
      <c r="Q36" s="103">
        <v>0</v>
      </c>
      <c r="R36" s="103"/>
      <c r="S36" s="103"/>
      <c r="T36" s="103">
        <f t="shared" si="16"/>
        <v>0</v>
      </c>
      <c r="U36" s="152"/>
      <c r="V36" s="152">
        <v>7.4899999999999994E-2</v>
      </c>
      <c r="W36" s="153"/>
      <c r="X36" s="103">
        <v>359.07</v>
      </c>
      <c r="Y36" s="103">
        <f t="shared" si="17"/>
        <v>0</v>
      </c>
      <c r="Z36" s="103"/>
      <c r="AA36" s="154"/>
      <c r="AB36" s="103">
        <v>95</v>
      </c>
      <c r="AC36" s="103">
        <f t="shared" si="18"/>
        <v>-1150.51</v>
      </c>
      <c r="AD36" s="103">
        <f t="shared" si="19"/>
        <v>0</v>
      </c>
    </row>
    <row r="37" spans="1:30">
      <c r="A37" s="101"/>
      <c r="B37" s="101">
        <v>352374</v>
      </c>
      <c r="C37" s="112"/>
      <c r="D37" s="103"/>
      <c r="E37" s="155"/>
      <c r="F37" s="128"/>
      <c r="G37" s="128"/>
      <c r="H37" s="103"/>
      <c r="I37" s="103"/>
      <c r="J37" s="103"/>
      <c r="K37" s="128"/>
      <c r="L37" s="103">
        <f t="shared" si="15"/>
        <v>0</v>
      </c>
      <c r="M37" s="103">
        <v>7</v>
      </c>
      <c r="N37" s="103">
        <v>689.44</v>
      </c>
      <c r="O37" s="103"/>
      <c r="P37" s="103"/>
      <c r="Q37" s="103">
        <v>0</v>
      </c>
      <c r="R37" s="103"/>
      <c r="S37" s="103"/>
      <c r="T37" s="103">
        <f t="shared" si="16"/>
        <v>54.115249999999996</v>
      </c>
      <c r="U37" s="152"/>
      <c r="V37" s="152">
        <v>7.4899999999999994E-2</v>
      </c>
      <c r="W37" s="153">
        <v>722.5</v>
      </c>
      <c r="X37" s="103">
        <v>359.07</v>
      </c>
      <c r="Y37" s="103">
        <f t="shared" si="17"/>
        <v>0</v>
      </c>
      <c r="Z37" s="103"/>
      <c r="AA37" s="154"/>
      <c r="AB37" s="103">
        <v>95</v>
      </c>
      <c r="AC37" s="103">
        <f t="shared" si="18"/>
        <v>-1204.6252500000001</v>
      </c>
      <c r="AD37" s="103">
        <f t="shared" si="19"/>
        <v>0</v>
      </c>
    </row>
    <row r="38" spans="1:30">
      <c r="A38" s="101"/>
      <c r="B38" s="101">
        <v>352375</v>
      </c>
      <c r="C38" s="112"/>
      <c r="D38" s="103"/>
      <c r="E38" s="151"/>
      <c r="F38" s="128"/>
      <c r="G38" s="128"/>
      <c r="H38" s="103"/>
      <c r="I38" s="103"/>
      <c r="J38" s="103"/>
      <c r="K38" s="128"/>
      <c r="L38" s="103">
        <f t="shared" si="15"/>
        <v>0</v>
      </c>
      <c r="M38" s="103">
        <v>7</v>
      </c>
      <c r="N38" s="103">
        <v>689.44</v>
      </c>
      <c r="O38" s="103"/>
      <c r="P38" s="103"/>
      <c r="Q38" s="103">
        <v>0</v>
      </c>
      <c r="R38" s="103"/>
      <c r="S38" s="103"/>
      <c r="T38" s="103">
        <f t="shared" si="16"/>
        <v>0</v>
      </c>
      <c r="U38" s="152"/>
      <c r="V38" s="152">
        <v>7.4899999999999994E-2</v>
      </c>
      <c r="W38" s="153"/>
      <c r="X38" s="103">
        <v>359.07</v>
      </c>
      <c r="Y38" s="103">
        <f t="shared" si="17"/>
        <v>0</v>
      </c>
      <c r="Z38" s="103"/>
      <c r="AA38" s="154"/>
      <c r="AB38" s="103">
        <v>95</v>
      </c>
      <c r="AC38" s="103">
        <f t="shared" si="18"/>
        <v>-1150.51</v>
      </c>
      <c r="AD38" s="103">
        <f t="shared" si="19"/>
        <v>0</v>
      </c>
    </row>
    <row r="39" spans="1:30">
      <c r="A39" s="101" t="s">
        <v>62</v>
      </c>
      <c r="B39" s="101">
        <v>352376</v>
      </c>
      <c r="C39" s="112">
        <v>4</v>
      </c>
      <c r="D39" s="103">
        <v>4018</v>
      </c>
      <c r="E39" s="155">
        <v>2035</v>
      </c>
      <c r="F39" s="128">
        <v>1748.38</v>
      </c>
      <c r="G39" s="128"/>
      <c r="H39" s="103"/>
      <c r="I39" s="103">
        <v>200</v>
      </c>
      <c r="J39" s="103"/>
      <c r="K39" s="128">
        <v>248.91</v>
      </c>
      <c r="L39" s="103">
        <f t="shared" si="15"/>
        <v>34.153000000000006</v>
      </c>
      <c r="M39" s="103">
        <v>7</v>
      </c>
      <c r="N39" s="103">
        <v>689.44</v>
      </c>
      <c r="O39" s="103"/>
      <c r="P39" s="103"/>
      <c r="Q39" s="103">
        <v>0</v>
      </c>
      <c r="R39" s="103"/>
      <c r="S39" s="103"/>
      <c r="T39" s="103">
        <f t="shared" si="16"/>
        <v>159.40967000000001</v>
      </c>
      <c r="U39" s="152"/>
      <c r="V39" s="152">
        <v>7.4899999999999994E-2</v>
      </c>
      <c r="W39" s="153">
        <v>2128.3000000000002</v>
      </c>
      <c r="X39" s="103">
        <v>359.07</v>
      </c>
      <c r="Y39" s="103">
        <f t="shared" si="17"/>
        <v>203.5</v>
      </c>
      <c r="Z39" s="103">
        <v>26.25</v>
      </c>
      <c r="AA39" s="154">
        <v>0.75</v>
      </c>
      <c r="AB39" s="103">
        <v>95</v>
      </c>
      <c r="AC39" s="103">
        <f t="shared" si="18"/>
        <v>-981.54267000000016</v>
      </c>
      <c r="AD39" s="103">
        <f>E39*AA39+I39</f>
        <v>1726.25</v>
      </c>
    </row>
    <row r="40" spans="1:30">
      <c r="A40" s="101" t="s">
        <v>390</v>
      </c>
      <c r="B40" s="101">
        <v>352377</v>
      </c>
      <c r="C40" s="112">
        <v>5</v>
      </c>
      <c r="D40" s="103">
        <v>7500</v>
      </c>
      <c r="E40" s="151">
        <v>2925</v>
      </c>
      <c r="F40" s="128">
        <v>2391.2399999999998</v>
      </c>
      <c r="G40" s="128">
        <v>45.3</v>
      </c>
      <c r="H40" s="103"/>
      <c r="I40" s="103"/>
      <c r="J40" s="103"/>
      <c r="K40" s="128">
        <v>51.54</v>
      </c>
      <c r="L40" s="103">
        <f t="shared" si="15"/>
        <v>63.750000000000007</v>
      </c>
      <c r="M40" s="103">
        <v>7</v>
      </c>
      <c r="N40" s="103">
        <v>689.44</v>
      </c>
      <c r="O40" s="103"/>
      <c r="P40" s="103"/>
      <c r="Q40" s="103">
        <v>0</v>
      </c>
      <c r="R40" s="103"/>
      <c r="S40" s="103"/>
      <c r="T40" s="103">
        <f t="shared" si="16"/>
        <v>229.53104999999999</v>
      </c>
      <c r="U40" s="152"/>
      <c r="V40" s="152">
        <v>7.4899999999999994E-2</v>
      </c>
      <c r="W40" s="153">
        <v>3064.5</v>
      </c>
      <c r="X40" s="103">
        <v>359.07</v>
      </c>
      <c r="Y40" s="103">
        <f t="shared" si="17"/>
        <v>292.5</v>
      </c>
      <c r="Z40" s="103">
        <v>32.5</v>
      </c>
      <c r="AA40" s="154">
        <v>0.7</v>
      </c>
      <c r="AB40" s="103">
        <v>95</v>
      </c>
      <c r="AC40" s="103">
        <f t="shared" si="18"/>
        <v>1298.7089500000004</v>
      </c>
      <c r="AD40" s="103">
        <f t="shared" ref="AD40:AD43" si="20">E40*AA40</f>
        <v>2047.4999999999998</v>
      </c>
    </row>
    <row r="41" spans="1:30">
      <c r="A41" s="101" t="s">
        <v>191</v>
      </c>
      <c r="B41" s="101">
        <v>359885</v>
      </c>
      <c r="C41" s="112">
        <v>5</v>
      </c>
      <c r="D41" s="103">
        <v>6592</v>
      </c>
      <c r="E41" s="151">
        <v>2613</v>
      </c>
      <c r="F41" s="128">
        <v>1714.71</v>
      </c>
      <c r="G41" s="128">
        <v>26.25</v>
      </c>
      <c r="H41" s="103"/>
      <c r="I41" s="103"/>
      <c r="J41" s="103"/>
      <c r="K41" s="128">
        <v>294.48</v>
      </c>
      <c r="L41" s="103">
        <f t="shared" si="15"/>
        <v>56.032000000000004</v>
      </c>
      <c r="M41" s="103">
        <v>7</v>
      </c>
      <c r="N41" s="103">
        <v>689.44</v>
      </c>
      <c r="O41" s="103"/>
      <c r="P41" s="103"/>
      <c r="Q41" s="103">
        <v>0</v>
      </c>
      <c r="R41" s="103"/>
      <c r="S41" s="103"/>
      <c r="T41" s="103">
        <f t="shared" si="16"/>
        <v>140.66968999999997</v>
      </c>
      <c r="U41" s="152"/>
      <c r="V41" s="152">
        <v>7.4899999999999994E-2</v>
      </c>
      <c r="W41" s="153">
        <v>1878.1</v>
      </c>
      <c r="X41" s="103">
        <v>359.07</v>
      </c>
      <c r="Y41" s="103">
        <f t="shared" si="17"/>
        <v>261.3</v>
      </c>
      <c r="Z41" s="103">
        <v>26.25</v>
      </c>
      <c r="AA41" s="154">
        <v>0.75</v>
      </c>
      <c r="AB41" s="103">
        <v>95</v>
      </c>
      <c r="AC41" s="103">
        <f t="shared" si="18"/>
        <v>1551.0083100000002</v>
      </c>
      <c r="AD41" s="103">
        <f t="shared" si="20"/>
        <v>1959.75</v>
      </c>
    </row>
    <row r="42" spans="1:30">
      <c r="A42" s="100"/>
      <c r="B42" s="101">
        <v>359886</v>
      </c>
      <c r="C42" s="112"/>
      <c r="D42" s="103"/>
      <c r="E42" s="151"/>
      <c r="F42" s="128"/>
      <c r="G42" s="128"/>
      <c r="H42" s="103"/>
      <c r="I42" s="103"/>
      <c r="J42" s="103"/>
      <c r="K42" s="128"/>
      <c r="L42" s="103">
        <f t="shared" si="15"/>
        <v>0</v>
      </c>
      <c r="M42" s="103">
        <v>7</v>
      </c>
      <c r="N42" s="103">
        <v>689.44</v>
      </c>
      <c r="O42" s="103"/>
      <c r="P42" s="103"/>
      <c r="Q42" s="103">
        <v>0</v>
      </c>
      <c r="R42" s="103"/>
      <c r="S42" s="103"/>
      <c r="T42" s="103">
        <f t="shared" si="16"/>
        <v>0</v>
      </c>
      <c r="U42" s="152"/>
      <c r="V42" s="152">
        <v>7.4899999999999994E-2</v>
      </c>
      <c r="W42" s="153"/>
      <c r="X42" s="103">
        <v>359.07</v>
      </c>
      <c r="Y42" s="103">
        <f t="shared" si="17"/>
        <v>0</v>
      </c>
      <c r="Z42" s="103"/>
      <c r="AA42" s="154"/>
      <c r="AB42" s="103">
        <v>95</v>
      </c>
      <c r="AC42" s="103">
        <f t="shared" si="18"/>
        <v>-1150.51</v>
      </c>
      <c r="AD42" s="103">
        <f t="shared" si="20"/>
        <v>0</v>
      </c>
    </row>
    <row r="43" spans="1:30">
      <c r="A43" s="101" t="s">
        <v>319</v>
      </c>
      <c r="B43" s="101">
        <v>465180</v>
      </c>
      <c r="C43" s="112">
        <v>7</v>
      </c>
      <c r="D43" s="103">
        <v>7450</v>
      </c>
      <c r="E43" s="151">
        <v>3356</v>
      </c>
      <c r="F43" s="128">
        <v>3073.17</v>
      </c>
      <c r="G43" s="128">
        <v>46.31</v>
      </c>
      <c r="H43" s="103"/>
      <c r="I43" s="103"/>
      <c r="J43" s="103"/>
      <c r="K43" s="128">
        <v>519.14</v>
      </c>
      <c r="L43" s="103">
        <f t="shared" si="15"/>
        <v>63.325000000000003</v>
      </c>
      <c r="M43" s="103">
        <v>7</v>
      </c>
      <c r="N43" s="103">
        <v>789.51</v>
      </c>
      <c r="O43" s="103"/>
      <c r="P43" s="103"/>
      <c r="Q43" s="103">
        <v>0</v>
      </c>
      <c r="R43" s="103"/>
      <c r="S43" s="103"/>
      <c r="T43" s="103">
        <f t="shared" si="16"/>
        <v>256.59505000000001</v>
      </c>
      <c r="U43" s="152"/>
      <c r="V43" s="152">
        <v>7.4300000000000005E-2</v>
      </c>
      <c r="W43" s="153">
        <v>3453.5</v>
      </c>
      <c r="X43" s="103">
        <v>359.07</v>
      </c>
      <c r="Y43" s="103">
        <f t="shared" si="17"/>
        <v>335.6</v>
      </c>
      <c r="Z43" s="103">
        <v>26.25</v>
      </c>
      <c r="AA43" s="154">
        <v>0.75</v>
      </c>
      <c r="AB43" s="103">
        <v>95</v>
      </c>
      <c r="AC43" s="103">
        <f t="shared" si="18"/>
        <v>400.30994999999922</v>
      </c>
      <c r="AD43" s="103">
        <f t="shared" si="20"/>
        <v>2517</v>
      </c>
    </row>
    <row r="44" spans="1:30">
      <c r="A44" s="101" t="s">
        <v>322</v>
      </c>
      <c r="B44" s="101">
        <v>465181</v>
      </c>
      <c r="C44" s="117">
        <v>5</v>
      </c>
      <c r="D44" s="128">
        <v>5500</v>
      </c>
      <c r="E44" s="151">
        <v>2898</v>
      </c>
      <c r="F44" s="128">
        <v>1941.65</v>
      </c>
      <c r="G44" s="128">
        <v>6.36</v>
      </c>
      <c r="H44" s="128"/>
      <c r="I44" s="128">
        <v>200</v>
      </c>
      <c r="J44" s="156"/>
      <c r="K44" s="128">
        <v>286.31</v>
      </c>
      <c r="L44" s="103">
        <f t="shared" si="15"/>
        <v>46.75</v>
      </c>
      <c r="M44" s="103">
        <v>7</v>
      </c>
      <c r="N44" s="103">
        <v>789.51</v>
      </c>
      <c r="O44" s="103"/>
      <c r="P44" s="103"/>
      <c r="Q44" s="103">
        <v>0</v>
      </c>
      <c r="R44" s="103"/>
      <c r="S44" s="103"/>
      <c r="T44" s="103">
        <f t="shared" si="16"/>
        <v>233.05681000000001</v>
      </c>
      <c r="U44" s="152"/>
      <c r="V44" s="152">
        <v>7.4300000000000005E-2</v>
      </c>
      <c r="W44" s="153">
        <v>3136.7</v>
      </c>
      <c r="X44" s="103">
        <v>359.07</v>
      </c>
      <c r="Y44" s="103">
        <f t="shared" si="17"/>
        <v>289.8</v>
      </c>
      <c r="Z44" s="103">
        <v>26.25</v>
      </c>
      <c r="AA44" s="154">
        <v>0.8</v>
      </c>
      <c r="AB44" s="103">
        <v>95</v>
      </c>
      <c r="AC44" s="103">
        <f t="shared" si="18"/>
        <v>-726.5368100000004</v>
      </c>
      <c r="AD44" s="103">
        <f>E44*AA44+I44</f>
        <v>2518.4</v>
      </c>
    </row>
    <row r="45" spans="1:30">
      <c r="A45" s="100" t="s">
        <v>349</v>
      </c>
      <c r="B45" s="101">
        <v>465182</v>
      </c>
      <c r="C45" s="112">
        <v>6</v>
      </c>
      <c r="D45" s="103">
        <v>10500</v>
      </c>
      <c r="E45" s="151">
        <v>4366</v>
      </c>
      <c r="F45" s="128">
        <v>3445.92</v>
      </c>
      <c r="G45" s="128">
        <v>103.2</v>
      </c>
      <c r="H45" s="128"/>
      <c r="I45" s="128"/>
      <c r="J45" s="156"/>
      <c r="K45" s="128">
        <v>65.78</v>
      </c>
      <c r="L45" s="103">
        <f t="shared" si="15"/>
        <v>89.25</v>
      </c>
      <c r="M45" s="103">
        <v>7</v>
      </c>
      <c r="N45" s="103">
        <v>789.51</v>
      </c>
      <c r="O45" s="103"/>
      <c r="P45" s="103"/>
      <c r="Q45" s="103">
        <v>0</v>
      </c>
      <c r="R45" s="103"/>
      <c r="S45" s="103"/>
      <c r="T45" s="103">
        <f t="shared" si="16"/>
        <v>399.35507000000001</v>
      </c>
      <c r="U45" s="152"/>
      <c r="V45" s="152">
        <v>7.4300000000000005E-2</v>
      </c>
      <c r="W45" s="153">
        <v>5374.9</v>
      </c>
      <c r="X45" s="103">
        <v>359.07</v>
      </c>
      <c r="Y45" s="103">
        <f t="shared" si="17"/>
        <v>436.6</v>
      </c>
      <c r="Z45" s="103">
        <v>26.25</v>
      </c>
      <c r="AA45" s="154">
        <v>0.75</v>
      </c>
      <c r="AB45" s="103">
        <v>95</v>
      </c>
      <c r="AC45" s="103">
        <f t="shared" si="18"/>
        <v>1540.1249299999999</v>
      </c>
      <c r="AD45" s="103">
        <f t="shared" ref="AD45:AD49" si="21">E45*AA45</f>
        <v>3274.5</v>
      </c>
    </row>
    <row r="46" spans="1:30">
      <c r="A46" s="101" t="s">
        <v>88</v>
      </c>
      <c r="B46" s="101">
        <v>465183</v>
      </c>
      <c r="C46" s="117">
        <v>7</v>
      </c>
      <c r="D46" s="103">
        <v>10773</v>
      </c>
      <c r="E46" s="151">
        <v>3790</v>
      </c>
      <c r="F46" s="128">
        <v>2861.87</v>
      </c>
      <c r="G46" s="128">
        <v>91.93</v>
      </c>
      <c r="H46" s="128"/>
      <c r="I46" s="128"/>
      <c r="J46" s="156"/>
      <c r="K46" s="128">
        <v>231.19</v>
      </c>
      <c r="L46" s="103">
        <f t="shared" si="15"/>
        <v>91.57050000000001</v>
      </c>
      <c r="M46" s="103">
        <v>7</v>
      </c>
      <c r="N46" s="103">
        <v>789.51</v>
      </c>
      <c r="O46" s="103"/>
      <c r="P46" s="103"/>
      <c r="Q46" s="103">
        <v>0</v>
      </c>
      <c r="R46" s="103"/>
      <c r="S46" s="103"/>
      <c r="T46" s="103">
        <f t="shared" si="16"/>
        <v>294.04225000000002</v>
      </c>
      <c r="U46" s="152"/>
      <c r="V46" s="152">
        <v>7.4300000000000005E-2</v>
      </c>
      <c r="W46" s="153">
        <v>3957.5</v>
      </c>
      <c r="X46" s="103">
        <v>359.07</v>
      </c>
      <c r="Y46" s="103">
        <f t="shared" si="17"/>
        <v>379</v>
      </c>
      <c r="Z46" s="103">
        <v>40</v>
      </c>
      <c r="AA46" s="154">
        <v>0.8</v>
      </c>
      <c r="AB46" s="103">
        <v>95</v>
      </c>
      <c r="AC46" s="103">
        <f t="shared" si="18"/>
        <v>2963.1972500000002</v>
      </c>
      <c r="AD46" s="103">
        <f t="shared" si="21"/>
        <v>3032</v>
      </c>
    </row>
    <row r="47" spans="1:30">
      <c r="A47" s="100" t="s">
        <v>40</v>
      </c>
      <c r="B47" s="101">
        <v>465184</v>
      </c>
      <c r="C47" s="117">
        <v>4</v>
      </c>
      <c r="D47" s="103">
        <v>5300</v>
      </c>
      <c r="E47" s="151">
        <v>2267</v>
      </c>
      <c r="F47" s="128">
        <v>3152.1</v>
      </c>
      <c r="G47" s="128">
        <v>269.35000000000002</v>
      </c>
      <c r="H47" s="128"/>
      <c r="I47" s="128"/>
      <c r="J47" s="156"/>
      <c r="K47" s="128">
        <v>64.11</v>
      </c>
      <c r="L47" s="103">
        <f t="shared" si="15"/>
        <v>45.050000000000004</v>
      </c>
      <c r="M47" s="103">
        <v>7</v>
      </c>
      <c r="N47" s="103">
        <v>789.51</v>
      </c>
      <c r="O47" s="103"/>
      <c r="P47" s="103"/>
      <c r="Q47" s="103">
        <v>0</v>
      </c>
      <c r="R47" s="103"/>
      <c r="S47" s="103"/>
      <c r="T47" s="103">
        <f t="shared" si="16"/>
        <v>320.82740000000001</v>
      </c>
      <c r="U47" s="152"/>
      <c r="V47" s="152">
        <v>7.4300000000000005E-2</v>
      </c>
      <c r="W47" s="153">
        <v>4318</v>
      </c>
      <c r="X47" s="103">
        <v>359.07</v>
      </c>
      <c r="Y47" s="103">
        <f t="shared" si="17"/>
        <v>226.70000000000002</v>
      </c>
      <c r="Z47" s="103">
        <v>26.25</v>
      </c>
      <c r="AA47" s="154">
        <v>0.8</v>
      </c>
      <c r="AB47" s="103">
        <v>95</v>
      </c>
      <c r="AC47" s="103">
        <f t="shared" si="18"/>
        <v>-1740.3473999999999</v>
      </c>
      <c r="AD47" s="103">
        <f t="shared" si="21"/>
        <v>1813.6000000000001</v>
      </c>
    </row>
    <row r="48" spans="1:30">
      <c r="A48" s="101" t="s">
        <v>75</v>
      </c>
      <c r="B48" s="101">
        <v>465185</v>
      </c>
      <c r="C48" s="117">
        <v>7</v>
      </c>
      <c r="D48" s="103">
        <v>7640</v>
      </c>
      <c r="E48" s="151">
        <v>3567</v>
      </c>
      <c r="F48" s="128">
        <v>3259.05</v>
      </c>
      <c r="G48" s="128">
        <v>113.89</v>
      </c>
      <c r="H48" s="128"/>
      <c r="I48" s="128"/>
      <c r="J48" s="156"/>
      <c r="K48" s="128">
        <v>617.04</v>
      </c>
      <c r="L48" s="103">
        <f t="shared" si="15"/>
        <v>64.94</v>
      </c>
      <c r="M48" s="103">
        <v>7</v>
      </c>
      <c r="N48" s="103">
        <v>789.51</v>
      </c>
      <c r="O48" s="103"/>
      <c r="P48" s="103"/>
      <c r="Q48" s="103">
        <v>0</v>
      </c>
      <c r="R48" s="103"/>
      <c r="S48" s="103"/>
      <c r="T48" s="103">
        <f t="shared" si="16"/>
        <v>288.38802000000004</v>
      </c>
      <c r="U48" s="152"/>
      <c r="V48" s="152">
        <v>7.4300000000000005E-2</v>
      </c>
      <c r="W48" s="153">
        <v>3881.4</v>
      </c>
      <c r="X48" s="103">
        <v>359.07</v>
      </c>
      <c r="Y48" s="103">
        <f t="shared" si="17"/>
        <v>356.70000000000005</v>
      </c>
      <c r="Z48" s="103">
        <v>40</v>
      </c>
      <c r="AA48" s="154">
        <v>0.8</v>
      </c>
      <c r="AB48" s="103">
        <v>95</v>
      </c>
      <c r="AC48" s="103">
        <f t="shared" si="18"/>
        <v>29.891979999999307</v>
      </c>
      <c r="AD48" s="103">
        <f t="shared" si="21"/>
        <v>2853.6000000000004</v>
      </c>
    </row>
    <row r="49" spans="1:30">
      <c r="A49" s="101" t="s">
        <v>386</v>
      </c>
      <c r="B49" s="101">
        <v>465186</v>
      </c>
      <c r="C49" s="112">
        <v>5</v>
      </c>
      <c r="D49" s="103">
        <v>10004</v>
      </c>
      <c r="E49" s="151">
        <v>4466</v>
      </c>
      <c r="F49" s="128">
        <v>2947.63</v>
      </c>
      <c r="G49" s="128">
        <v>57.3</v>
      </c>
      <c r="H49" s="128"/>
      <c r="I49" s="128"/>
      <c r="J49" s="156"/>
      <c r="K49" s="128">
        <v>274.05</v>
      </c>
      <c r="L49" s="103">
        <f t="shared" si="15"/>
        <v>85.034000000000006</v>
      </c>
      <c r="M49" s="103">
        <v>7</v>
      </c>
      <c r="N49" s="103">
        <v>789.51</v>
      </c>
      <c r="O49" s="103"/>
      <c r="P49" s="103"/>
      <c r="Q49" s="103">
        <v>0</v>
      </c>
      <c r="R49" s="103"/>
      <c r="S49" s="103"/>
      <c r="T49" s="103">
        <f t="shared" si="16"/>
        <v>322.89294000000001</v>
      </c>
      <c r="U49" s="152"/>
      <c r="V49" s="152">
        <v>7.4300000000000005E-2</v>
      </c>
      <c r="W49" s="153">
        <v>4345.8</v>
      </c>
      <c r="X49" s="103">
        <v>359.07</v>
      </c>
      <c r="Y49" s="103">
        <f t="shared" si="17"/>
        <v>446.6</v>
      </c>
      <c r="Z49" s="103">
        <v>32.5</v>
      </c>
      <c r="AA49" s="154">
        <v>0.75</v>
      </c>
      <c r="AB49" s="103">
        <v>95</v>
      </c>
      <c r="AC49" s="103">
        <f t="shared" si="18"/>
        <v>1786.0130599999995</v>
      </c>
      <c r="AD49" s="103">
        <f t="shared" si="21"/>
        <v>3349.5</v>
      </c>
    </row>
    <row r="50" spans="1:30">
      <c r="A50" s="101" t="s">
        <v>192</v>
      </c>
      <c r="B50" s="101">
        <v>465187</v>
      </c>
      <c r="C50" s="117">
        <v>6</v>
      </c>
      <c r="D50" s="103">
        <v>7514</v>
      </c>
      <c r="E50" s="151">
        <v>3555</v>
      </c>
      <c r="F50" s="128">
        <v>3597.06</v>
      </c>
      <c r="G50" s="128">
        <v>42.25</v>
      </c>
      <c r="H50" s="128"/>
      <c r="I50" s="128">
        <v>200</v>
      </c>
      <c r="J50" s="128">
        <v>150</v>
      </c>
      <c r="K50" s="128">
        <v>620.27</v>
      </c>
      <c r="L50" s="103">
        <f t="shared" si="15"/>
        <v>63.869000000000007</v>
      </c>
      <c r="M50" s="103">
        <v>7</v>
      </c>
      <c r="N50" s="103">
        <v>789.51</v>
      </c>
      <c r="O50" s="103"/>
      <c r="P50" s="103"/>
      <c r="Q50" s="103">
        <v>0</v>
      </c>
      <c r="R50" s="103"/>
      <c r="S50" s="103"/>
      <c r="T50" s="103">
        <f t="shared" si="16"/>
        <v>276.86409000000003</v>
      </c>
      <c r="U50" s="152"/>
      <c r="V50" s="152">
        <v>7.4300000000000005E-2</v>
      </c>
      <c r="W50" s="153">
        <v>3726.3</v>
      </c>
      <c r="X50" s="103">
        <v>359.07</v>
      </c>
      <c r="Y50" s="103">
        <f t="shared" si="17"/>
        <v>355.5</v>
      </c>
      <c r="Z50" s="103">
        <v>40</v>
      </c>
      <c r="AA50" s="154">
        <v>0.8</v>
      </c>
      <c r="AB50" s="103">
        <v>95</v>
      </c>
      <c r="AC50" s="103">
        <f>D50-F50-G50-Z50-Y50-X50-N50-AD50+K50-AB50-I44-T50-M50-L50</f>
        <v>-685.85309000000041</v>
      </c>
      <c r="AD50" s="103">
        <f>E50*AA50+J50</f>
        <v>2994</v>
      </c>
    </row>
    <row r="51" spans="1:30">
      <c r="A51" s="101" t="s">
        <v>14</v>
      </c>
      <c r="B51" s="101">
        <v>465188</v>
      </c>
      <c r="C51" s="117">
        <v>5</v>
      </c>
      <c r="D51" s="128">
        <v>5725</v>
      </c>
      <c r="E51" s="151">
        <v>2656</v>
      </c>
      <c r="F51" s="128">
        <v>2604.5700000000002</v>
      </c>
      <c r="G51" s="128">
        <v>59.43</v>
      </c>
      <c r="H51" s="128"/>
      <c r="I51" s="128">
        <v>200</v>
      </c>
      <c r="J51" s="156"/>
      <c r="K51" s="128">
        <v>387.38</v>
      </c>
      <c r="L51" s="103">
        <f t="shared" si="15"/>
        <v>48.662500000000001</v>
      </c>
      <c r="M51" s="103">
        <v>7</v>
      </c>
      <c r="N51" s="103">
        <v>789.51</v>
      </c>
      <c r="O51" s="103"/>
      <c r="P51" s="103"/>
      <c r="Q51" s="103">
        <v>0</v>
      </c>
      <c r="R51" s="103"/>
      <c r="S51" s="103"/>
      <c r="T51" s="103">
        <f t="shared" si="16"/>
        <v>259.02465999999998</v>
      </c>
      <c r="U51" s="152"/>
      <c r="V51" s="152">
        <v>7.4300000000000005E-2</v>
      </c>
      <c r="W51" s="153">
        <v>3486.2</v>
      </c>
      <c r="X51" s="103">
        <v>359.07</v>
      </c>
      <c r="Y51" s="103">
        <f t="shared" si="17"/>
        <v>265.60000000000002</v>
      </c>
      <c r="Z51" s="103">
        <v>32.5</v>
      </c>
      <c r="AA51" s="154">
        <v>0.8</v>
      </c>
      <c r="AB51" s="103">
        <v>95</v>
      </c>
      <c r="AC51" s="103">
        <f t="shared" ref="AC51:AC52" si="22">D51-F51-G51-Z51-Y51-X51-N51-AD51+K51-AB51-I51-T51-M51-L51</f>
        <v>-732.7871600000002</v>
      </c>
      <c r="AD51" s="103">
        <f t="shared" ref="AD51:AD52" si="23">E51*AA51</f>
        <v>2124.8000000000002</v>
      </c>
    </row>
    <row r="52" spans="1:30">
      <c r="A52" s="101" t="s">
        <v>347</v>
      </c>
      <c r="B52" s="101">
        <v>465189</v>
      </c>
      <c r="C52" s="112">
        <v>6</v>
      </c>
      <c r="D52" s="103">
        <v>7485</v>
      </c>
      <c r="E52" s="155">
        <v>2886</v>
      </c>
      <c r="F52" s="128">
        <v>1308.1500000000001</v>
      </c>
      <c r="G52" s="128">
        <f>22.15+53.45</f>
        <v>75.599999999999994</v>
      </c>
      <c r="H52" s="103"/>
      <c r="I52" s="103"/>
      <c r="J52" s="103"/>
      <c r="K52" s="128">
        <v>130.78</v>
      </c>
      <c r="L52" s="103">
        <f t="shared" si="15"/>
        <v>63.622500000000002</v>
      </c>
      <c r="M52" s="103">
        <v>7</v>
      </c>
      <c r="N52" s="103">
        <v>789.51</v>
      </c>
      <c r="O52" s="103"/>
      <c r="P52" s="103"/>
      <c r="Q52" s="103">
        <v>0</v>
      </c>
      <c r="R52" s="103"/>
      <c r="S52" s="103"/>
      <c r="T52" s="103">
        <f t="shared" si="16"/>
        <v>51.296720000000001</v>
      </c>
      <c r="U52" s="152"/>
      <c r="V52" s="152">
        <v>7.4300000000000005E-2</v>
      </c>
      <c r="W52" s="153">
        <v>690.4</v>
      </c>
      <c r="X52" s="103">
        <v>359.07</v>
      </c>
      <c r="Y52" s="103">
        <f t="shared" si="17"/>
        <v>288.60000000000002</v>
      </c>
      <c r="Z52" s="103">
        <v>32.5</v>
      </c>
      <c r="AA52" s="154">
        <v>0.75</v>
      </c>
      <c r="AB52" s="103">
        <v>95</v>
      </c>
      <c r="AC52" s="103">
        <f t="shared" si="22"/>
        <v>2380.9307800000001</v>
      </c>
      <c r="AD52" s="103">
        <f t="shared" si="23"/>
        <v>2164.5</v>
      </c>
    </row>
    <row r="53" spans="1:30">
      <c r="A53" s="167" t="s">
        <v>391</v>
      </c>
      <c r="B53" s="167">
        <v>86</v>
      </c>
      <c r="C53" s="158">
        <v>5</v>
      </c>
      <c r="D53" s="139">
        <v>6500</v>
      </c>
      <c r="E53" s="136">
        <v>2885.9</v>
      </c>
      <c r="F53" s="168">
        <v>2341</v>
      </c>
      <c r="G53" s="168"/>
      <c r="H53" s="168"/>
      <c r="I53" s="168"/>
      <c r="J53" s="169"/>
      <c r="K53" s="168">
        <v>19.39</v>
      </c>
      <c r="L53" s="139">
        <f t="shared" si="15"/>
        <v>55.250000000000007</v>
      </c>
      <c r="M53" s="139">
        <v>0</v>
      </c>
      <c r="N53" s="139">
        <v>0</v>
      </c>
      <c r="O53" s="139">
        <v>0</v>
      </c>
      <c r="P53" s="139"/>
      <c r="Q53" s="139">
        <v>0</v>
      </c>
      <c r="R53" s="139">
        <v>0</v>
      </c>
      <c r="S53" s="139">
        <v>0</v>
      </c>
      <c r="T53" s="139">
        <v>0</v>
      </c>
      <c r="U53" s="159"/>
      <c r="V53" s="159">
        <v>0</v>
      </c>
      <c r="W53" s="136">
        <v>2885.9</v>
      </c>
      <c r="X53" s="139"/>
      <c r="Y53" s="139">
        <f t="shared" si="17"/>
        <v>288.59000000000003</v>
      </c>
      <c r="Z53" s="139"/>
      <c r="AA53" s="160">
        <v>0.8</v>
      </c>
      <c r="AB53" s="139">
        <v>95</v>
      </c>
      <c r="AC53" s="139">
        <f>D53*0.2-Y53-L53</f>
        <v>956.16</v>
      </c>
      <c r="AD53" s="139">
        <f>D53*AA53-F53</f>
        <v>2859</v>
      </c>
    </row>
    <row r="54" spans="1:30">
      <c r="A54" s="134" t="s">
        <v>359</v>
      </c>
      <c r="B54" s="135" t="s">
        <v>360</v>
      </c>
      <c r="C54" s="136">
        <v>7</v>
      </c>
      <c r="D54" s="139">
        <v>7800</v>
      </c>
      <c r="E54" s="136">
        <v>3595.1</v>
      </c>
      <c r="F54" s="139">
        <v>2022.34</v>
      </c>
      <c r="G54" s="139">
        <v>147.93</v>
      </c>
      <c r="H54" s="139"/>
      <c r="I54" s="139"/>
      <c r="J54" s="139"/>
      <c r="K54" s="139">
        <v>44.53</v>
      </c>
      <c r="L54" s="139">
        <f t="shared" si="15"/>
        <v>66.300000000000011</v>
      </c>
      <c r="M54" s="139">
        <v>0</v>
      </c>
      <c r="N54" s="139">
        <v>0</v>
      </c>
      <c r="O54" s="139">
        <v>50</v>
      </c>
      <c r="P54" s="139"/>
      <c r="Q54" s="139">
        <v>199</v>
      </c>
      <c r="R54" s="139">
        <v>30</v>
      </c>
      <c r="S54" s="139">
        <v>300</v>
      </c>
      <c r="T54" s="139">
        <v>0</v>
      </c>
      <c r="U54" s="159"/>
      <c r="V54" s="159">
        <v>0</v>
      </c>
      <c r="W54" s="136">
        <v>3595.1</v>
      </c>
      <c r="X54" s="139">
        <v>0</v>
      </c>
      <c r="Y54" s="139">
        <f t="shared" si="17"/>
        <v>359.51</v>
      </c>
      <c r="Z54" s="139"/>
      <c r="AA54" s="160">
        <v>0.87</v>
      </c>
      <c r="AB54" s="139">
        <v>95</v>
      </c>
      <c r="AC54" s="139">
        <f t="shared" ref="AC54:AC55" si="24">D54*0.13+S54+R54+Q54+O54-Y54-L54</f>
        <v>1167.19</v>
      </c>
      <c r="AD54" s="139">
        <f t="shared" ref="AD54:AD55" si="25">D54*0.87-F54-G54-O54-Q54-R54-S54</f>
        <v>4036.7299999999996</v>
      </c>
    </row>
    <row r="55" spans="1:30">
      <c r="A55" s="134" t="s">
        <v>387</v>
      </c>
      <c r="B55" s="135" t="s">
        <v>362</v>
      </c>
      <c r="C55" s="136">
        <v>7</v>
      </c>
      <c r="D55" s="139">
        <v>13625</v>
      </c>
      <c r="E55" s="136">
        <v>6079.3</v>
      </c>
      <c r="F55" s="139">
        <v>4013.92</v>
      </c>
      <c r="G55" s="139">
        <v>106.78</v>
      </c>
      <c r="H55" s="139"/>
      <c r="I55" s="139"/>
      <c r="J55" s="139"/>
      <c r="K55" s="139">
        <v>270.37</v>
      </c>
      <c r="L55" s="139">
        <f t="shared" si="15"/>
        <v>115.81250000000001</v>
      </c>
      <c r="M55" s="139">
        <v>7</v>
      </c>
      <c r="N55" s="139">
        <v>0</v>
      </c>
      <c r="O55" s="139">
        <v>50</v>
      </c>
      <c r="P55" s="139"/>
      <c r="Q55" s="139">
        <v>199</v>
      </c>
      <c r="R55" s="139">
        <v>30</v>
      </c>
      <c r="S55" s="139">
        <v>300</v>
      </c>
      <c r="T55" s="139">
        <v>0</v>
      </c>
      <c r="U55" s="159"/>
      <c r="V55" s="159">
        <v>0</v>
      </c>
      <c r="W55" s="136">
        <v>6079.3</v>
      </c>
      <c r="X55" s="139">
        <v>0</v>
      </c>
      <c r="Y55" s="139">
        <f t="shared" si="17"/>
        <v>607.93000000000006</v>
      </c>
      <c r="Z55" s="139"/>
      <c r="AA55" s="160">
        <v>0.87</v>
      </c>
      <c r="AB55" s="139">
        <v>95</v>
      </c>
      <c r="AC55" s="139">
        <f t="shared" si="24"/>
        <v>1626.5074999999999</v>
      </c>
      <c r="AD55" s="139">
        <f t="shared" si="25"/>
        <v>7154.05</v>
      </c>
    </row>
    <row r="56" spans="1:30">
      <c r="A56" s="134" t="s">
        <v>363</v>
      </c>
      <c r="B56" s="134">
        <v>1118</v>
      </c>
      <c r="C56" s="136">
        <v>7</v>
      </c>
      <c r="D56" s="139">
        <v>9000</v>
      </c>
      <c r="E56" s="136">
        <v>3899.9</v>
      </c>
      <c r="F56" s="139">
        <v>2343.8200000000002</v>
      </c>
      <c r="G56" s="139">
        <v>9.15</v>
      </c>
      <c r="H56" s="139"/>
      <c r="I56" s="139"/>
      <c r="J56" s="139"/>
      <c r="K56" s="139">
        <v>16.23</v>
      </c>
      <c r="L56" s="139">
        <f t="shared" si="15"/>
        <v>76.5</v>
      </c>
      <c r="M56" s="139">
        <v>0</v>
      </c>
      <c r="N56" s="139">
        <v>0</v>
      </c>
      <c r="O56" s="139">
        <v>0</v>
      </c>
      <c r="P56" s="139"/>
      <c r="Q56" s="139">
        <v>0</v>
      </c>
      <c r="R56" s="139">
        <v>0</v>
      </c>
      <c r="S56" s="139">
        <v>0</v>
      </c>
      <c r="T56" s="139">
        <v>0</v>
      </c>
      <c r="U56" s="159"/>
      <c r="V56" s="159">
        <v>0</v>
      </c>
      <c r="W56" s="136">
        <v>3899.9</v>
      </c>
      <c r="X56" s="139">
        <v>0</v>
      </c>
      <c r="Y56" s="139">
        <f t="shared" si="17"/>
        <v>389.99</v>
      </c>
      <c r="Z56" s="139"/>
      <c r="AA56" s="160">
        <v>0.8</v>
      </c>
      <c r="AB56" s="139">
        <v>95</v>
      </c>
      <c r="AC56" s="139">
        <f>D56*0.2-Y56-L56-I56-AB56</f>
        <v>1238.51</v>
      </c>
      <c r="AD56" s="139">
        <f>D56*AA56-F56-G56</f>
        <v>4847.0300000000007</v>
      </c>
    </row>
    <row r="57" spans="1:30">
      <c r="A57" s="134" t="s">
        <v>368</v>
      </c>
      <c r="B57" s="134" t="s">
        <v>369</v>
      </c>
      <c r="C57" s="136"/>
      <c r="D57" s="139"/>
      <c r="E57" s="136"/>
      <c r="F57" s="139"/>
      <c r="G57" s="139"/>
      <c r="H57" s="139"/>
      <c r="I57" s="139"/>
      <c r="J57" s="139"/>
      <c r="K57" s="139"/>
      <c r="L57" s="139">
        <f t="shared" si="15"/>
        <v>0</v>
      </c>
      <c r="M57" s="139">
        <v>7</v>
      </c>
      <c r="N57" s="139">
        <v>0</v>
      </c>
      <c r="O57" s="139">
        <v>50</v>
      </c>
      <c r="P57" s="139"/>
      <c r="Q57" s="139">
        <v>199</v>
      </c>
      <c r="R57" s="139">
        <v>30</v>
      </c>
      <c r="S57" s="139">
        <v>300</v>
      </c>
      <c r="T57" s="139">
        <v>0</v>
      </c>
      <c r="U57" s="159"/>
      <c r="V57" s="159">
        <v>0</v>
      </c>
      <c r="W57" s="136"/>
      <c r="X57" s="139">
        <v>0</v>
      </c>
      <c r="Y57" s="139">
        <f t="shared" si="17"/>
        <v>0</v>
      </c>
      <c r="Z57" s="139"/>
      <c r="AA57" s="160">
        <v>0.89</v>
      </c>
      <c r="AB57" s="139">
        <v>95</v>
      </c>
      <c r="AC57" s="139">
        <f>D57*0.11-AB57-Y57+S57+R57+Q57+O57</f>
        <v>484</v>
      </c>
      <c r="AD57" s="139">
        <f>D57*AA57-F57-G57-O57-Q57-R57-S57</f>
        <v>-579</v>
      </c>
    </row>
    <row r="58" spans="1:30">
      <c r="A58" s="134" t="s">
        <v>364</v>
      </c>
      <c r="B58" s="134">
        <v>2013</v>
      </c>
      <c r="C58" s="136">
        <v>4</v>
      </c>
      <c r="D58" s="139">
        <v>6900</v>
      </c>
      <c r="E58" s="136">
        <v>2671</v>
      </c>
      <c r="F58" s="139">
        <v>1491.03</v>
      </c>
      <c r="G58" s="139">
        <v>39.479999999999997</v>
      </c>
      <c r="H58" s="139"/>
      <c r="I58" s="139"/>
      <c r="J58" s="139"/>
      <c r="K58" s="139">
        <v>77.58</v>
      </c>
      <c r="L58" s="139">
        <f t="shared" si="15"/>
        <v>58.650000000000006</v>
      </c>
      <c r="M58" s="139">
        <v>0</v>
      </c>
      <c r="N58" s="139">
        <v>0</v>
      </c>
      <c r="O58" s="139">
        <v>50</v>
      </c>
      <c r="P58" s="139"/>
      <c r="Q58" s="139">
        <v>199</v>
      </c>
      <c r="R58" s="139">
        <v>30</v>
      </c>
      <c r="S58" s="139">
        <v>300</v>
      </c>
      <c r="T58" s="139">
        <v>0</v>
      </c>
      <c r="U58" s="159"/>
      <c r="V58" s="159">
        <v>0</v>
      </c>
      <c r="W58" s="136">
        <v>2671</v>
      </c>
      <c r="X58" s="139">
        <v>0</v>
      </c>
      <c r="Y58" s="139">
        <f t="shared" si="17"/>
        <v>267.10000000000002</v>
      </c>
      <c r="Z58" s="139"/>
      <c r="AA58" s="160">
        <v>0.87</v>
      </c>
      <c r="AB58" s="139">
        <v>95</v>
      </c>
      <c r="AC58" s="139">
        <f>D58*0.13+S58+R58+Q58+O58-Y58-L58</f>
        <v>1150.25</v>
      </c>
      <c r="AD58" s="139">
        <f t="shared" ref="AD58:AD59" si="26">D58*AA58-F58-G58-S58-R58-Q58-O58</f>
        <v>3893.4900000000007</v>
      </c>
    </row>
    <row r="59" spans="1:30">
      <c r="A59" s="134" t="s">
        <v>370</v>
      </c>
      <c r="B59" s="134">
        <v>1</v>
      </c>
      <c r="C59" s="136"/>
      <c r="D59" s="139"/>
      <c r="E59" s="158"/>
      <c r="F59" s="139">
        <v>653.77</v>
      </c>
      <c r="G59" s="139"/>
      <c r="H59" s="139"/>
      <c r="I59" s="139"/>
      <c r="J59" s="139"/>
      <c r="K59" s="139">
        <v>14.21</v>
      </c>
      <c r="L59" s="139">
        <f t="shared" si="15"/>
        <v>0</v>
      </c>
      <c r="M59" s="139">
        <v>7</v>
      </c>
      <c r="N59" s="139">
        <v>0</v>
      </c>
      <c r="O59" s="139">
        <v>0</v>
      </c>
      <c r="P59" s="139"/>
      <c r="Q59" s="139">
        <v>0</v>
      </c>
      <c r="R59" s="139">
        <v>0</v>
      </c>
      <c r="S59" s="139">
        <v>0</v>
      </c>
      <c r="T59" s="139">
        <v>0</v>
      </c>
      <c r="U59" s="159"/>
      <c r="V59" s="159">
        <v>0</v>
      </c>
      <c r="W59" s="136"/>
      <c r="X59" s="139">
        <v>0</v>
      </c>
      <c r="Y59" s="139">
        <f t="shared" si="17"/>
        <v>0</v>
      </c>
      <c r="Z59" s="139"/>
      <c r="AA59" s="160">
        <v>0.8</v>
      </c>
      <c r="AB59" s="139">
        <v>95</v>
      </c>
      <c r="AC59" s="139">
        <f>D59*0.13-AB59-Y59+S59+R59+Q59+O59</f>
        <v>-95</v>
      </c>
      <c r="AD59" s="139">
        <f t="shared" si="26"/>
        <v>-653.77</v>
      </c>
    </row>
    <row r="60" spans="1:30">
      <c r="A60" s="71" t="s">
        <v>89</v>
      </c>
      <c r="B60" s="72">
        <v>26</v>
      </c>
      <c r="C60" s="170">
        <f>AVERAGE(C33:C52)</f>
        <v>5.5</v>
      </c>
      <c r="D60" s="162">
        <f t="shared" ref="D60:G60" si="27">SUM(D33:D59)</f>
        <v>148026</v>
      </c>
      <c r="E60" s="163">
        <f t="shared" si="27"/>
        <v>64793.200000000004</v>
      </c>
      <c r="F60" s="162">
        <f t="shared" si="27"/>
        <v>50401.489999999991</v>
      </c>
      <c r="G60" s="162">
        <f t="shared" si="27"/>
        <v>1311.8</v>
      </c>
      <c r="H60" s="162"/>
      <c r="I60" s="162">
        <f t="shared" ref="I60:O60" si="28">SUM(I33:I59)</f>
        <v>800</v>
      </c>
      <c r="J60" s="162">
        <f t="shared" si="28"/>
        <v>150</v>
      </c>
      <c r="K60" s="162">
        <f t="shared" si="28"/>
        <v>4523.9399999999996</v>
      </c>
      <c r="L60" s="162">
        <f t="shared" si="28"/>
        <v>1258.2210000000002</v>
      </c>
      <c r="M60" s="162">
        <f t="shared" si="28"/>
        <v>161</v>
      </c>
      <c r="N60" s="162">
        <f t="shared" si="28"/>
        <v>14789.500000000004</v>
      </c>
      <c r="O60" s="162">
        <f t="shared" si="28"/>
        <v>200</v>
      </c>
      <c r="P60" s="162"/>
      <c r="Q60" s="162">
        <f t="shared" ref="Q60:T60" si="29">SUM(Q33:Q59)</f>
        <v>796</v>
      </c>
      <c r="R60" s="162">
        <f t="shared" si="29"/>
        <v>120</v>
      </c>
      <c r="S60" s="162">
        <f t="shared" si="29"/>
        <v>1200</v>
      </c>
      <c r="T60" s="162">
        <f t="shared" si="29"/>
        <v>3616.3327300000001</v>
      </c>
      <c r="U60" s="164"/>
      <c r="V60" s="164">
        <f>AVERAGE(V33:V59)</f>
        <v>5.5259259259259258E-2</v>
      </c>
      <c r="W60" s="165">
        <f>SUM(W32:W59)</f>
        <v>67704.700000000012</v>
      </c>
      <c r="X60" s="162">
        <f t="shared" ref="X60:Z60" si="30">SUM(X33:X59)</f>
        <v>7181.3999999999987</v>
      </c>
      <c r="Y60" s="162">
        <f t="shared" si="30"/>
        <v>6479.3200000000006</v>
      </c>
      <c r="Z60" s="162">
        <f t="shared" si="30"/>
        <v>440</v>
      </c>
      <c r="AA60" s="161">
        <f>AVERAGE(AA33:AA59)</f>
        <v>0.79285714285714282</v>
      </c>
      <c r="AB60" s="166">
        <f t="shared" ref="AB60:AD60" si="31">SUM(AB33:AB59)</f>
        <v>2565</v>
      </c>
      <c r="AC60" s="162">
        <f t="shared" si="31"/>
        <v>6360.1362699999963</v>
      </c>
      <c r="AD60" s="162">
        <f t="shared" si="31"/>
        <v>57144.430000000008</v>
      </c>
    </row>
    <row r="62" spans="1:30">
      <c r="A62" s="457" t="s">
        <v>392</v>
      </c>
      <c r="B62" s="458"/>
      <c r="C62" s="458"/>
      <c r="D62" s="458"/>
      <c r="E62" s="458"/>
      <c r="F62" s="458"/>
      <c r="G62" s="458"/>
      <c r="H62" s="458"/>
      <c r="I62" s="458"/>
      <c r="J62" s="458"/>
      <c r="K62" s="458"/>
      <c r="L62" s="458"/>
      <c r="M62" s="458"/>
      <c r="N62" s="458"/>
      <c r="O62" s="458"/>
      <c r="P62" s="458"/>
      <c r="Q62" s="458"/>
      <c r="R62" s="458"/>
      <c r="S62" s="458"/>
      <c r="T62" s="458"/>
      <c r="U62" s="458"/>
      <c r="V62" s="458"/>
      <c r="W62" s="458"/>
      <c r="X62" s="458"/>
      <c r="Y62" s="458"/>
      <c r="Z62" s="458"/>
      <c r="AA62" s="458"/>
      <c r="AB62" s="458"/>
      <c r="AC62" s="458"/>
      <c r="AD62" s="459"/>
    </row>
    <row r="63" spans="1:30">
      <c r="A63" s="95" t="s">
        <v>0</v>
      </c>
      <c r="B63" s="95" t="s">
        <v>1</v>
      </c>
      <c r="C63" s="95" t="s">
        <v>372</v>
      </c>
      <c r="D63" s="95" t="s">
        <v>2</v>
      </c>
      <c r="E63" s="95" t="s">
        <v>9</v>
      </c>
      <c r="F63" s="95" t="s">
        <v>7</v>
      </c>
      <c r="G63" s="95" t="s">
        <v>8</v>
      </c>
      <c r="H63" s="95"/>
      <c r="I63" s="95" t="s">
        <v>287</v>
      </c>
      <c r="J63" s="95" t="s">
        <v>288</v>
      </c>
      <c r="K63" s="95" t="s">
        <v>257</v>
      </c>
      <c r="L63" s="95" t="s">
        <v>373</v>
      </c>
      <c r="M63" s="95" t="s">
        <v>374</v>
      </c>
      <c r="N63" s="95" t="s">
        <v>375</v>
      </c>
      <c r="O63" s="95" t="s">
        <v>376</v>
      </c>
      <c r="P63" s="95"/>
      <c r="Q63" s="95" t="s">
        <v>377</v>
      </c>
      <c r="R63" s="150" t="s">
        <v>378</v>
      </c>
      <c r="S63" s="150" t="s">
        <v>379</v>
      </c>
      <c r="T63" s="150" t="s">
        <v>352</v>
      </c>
      <c r="U63" s="95"/>
      <c r="V63" s="95" t="s">
        <v>380</v>
      </c>
      <c r="W63" s="95" t="s">
        <v>381</v>
      </c>
      <c r="X63" s="95" t="s">
        <v>382</v>
      </c>
      <c r="Y63" s="95" t="s">
        <v>383</v>
      </c>
      <c r="Z63" s="95" t="s">
        <v>384</v>
      </c>
      <c r="AA63" s="95" t="s">
        <v>385</v>
      </c>
      <c r="AB63" s="95" t="s">
        <v>333</v>
      </c>
      <c r="AC63" s="95" t="s">
        <v>13</v>
      </c>
      <c r="AD63" s="95" t="s">
        <v>98</v>
      </c>
    </row>
    <row r="64" spans="1:30">
      <c r="A64" s="100"/>
      <c r="B64" s="101">
        <v>352368</v>
      </c>
      <c r="C64" s="112"/>
      <c r="D64" s="103"/>
      <c r="E64" s="112"/>
      <c r="F64" s="128"/>
      <c r="G64" s="103"/>
      <c r="H64" s="103"/>
      <c r="I64" s="103"/>
      <c r="J64" s="103"/>
      <c r="K64" s="128"/>
      <c r="L64" s="103">
        <f t="shared" ref="L64:L91" si="32">D64*0.0085</f>
        <v>0</v>
      </c>
      <c r="M64" s="103">
        <v>7</v>
      </c>
      <c r="N64" s="103">
        <v>689.44</v>
      </c>
      <c r="O64" s="103"/>
      <c r="P64" s="103"/>
      <c r="Q64" s="103">
        <v>0</v>
      </c>
      <c r="R64" s="103"/>
      <c r="S64" s="103"/>
      <c r="T64" s="103">
        <v>0</v>
      </c>
      <c r="U64" s="152"/>
      <c r="V64" s="152">
        <v>7.4899999999999994E-2</v>
      </c>
      <c r="W64" s="153">
        <v>0.1</v>
      </c>
      <c r="X64" s="103">
        <v>359.07</v>
      </c>
      <c r="Y64" s="103">
        <f t="shared" ref="Y64:Y91" si="33">E64*0.1</f>
        <v>0</v>
      </c>
      <c r="Z64" s="103"/>
      <c r="AA64" s="154"/>
      <c r="AB64" s="103">
        <v>95</v>
      </c>
      <c r="AC64" s="103">
        <f t="shared" ref="AC64:AC80" si="34">D64-F64-G64-Z64-Y64-X64-N64-AD64+K64-AB64-I64-T64-M64-L64</f>
        <v>-1150.51</v>
      </c>
      <c r="AD64" s="103">
        <f t="shared" ref="AD64:AD69" si="35">E64*AA64</f>
        <v>0</v>
      </c>
    </row>
    <row r="65" spans="1:30">
      <c r="A65" s="100" t="s">
        <v>355</v>
      </c>
      <c r="B65" s="101">
        <v>352371</v>
      </c>
      <c r="C65" s="112">
        <v>6</v>
      </c>
      <c r="D65" s="103">
        <v>7100</v>
      </c>
      <c r="E65" s="112">
        <v>3289</v>
      </c>
      <c r="F65" s="128">
        <v>3045.93</v>
      </c>
      <c r="G65" s="128">
        <v>62.13</v>
      </c>
      <c r="H65" s="103"/>
      <c r="I65" s="103"/>
      <c r="J65" s="103"/>
      <c r="K65" s="128">
        <v>224</v>
      </c>
      <c r="L65" s="103">
        <f t="shared" si="32"/>
        <v>60.35</v>
      </c>
      <c r="M65" s="103">
        <v>7</v>
      </c>
      <c r="N65" s="103">
        <v>689.44</v>
      </c>
      <c r="O65" s="103"/>
      <c r="P65" s="103"/>
      <c r="Q65" s="103">
        <v>0</v>
      </c>
      <c r="R65" s="103"/>
      <c r="S65" s="103"/>
      <c r="T65" s="103">
        <f t="shared" ref="T65:T83" si="36">W65*V65</f>
        <v>253.63387</v>
      </c>
      <c r="U65" s="152"/>
      <c r="V65" s="152">
        <v>7.4899999999999994E-2</v>
      </c>
      <c r="W65" s="153">
        <v>3386.3</v>
      </c>
      <c r="X65" s="103">
        <v>359.07</v>
      </c>
      <c r="Y65" s="103">
        <f t="shared" si="33"/>
        <v>328.90000000000003</v>
      </c>
      <c r="Z65" s="103">
        <v>32.5</v>
      </c>
      <c r="AA65" s="154">
        <v>0.75</v>
      </c>
      <c r="AB65" s="103">
        <v>95</v>
      </c>
      <c r="AC65" s="103">
        <f t="shared" si="34"/>
        <v>-76.703870000000251</v>
      </c>
      <c r="AD65" s="103">
        <f t="shared" si="35"/>
        <v>2466.75</v>
      </c>
    </row>
    <row r="66" spans="1:30">
      <c r="A66" s="101"/>
      <c r="B66" s="101">
        <v>352372</v>
      </c>
      <c r="C66" s="112"/>
      <c r="D66" s="103"/>
      <c r="E66" s="112"/>
      <c r="F66" s="117"/>
      <c r="G66" s="117"/>
      <c r="H66" s="103"/>
      <c r="I66" s="103"/>
      <c r="J66" s="103"/>
      <c r="K66" s="103"/>
      <c r="L66" s="103">
        <f t="shared" si="32"/>
        <v>0</v>
      </c>
      <c r="M66" s="103">
        <v>7</v>
      </c>
      <c r="N66" s="103">
        <v>689.44</v>
      </c>
      <c r="O66" s="103"/>
      <c r="P66" s="103"/>
      <c r="Q66" s="103">
        <v>0</v>
      </c>
      <c r="R66" s="103"/>
      <c r="S66" s="103"/>
      <c r="T66" s="103">
        <f t="shared" si="36"/>
        <v>0</v>
      </c>
      <c r="U66" s="152"/>
      <c r="V66" s="152">
        <v>7.4899999999999994E-2</v>
      </c>
      <c r="W66" s="153"/>
      <c r="X66" s="103">
        <v>359.07</v>
      </c>
      <c r="Y66" s="103">
        <f t="shared" si="33"/>
        <v>0</v>
      </c>
      <c r="Z66" s="103"/>
      <c r="AA66" s="154"/>
      <c r="AB66" s="103">
        <v>95</v>
      </c>
      <c r="AC66" s="103">
        <f t="shared" si="34"/>
        <v>-1150.51</v>
      </c>
      <c r="AD66" s="103">
        <f t="shared" si="35"/>
        <v>0</v>
      </c>
    </row>
    <row r="67" spans="1:30">
      <c r="A67" s="101" t="s">
        <v>344</v>
      </c>
      <c r="B67" s="101">
        <v>352373</v>
      </c>
      <c r="C67" s="112"/>
      <c r="D67" s="103"/>
      <c r="E67" s="117"/>
      <c r="F67" s="128"/>
      <c r="G67" s="128">
        <v>4.0999999999999996</v>
      </c>
      <c r="H67" s="103"/>
      <c r="I67" s="103"/>
      <c r="J67" s="103"/>
      <c r="K67" s="128"/>
      <c r="L67" s="103">
        <f t="shared" si="32"/>
        <v>0</v>
      </c>
      <c r="M67" s="103">
        <v>7</v>
      </c>
      <c r="N67" s="103">
        <v>689.44</v>
      </c>
      <c r="O67" s="103"/>
      <c r="P67" s="103"/>
      <c r="Q67" s="103">
        <v>0</v>
      </c>
      <c r="R67" s="103"/>
      <c r="S67" s="103"/>
      <c r="T67" s="103">
        <f t="shared" si="36"/>
        <v>0.92127000000000003</v>
      </c>
      <c r="U67" s="152"/>
      <c r="V67" s="152">
        <v>7.4899999999999994E-2</v>
      </c>
      <c r="W67" s="153">
        <v>12.3</v>
      </c>
      <c r="X67" s="103">
        <v>359.07</v>
      </c>
      <c r="Y67" s="103">
        <f t="shared" si="33"/>
        <v>0</v>
      </c>
      <c r="Z67" s="103"/>
      <c r="AA67" s="154"/>
      <c r="AB67" s="103">
        <v>95</v>
      </c>
      <c r="AC67" s="103">
        <f t="shared" si="34"/>
        <v>-1155.5312700000002</v>
      </c>
      <c r="AD67" s="103">
        <f t="shared" si="35"/>
        <v>0</v>
      </c>
    </row>
    <row r="68" spans="1:30">
      <c r="A68" s="101"/>
      <c r="B68" s="101">
        <v>352374</v>
      </c>
      <c r="C68" s="112"/>
      <c r="D68" s="103"/>
      <c r="E68" s="117"/>
      <c r="F68" s="128"/>
      <c r="G68" s="128"/>
      <c r="H68" s="103"/>
      <c r="I68" s="103"/>
      <c r="J68" s="103"/>
      <c r="K68" s="128"/>
      <c r="L68" s="103">
        <f t="shared" si="32"/>
        <v>0</v>
      </c>
      <c r="M68" s="103">
        <v>7</v>
      </c>
      <c r="N68" s="103">
        <v>689.44</v>
      </c>
      <c r="O68" s="103"/>
      <c r="P68" s="103"/>
      <c r="Q68" s="103">
        <v>0</v>
      </c>
      <c r="R68" s="103"/>
      <c r="S68" s="103"/>
      <c r="T68" s="103">
        <f t="shared" si="36"/>
        <v>7.4900000000000001E-3</v>
      </c>
      <c r="U68" s="152"/>
      <c r="V68" s="152">
        <v>7.4899999999999994E-2</v>
      </c>
      <c r="W68" s="153">
        <v>0.1</v>
      </c>
      <c r="X68" s="103">
        <v>359.07</v>
      </c>
      <c r="Y68" s="103">
        <f t="shared" si="33"/>
        <v>0</v>
      </c>
      <c r="Z68" s="103"/>
      <c r="AA68" s="154"/>
      <c r="AB68" s="103">
        <v>95</v>
      </c>
      <c r="AC68" s="103">
        <f t="shared" si="34"/>
        <v>-1150.51749</v>
      </c>
      <c r="AD68" s="103">
        <f t="shared" si="35"/>
        <v>0</v>
      </c>
    </row>
    <row r="69" spans="1:30">
      <c r="A69" s="101"/>
      <c r="B69" s="101">
        <v>352375</v>
      </c>
      <c r="C69" s="112"/>
      <c r="D69" s="103"/>
      <c r="E69" s="112"/>
      <c r="F69" s="128"/>
      <c r="G69" s="128"/>
      <c r="H69" s="103"/>
      <c r="I69" s="103"/>
      <c r="J69" s="103"/>
      <c r="K69" s="128"/>
      <c r="L69" s="103">
        <f t="shared" si="32"/>
        <v>0</v>
      </c>
      <c r="M69" s="103">
        <v>7</v>
      </c>
      <c r="N69" s="103">
        <v>689.44</v>
      </c>
      <c r="O69" s="103"/>
      <c r="P69" s="103"/>
      <c r="Q69" s="103">
        <v>0</v>
      </c>
      <c r="R69" s="103"/>
      <c r="S69" s="103"/>
      <c r="T69" s="103">
        <f t="shared" si="36"/>
        <v>0</v>
      </c>
      <c r="U69" s="152"/>
      <c r="V69" s="152">
        <v>7.4899999999999994E-2</v>
      </c>
      <c r="W69" s="153"/>
      <c r="X69" s="103">
        <v>359.07</v>
      </c>
      <c r="Y69" s="103">
        <f t="shared" si="33"/>
        <v>0</v>
      </c>
      <c r="Z69" s="103"/>
      <c r="AA69" s="154"/>
      <c r="AB69" s="103">
        <v>95</v>
      </c>
      <c r="AC69" s="103">
        <f t="shared" si="34"/>
        <v>-1150.51</v>
      </c>
      <c r="AD69" s="103">
        <f t="shared" si="35"/>
        <v>0</v>
      </c>
    </row>
    <row r="70" spans="1:30">
      <c r="A70" s="101" t="s">
        <v>62</v>
      </c>
      <c r="B70" s="101">
        <v>352376</v>
      </c>
      <c r="C70" s="112">
        <v>6</v>
      </c>
      <c r="D70" s="103">
        <v>8800</v>
      </c>
      <c r="E70" s="117">
        <v>4009</v>
      </c>
      <c r="F70" s="128">
        <v>3411.8</v>
      </c>
      <c r="G70" s="128"/>
      <c r="H70" s="103"/>
      <c r="I70" s="103"/>
      <c r="J70" s="103"/>
      <c r="K70" s="128">
        <v>282.27</v>
      </c>
      <c r="L70" s="103">
        <f t="shared" si="32"/>
        <v>74.800000000000011</v>
      </c>
      <c r="M70" s="103">
        <v>7</v>
      </c>
      <c r="N70" s="103">
        <v>689.44</v>
      </c>
      <c r="O70" s="103"/>
      <c r="P70" s="103"/>
      <c r="Q70" s="103">
        <v>0</v>
      </c>
      <c r="R70" s="103"/>
      <c r="S70" s="103"/>
      <c r="T70" s="103">
        <f t="shared" si="36"/>
        <v>301.33767999999998</v>
      </c>
      <c r="U70" s="152"/>
      <c r="V70" s="152">
        <v>7.4899999999999994E-2</v>
      </c>
      <c r="W70" s="153">
        <v>4023.2</v>
      </c>
      <c r="X70" s="103">
        <v>359.07</v>
      </c>
      <c r="Y70" s="103">
        <f t="shared" si="33"/>
        <v>400.90000000000003</v>
      </c>
      <c r="Z70" s="103">
        <v>26.25</v>
      </c>
      <c r="AA70" s="154">
        <v>0.75</v>
      </c>
      <c r="AB70" s="103">
        <v>95</v>
      </c>
      <c r="AC70" s="103">
        <f t="shared" si="34"/>
        <v>709.92232000000035</v>
      </c>
      <c r="AD70" s="103">
        <f>E70*AA70+I70</f>
        <v>3006.75</v>
      </c>
    </row>
    <row r="71" spans="1:30">
      <c r="A71" s="101" t="s">
        <v>390</v>
      </c>
      <c r="B71" s="101">
        <v>352377</v>
      </c>
      <c r="C71" s="112">
        <v>7</v>
      </c>
      <c r="D71" s="103">
        <v>9100</v>
      </c>
      <c r="E71" s="112">
        <v>5019</v>
      </c>
      <c r="F71" s="128">
        <v>3650.13</v>
      </c>
      <c r="G71" s="128">
        <v>43.35</v>
      </c>
      <c r="H71" s="103"/>
      <c r="I71" s="103"/>
      <c r="J71" s="103"/>
      <c r="K71" s="128">
        <v>53.27</v>
      </c>
      <c r="L71" s="103">
        <f t="shared" si="32"/>
        <v>77.350000000000009</v>
      </c>
      <c r="M71" s="103">
        <v>7</v>
      </c>
      <c r="N71" s="103">
        <v>689.44</v>
      </c>
      <c r="O71" s="103"/>
      <c r="P71" s="103"/>
      <c r="Q71" s="103">
        <v>0</v>
      </c>
      <c r="R71" s="103"/>
      <c r="S71" s="103"/>
      <c r="T71" s="103">
        <f t="shared" si="36"/>
        <v>380.69422999999995</v>
      </c>
      <c r="U71" s="152"/>
      <c r="V71" s="152">
        <v>7.4899999999999994E-2</v>
      </c>
      <c r="W71" s="153">
        <v>5082.7</v>
      </c>
      <c r="X71" s="103">
        <v>359.07</v>
      </c>
      <c r="Y71" s="103">
        <f t="shared" si="33"/>
        <v>501.90000000000003</v>
      </c>
      <c r="Z71" s="103">
        <v>32.5</v>
      </c>
      <c r="AA71" s="154">
        <v>0.7</v>
      </c>
      <c r="AB71" s="103">
        <v>95</v>
      </c>
      <c r="AC71" s="103">
        <f t="shared" si="34"/>
        <v>-196.46422999999959</v>
      </c>
      <c r="AD71" s="103">
        <f t="shared" ref="AD71:AD74" si="37">E71*AA71</f>
        <v>3513.2999999999997</v>
      </c>
    </row>
    <row r="72" spans="1:30">
      <c r="A72" s="101" t="s">
        <v>191</v>
      </c>
      <c r="B72" s="101">
        <v>359885</v>
      </c>
      <c r="C72" s="112">
        <v>7</v>
      </c>
      <c r="D72" s="103">
        <v>9400</v>
      </c>
      <c r="E72" s="112">
        <v>4403</v>
      </c>
      <c r="F72" s="128">
        <v>3571.44</v>
      </c>
      <c r="G72" s="128">
        <v>12.85</v>
      </c>
      <c r="H72" s="103"/>
      <c r="I72" s="103"/>
      <c r="J72" s="103"/>
      <c r="K72" s="128">
        <v>436.72</v>
      </c>
      <c r="L72" s="103">
        <f t="shared" si="32"/>
        <v>79.900000000000006</v>
      </c>
      <c r="M72" s="103">
        <v>7</v>
      </c>
      <c r="N72" s="103">
        <v>689.44</v>
      </c>
      <c r="O72" s="103"/>
      <c r="P72" s="103"/>
      <c r="Q72" s="103">
        <v>0</v>
      </c>
      <c r="R72" s="103"/>
      <c r="S72" s="103"/>
      <c r="T72" s="103">
        <f t="shared" si="36"/>
        <v>352.08992000000001</v>
      </c>
      <c r="U72" s="152"/>
      <c r="V72" s="152">
        <v>7.4899999999999994E-2</v>
      </c>
      <c r="W72" s="153">
        <v>4700.8</v>
      </c>
      <c r="X72" s="103">
        <v>359.07</v>
      </c>
      <c r="Y72" s="103">
        <f t="shared" si="33"/>
        <v>440.3</v>
      </c>
      <c r="Z72" s="103">
        <v>26.25</v>
      </c>
      <c r="AA72" s="154">
        <v>0.75</v>
      </c>
      <c r="AB72" s="103">
        <v>95</v>
      </c>
      <c r="AC72" s="103">
        <f t="shared" si="34"/>
        <v>901.13007999999968</v>
      </c>
      <c r="AD72" s="103">
        <f t="shared" si="37"/>
        <v>3302.25</v>
      </c>
    </row>
    <row r="73" spans="1:30">
      <c r="A73" s="171" t="s">
        <v>393</v>
      </c>
      <c r="B73" s="101">
        <v>359886</v>
      </c>
      <c r="C73" s="112">
        <v>5</v>
      </c>
      <c r="D73" s="103">
        <v>6325</v>
      </c>
      <c r="E73" s="112">
        <v>2760</v>
      </c>
      <c r="F73" s="128">
        <v>1379.39</v>
      </c>
      <c r="G73" s="128">
        <v>119.07</v>
      </c>
      <c r="H73" s="103"/>
      <c r="I73" s="103">
        <v>200</v>
      </c>
      <c r="J73" s="103"/>
      <c r="K73" s="128">
        <v>79.5</v>
      </c>
      <c r="L73" s="103">
        <f t="shared" si="32"/>
        <v>53.762500000000003</v>
      </c>
      <c r="M73" s="103">
        <v>7</v>
      </c>
      <c r="N73" s="103">
        <v>689.44</v>
      </c>
      <c r="O73" s="103"/>
      <c r="P73" s="103"/>
      <c r="Q73" s="103">
        <v>0</v>
      </c>
      <c r="R73" s="103"/>
      <c r="S73" s="103"/>
      <c r="T73" s="103">
        <f t="shared" si="36"/>
        <v>103.01746</v>
      </c>
      <c r="U73" s="152"/>
      <c r="V73" s="152">
        <v>7.4899999999999994E-2</v>
      </c>
      <c r="W73" s="153">
        <v>1375.4</v>
      </c>
      <c r="X73" s="103">
        <v>359.07</v>
      </c>
      <c r="Y73" s="103">
        <f t="shared" si="33"/>
        <v>276</v>
      </c>
      <c r="Z73" s="103">
        <v>32.5</v>
      </c>
      <c r="AA73" s="154">
        <v>0.75</v>
      </c>
      <c r="AB73" s="103">
        <v>95</v>
      </c>
      <c r="AC73" s="103">
        <f t="shared" si="34"/>
        <v>1020.2500400000001</v>
      </c>
      <c r="AD73" s="103">
        <f t="shared" si="37"/>
        <v>2070</v>
      </c>
    </row>
    <row r="74" spans="1:30">
      <c r="A74" s="101" t="s">
        <v>319</v>
      </c>
      <c r="B74" s="101">
        <v>465180</v>
      </c>
      <c r="C74" s="112">
        <v>6</v>
      </c>
      <c r="D74" s="103">
        <v>6135</v>
      </c>
      <c r="E74" s="112">
        <v>2537</v>
      </c>
      <c r="F74" s="128">
        <v>1513.52</v>
      </c>
      <c r="G74" s="128">
        <v>12.24</v>
      </c>
      <c r="H74" s="103"/>
      <c r="I74" s="103">
        <v>200</v>
      </c>
      <c r="J74" s="103"/>
      <c r="K74" s="128">
        <v>182.95</v>
      </c>
      <c r="L74" s="103">
        <f t="shared" si="32"/>
        <v>52.147500000000001</v>
      </c>
      <c r="M74" s="103">
        <v>7</v>
      </c>
      <c r="N74" s="103">
        <v>789.51</v>
      </c>
      <c r="O74" s="103"/>
      <c r="P74" s="103"/>
      <c r="Q74" s="103">
        <v>0</v>
      </c>
      <c r="R74" s="103"/>
      <c r="S74" s="103"/>
      <c r="T74" s="103">
        <f t="shared" si="36"/>
        <v>192.94967000000003</v>
      </c>
      <c r="U74" s="152"/>
      <c r="V74" s="152">
        <v>7.4300000000000005E-2</v>
      </c>
      <c r="W74" s="153">
        <v>2596.9</v>
      </c>
      <c r="X74" s="103">
        <v>359.07</v>
      </c>
      <c r="Y74" s="103">
        <f t="shared" si="33"/>
        <v>253.70000000000002</v>
      </c>
      <c r="Z74" s="103">
        <v>26.25</v>
      </c>
      <c r="AA74" s="154">
        <v>0.75</v>
      </c>
      <c r="AB74" s="103">
        <v>95</v>
      </c>
      <c r="AC74" s="103">
        <f t="shared" si="34"/>
        <v>913.81283000000008</v>
      </c>
      <c r="AD74" s="103">
        <f t="shared" si="37"/>
        <v>1902.75</v>
      </c>
    </row>
    <row r="75" spans="1:30">
      <c r="A75" s="101" t="s">
        <v>322</v>
      </c>
      <c r="B75" s="101">
        <v>465181</v>
      </c>
      <c r="C75" s="117">
        <v>7</v>
      </c>
      <c r="D75" s="128">
        <v>8600</v>
      </c>
      <c r="E75" s="112">
        <v>4089</v>
      </c>
      <c r="F75" s="128">
        <v>2584.7199999999998</v>
      </c>
      <c r="G75" s="128"/>
      <c r="H75" s="128"/>
      <c r="I75" s="128"/>
      <c r="J75" s="156"/>
      <c r="K75" s="128">
        <v>173.04</v>
      </c>
      <c r="L75" s="103">
        <f t="shared" si="32"/>
        <v>73.100000000000009</v>
      </c>
      <c r="M75" s="103">
        <v>7</v>
      </c>
      <c r="N75" s="103">
        <v>789.51</v>
      </c>
      <c r="O75" s="103"/>
      <c r="P75" s="103"/>
      <c r="Q75" s="103">
        <v>0</v>
      </c>
      <c r="R75" s="103"/>
      <c r="S75" s="103"/>
      <c r="T75" s="103">
        <f t="shared" si="36"/>
        <v>243.80059000000003</v>
      </c>
      <c r="U75" s="152"/>
      <c r="V75" s="152">
        <v>7.4300000000000005E-2</v>
      </c>
      <c r="W75" s="153">
        <v>3281.3</v>
      </c>
      <c r="X75" s="103">
        <v>359.07</v>
      </c>
      <c r="Y75" s="103">
        <f t="shared" si="33"/>
        <v>408.90000000000003</v>
      </c>
      <c r="Z75" s="103">
        <v>26.25</v>
      </c>
      <c r="AA75" s="154">
        <v>0.8</v>
      </c>
      <c r="AB75" s="103">
        <v>95</v>
      </c>
      <c r="AC75" s="103">
        <f t="shared" si="34"/>
        <v>914.4894100000007</v>
      </c>
      <c r="AD75" s="103">
        <f>E75*AA75+I75</f>
        <v>3271.2000000000003</v>
      </c>
    </row>
    <row r="76" spans="1:30">
      <c r="A76" s="100" t="s">
        <v>349</v>
      </c>
      <c r="B76" s="101">
        <v>465182</v>
      </c>
      <c r="C76" s="112">
        <v>3</v>
      </c>
      <c r="D76" s="103">
        <v>5070</v>
      </c>
      <c r="E76" s="112">
        <v>2620</v>
      </c>
      <c r="F76" s="128">
        <v>1951.52</v>
      </c>
      <c r="G76" s="128"/>
      <c r="H76" s="128"/>
      <c r="I76" s="128">
        <v>400</v>
      </c>
      <c r="J76" s="156"/>
      <c r="K76" s="128">
        <v>39.22</v>
      </c>
      <c r="L76" s="103">
        <f t="shared" si="32"/>
        <v>43.095000000000006</v>
      </c>
      <c r="M76" s="103">
        <v>7</v>
      </c>
      <c r="N76" s="103">
        <v>789.51</v>
      </c>
      <c r="O76" s="103"/>
      <c r="P76" s="103"/>
      <c r="Q76" s="103">
        <v>0</v>
      </c>
      <c r="R76" s="103"/>
      <c r="S76" s="103"/>
      <c r="T76" s="103">
        <f t="shared" si="36"/>
        <v>214.44466</v>
      </c>
      <c r="U76" s="152"/>
      <c r="V76" s="152">
        <v>7.4300000000000005E-2</v>
      </c>
      <c r="W76" s="153">
        <v>2886.2</v>
      </c>
      <c r="X76" s="103">
        <v>359.07</v>
      </c>
      <c r="Y76" s="103">
        <f t="shared" si="33"/>
        <v>262</v>
      </c>
      <c r="Z76" s="103">
        <v>26.25</v>
      </c>
      <c r="AA76" s="154">
        <v>0.75</v>
      </c>
      <c r="AB76" s="103">
        <v>95</v>
      </c>
      <c r="AC76" s="103">
        <f t="shared" si="34"/>
        <v>-1003.6696600000001</v>
      </c>
      <c r="AD76" s="103">
        <f t="shared" ref="AD76:AD80" si="38">E76*AA76</f>
        <v>1965</v>
      </c>
    </row>
    <row r="77" spans="1:30">
      <c r="A77" s="101" t="s">
        <v>88</v>
      </c>
      <c r="B77" s="101">
        <v>465183</v>
      </c>
      <c r="C77" s="117">
        <v>4</v>
      </c>
      <c r="D77" s="103">
        <v>3100</v>
      </c>
      <c r="E77" s="112">
        <v>1521</v>
      </c>
      <c r="F77" s="128">
        <v>2057.2600000000002</v>
      </c>
      <c r="G77" s="128">
        <v>72</v>
      </c>
      <c r="H77" s="128"/>
      <c r="I77" s="128">
        <v>400</v>
      </c>
      <c r="J77" s="156"/>
      <c r="K77" s="128">
        <v>56.44</v>
      </c>
      <c r="L77" s="103">
        <f t="shared" si="32"/>
        <v>26.35</v>
      </c>
      <c r="M77" s="103">
        <v>7</v>
      </c>
      <c r="N77" s="103">
        <v>789.51</v>
      </c>
      <c r="O77" s="103"/>
      <c r="P77" s="103"/>
      <c r="Q77" s="103">
        <v>0</v>
      </c>
      <c r="R77" s="103"/>
      <c r="S77" s="103"/>
      <c r="T77" s="103">
        <f t="shared" si="36"/>
        <v>127.65483</v>
      </c>
      <c r="U77" s="152"/>
      <c r="V77" s="152">
        <v>7.4300000000000005E-2</v>
      </c>
      <c r="W77" s="153">
        <v>1718.1</v>
      </c>
      <c r="X77" s="103">
        <v>359.07</v>
      </c>
      <c r="Y77" s="103">
        <f t="shared" si="33"/>
        <v>152.1</v>
      </c>
      <c r="Z77" s="103">
        <v>40</v>
      </c>
      <c r="AA77" s="154">
        <v>0.8</v>
      </c>
      <c r="AB77" s="103">
        <v>95</v>
      </c>
      <c r="AC77" s="103">
        <f t="shared" si="34"/>
        <v>-2186.30483</v>
      </c>
      <c r="AD77" s="103">
        <f t="shared" si="38"/>
        <v>1216.8</v>
      </c>
    </row>
    <row r="78" spans="1:30">
      <c r="A78" s="100" t="s">
        <v>40</v>
      </c>
      <c r="B78" s="101">
        <v>465184</v>
      </c>
      <c r="C78" s="117">
        <v>7</v>
      </c>
      <c r="D78" s="103">
        <v>13400</v>
      </c>
      <c r="E78" s="112">
        <v>5501</v>
      </c>
      <c r="F78" s="128">
        <v>5220.29</v>
      </c>
      <c r="G78" s="128">
        <v>47.99</v>
      </c>
      <c r="H78" s="128"/>
      <c r="I78" s="128"/>
      <c r="J78" s="156"/>
      <c r="K78" s="128">
        <v>50.15</v>
      </c>
      <c r="L78" s="103">
        <f t="shared" si="32"/>
        <v>113.9</v>
      </c>
      <c r="M78" s="103">
        <v>7</v>
      </c>
      <c r="N78" s="103">
        <v>789.51</v>
      </c>
      <c r="O78" s="103"/>
      <c r="P78" s="103"/>
      <c r="Q78" s="103">
        <v>0</v>
      </c>
      <c r="R78" s="103"/>
      <c r="S78" s="103"/>
      <c r="T78" s="103">
        <f t="shared" si="36"/>
        <v>368.00047000000001</v>
      </c>
      <c r="U78" s="152"/>
      <c r="V78" s="152">
        <v>7.4300000000000005E-2</v>
      </c>
      <c r="W78" s="153">
        <v>4952.8999999999996</v>
      </c>
      <c r="X78" s="103">
        <v>359.07</v>
      </c>
      <c r="Y78" s="103">
        <f t="shared" si="33"/>
        <v>550.1</v>
      </c>
      <c r="Z78" s="103">
        <v>26.25</v>
      </c>
      <c r="AA78" s="154">
        <v>0.8</v>
      </c>
      <c r="AB78" s="103">
        <v>95</v>
      </c>
      <c r="AC78" s="103">
        <f t="shared" si="34"/>
        <v>1472.2395299999998</v>
      </c>
      <c r="AD78" s="103">
        <f t="shared" si="38"/>
        <v>4400.8</v>
      </c>
    </row>
    <row r="79" spans="1:30">
      <c r="A79" s="101" t="s">
        <v>75</v>
      </c>
      <c r="B79" s="101">
        <v>465185</v>
      </c>
      <c r="C79" s="117">
        <v>6</v>
      </c>
      <c r="D79" s="103">
        <v>10625</v>
      </c>
      <c r="E79" s="112">
        <v>4500</v>
      </c>
      <c r="F79" s="128">
        <v>3554.98</v>
      </c>
      <c r="G79" s="128">
        <v>58.81</v>
      </c>
      <c r="H79" s="128"/>
      <c r="I79" s="128"/>
      <c r="J79" s="156"/>
      <c r="K79" s="128">
        <v>341.61</v>
      </c>
      <c r="L79" s="103">
        <f t="shared" si="32"/>
        <v>90.3125</v>
      </c>
      <c r="M79" s="103">
        <v>7</v>
      </c>
      <c r="N79" s="103">
        <v>789.51</v>
      </c>
      <c r="O79" s="103"/>
      <c r="P79" s="103"/>
      <c r="Q79" s="103">
        <v>0</v>
      </c>
      <c r="R79" s="103"/>
      <c r="S79" s="103"/>
      <c r="T79" s="103">
        <f t="shared" si="36"/>
        <v>351.23839000000004</v>
      </c>
      <c r="U79" s="152"/>
      <c r="V79" s="152">
        <v>7.4300000000000005E-2</v>
      </c>
      <c r="W79" s="153">
        <v>4727.3</v>
      </c>
      <c r="X79" s="103">
        <v>359.07</v>
      </c>
      <c r="Y79" s="103">
        <f t="shared" si="33"/>
        <v>450</v>
      </c>
      <c r="Z79" s="103">
        <v>40</v>
      </c>
      <c r="AA79" s="154">
        <v>0.8</v>
      </c>
      <c r="AB79" s="103">
        <v>95</v>
      </c>
      <c r="AC79" s="103">
        <f t="shared" si="34"/>
        <v>1570.6891100000003</v>
      </c>
      <c r="AD79" s="103">
        <f t="shared" si="38"/>
        <v>3600</v>
      </c>
    </row>
    <row r="80" spans="1:30">
      <c r="A80" s="101" t="s">
        <v>386</v>
      </c>
      <c r="B80" s="101">
        <v>465186</v>
      </c>
      <c r="C80" s="112">
        <v>4</v>
      </c>
      <c r="D80" s="103">
        <v>8723</v>
      </c>
      <c r="E80" s="112">
        <v>3686</v>
      </c>
      <c r="F80" s="128">
        <v>2809.54</v>
      </c>
      <c r="G80" s="128">
        <v>53.06</v>
      </c>
      <c r="H80" s="128"/>
      <c r="I80" s="128">
        <v>400</v>
      </c>
      <c r="J80" s="156"/>
      <c r="K80" s="128">
        <v>98.09</v>
      </c>
      <c r="L80" s="103">
        <f t="shared" si="32"/>
        <v>74.145499999999998</v>
      </c>
      <c r="M80" s="103">
        <v>7</v>
      </c>
      <c r="N80" s="103">
        <v>789.51</v>
      </c>
      <c r="O80" s="103"/>
      <c r="P80" s="103"/>
      <c r="Q80" s="103">
        <v>0</v>
      </c>
      <c r="R80" s="103"/>
      <c r="S80" s="103"/>
      <c r="T80" s="103">
        <f t="shared" si="36"/>
        <v>281.70845000000003</v>
      </c>
      <c r="U80" s="152"/>
      <c r="V80" s="152">
        <v>7.4300000000000005E-2</v>
      </c>
      <c r="W80" s="153">
        <v>3791.5</v>
      </c>
      <c r="X80" s="103">
        <v>359.07</v>
      </c>
      <c r="Y80" s="103">
        <f t="shared" si="33"/>
        <v>368.6</v>
      </c>
      <c r="Z80" s="103">
        <v>32.5</v>
      </c>
      <c r="AA80" s="154">
        <v>0.75</v>
      </c>
      <c r="AB80" s="103">
        <v>95</v>
      </c>
      <c r="AC80" s="103">
        <f t="shared" si="34"/>
        <v>786.45604999999921</v>
      </c>
      <c r="AD80" s="103">
        <f t="shared" si="38"/>
        <v>2764.5</v>
      </c>
    </row>
    <row r="81" spans="1:30">
      <c r="A81" s="101" t="s">
        <v>192</v>
      </c>
      <c r="B81" s="101">
        <v>465187</v>
      </c>
      <c r="C81" s="117">
        <v>3</v>
      </c>
      <c r="D81" s="103">
        <v>3150</v>
      </c>
      <c r="E81" s="112">
        <v>1440</v>
      </c>
      <c r="F81" s="128">
        <v>1457.96</v>
      </c>
      <c r="G81" s="128">
        <v>169.97</v>
      </c>
      <c r="H81" s="128"/>
      <c r="I81" s="128"/>
      <c r="J81" s="128"/>
      <c r="K81" s="128">
        <v>57.97</v>
      </c>
      <c r="L81" s="103">
        <f t="shared" si="32"/>
        <v>26.775000000000002</v>
      </c>
      <c r="M81" s="103">
        <v>7</v>
      </c>
      <c r="N81" s="103">
        <v>789.51</v>
      </c>
      <c r="O81" s="103"/>
      <c r="P81" s="103"/>
      <c r="Q81" s="103">
        <v>0</v>
      </c>
      <c r="R81" s="103"/>
      <c r="S81" s="103"/>
      <c r="T81" s="103">
        <f t="shared" si="36"/>
        <v>108.08421000000001</v>
      </c>
      <c r="U81" s="152"/>
      <c r="V81" s="152">
        <v>7.4300000000000005E-2</v>
      </c>
      <c r="W81" s="153">
        <v>1454.7</v>
      </c>
      <c r="X81" s="103">
        <v>359.07</v>
      </c>
      <c r="Y81" s="103">
        <f t="shared" si="33"/>
        <v>144</v>
      </c>
      <c r="Z81" s="103">
        <v>40</v>
      </c>
      <c r="AA81" s="154">
        <v>0.8</v>
      </c>
      <c r="AB81" s="103">
        <v>95</v>
      </c>
      <c r="AC81" s="103">
        <f>D81-F81-G81-Z81-Y81-X81-N81-AD81+K81-AB81-I75-T81-M81-L81</f>
        <v>-1141.39921</v>
      </c>
      <c r="AD81" s="103">
        <f>E81*AA81+J81</f>
        <v>1152</v>
      </c>
    </row>
    <row r="82" spans="1:30">
      <c r="A82" s="101" t="s">
        <v>14</v>
      </c>
      <c r="B82" s="101">
        <v>465188</v>
      </c>
      <c r="C82" s="117">
        <v>2</v>
      </c>
      <c r="D82" s="128">
        <v>1745</v>
      </c>
      <c r="E82" s="112">
        <v>821</v>
      </c>
      <c r="F82" s="128">
        <v>0</v>
      </c>
      <c r="G82" s="128">
        <v>80.39</v>
      </c>
      <c r="H82" s="128"/>
      <c r="I82" s="128"/>
      <c r="J82" s="156"/>
      <c r="K82" s="128"/>
      <c r="L82" s="103">
        <f t="shared" si="32"/>
        <v>14.832500000000001</v>
      </c>
      <c r="M82" s="103">
        <v>7</v>
      </c>
      <c r="N82" s="103">
        <v>789.51</v>
      </c>
      <c r="O82" s="103"/>
      <c r="P82" s="103"/>
      <c r="Q82" s="103">
        <v>0</v>
      </c>
      <c r="R82" s="103"/>
      <c r="S82" s="103"/>
      <c r="T82" s="103">
        <f t="shared" si="36"/>
        <v>60.970580000000005</v>
      </c>
      <c r="U82" s="152"/>
      <c r="V82" s="152">
        <v>7.4300000000000005E-2</v>
      </c>
      <c r="W82" s="153">
        <v>820.6</v>
      </c>
      <c r="X82" s="103">
        <v>359.07</v>
      </c>
      <c r="Y82" s="103">
        <f t="shared" si="33"/>
        <v>82.100000000000009</v>
      </c>
      <c r="Z82" s="103">
        <v>32.5</v>
      </c>
      <c r="AA82" s="154">
        <v>0.8</v>
      </c>
      <c r="AB82" s="103">
        <v>95</v>
      </c>
      <c r="AC82" s="103">
        <f t="shared" ref="AC82:AC83" si="39">D82-F82-G82-Z82-Y82-X82-N82-AD82+K82-AB82-I82-T82-M82-L82</f>
        <v>-433.17307999999997</v>
      </c>
      <c r="AD82" s="103">
        <f t="shared" ref="AD82:AD83" si="40">E82*AA82</f>
        <v>656.80000000000007</v>
      </c>
    </row>
    <row r="83" spans="1:30">
      <c r="A83" s="101" t="s">
        <v>347</v>
      </c>
      <c r="B83" s="101" t="s">
        <v>394</v>
      </c>
      <c r="C83" s="112">
        <v>6</v>
      </c>
      <c r="D83" s="103">
        <v>7900</v>
      </c>
      <c r="E83" s="117">
        <v>3683</v>
      </c>
      <c r="F83" s="128">
        <v>2161.23</v>
      </c>
      <c r="G83" s="128">
        <v>36.1</v>
      </c>
      <c r="H83" s="103"/>
      <c r="I83" s="103"/>
      <c r="J83" s="103">
        <v>200</v>
      </c>
      <c r="K83" s="128">
        <v>203.76</v>
      </c>
      <c r="L83" s="103">
        <f t="shared" si="32"/>
        <v>67.150000000000006</v>
      </c>
      <c r="M83" s="103">
        <v>7</v>
      </c>
      <c r="N83" s="103">
        <v>789.51</v>
      </c>
      <c r="O83" s="103"/>
      <c r="P83" s="103"/>
      <c r="Q83" s="103">
        <v>0</v>
      </c>
      <c r="R83" s="103"/>
      <c r="S83" s="103"/>
      <c r="T83" s="103">
        <f t="shared" si="36"/>
        <v>273.64690000000002</v>
      </c>
      <c r="U83" s="152"/>
      <c r="V83" s="152">
        <v>7.4300000000000005E-2</v>
      </c>
      <c r="W83" s="155">
        <v>3683</v>
      </c>
      <c r="X83" s="103">
        <v>359.07</v>
      </c>
      <c r="Y83" s="103">
        <f t="shared" si="33"/>
        <v>368.3</v>
      </c>
      <c r="Z83" s="103">
        <v>32.5</v>
      </c>
      <c r="AA83" s="154">
        <v>0.75</v>
      </c>
      <c r="AB83" s="103">
        <v>95</v>
      </c>
      <c r="AC83" s="103">
        <f t="shared" si="39"/>
        <v>1152.0030999999999</v>
      </c>
      <c r="AD83" s="103">
        <f t="shared" si="40"/>
        <v>2762.25</v>
      </c>
    </row>
    <row r="84" spans="1:30">
      <c r="A84" s="167" t="s">
        <v>391</v>
      </c>
      <c r="B84" s="167">
        <v>86</v>
      </c>
      <c r="C84" s="158">
        <v>6</v>
      </c>
      <c r="D84" s="139">
        <v>5035</v>
      </c>
      <c r="E84" s="158">
        <v>3100</v>
      </c>
      <c r="F84" s="168">
        <v>2655</v>
      </c>
      <c r="G84" s="168"/>
      <c r="H84" s="168"/>
      <c r="I84" s="168"/>
      <c r="J84" s="169"/>
      <c r="K84" s="168">
        <v>58.33</v>
      </c>
      <c r="L84" s="139">
        <f t="shared" si="32"/>
        <v>42.797500000000007</v>
      </c>
      <c r="M84" s="139">
        <v>0</v>
      </c>
      <c r="N84" s="139">
        <v>0</v>
      </c>
      <c r="O84" s="139">
        <v>0</v>
      </c>
      <c r="P84" s="139"/>
      <c r="Q84" s="139">
        <v>0</v>
      </c>
      <c r="R84" s="139">
        <v>0</v>
      </c>
      <c r="S84" s="139">
        <v>0</v>
      </c>
      <c r="T84" s="139">
        <v>0</v>
      </c>
      <c r="U84" s="159"/>
      <c r="V84" s="159">
        <v>0</v>
      </c>
      <c r="W84" s="136">
        <v>3099.5</v>
      </c>
      <c r="X84" s="139">
        <v>0</v>
      </c>
      <c r="Y84" s="139">
        <f t="shared" si="33"/>
        <v>310</v>
      </c>
      <c r="Z84" s="139"/>
      <c r="AA84" s="160">
        <v>0.8</v>
      </c>
      <c r="AB84" s="139">
        <v>95</v>
      </c>
      <c r="AC84" s="139">
        <f>D84*0.2-Y84-L84</f>
        <v>654.20249999999999</v>
      </c>
      <c r="AD84" s="139">
        <f>D84*AA84-F84</f>
        <v>1373</v>
      </c>
    </row>
    <row r="85" spans="1:30">
      <c r="A85" s="134" t="s">
        <v>359</v>
      </c>
      <c r="B85" s="135" t="s">
        <v>360</v>
      </c>
      <c r="C85" s="136">
        <v>6</v>
      </c>
      <c r="D85" s="139">
        <v>6150</v>
      </c>
      <c r="E85" s="158">
        <v>3311</v>
      </c>
      <c r="F85" s="139">
        <v>2995.5</v>
      </c>
      <c r="G85" s="139"/>
      <c r="H85" s="139"/>
      <c r="I85" s="139"/>
      <c r="J85" s="139"/>
      <c r="K85" s="139">
        <v>59.39</v>
      </c>
      <c r="L85" s="139">
        <f t="shared" si="32"/>
        <v>52.275000000000006</v>
      </c>
      <c r="M85" s="139">
        <v>0</v>
      </c>
      <c r="N85" s="139">
        <v>0</v>
      </c>
      <c r="O85" s="139">
        <v>50</v>
      </c>
      <c r="P85" s="139"/>
      <c r="Q85" s="139">
        <v>199</v>
      </c>
      <c r="R85" s="139">
        <v>30</v>
      </c>
      <c r="S85" s="139">
        <v>300</v>
      </c>
      <c r="T85" s="139">
        <v>0</v>
      </c>
      <c r="U85" s="159"/>
      <c r="V85" s="159">
        <v>0</v>
      </c>
      <c r="W85" s="136">
        <v>3311.1</v>
      </c>
      <c r="X85" s="139">
        <v>0</v>
      </c>
      <c r="Y85" s="139">
        <f t="shared" si="33"/>
        <v>331.1</v>
      </c>
      <c r="Z85" s="139"/>
      <c r="AA85" s="160">
        <v>0.87</v>
      </c>
      <c r="AB85" s="139">
        <v>95</v>
      </c>
      <c r="AC85" s="139">
        <f t="shared" ref="AC85:AC86" si="41">D85*0.13+S85+R85+Q85+O85-Y85-L85</f>
        <v>995.12500000000011</v>
      </c>
      <c r="AD85" s="139">
        <f t="shared" ref="AD85:AD86" si="42">D85*0.87-F85-G85-O85-Q85-R85-S85</f>
        <v>1776</v>
      </c>
    </row>
    <row r="86" spans="1:30">
      <c r="A86" s="134" t="s">
        <v>387</v>
      </c>
      <c r="B86" s="135" t="s">
        <v>362</v>
      </c>
      <c r="C86" s="136">
        <v>5</v>
      </c>
      <c r="D86" s="139">
        <v>7315</v>
      </c>
      <c r="E86" s="158">
        <v>2802</v>
      </c>
      <c r="F86" s="139">
        <v>1999</v>
      </c>
      <c r="G86" s="139">
        <v>23.19</v>
      </c>
      <c r="H86" s="139"/>
      <c r="I86" s="139"/>
      <c r="J86" s="139"/>
      <c r="K86" s="139">
        <v>302.32</v>
      </c>
      <c r="L86" s="139">
        <f t="shared" si="32"/>
        <v>62.177500000000002</v>
      </c>
      <c r="M86" s="139">
        <v>7</v>
      </c>
      <c r="N86" s="139">
        <v>0</v>
      </c>
      <c r="O86" s="139">
        <v>50</v>
      </c>
      <c r="P86" s="139"/>
      <c r="Q86" s="139">
        <v>199</v>
      </c>
      <c r="R86" s="139">
        <v>30</v>
      </c>
      <c r="S86" s="139">
        <v>300</v>
      </c>
      <c r="T86" s="139">
        <v>0</v>
      </c>
      <c r="U86" s="159"/>
      <c r="V86" s="159">
        <v>0</v>
      </c>
      <c r="W86" s="136">
        <v>2801.7</v>
      </c>
      <c r="X86" s="139">
        <v>0</v>
      </c>
      <c r="Y86" s="139">
        <f t="shared" si="33"/>
        <v>280.2</v>
      </c>
      <c r="Z86" s="139"/>
      <c r="AA86" s="160">
        <v>0.87</v>
      </c>
      <c r="AB86" s="139">
        <v>95</v>
      </c>
      <c r="AC86" s="139">
        <f t="shared" si="41"/>
        <v>1187.5725</v>
      </c>
      <c r="AD86" s="139">
        <f t="shared" si="42"/>
        <v>3762.8600000000006</v>
      </c>
    </row>
    <row r="87" spans="1:30">
      <c r="A87" s="134" t="s">
        <v>363</v>
      </c>
      <c r="B87" s="134">
        <v>1118</v>
      </c>
      <c r="C87" s="136">
        <v>6</v>
      </c>
      <c r="D87" s="139">
        <v>5804</v>
      </c>
      <c r="E87" s="158">
        <v>2820</v>
      </c>
      <c r="F87" s="139">
        <v>1801.12</v>
      </c>
      <c r="G87" s="139"/>
      <c r="H87" s="139"/>
      <c r="I87" s="139"/>
      <c r="J87" s="139"/>
      <c r="K87" s="139">
        <v>0</v>
      </c>
      <c r="L87" s="139">
        <f t="shared" si="32"/>
        <v>49.334000000000003</v>
      </c>
      <c r="M87" s="139">
        <v>0</v>
      </c>
      <c r="N87" s="139">
        <v>0</v>
      </c>
      <c r="O87" s="139">
        <v>0</v>
      </c>
      <c r="P87" s="139"/>
      <c r="Q87" s="139">
        <v>0</v>
      </c>
      <c r="R87" s="139">
        <v>0</v>
      </c>
      <c r="S87" s="139">
        <v>0</v>
      </c>
      <c r="T87" s="139">
        <v>0</v>
      </c>
      <c r="U87" s="159"/>
      <c r="V87" s="159">
        <v>0</v>
      </c>
      <c r="W87" s="136">
        <v>2820.1</v>
      </c>
      <c r="X87" s="139">
        <v>0</v>
      </c>
      <c r="Y87" s="139">
        <f t="shared" si="33"/>
        <v>282</v>
      </c>
      <c r="Z87" s="139"/>
      <c r="AA87" s="160">
        <v>0.8</v>
      </c>
      <c r="AB87" s="139">
        <v>95</v>
      </c>
      <c r="AC87" s="139">
        <f>D87*0.2-Y87-L87-I87-AB87</f>
        <v>734.46599999999989</v>
      </c>
      <c r="AD87" s="139">
        <f>D87*AA87-F87-G87</f>
        <v>2842.08</v>
      </c>
    </row>
    <row r="88" spans="1:30">
      <c r="A88" s="134" t="s">
        <v>368</v>
      </c>
      <c r="B88" s="134" t="s">
        <v>369</v>
      </c>
      <c r="C88" s="136">
        <v>5</v>
      </c>
      <c r="D88" s="139">
        <v>5710</v>
      </c>
      <c r="E88" s="158">
        <v>3142</v>
      </c>
      <c r="F88" s="139">
        <v>1803.29</v>
      </c>
      <c r="G88" s="139"/>
      <c r="H88" s="139"/>
      <c r="I88" s="139"/>
      <c r="J88" s="139"/>
      <c r="K88" s="139">
        <v>114.74</v>
      </c>
      <c r="L88" s="139">
        <f t="shared" si="32"/>
        <v>48.535000000000004</v>
      </c>
      <c r="M88" s="139">
        <v>7</v>
      </c>
      <c r="N88" s="139">
        <v>0</v>
      </c>
      <c r="O88" s="139">
        <v>50</v>
      </c>
      <c r="P88" s="139"/>
      <c r="Q88" s="139">
        <v>199</v>
      </c>
      <c r="R88" s="139">
        <v>30</v>
      </c>
      <c r="S88" s="139">
        <v>300</v>
      </c>
      <c r="T88" s="139">
        <v>0</v>
      </c>
      <c r="U88" s="159"/>
      <c r="V88" s="159">
        <v>0</v>
      </c>
      <c r="W88" s="136">
        <v>3141.8</v>
      </c>
      <c r="X88" s="139">
        <v>0</v>
      </c>
      <c r="Y88" s="139">
        <f t="shared" si="33"/>
        <v>314.20000000000005</v>
      </c>
      <c r="Z88" s="139"/>
      <c r="AA88" s="160">
        <v>0.89</v>
      </c>
      <c r="AB88" s="139">
        <v>95</v>
      </c>
      <c r="AC88" s="139">
        <f>D88*0.11-AB88-Y88+S88+R88+Q88+O88-L88</f>
        <v>749.36500000000001</v>
      </c>
      <c r="AD88" s="139">
        <f>D88*AA88-F88-G88-O88-Q88-R88-S88</f>
        <v>2699.6099999999997</v>
      </c>
    </row>
    <row r="89" spans="1:30">
      <c r="A89" s="134" t="s">
        <v>364</v>
      </c>
      <c r="B89" s="134">
        <v>2013</v>
      </c>
      <c r="C89" s="136">
        <v>7</v>
      </c>
      <c r="D89" s="139">
        <v>10000</v>
      </c>
      <c r="E89" s="158">
        <v>3704</v>
      </c>
      <c r="F89" s="139">
        <v>5101.99</v>
      </c>
      <c r="G89" s="139">
        <v>48.08</v>
      </c>
      <c r="H89" s="139"/>
      <c r="I89" s="139"/>
      <c r="J89" s="139"/>
      <c r="K89" s="139">
        <v>205.68</v>
      </c>
      <c r="L89" s="139">
        <f t="shared" si="32"/>
        <v>85</v>
      </c>
      <c r="M89" s="139">
        <v>0</v>
      </c>
      <c r="N89" s="139">
        <v>0</v>
      </c>
      <c r="O89" s="139">
        <v>50</v>
      </c>
      <c r="P89" s="139"/>
      <c r="Q89" s="139">
        <v>199</v>
      </c>
      <c r="R89" s="139">
        <v>30</v>
      </c>
      <c r="S89" s="139">
        <v>300</v>
      </c>
      <c r="T89" s="139">
        <v>0</v>
      </c>
      <c r="U89" s="159"/>
      <c r="V89" s="159">
        <v>0</v>
      </c>
      <c r="W89" s="136">
        <v>3704</v>
      </c>
      <c r="X89" s="139">
        <v>0</v>
      </c>
      <c r="Y89" s="139">
        <f t="shared" si="33"/>
        <v>370.40000000000003</v>
      </c>
      <c r="Z89" s="139"/>
      <c r="AA89" s="160">
        <v>0.87</v>
      </c>
      <c r="AB89" s="139">
        <v>95</v>
      </c>
      <c r="AC89" s="139">
        <f>D89*0.13+S89+R89+Q89+O89-Y89-L89</f>
        <v>1423.6</v>
      </c>
      <c r="AD89" s="139">
        <f t="shared" ref="AD89:AD90" si="43">D89*AA89-F89-G89-S89-R89-Q89-O89</f>
        <v>2970.9300000000003</v>
      </c>
    </row>
    <row r="90" spans="1:30">
      <c r="A90" s="134" t="s">
        <v>370</v>
      </c>
      <c r="B90" s="134">
        <v>1</v>
      </c>
      <c r="C90" s="136">
        <v>6</v>
      </c>
      <c r="D90" s="139">
        <v>6700</v>
      </c>
      <c r="E90" s="158">
        <v>1856</v>
      </c>
      <c r="F90" s="139">
        <v>4253.83</v>
      </c>
      <c r="G90" s="139"/>
      <c r="H90" s="139"/>
      <c r="I90" s="139"/>
      <c r="J90" s="139"/>
      <c r="K90" s="139">
        <v>207.64</v>
      </c>
      <c r="L90" s="139">
        <f t="shared" si="32"/>
        <v>56.95</v>
      </c>
      <c r="M90" s="139">
        <v>7</v>
      </c>
      <c r="N90" s="139">
        <v>0</v>
      </c>
      <c r="O90" s="139">
        <v>0</v>
      </c>
      <c r="P90" s="139"/>
      <c r="Q90" s="139">
        <v>0</v>
      </c>
      <c r="R90" s="139">
        <v>0</v>
      </c>
      <c r="S90" s="139">
        <v>0</v>
      </c>
      <c r="T90" s="139">
        <v>0</v>
      </c>
      <c r="U90" s="159"/>
      <c r="V90" s="159">
        <v>0</v>
      </c>
      <c r="W90" s="136">
        <v>1855.8</v>
      </c>
      <c r="X90" s="139">
        <v>0</v>
      </c>
      <c r="Y90" s="139">
        <f t="shared" si="33"/>
        <v>185.60000000000002</v>
      </c>
      <c r="Z90" s="139"/>
      <c r="AA90" s="160">
        <v>0.8</v>
      </c>
      <c r="AB90" s="139">
        <v>95</v>
      </c>
      <c r="AC90" s="139">
        <f>D90*0.13-AB90-Y90+S90+R90+Q90+O90-L90</f>
        <v>533.44999999999993</v>
      </c>
      <c r="AD90" s="139">
        <f t="shared" si="43"/>
        <v>1106.17</v>
      </c>
    </row>
    <row r="91" spans="1:30">
      <c r="A91" s="134" t="s">
        <v>395</v>
      </c>
      <c r="B91" s="135" t="s">
        <v>362</v>
      </c>
      <c r="C91" s="136">
        <v>3</v>
      </c>
      <c r="D91" s="139">
        <v>5600</v>
      </c>
      <c r="E91" s="158">
        <v>1630</v>
      </c>
      <c r="F91" s="139">
        <v>1114.57</v>
      </c>
      <c r="G91" s="139">
        <v>24</v>
      </c>
      <c r="H91" s="139"/>
      <c r="I91" s="139"/>
      <c r="J91" s="139"/>
      <c r="K91" s="139">
        <v>63.63</v>
      </c>
      <c r="L91" s="139">
        <f t="shared" si="32"/>
        <v>47.6</v>
      </c>
      <c r="M91" s="139">
        <v>0</v>
      </c>
      <c r="N91" s="139">
        <v>0</v>
      </c>
      <c r="O91" s="139">
        <v>50</v>
      </c>
      <c r="P91" s="139"/>
      <c r="Q91" s="139">
        <v>0</v>
      </c>
      <c r="R91" s="139">
        <v>0</v>
      </c>
      <c r="S91" s="139">
        <v>300</v>
      </c>
      <c r="T91" s="139">
        <v>0</v>
      </c>
      <c r="U91" s="159"/>
      <c r="V91" s="159">
        <v>0</v>
      </c>
      <c r="W91" s="136">
        <v>1629.9</v>
      </c>
      <c r="X91" s="139">
        <v>0</v>
      </c>
      <c r="Y91" s="139">
        <f t="shared" si="33"/>
        <v>163</v>
      </c>
      <c r="Z91" s="139"/>
      <c r="AA91" s="160">
        <v>0.88</v>
      </c>
      <c r="AB91" s="139">
        <v>95</v>
      </c>
      <c r="AC91" s="139">
        <f>D91*0.12+O91+S91-Y91-AB91-L91</f>
        <v>716.4</v>
      </c>
      <c r="AD91" s="139">
        <f>D91*AA91-F91-G91-O91-S91</f>
        <v>3439.4300000000003</v>
      </c>
    </row>
    <row r="92" spans="1:30">
      <c r="A92" s="71" t="s">
        <v>89</v>
      </c>
      <c r="B92" s="72">
        <v>26</v>
      </c>
      <c r="C92" s="172">
        <f>AVERAGE(C64:C83)</f>
        <v>5.2666666666666666</v>
      </c>
      <c r="D92" s="162">
        <f>SUM(D64:D91)</f>
        <v>161487</v>
      </c>
      <c r="E92" s="170">
        <f>AVERAGE(E64:E91)</f>
        <v>3141</v>
      </c>
      <c r="F92" s="162">
        <f t="shared" ref="F92:G92" si="44">SUM(F64:F91)</f>
        <v>60094.01</v>
      </c>
      <c r="G92" s="162">
        <f t="shared" si="44"/>
        <v>867.33000000000015</v>
      </c>
      <c r="H92" s="162"/>
      <c r="I92" s="162">
        <f t="shared" ref="I92:O92" si="45">SUM(I64:I91)</f>
        <v>1600</v>
      </c>
      <c r="J92" s="162">
        <f t="shared" si="45"/>
        <v>200</v>
      </c>
      <c r="K92" s="162">
        <f t="shared" si="45"/>
        <v>3290.7199999999993</v>
      </c>
      <c r="L92" s="162">
        <f t="shared" si="45"/>
        <v>1372.6395</v>
      </c>
      <c r="M92" s="162">
        <f t="shared" si="45"/>
        <v>161</v>
      </c>
      <c r="N92" s="162">
        <f t="shared" si="45"/>
        <v>14789.500000000004</v>
      </c>
      <c r="O92" s="162">
        <f t="shared" si="45"/>
        <v>250</v>
      </c>
      <c r="P92" s="162"/>
      <c r="Q92" s="162">
        <f t="shared" ref="Q92:T92" si="46">SUM(Q64:Q91)</f>
        <v>796</v>
      </c>
      <c r="R92" s="162">
        <f t="shared" si="46"/>
        <v>120</v>
      </c>
      <c r="S92" s="162">
        <f t="shared" si="46"/>
        <v>1500</v>
      </c>
      <c r="T92" s="162">
        <f t="shared" si="46"/>
        <v>3614.2006700000002</v>
      </c>
      <c r="U92" s="162"/>
      <c r="V92" s="162">
        <f t="shared" ref="V92:Z92" si="47">SUM(V64:V91)</f>
        <v>1.492</v>
      </c>
      <c r="W92" s="162">
        <f t="shared" si="47"/>
        <v>70857.3</v>
      </c>
      <c r="X92" s="162">
        <f t="shared" si="47"/>
        <v>7181.3999999999987</v>
      </c>
      <c r="Y92" s="162">
        <f t="shared" si="47"/>
        <v>7224.3</v>
      </c>
      <c r="Z92" s="162">
        <f t="shared" si="47"/>
        <v>472.5</v>
      </c>
      <c r="AA92" s="162"/>
      <c r="AB92" s="162">
        <f t="shared" ref="AB92:AD92" si="48">SUM(AB64:AB91)</f>
        <v>2660</v>
      </c>
      <c r="AC92" s="162">
        <f t="shared" si="48"/>
        <v>5639.8798299999989</v>
      </c>
      <c r="AD92" s="162">
        <f t="shared" si="48"/>
        <v>58021.23</v>
      </c>
    </row>
    <row r="93" spans="1:30">
      <c r="A93" s="173"/>
      <c r="B93" s="174"/>
      <c r="C93" s="175"/>
      <c r="D93" s="176"/>
      <c r="E93" s="177"/>
      <c r="F93" s="176"/>
      <c r="G93" s="176"/>
      <c r="H93" s="176"/>
      <c r="I93" s="176"/>
      <c r="J93" s="176"/>
      <c r="K93" s="176"/>
      <c r="L93" s="176"/>
      <c r="M93" s="176"/>
      <c r="N93" s="176"/>
      <c r="O93" s="176"/>
      <c r="P93" s="176"/>
      <c r="Q93" s="176"/>
      <c r="R93" s="176"/>
      <c r="S93" s="176"/>
      <c r="T93" s="176"/>
      <c r="U93" s="178"/>
      <c r="V93" s="178"/>
      <c r="W93" s="179"/>
      <c r="X93" s="176"/>
      <c r="Y93" s="176"/>
      <c r="Z93" s="176"/>
      <c r="AA93" s="180"/>
      <c r="AB93" s="181"/>
      <c r="AC93" s="176"/>
      <c r="AD93" s="176"/>
    </row>
    <row r="94" spans="1:30">
      <c r="A94" s="457" t="s">
        <v>396</v>
      </c>
      <c r="B94" s="458"/>
      <c r="C94" s="458"/>
      <c r="D94" s="458"/>
      <c r="E94" s="458"/>
      <c r="F94" s="458"/>
      <c r="G94" s="458"/>
      <c r="H94" s="458"/>
      <c r="I94" s="458"/>
      <c r="J94" s="458"/>
      <c r="K94" s="458"/>
      <c r="L94" s="458"/>
      <c r="M94" s="458"/>
      <c r="N94" s="458"/>
      <c r="O94" s="458"/>
      <c r="P94" s="458"/>
      <c r="Q94" s="458"/>
      <c r="R94" s="458"/>
      <c r="S94" s="458"/>
      <c r="T94" s="458"/>
      <c r="U94" s="458"/>
      <c r="V94" s="458"/>
      <c r="W94" s="458"/>
      <c r="X94" s="458"/>
      <c r="Y94" s="458"/>
      <c r="Z94" s="458"/>
      <c r="AA94" s="458"/>
      <c r="AB94" s="458"/>
      <c r="AC94" s="458"/>
      <c r="AD94" s="459"/>
    </row>
    <row r="95" spans="1:30">
      <c r="A95" s="95" t="s">
        <v>0</v>
      </c>
      <c r="B95" s="95" t="s">
        <v>1</v>
      </c>
      <c r="C95" s="95" t="s">
        <v>372</v>
      </c>
      <c r="D95" s="95" t="s">
        <v>2</v>
      </c>
      <c r="E95" s="95" t="s">
        <v>9</v>
      </c>
      <c r="F95" s="95" t="s">
        <v>7</v>
      </c>
      <c r="G95" s="95" t="s">
        <v>8</v>
      </c>
      <c r="H95" s="95"/>
      <c r="I95" s="95" t="s">
        <v>287</v>
      </c>
      <c r="J95" s="95" t="s">
        <v>288</v>
      </c>
      <c r="K95" s="95" t="s">
        <v>257</v>
      </c>
      <c r="L95" s="95" t="s">
        <v>373</v>
      </c>
      <c r="M95" s="95" t="s">
        <v>374</v>
      </c>
      <c r="N95" s="95" t="s">
        <v>375</v>
      </c>
      <c r="O95" s="95" t="s">
        <v>376</v>
      </c>
      <c r="P95" s="95"/>
      <c r="Q95" s="95" t="s">
        <v>377</v>
      </c>
      <c r="R95" s="150" t="s">
        <v>378</v>
      </c>
      <c r="S95" s="150" t="s">
        <v>379</v>
      </c>
      <c r="T95" s="150" t="s">
        <v>352</v>
      </c>
      <c r="U95" s="95"/>
      <c r="V95" s="95" t="s">
        <v>380</v>
      </c>
      <c r="W95" s="95" t="s">
        <v>381</v>
      </c>
      <c r="X95" s="95" t="s">
        <v>382</v>
      </c>
      <c r="Y95" s="95" t="s">
        <v>383</v>
      </c>
      <c r="Z95" s="95" t="s">
        <v>384</v>
      </c>
      <c r="AA95" s="95" t="s">
        <v>385</v>
      </c>
      <c r="AB95" s="95" t="s">
        <v>333</v>
      </c>
      <c r="AC95" s="95" t="s">
        <v>13</v>
      </c>
      <c r="AD95" s="95" t="s">
        <v>98</v>
      </c>
    </row>
    <row r="96" spans="1:30">
      <c r="A96" s="100"/>
      <c r="B96" s="101">
        <v>352368</v>
      </c>
      <c r="C96" s="112"/>
      <c r="D96" s="103"/>
      <c r="E96" s="103"/>
      <c r="F96" s="156"/>
      <c r="G96" s="103">
        <v>4</v>
      </c>
      <c r="H96" s="103"/>
      <c r="I96" s="103"/>
      <c r="J96" s="103"/>
      <c r="K96" s="128"/>
      <c r="L96" s="103">
        <f t="shared" ref="L96:L124" si="49">D96*0.0085</f>
        <v>0</v>
      </c>
      <c r="M96" s="103">
        <v>7</v>
      </c>
      <c r="N96" s="103">
        <v>689.44</v>
      </c>
      <c r="O96" s="103"/>
      <c r="P96" s="103"/>
      <c r="Q96" s="103">
        <v>0</v>
      </c>
      <c r="R96" s="103"/>
      <c r="S96" s="103"/>
      <c r="T96" s="103">
        <v>0</v>
      </c>
      <c r="U96" s="152"/>
      <c r="V96" s="152">
        <v>7.4899999999999994E-2</v>
      </c>
      <c r="W96" s="153">
        <v>1.1000000000000001</v>
      </c>
      <c r="X96" s="103">
        <v>359.07</v>
      </c>
      <c r="Y96" s="103">
        <f t="shared" ref="Y96:Y116" si="50">E96*0.1</f>
        <v>0</v>
      </c>
      <c r="Z96" s="103"/>
      <c r="AA96" s="154"/>
      <c r="AB96" s="103">
        <v>95</v>
      </c>
      <c r="AC96" s="103">
        <f>D96-F96-G96-I96-J96-L96-M96-N96-T96-X96-Z96-AB96</f>
        <v>-1154.51</v>
      </c>
      <c r="AD96" s="103">
        <f>AA96*E96</f>
        <v>0</v>
      </c>
    </row>
    <row r="97" spans="1:30">
      <c r="A97" s="100" t="s">
        <v>355</v>
      </c>
      <c r="B97" s="101">
        <v>352371</v>
      </c>
      <c r="C97" s="112">
        <v>7</v>
      </c>
      <c r="D97" s="103">
        <v>5000</v>
      </c>
      <c r="E97" s="112">
        <v>2607</v>
      </c>
      <c r="F97" s="182">
        <v>2667.99</v>
      </c>
      <c r="G97" s="128">
        <v>12.5</v>
      </c>
      <c r="H97" s="103"/>
      <c r="I97" s="103">
        <v>200</v>
      </c>
      <c r="J97" s="103"/>
      <c r="K97" s="128">
        <v>370.43</v>
      </c>
      <c r="L97" s="103">
        <f t="shared" si="49"/>
        <v>42.5</v>
      </c>
      <c r="M97" s="103">
        <v>7</v>
      </c>
      <c r="N97" s="103">
        <v>689.44</v>
      </c>
      <c r="O97" s="103"/>
      <c r="P97" s="103"/>
      <c r="Q97" s="103">
        <v>0</v>
      </c>
      <c r="R97" s="103"/>
      <c r="S97" s="103"/>
      <c r="T97" s="103">
        <f t="shared" ref="T97:T115" si="51">W97*V97</f>
        <v>213.65224999999998</v>
      </c>
      <c r="U97" s="152"/>
      <c r="V97" s="152">
        <v>7.4899999999999994E-2</v>
      </c>
      <c r="W97" s="153">
        <v>2852.5</v>
      </c>
      <c r="X97" s="103">
        <v>359.07</v>
      </c>
      <c r="Y97" s="103">
        <f t="shared" si="50"/>
        <v>260.7</v>
      </c>
      <c r="Z97" s="103">
        <v>32.5</v>
      </c>
      <c r="AA97" s="154">
        <v>0.75</v>
      </c>
      <c r="AB97" s="103">
        <v>95</v>
      </c>
      <c r="AC97" s="103">
        <f t="shared" ref="AC97:AC112" si="52">D97-F97-G97-Z97-Y97-X97-N97-AD97+K97-AB97-I97-T97-M97-L97</f>
        <v>-1165.1722499999996</v>
      </c>
      <c r="AD97" s="103">
        <f t="shared" ref="AD97:AD101" si="53">E97*AA97</f>
        <v>1955.25</v>
      </c>
    </row>
    <row r="98" spans="1:30">
      <c r="A98" s="101"/>
      <c r="B98" s="101">
        <v>352372</v>
      </c>
      <c r="C98" s="112"/>
      <c r="D98" s="103"/>
      <c r="E98" s="112"/>
      <c r="F98" s="182"/>
      <c r="G98" s="117"/>
      <c r="H98" s="103"/>
      <c r="I98" s="103"/>
      <c r="J98" s="103"/>
      <c r="K98" s="146"/>
      <c r="L98" s="103">
        <f t="shared" si="49"/>
        <v>0</v>
      </c>
      <c r="M98" s="103">
        <v>7</v>
      </c>
      <c r="N98" s="103">
        <v>689.44</v>
      </c>
      <c r="O98" s="103"/>
      <c r="P98" s="103"/>
      <c r="Q98" s="103">
        <v>0</v>
      </c>
      <c r="R98" s="103"/>
      <c r="S98" s="103"/>
      <c r="T98" s="103">
        <f t="shared" si="51"/>
        <v>0</v>
      </c>
      <c r="U98" s="152"/>
      <c r="V98" s="152">
        <v>7.4899999999999994E-2</v>
      </c>
      <c r="W98" s="153"/>
      <c r="X98" s="103">
        <v>359.07</v>
      </c>
      <c r="Y98" s="103">
        <f t="shared" si="50"/>
        <v>0</v>
      </c>
      <c r="Z98" s="103"/>
      <c r="AA98" s="154"/>
      <c r="AB98" s="103">
        <v>95</v>
      </c>
      <c r="AC98" s="103">
        <f t="shared" si="52"/>
        <v>-1150.51</v>
      </c>
      <c r="AD98" s="103">
        <f t="shared" si="53"/>
        <v>0</v>
      </c>
    </row>
    <row r="99" spans="1:30">
      <c r="A99" s="101" t="s">
        <v>344</v>
      </c>
      <c r="B99" s="101">
        <v>352373</v>
      </c>
      <c r="C99" s="112"/>
      <c r="D99" s="103"/>
      <c r="E99" s="117"/>
      <c r="F99" s="182">
        <v>1244.52</v>
      </c>
      <c r="G99" s="128">
        <v>45.8</v>
      </c>
      <c r="H99" s="103"/>
      <c r="I99" s="103"/>
      <c r="J99" s="103"/>
      <c r="K99" s="146">
        <v>126.97</v>
      </c>
      <c r="L99" s="103">
        <f t="shared" si="49"/>
        <v>0</v>
      </c>
      <c r="M99" s="103">
        <v>7</v>
      </c>
      <c r="N99" s="103">
        <v>689.44</v>
      </c>
      <c r="O99" s="103"/>
      <c r="P99" s="103"/>
      <c r="Q99" s="103">
        <v>0</v>
      </c>
      <c r="R99" s="103"/>
      <c r="S99" s="103"/>
      <c r="T99" s="103">
        <f t="shared" si="51"/>
        <v>83.461069999999992</v>
      </c>
      <c r="U99" s="152"/>
      <c r="V99" s="152">
        <v>7.4899999999999994E-2</v>
      </c>
      <c r="W99" s="153">
        <v>1114.3</v>
      </c>
      <c r="X99" s="103">
        <v>359.07</v>
      </c>
      <c r="Y99" s="103">
        <f t="shared" si="50"/>
        <v>0</v>
      </c>
      <c r="Z99" s="103"/>
      <c r="AA99" s="154"/>
      <c r="AB99" s="103">
        <v>95</v>
      </c>
      <c r="AC99" s="103">
        <f t="shared" si="52"/>
        <v>-2397.32107</v>
      </c>
      <c r="AD99" s="103">
        <f t="shared" si="53"/>
        <v>0</v>
      </c>
    </row>
    <row r="100" spans="1:30">
      <c r="A100" s="101"/>
      <c r="B100" s="101">
        <v>352374</v>
      </c>
      <c r="C100" s="112"/>
      <c r="D100" s="103"/>
      <c r="E100" s="117"/>
      <c r="F100" s="182"/>
      <c r="G100" s="128"/>
      <c r="H100" s="103"/>
      <c r="I100" s="103"/>
      <c r="J100" s="103"/>
      <c r="K100" s="146"/>
      <c r="L100" s="103">
        <f t="shared" si="49"/>
        <v>0</v>
      </c>
      <c r="M100" s="103">
        <v>7</v>
      </c>
      <c r="N100" s="103">
        <v>689.44</v>
      </c>
      <c r="O100" s="103"/>
      <c r="P100" s="103"/>
      <c r="Q100" s="103">
        <v>0</v>
      </c>
      <c r="R100" s="103"/>
      <c r="S100" s="103"/>
      <c r="T100" s="103">
        <f t="shared" si="51"/>
        <v>1.498E-2</v>
      </c>
      <c r="U100" s="152"/>
      <c r="V100" s="152">
        <v>7.4899999999999994E-2</v>
      </c>
      <c r="W100" s="153">
        <v>0.2</v>
      </c>
      <c r="X100" s="103">
        <v>359.07</v>
      </c>
      <c r="Y100" s="103">
        <f t="shared" si="50"/>
        <v>0</v>
      </c>
      <c r="Z100" s="103"/>
      <c r="AA100" s="154"/>
      <c r="AB100" s="103">
        <v>95</v>
      </c>
      <c r="AC100" s="103">
        <f t="shared" si="52"/>
        <v>-1150.5249799999999</v>
      </c>
      <c r="AD100" s="103">
        <f t="shared" si="53"/>
        <v>0</v>
      </c>
    </row>
    <row r="101" spans="1:30">
      <c r="A101" s="101"/>
      <c r="B101" s="101">
        <v>352375</v>
      </c>
      <c r="C101" s="112"/>
      <c r="D101" s="103"/>
      <c r="E101" s="112"/>
      <c r="F101" s="182"/>
      <c r="G101" s="128"/>
      <c r="H101" s="103"/>
      <c r="I101" s="103"/>
      <c r="J101" s="103"/>
      <c r="K101" s="146"/>
      <c r="L101" s="103">
        <f t="shared" si="49"/>
        <v>0</v>
      </c>
      <c r="M101" s="103">
        <v>7</v>
      </c>
      <c r="N101" s="103">
        <v>689.44</v>
      </c>
      <c r="O101" s="103"/>
      <c r="P101" s="103"/>
      <c r="Q101" s="103">
        <v>0</v>
      </c>
      <c r="R101" s="103"/>
      <c r="S101" s="103"/>
      <c r="T101" s="103">
        <f t="shared" si="51"/>
        <v>0</v>
      </c>
      <c r="U101" s="152"/>
      <c r="V101" s="152">
        <v>7.4899999999999994E-2</v>
      </c>
      <c r="W101" s="153"/>
      <c r="X101" s="103">
        <v>359.07</v>
      </c>
      <c r="Y101" s="103">
        <f t="shared" si="50"/>
        <v>0</v>
      </c>
      <c r="Z101" s="103"/>
      <c r="AA101" s="154"/>
      <c r="AB101" s="103">
        <v>95</v>
      </c>
      <c r="AC101" s="103">
        <f t="shared" si="52"/>
        <v>-1150.51</v>
      </c>
      <c r="AD101" s="103">
        <f t="shared" si="53"/>
        <v>0</v>
      </c>
    </row>
    <row r="102" spans="1:30">
      <c r="A102" s="101" t="s">
        <v>62</v>
      </c>
      <c r="B102" s="101">
        <v>352376</v>
      </c>
      <c r="C102" s="112">
        <v>7</v>
      </c>
      <c r="D102" s="103">
        <v>6500</v>
      </c>
      <c r="E102" s="117">
        <v>2953</v>
      </c>
      <c r="F102" s="182">
        <v>2444.3000000000002</v>
      </c>
      <c r="G102" s="128"/>
      <c r="H102" s="103"/>
      <c r="I102" s="103"/>
      <c r="J102" s="103"/>
      <c r="K102" s="146">
        <v>296.08</v>
      </c>
      <c r="L102" s="103">
        <f t="shared" si="49"/>
        <v>55.250000000000007</v>
      </c>
      <c r="M102" s="103">
        <v>7</v>
      </c>
      <c r="N102" s="103">
        <v>689.44</v>
      </c>
      <c r="O102" s="103"/>
      <c r="P102" s="103"/>
      <c r="Q102" s="103">
        <v>0</v>
      </c>
      <c r="R102" s="103"/>
      <c r="S102" s="103"/>
      <c r="T102" s="103">
        <f t="shared" si="51"/>
        <v>223.39673999999997</v>
      </c>
      <c r="U102" s="152"/>
      <c r="V102" s="152">
        <v>7.4899999999999994E-2</v>
      </c>
      <c r="W102" s="153">
        <v>2982.6</v>
      </c>
      <c r="X102" s="103">
        <v>359.07</v>
      </c>
      <c r="Y102" s="103">
        <f t="shared" si="50"/>
        <v>295.3</v>
      </c>
      <c r="Z102" s="103">
        <v>26.25</v>
      </c>
      <c r="AA102" s="154">
        <v>0.75</v>
      </c>
      <c r="AB102" s="103">
        <v>95</v>
      </c>
      <c r="AC102" s="103">
        <f t="shared" si="52"/>
        <v>386.32325999999938</v>
      </c>
      <c r="AD102" s="103">
        <f>E102*AA102+I102</f>
        <v>2214.75</v>
      </c>
    </row>
    <row r="103" spans="1:30">
      <c r="A103" s="101" t="s">
        <v>390</v>
      </c>
      <c r="B103" s="101">
        <v>352377</v>
      </c>
      <c r="C103" s="112">
        <v>7</v>
      </c>
      <c r="D103" s="103">
        <v>9079</v>
      </c>
      <c r="E103" s="112">
        <v>3970</v>
      </c>
      <c r="F103" s="182">
        <v>2733.18</v>
      </c>
      <c r="G103" s="128">
        <v>71.400000000000006</v>
      </c>
      <c r="H103" s="103"/>
      <c r="I103" s="103"/>
      <c r="J103" s="103"/>
      <c r="K103" s="146">
        <v>120.39</v>
      </c>
      <c r="L103" s="103">
        <f t="shared" si="49"/>
        <v>77.171500000000009</v>
      </c>
      <c r="M103" s="103">
        <v>7</v>
      </c>
      <c r="N103" s="103">
        <v>689.44</v>
      </c>
      <c r="O103" s="103"/>
      <c r="P103" s="103"/>
      <c r="Q103" s="103">
        <v>0</v>
      </c>
      <c r="R103" s="103"/>
      <c r="S103" s="103"/>
      <c r="T103" s="103">
        <f t="shared" si="51"/>
        <v>311.29937999999999</v>
      </c>
      <c r="U103" s="152"/>
      <c r="V103" s="152">
        <v>7.4899999999999994E-2</v>
      </c>
      <c r="W103" s="153">
        <v>4156.2</v>
      </c>
      <c r="X103" s="103">
        <v>359.07</v>
      </c>
      <c r="Y103" s="103">
        <f t="shared" si="50"/>
        <v>397</v>
      </c>
      <c r="Z103" s="103">
        <v>32.5</v>
      </c>
      <c r="AA103" s="154">
        <v>0.7</v>
      </c>
      <c r="AB103" s="103">
        <v>95</v>
      </c>
      <c r="AC103" s="103">
        <f t="shared" si="52"/>
        <v>1647.3291199999999</v>
      </c>
      <c r="AD103" s="103">
        <f t="shared" ref="AD103:AD106" si="54">E103*AA103</f>
        <v>2779</v>
      </c>
    </row>
    <row r="104" spans="1:30">
      <c r="A104" s="101" t="s">
        <v>191</v>
      </c>
      <c r="B104" s="101" t="s">
        <v>397</v>
      </c>
      <c r="C104" s="112">
        <v>1</v>
      </c>
      <c r="D104" s="103">
        <v>1400</v>
      </c>
      <c r="E104" s="112">
        <v>1009</v>
      </c>
      <c r="F104" s="182">
        <v>2165.1799999999998</v>
      </c>
      <c r="G104" s="128">
        <v>13.8</v>
      </c>
      <c r="H104" s="103"/>
      <c r="I104" s="103"/>
      <c r="J104" s="103"/>
      <c r="K104" s="146">
        <v>189.73</v>
      </c>
      <c r="L104" s="103">
        <f t="shared" si="49"/>
        <v>11.9</v>
      </c>
      <c r="M104" s="103">
        <v>7</v>
      </c>
      <c r="N104" s="103">
        <v>689.44</v>
      </c>
      <c r="O104" s="103"/>
      <c r="P104" s="103"/>
      <c r="Q104" s="103">
        <v>0</v>
      </c>
      <c r="R104" s="103"/>
      <c r="S104" s="103"/>
      <c r="T104" s="103">
        <f t="shared" si="51"/>
        <v>84.142660000000006</v>
      </c>
      <c r="U104" s="152"/>
      <c r="V104" s="152">
        <v>7.4899999999999994E-2</v>
      </c>
      <c r="W104" s="153">
        <v>1123.4000000000001</v>
      </c>
      <c r="X104" s="103">
        <v>359.07</v>
      </c>
      <c r="Y104" s="103">
        <f t="shared" si="50"/>
        <v>100.9</v>
      </c>
      <c r="Z104" s="103">
        <v>26.25</v>
      </c>
      <c r="AA104" s="154">
        <v>0.8</v>
      </c>
      <c r="AB104" s="103">
        <v>95</v>
      </c>
      <c r="AC104" s="103">
        <f t="shared" si="52"/>
        <v>-2770.1526600000002</v>
      </c>
      <c r="AD104" s="103">
        <f t="shared" si="54"/>
        <v>807.2</v>
      </c>
    </row>
    <row r="105" spans="1:30">
      <c r="A105" s="183" t="s">
        <v>393</v>
      </c>
      <c r="B105" s="101">
        <v>359886</v>
      </c>
      <c r="C105" s="112">
        <v>1</v>
      </c>
      <c r="D105" s="103">
        <v>1800</v>
      </c>
      <c r="E105" s="112">
        <v>1080</v>
      </c>
      <c r="F105" s="182">
        <v>1888.13</v>
      </c>
      <c r="G105" s="128">
        <v>126.49</v>
      </c>
      <c r="H105" s="103"/>
      <c r="I105" s="103"/>
      <c r="J105" s="103"/>
      <c r="K105" s="146">
        <v>196.63</v>
      </c>
      <c r="L105" s="103">
        <f t="shared" si="49"/>
        <v>15.3</v>
      </c>
      <c r="M105" s="103">
        <v>7</v>
      </c>
      <c r="N105" s="103">
        <v>689.44</v>
      </c>
      <c r="O105" s="103"/>
      <c r="P105" s="103"/>
      <c r="Q105" s="103">
        <v>0</v>
      </c>
      <c r="R105" s="103"/>
      <c r="S105" s="103"/>
      <c r="T105" s="103">
        <f t="shared" si="51"/>
        <v>198.47002000000001</v>
      </c>
      <c r="U105" s="152"/>
      <c r="V105" s="152">
        <v>7.4899999999999994E-2</v>
      </c>
      <c r="W105" s="153">
        <v>2649.8</v>
      </c>
      <c r="X105" s="103">
        <v>359.07</v>
      </c>
      <c r="Y105" s="103">
        <f t="shared" si="50"/>
        <v>108</v>
      </c>
      <c r="Z105" s="103">
        <v>32.5</v>
      </c>
      <c r="AA105" s="154">
        <v>0.75</v>
      </c>
      <c r="AB105" s="103">
        <v>95</v>
      </c>
      <c r="AC105" s="103">
        <f t="shared" si="52"/>
        <v>-2332.7700200000004</v>
      </c>
      <c r="AD105" s="103">
        <f t="shared" si="54"/>
        <v>810</v>
      </c>
    </row>
    <row r="106" spans="1:30">
      <c r="A106" s="101" t="s">
        <v>319</v>
      </c>
      <c r="B106" s="101">
        <v>465180</v>
      </c>
      <c r="C106" s="112">
        <v>7</v>
      </c>
      <c r="D106" s="103">
        <v>8650</v>
      </c>
      <c r="E106" s="112">
        <v>4179</v>
      </c>
      <c r="F106" s="182">
        <v>3533.8</v>
      </c>
      <c r="G106" s="128"/>
      <c r="H106" s="103"/>
      <c r="I106" s="103"/>
      <c r="J106" s="103"/>
      <c r="K106" s="146">
        <v>362.52</v>
      </c>
      <c r="L106" s="103">
        <f t="shared" si="49"/>
        <v>73.525000000000006</v>
      </c>
      <c r="M106" s="103">
        <v>7</v>
      </c>
      <c r="N106" s="103">
        <v>789.51</v>
      </c>
      <c r="O106" s="103"/>
      <c r="P106" s="103"/>
      <c r="Q106" s="103">
        <v>0</v>
      </c>
      <c r="R106" s="103"/>
      <c r="S106" s="103"/>
      <c r="T106" s="103">
        <f t="shared" si="51"/>
        <v>321.46638000000007</v>
      </c>
      <c r="U106" s="152"/>
      <c r="V106" s="152">
        <v>7.4300000000000005E-2</v>
      </c>
      <c r="W106" s="153">
        <v>4326.6000000000004</v>
      </c>
      <c r="X106" s="103">
        <v>359.07</v>
      </c>
      <c r="Y106" s="103">
        <f t="shared" si="50"/>
        <v>417.90000000000003</v>
      </c>
      <c r="Z106" s="103">
        <v>26.25</v>
      </c>
      <c r="AA106" s="154">
        <v>0.75</v>
      </c>
      <c r="AB106" s="103">
        <v>95</v>
      </c>
      <c r="AC106" s="103">
        <f t="shared" si="52"/>
        <v>254.74862000000016</v>
      </c>
      <c r="AD106" s="103">
        <f t="shared" si="54"/>
        <v>3134.25</v>
      </c>
    </row>
    <row r="107" spans="1:30">
      <c r="A107" s="101" t="s">
        <v>322</v>
      </c>
      <c r="B107" s="101">
        <v>465181</v>
      </c>
      <c r="C107" s="117">
        <v>7</v>
      </c>
      <c r="D107" s="128">
        <v>4350</v>
      </c>
      <c r="E107" s="112">
        <v>2186</v>
      </c>
      <c r="F107" s="182">
        <v>2106.19</v>
      </c>
      <c r="G107" s="128">
        <v>2.96</v>
      </c>
      <c r="H107" s="128"/>
      <c r="I107" s="128"/>
      <c r="J107" s="128">
        <v>100</v>
      </c>
      <c r="K107" s="146">
        <v>254.97</v>
      </c>
      <c r="L107" s="103">
        <f t="shared" si="49"/>
        <v>36.975000000000001</v>
      </c>
      <c r="M107" s="103">
        <v>7</v>
      </c>
      <c r="N107" s="103">
        <v>789.51</v>
      </c>
      <c r="O107" s="103"/>
      <c r="P107" s="103"/>
      <c r="Q107" s="103">
        <v>0</v>
      </c>
      <c r="R107" s="103"/>
      <c r="S107" s="103"/>
      <c r="T107" s="103">
        <f t="shared" si="51"/>
        <v>214.65270000000001</v>
      </c>
      <c r="U107" s="152"/>
      <c r="V107" s="152">
        <v>7.4300000000000005E-2</v>
      </c>
      <c r="W107" s="153">
        <v>2889</v>
      </c>
      <c r="X107" s="103">
        <v>359.07</v>
      </c>
      <c r="Y107" s="103">
        <f t="shared" si="50"/>
        <v>218.60000000000002</v>
      </c>
      <c r="Z107" s="103">
        <v>26.25</v>
      </c>
      <c r="AA107" s="154">
        <v>0.8</v>
      </c>
      <c r="AB107" s="103">
        <v>95</v>
      </c>
      <c r="AC107" s="103">
        <f t="shared" si="52"/>
        <v>-1000.0377000000001</v>
      </c>
      <c r="AD107" s="103">
        <f>E107*AA107+I107</f>
        <v>1748.8000000000002</v>
      </c>
    </row>
    <row r="108" spans="1:30">
      <c r="A108" s="100" t="s">
        <v>349</v>
      </c>
      <c r="B108" s="101">
        <v>465182</v>
      </c>
      <c r="C108" s="112">
        <v>7</v>
      </c>
      <c r="D108" s="103">
        <v>4500</v>
      </c>
      <c r="E108" s="112">
        <v>2394</v>
      </c>
      <c r="F108" s="182">
        <v>1774.11</v>
      </c>
      <c r="G108" s="128">
        <v>50.48</v>
      </c>
      <c r="H108" s="128"/>
      <c r="I108" s="128">
        <v>600</v>
      </c>
      <c r="J108" s="128"/>
      <c r="K108" s="146">
        <v>36.14</v>
      </c>
      <c r="L108" s="103">
        <f t="shared" si="49"/>
        <v>38.25</v>
      </c>
      <c r="M108" s="103">
        <v>7</v>
      </c>
      <c r="N108" s="103">
        <v>789.51</v>
      </c>
      <c r="O108" s="103"/>
      <c r="P108" s="103"/>
      <c r="Q108" s="103">
        <v>0</v>
      </c>
      <c r="R108" s="103"/>
      <c r="S108" s="103"/>
      <c r="T108" s="103">
        <f t="shared" si="51"/>
        <v>166.89266000000001</v>
      </c>
      <c r="U108" s="152"/>
      <c r="V108" s="152">
        <v>7.4300000000000005E-2</v>
      </c>
      <c r="W108" s="153">
        <v>2246.1999999999998</v>
      </c>
      <c r="X108" s="103">
        <v>359.07</v>
      </c>
      <c r="Y108" s="103">
        <f t="shared" si="50"/>
        <v>239.4</v>
      </c>
      <c r="Z108" s="103">
        <v>26.25</v>
      </c>
      <c r="AA108" s="154">
        <v>0.8</v>
      </c>
      <c r="AB108" s="103">
        <v>95</v>
      </c>
      <c r="AC108" s="103">
        <f t="shared" si="52"/>
        <v>-1525.0226600000001</v>
      </c>
      <c r="AD108" s="103">
        <f t="shared" ref="AD108:AD112" si="55">E108*AA108</f>
        <v>1915.2</v>
      </c>
    </row>
    <row r="109" spans="1:30">
      <c r="A109" s="101" t="s">
        <v>88</v>
      </c>
      <c r="B109" s="101">
        <v>465183</v>
      </c>
      <c r="C109" s="117">
        <v>5</v>
      </c>
      <c r="D109" s="103">
        <v>6848</v>
      </c>
      <c r="E109" s="112">
        <v>2218</v>
      </c>
      <c r="F109" s="182">
        <v>1927.02</v>
      </c>
      <c r="G109" s="128">
        <v>33.28</v>
      </c>
      <c r="H109" s="128"/>
      <c r="I109" s="128"/>
      <c r="J109" s="128"/>
      <c r="K109" s="146">
        <v>151.87</v>
      </c>
      <c r="L109" s="103">
        <f t="shared" si="49"/>
        <v>58.208000000000006</v>
      </c>
      <c r="M109" s="103">
        <v>7</v>
      </c>
      <c r="N109" s="103">
        <v>789.51</v>
      </c>
      <c r="O109" s="103"/>
      <c r="P109" s="103"/>
      <c r="Q109" s="103">
        <v>0</v>
      </c>
      <c r="R109" s="103"/>
      <c r="S109" s="103"/>
      <c r="T109" s="103">
        <f t="shared" si="51"/>
        <v>171.29122000000001</v>
      </c>
      <c r="U109" s="152"/>
      <c r="V109" s="152">
        <v>7.4300000000000005E-2</v>
      </c>
      <c r="W109" s="153">
        <v>2305.4</v>
      </c>
      <c r="X109" s="103">
        <v>359.07</v>
      </c>
      <c r="Y109" s="103">
        <f t="shared" si="50"/>
        <v>221.8</v>
      </c>
      <c r="Z109" s="103">
        <v>40</v>
      </c>
      <c r="AA109" s="154">
        <v>0.8</v>
      </c>
      <c r="AB109" s="103">
        <v>95</v>
      </c>
      <c r="AC109" s="103">
        <f t="shared" si="52"/>
        <v>1523.2907799999994</v>
      </c>
      <c r="AD109" s="103">
        <f t="shared" si="55"/>
        <v>1774.4</v>
      </c>
    </row>
    <row r="110" spans="1:30">
      <c r="A110" s="100" t="s">
        <v>40</v>
      </c>
      <c r="B110" s="101">
        <v>465184</v>
      </c>
      <c r="C110" s="117">
        <v>2</v>
      </c>
      <c r="D110" s="103">
        <v>3700</v>
      </c>
      <c r="E110" s="112">
        <v>1691</v>
      </c>
      <c r="F110" s="182">
        <v>1281.6400000000001</v>
      </c>
      <c r="G110" s="128">
        <v>180.17</v>
      </c>
      <c r="H110" s="128"/>
      <c r="I110" s="128"/>
      <c r="J110" s="128">
        <v>100</v>
      </c>
      <c r="K110" s="146">
        <v>11.89</v>
      </c>
      <c r="L110" s="103">
        <f t="shared" si="49"/>
        <v>31.450000000000003</v>
      </c>
      <c r="M110" s="103">
        <v>7</v>
      </c>
      <c r="N110" s="103">
        <v>789.51</v>
      </c>
      <c r="O110" s="103"/>
      <c r="P110" s="103"/>
      <c r="Q110" s="103">
        <v>0</v>
      </c>
      <c r="R110" s="103"/>
      <c r="S110" s="103"/>
      <c r="T110" s="103">
        <f t="shared" si="51"/>
        <v>176.06128000000001</v>
      </c>
      <c r="U110" s="152"/>
      <c r="V110" s="152">
        <v>7.4300000000000005E-2</v>
      </c>
      <c r="W110" s="153">
        <v>2369.6</v>
      </c>
      <c r="X110" s="103">
        <v>359.07</v>
      </c>
      <c r="Y110" s="103">
        <f t="shared" si="50"/>
        <v>169.10000000000002</v>
      </c>
      <c r="Z110" s="103">
        <v>26.25</v>
      </c>
      <c r="AA110" s="154">
        <v>0.8</v>
      </c>
      <c r="AB110" s="103">
        <v>95</v>
      </c>
      <c r="AC110" s="103">
        <f t="shared" si="52"/>
        <v>-756.16128000000049</v>
      </c>
      <c r="AD110" s="103">
        <f t="shared" si="55"/>
        <v>1352.8000000000002</v>
      </c>
    </row>
    <row r="111" spans="1:30">
      <c r="A111" s="101" t="s">
        <v>75</v>
      </c>
      <c r="B111" s="101">
        <v>465185</v>
      </c>
      <c r="C111" s="117"/>
      <c r="D111" s="103"/>
      <c r="E111" s="112"/>
      <c r="F111" s="146">
        <v>150</v>
      </c>
      <c r="G111" s="128">
        <v>36.99</v>
      </c>
      <c r="H111" s="128"/>
      <c r="I111" s="128"/>
      <c r="J111" s="128"/>
      <c r="K111" s="146"/>
      <c r="L111" s="103">
        <f t="shared" si="49"/>
        <v>0</v>
      </c>
      <c r="M111" s="103">
        <v>7</v>
      </c>
      <c r="N111" s="103">
        <v>789.51</v>
      </c>
      <c r="O111" s="103"/>
      <c r="P111" s="103"/>
      <c r="Q111" s="103">
        <v>0</v>
      </c>
      <c r="R111" s="103"/>
      <c r="S111" s="103"/>
      <c r="T111" s="103">
        <f t="shared" si="51"/>
        <v>8.4627700000000008</v>
      </c>
      <c r="U111" s="152"/>
      <c r="V111" s="152">
        <v>7.4300000000000005E-2</v>
      </c>
      <c r="W111" s="153">
        <v>113.9</v>
      </c>
      <c r="X111" s="103">
        <v>359.07</v>
      </c>
      <c r="Y111" s="103">
        <f t="shared" si="50"/>
        <v>0</v>
      </c>
      <c r="Z111" s="103">
        <v>40</v>
      </c>
      <c r="AA111" s="154">
        <v>0.8</v>
      </c>
      <c r="AB111" s="103">
        <v>95</v>
      </c>
      <c r="AC111" s="103">
        <f t="shared" si="52"/>
        <v>-1486.03277</v>
      </c>
      <c r="AD111" s="103">
        <f t="shared" si="55"/>
        <v>0</v>
      </c>
    </row>
    <row r="112" spans="1:30">
      <c r="A112" s="101" t="s">
        <v>386</v>
      </c>
      <c r="B112" s="101" t="s">
        <v>398</v>
      </c>
      <c r="C112" s="112">
        <v>1</v>
      </c>
      <c r="D112" s="103">
        <v>2400</v>
      </c>
      <c r="E112" s="112">
        <v>1001</v>
      </c>
      <c r="F112" s="182"/>
      <c r="G112" s="128">
        <v>14.54</v>
      </c>
      <c r="H112" s="128"/>
      <c r="I112" s="128"/>
      <c r="J112" s="128"/>
      <c r="K112" s="146"/>
      <c r="L112" s="103">
        <f t="shared" si="49"/>
        <v>20.400000000000002</v>
      </c>
      <c r="M112" s="103">
        <v>7</v>
      </c>
      <c r="N112" s="103">
        <v>789.51</v>
      </c>
      <c r="O112" s="103"/>
      <c r="P112" s="103"/>
      <c r="Q112" s="103">
        <v>0</v>
      </c>
      <c r="R112" s="103"/>
      <c r="S112" s="103"/>
      <c r="T112" s="103">
        <f t="shared" si="51"/>
        <v>3.63327</v>
      </c>
      <c r="U112" s="152"/>
      <c r="V112" s="152">
        <v>7.4300000000000005E-2</v>
      </c>
      <c r="W112" s="153">
        <v>48.9</v>
      </c>
      <c r="X112" s="103">
        <v>359.07</v>
      </c>
      <c r="Y112" s="103">
        <f t="shared" si="50"/>
        <v>100.10000000000001</v>
      </c>
      <c r="Z112" s="103">
        <v>32.5</v>
      </c>
      <c r="AA112" s="154">
        <v>0.75</v>
      </c>
      <c r="AB112" s="103">
        <v>95</v>
      </c>
      <c r="AC112" s="103">
        <f t="shared" si="52"/>
        <v>227.49673000000018</v>
      </c>
      <c r="AD112" s="103">
        <f t="shared" si="55"/>
        <v>750.75</v>
      </c>
    </row>
    <row r="113" spans="1:30">
      <c r="A113" s="101" t="s">
        <v>192</v>
      </c>
      <c r="B113" s="101">
        <v>465187</v>
      </c>
      <c r="C113" s="117">
        <v>7</v>
      </c>
      <c r="D113" s="103">
        <v>8400</v>
      </c>
      <c r="E113" s="112">
        <v>3678</v>
      </c>
      <c r="F113" s="182">
        <v>3038.53</v>
      </c>
      <c r="G113" s="128">
        <v>61.59</v>
      </c>
      <c r="H113" s="128"/>
      <c r="I113" s="128">
        <v>200</v>
      </c>
      <c r="J113" s="128"/>
      <c r="K113" s="146">
        <v>286.58</v>
      </c>
      <c r="L113" s="103">
        <f t="shared" si="49"/>
        <v>71.400000000000006</v>
      </c>
      <c r="M113" s="103">
        <v>7</v>
      </c>
      <c r="N113" s="103">
        <v>789.51</v>
      </c>
      <c r="O113" s="103"/>
      <c r="P113" s="103"/>
      <c r="Q113" s="103">
        <v>0</v>
      </c>
      <c r="R113" s="103"/>
      <c r="S113" s="103"/>
      <c r="T113" s="103">
        <f t="shared" si="51"/>
        <v>276.76750000000004</v>
      </c>
      <c r="U113" s="152"/>
      <c r="V113" s="152">
        <v>7.4300000000000005E-2</v>
      </c>
      <c r="W113" s="153">
        <v>3725</v>
      </c>
      <c r="X113" s="103">
        <v>359.07</v>
      </c>
      <c r="Y113" s="103">
        <f t="shared" si="50"/>
        <v>367.8</v>
      </c>
      <c r="Z113" s="103">
        <v>40</v>
      </c>
      <c r="AA113" s="154">
        <v>0.8</v>
      </c>
      <c r="AB113" s="103">
        <v>95</v>
      </c>
      <c r="AC113" s="103">
        <f>D113-F113-G113-Z113-Y113-X113-N113-AD113+K113-AB113-I107-T113-M113-L113</f>
        <v>637.51249999999891</v>
      </c>
      <c r="AD113" s="103">
        <f>E113*AA113+J113</f>
        <v>2942.4</v>
      </c>
    </row>
    <row r="114" spans="1:30">
      <c r="A114" s="101"/>
      <c r="B114" s="101">
        <v>465188</v>
      </c>
      <c r="C114" s="117"/>
      <c r="D114" s="128"/>
      <c r="E114" s="112"/>
      <c r="F114" s="182"/>
      <c r="G114" s="128"/>
      <c r="H114" s="128"/>
      <c r="I114" s="128"/>
      <c r="J114" s="128"/>
      <c r="K114" s="146"/>
      <c r="L114" s="103">
        <f t="shared" si="49"/>
        <v>0</v>
      </c>
      <c r="M114" s="103">
        <v>7</v>
      </c>
      <c r="N114" s="103">
        <v>789.51</v>
      </c>
      <c r="O114" s="103"/>
      <c r="P114" s="103"/>
      <c r="Q114" s="103">
        <v>0</v>
      </c>
      <c r="R114" s="103"/>
      <c r="S114" s="103"/>
      <c r="T114" s="103">
        <f t="shared" si="51"/>
        <v>6.2709200000000012</v>
      </c>
      <c r="U114" s="152"/>
      <c r="V114" s="152">
        <v>7.4300000000000005E-2</v>
      </c>
      <c r="W114" s="153">
        <v>84.4</v>
      </c>
      <c r="X114" s="103">
        <v>359.07</v>
      </c>
      <c r="Y114" s="103">
        <f t="shared" si="50"/>
        <v>0</v>
      </c>
      <c r="Z114" s="103">
        <v>32.5</v>
      </c>
      <c r="AA114" s="154"/>
      <c r="AB114" s="103">
        <v>95</v>
      </c>
      <c r="AC114" s="103">
        <f t="shared" ref="AC114:AC115" si="56">D114-F114-G114-Z114-Y114-X114-N114-AD114+K114-AB114-I114-T114-M114-L114</f>
        <v>-1289.3509199999999</v>
      </c>
      <c r="AD114" s="103">
        <f t="shared" ref="AD114:AD115" si="57">E114*AA114</f>
        <v>0</v>
      </c>
    </row>
    <row r="115" spans="1:30">
      <c r="A115" s="101" t="s">
        <v>347</v>
      </c>
      <c r="B115" s="101" t="s">
        <v>394</v>
      </c>
      <c r="C115" s="112">
        <v>1</v>
      </c>
      <c r="D115" s="103">
        <v>1320</v>
      </c>
      <c r="E115" s="117">
        <v>569</v>
      </c>
      <c r="F115" s="146">
        <v>367.14</v>
      </c>
      <c r="G115" s="128">
        <v>80.099999999999994</v>
      </c>
      <c r="H115" s="103"/>
      <c r="I115" s="103"/>
      <c r="J115" s="103"/>
      <c r="K115" s="146">
        <v>8.82</v>
      </c>
      <c r="L115" s="103">
        <f t="shared" si="49"/>
        <v>11.22</v>
      </c>
      <c r="M115" s="103">
        <v>7</v>
      </c>
      <c r="N115" s="103">
        <v>789.51</v>
      </c>
      <c r="O115" s="103"/>
      <c r="P115" s="103"/>
      <c r="Q115" s="103">
        <v>0</v>
      </c>
      <c r="R115" s="103"/>
      <c r="S115" s="103"/>
      <c r="T115" s="103">
        <f t="shared" si="51"/>
        <v>0</v>
      </c>
      <c r="U115" s="152"/>
      <c r="V115" s="152">
        <v>7.4300000000000005E-2</v>
      </c>
      <c r="W115" s="155"/>
      <c r="X115" s="103">
        <v>359.07</v>
      </c>
      <c r="Y115" s="103">
        <f t="shared" si="50"/>
        <v>56.900000000000006</v>
      </c>
      <c r="Z115" s="103">
        <v>32.5</v>
      </c>
      <c r="AA115" s="154">
        <v>0.75</v>
      </c>
      <c r="AB115" s="103">
        <v>95</v>
      </c>
      <c r="AC115" s="103">
        <f t="shared" si="56"/>
        <v>-896.37</v>
      </c>
      <c r="AD115" s="103">
        <f t="shared" si="57"/>
        <v>426.75</v>
      </c>
    </row>
    <row r="116" spans="1:30">
      <c r="A116" s="167" t="s">
        <v>391</v>
      </c>
      <c r="B116" s="167">
        <v>86</v>
      </c>
      <c r="C116" s="158">
        <v>3</v>
      </c>
      <c r="D116" s="139">
        <v>4950</v>
      </c>
      <c r="E116" s="136">
        <v>2776.3</v>
      </c>
      <c r="F116" s="168">
        <v>1930</v>
      </c>
      <c r="G116" s="168"/>
      <c r="H116" s="168"/>
      <c r="I116" s="168"/>
      <c r="J116" s="168"/>
      <c r="K116" s="168">
        <v>43.92</v>
      </c>
      <c r="L116" s="139">
        <f t="shared" si="49"/>
        <v>42.075000000000003</v>
      </c>
      <c r="M116" s="139">
        <v>0</v>
      </c>
      <c r="N116" s="139">
        <v>0</v>
      </c>
      <c r="O116" s="139">
        <v>0</v>
      </c>
      <c r="P116" s="139"/>
      <c r="Q116" s="139">
        <v>0</v>
      </c>
      <c r="R116" s="139">
        <v>0</v>
      </c>
      <c r="S116" s="139">
        <v>0</v>
      </c>
      <c r="T116" s="139">
        <v>0</v>
      </c>
      <c r="U116" s="159"/>
      <c r="V116" s="159">
        <v>0</v>
      </c>
      <c r="W116" s="136">
        <v>2776.3</v>
      </c>
      <c r="X116" s="139">
        <v>0</v>
      </c>
      <c r="Y116" s="139">
        <f t="shared" si="50"/>
        <v>277.63000000000005</v>
      </c>
      <c r="Z116" s="139"/>
      <c r="AA116" s="160">
        <v>0.8</v>
      </c>
      <c r="AB116" s="139">
        <v>95</v>
      </c>
      <c r="AC116" s="139">
        <f>D116*0.2-Y116-L116</f>
        <v>670.29499999999985</v>
      </c>
      <c r="AD116" s="139">
        <f>D116*AA116-F116</f>
        <v>2030</v>
      </c>
    </row>
    <row r="117" spans="1:30">
      <c r="A117" s="134" t="s">
        <v>386</v>
      </c>
      <c r="B117" s="135" t="s">
        <v>399</v>
      </c>
      <c r="C117" s="136"/>
      <c r="D117" s="139"/>
      <c r="E117" s="136"/>
      <c r="F117" s="139"/>
      <c r="G117" s="139"/>
      <c r="H117" s="139"/>
      <c r="I117" s="139"/>
      <c r="J117" s="139"/>
      <c r="K117" s="139"/>
      <c r="L117" s="139">
        <f t="shared" si="49"/>
        <v>0</v>
      </c>
      <c r="M117" s="139"/>
      <c r="N117" s="139"/>
      <c r="O117" s="139"/>
      <c r="P117" s="139"/>
      <c r="Q117" s="139"/>
      <c r="R117" s="139"/>
      <c r="S117" s="139"/>
      <c r="T117" s="139"/>
      <c r="U117" s="159"/>
      <c r="V117" s="159"/>
      <c r="W117" s="136">
        <v>807</v>
      </c>
      <c r="X117" s="139"/>
      <c r="Y117" s="139"/>
      <c r="Z117" s="139"/>
      <c r="AA117" s="160"/>
      <c r="AB117" s="139"/>
      <c r="AC117" s="139"/>
      <c r="AD117" s="139"/>
    </row>
    <row r="118" spans="1:30">
      <c r="A118" s="134" t="s">
        <v>359</v>
      </c>
      <c r="B118" s="135" t="s">
        <v>360</v>
      </c>
      <c r="C118" s="136"/>
      <c r="D118" s="139">
        <v>0</v>
      </c>
      <c r="E118" s="136">
        <v>573.5</v>
      </c>
      <c r="F118" s="139">
        <v>685.69</v>
      </c>
      <c r="G118" s="139">
        <v>294.45999999999998</v>
      </c>
      <c r="H118" s="139"/>
      <c r="I118" s="139"/>
      <c r="J118" s="139"/>
      <c r="K118" s="139">
        <v>12.55</v>
      </c>
      <c r="L118" s="139">
        <f t="shared" si="49"/>
        <v>0</v>
      </c>
      <c r="M118" s="139">
        <v>0</v>
      </c>
      <c r="N118" s="139">
        <v>0</v>
      </c>
      <c r="O118" s="139">
        <v>50</v>
      </c>
      <c r="P118" s="139"/>
      <c r="Q118" s="139">
        <v>199</v>
      </c>
      <c r="R118" s="139">
        <v>30</v>
      </c>
      <c r="S118" s="139">
        <v>300</v>
      </c>
      <c r="T118" s="139">
        <v>0</v>
      </c>
      <c r="U118" s="159"/>
      <c r="V118" s="159">
        <v>0</v>
      </c>
      <c r="W118" s="136">
        <v>573.5</v>
      </c>
      <c r="X118" s="139">
        <v>0</v>
      </c>
      <c r="Y118" s="139">
        <f t="shared" ref="Y118:Y124" si="58">E118*0.1</f>
        <v>57.35</v>
      </c>
      <c r="Z118" s="139"/>
      <c r="AA118" s="160">
        <v>0.87</v>
      </c>
      <c r="AB118" s="139">
        <v>95</v>
      </c>
      <c r="AC118" s="139">
        <f t="shared" ref="AC118:AC119" si="59">D118*0.13+S118+R118+Q118+O118-Y118-L118</f>
        <v>521.65</v>
      </c>
      <c r="AD118" s="139">
        <f t="shared" ref="AD118:AD119" si="60">D118*0.87-F118-G118-O118-Q118-R118-S118</f>
        <v>-1559.15</v>
      </c>
    </row>
    <row r="119" spans="1:30">
      <c r="A119" s="134" t="s">
        <v>387</v>
      </c>
      <c r="B119" s="135" t="s">
        <v>362</v>
      </c>
      <c r="C119" s="136">
        <v>2</v>
      </c>
      <c r="D119" s="139">
        <v>2050</v>
      </c>
      <c r="E119" s="136">
        <v>1725.6</v>
      </c>
      <c r="F119" s="139">
        <v>1136</v>
      </c>
      <c r="G119" s="139">
        <v>37.76</v>
      </c>
      <c r="H119" s="139"/>
      <c r="I119" s="139"/>
      <c r="J119" s="139"/>
      <c r="K119" s="139">
        <v>5.0199999999999996</v>
      </c>
      <c r="L119" s="139">
        <f t="shared" si="49"/>
        <v>17.425000000000001</v>
      </c>
      <c r="M119" s="139">
        <v>7</v>
      </c>
      <c r="N119" s="139">
        <v>0</v>
      </c>
      <c r="O119" s="139">
        <v>50</v>
      </c>
      <c r="P119" s="139"/>
      <c r="Q119" s="139">
        <v>199</v>
      </c>
      <c r="R119" s="139">
        <v>30</v>
      </c>
      <c r="S119" s="139">
        <v>300</v>
      </c>
      <c r="T119" s="139">
        <v>0</v>
      </c>
      <c r="U119" s="159"/>
      <c r="V119" s="159">
        <v>0</v>
      </c>
      <c r="W119" s="136">
        <v>1725.6</v>
      </c>
      <c r="X119" s="139">
        <v>0</v>
      </c>
      <c r="Y119" s="139">
        <f t="shared" si="58"/>
        <v>172.56</v>
      </c>
      <c r="Z119" s="139"/>
      <c r="AA119" s="160">
        <v>0.87</v>
      </c>
      <c r="AB119" s="139">
        <v>95</v>
      </c>
      <c r="AC119" s="139">
        <f t="shared" si="59"/>
        <v>655.5150000000001</v>
      </c>
      <c r="AD119" s="139">
        <f t="shared" si="60"/>
        <v>30.740000000000009</v>
      </c>
    </row>
    <row r="120" spans="1:30">
      <c r="A120" s="134" t="s">
        <v>363</v>
      </c>
      <c r="B120" s="134">
        <v>1118</v>
      </c>
      <c r="C120" s="136">
        <v>6</v>
      </c>
      <c r="D120" s="139">
        <v>2768</v>
      </c>
      <c r="E120" s="136">
        <v>1022.6</v>
      </c>
      <c r="F120" s="139">
        <v>970</v>
      </c>
      <c r="G120" s="139"/>
      <c r="H120" s="139"/>
      <c r="I120" s="139"/>
      <c r="J120" s="139"/>
      <c r="K120" s="139"/>
      <c r="L120" s="139">
        <f t="shared" si="49"/>
        <v>23.528000000000002</v>
      </c>
      <c r="M120" s="139">
        <v>0</v>
      </c>
      <c r="N120" s="139">
        <v>0</v>
      </c>
      <c r="O120" s="139">
        <v>0</v>
      </c>
      <c r="P120" s="139"/>
      <c r="Q120" s="139">
        <v>0</v>
      </c>
      <c r="R120" s="139">
        <v>0</v>
      </c>
      <c r="S120" s="139">
        <v>0</v>
      </c>
      <c r="T120" s="139">
        <v>0</v>
      </c>
      <c r="U120" s="159"/>
      <c r="V120" s="159">
        <v>0</v>
      </c>
      <c r="W120" s="136">
        <v>1022.6</v>
      </c>
      <c r="X120" s="139">
        <v>0</v>
      </c>
      <c r="Y120" s="139">
        <f t="shared" si="58"/>
        <v>102.26</v>
      </c>
      <c r="Z120" s="139"/>
      <c r="AA120" s="160">
        <v>0.8</v>
      </c>
      <c r="AB120" s="139">
        <v>95</v>
      </c>
      <c r="AC120" s="139">
        <f>D120*0.2-Y120-L120-I120-AB120</f>
        <v>332.81200000000001</v>
      </c>
      <c r="AD120" s="139">
        <f>D120*AA120-F120-G120</f>
        <v>1244.4000000000001</v>
      </c>
    </row>
    <row r="121" spans="1:30">
      <c r="A121" s="134" t="s">
        <v>368</v>
      </c>
      <c r="B121" s="134" t="s">
        <v>369</v>
      </c>
      <c r="C121" s="136">
        <v>7</v>
      </c>
      <c r="D121" s="139">
        <v>6700</v>
      </c>
      <c r="E121" s="136">
        <v>2840.4</v>
      </c>
      <c r="F121" s="139">
        <v>2383.46</v>
      </c>
      <c r="G121" s="139">
        <v>1.05</v>
      </c>
      <c r="H121" s="139"/>
      <c r="I121" s="139"/>
      <c r="J121" s="139"/>
      <c r="K121" s="139">
        <v>157.69</v>
      </c>
      <c r="L121" s="139">
        <f t="shared" si="49"/>
        <v>56.95</v>
      </c>
      <c r="M121" s="139">
        <v>7</v>
      </c>
      <c r="N121" s="139">
        <v>0</v>
      </c>
      <c r="O121" s="139">
        <v>50</v>
      </c>
      <c r="P121" s="139"/>
      <c r="Q121" s="139">
        <v>199</v>
      </c>
      <c r="R121" s="139">
        <v>30</v>
      </c>
      <c r="S121" s="139">
        <v>300</v>
      </c>
      <c r="T121" s="139">
        <v>0</v>
      </c>
      <c r="U121" s="159"/>
      <c r="V121" s="159">
        <v>0</v>
      </c>
      <c r="W121" s="136">
        <v>2840.4</v>
      </c>
      <c r="X121" s="139">
        <v>0</v>
      </c>
      <c r="Y121" s="139">
        <f t="shared" si="58"/>
        <v>284.04000000000002</v>
      </c>
      <c r="Z121" s="139"/>
      <c r="AA121" s="160">
        <v>0.89</v>
      </c>
      <c r="AB121" s="139">
        <v>95</v>
      </c>
      <c r="AC121" s="139">
        <f>D121*0.11-AB121-Y121+S121+R121+Q121+O121-L121</f>
        <v>880.01</v>
      </c>
      <c r="AD121" s="139">
        <f>D121*AA121-F121-G121-O121-Q121-R121-S121</f>
        <v>2999.49</v>
      </c>
    </row>
    <row r="122" spans="1:30">
      <c r="A122" s="134" t="s">
        <v>364</v>
      </c>
      <c r="B122" s="134">
        <v>2013</v>
      </c>
      <c r="C122" s="136">
        <v>3</v>
      </c>
      <c r="D122" s="139">
        <v>5400</v>
      </c>
      <c r="E122" s="136">
        <v>3577.1</v>
      </c>
      <c r="F122" s="139">
        <v>2416.7600000000002</v>
      </c>
      <c r="G122" s="139"/>
      <c r="H122" s="139"/>
      <c r="I122" s="139"/>
      <c r="J122" s="139"/>
      <c r="K122" s="139">
        <v>46.84</v>
      </c>
      <c r="L122" s="139">
        <f t="shared" si="49"/>
        <v>45.900000000000006</v>
      </c>
      <c r="M122" s="139">
        <v>0</v>
      </c>
      <c r="N122" s="139">
        <v>0</v>
      </c>
      <c r="O122" s="139">
        <v>50</v>
      </c>
      <c r="P122" s="139"/>
      <c r="Q122" s="139">
        <v>199</v>
      </c>
      <c r="R122" s="139">
        <v>30</v>
      </c>
      <c r="S122" s="139">
        <v>300</v>
      </c>
      <c r="T122" s="139">
        <v>0</v>
      </c>
      <c r="U122" s="159"/>
      <c r="V122" s="159">
        <v>0</v>
      </c>
      <c r="W122" s="136">
        <v>3577.1</v>
      </c>
      <c r="X122" s="139">
        <v>0</v>
      </c>
      <c r="Y122" s="139">
        <f t="shared" si="58"/>
        <v>357.71000000000004</v>
      </c>
      <c r="Z122" s="139"/>
      <c r="AA122" s="160">
        <v>0.87</v>
      </c>
      <c r="AB122" s="139">
        <v>95</v>
      </c>
      <c r="AC122" s="139">
        <f>D122*0.13+S122+R122+Q122+O122-Y122-L122</f>
        <v>877.39</v>
      </c>
      <c r="AD122" s="139">
        <f t="shared" ref="AD122:AD123" si="61">D122*AA122-F122-G122-S122-R122-Q122-O122</f>
        <v>1702.2399999999998</v>
      </c>
    </row>
    <row r="123" spans="1:30">
      <c r="A123" s="134" t="s">
        <v>370</v>
      </c>
      <c r="B123" s="134">
        <v>1</v>
      </c>
      <c r="C123" s="136">
        <v>5</v>
      </c>
      <c r="D123" s="139">
        <v>5100</v>
      </c>
      <c r="E123" s="136">
        <v>3059.6</v>
      </c>
      <c r="F123" s="139">
        <v>2695.06</v>
      </c>
      <c r="G123" s="139"/>
      <c r="H123" s="139"/>
      <c r="I123" s="139"/>
      <c r="J123" s="139"/>
      <c r="K123" s="139">
        <v>129.66999999999999</v>
      </c>
      <c r="L123" s="139">
        <f t="shared" si="49"/>
        <v>43.35</v>
      </c>
      <c r="M123" s="139">
        <v>7</v>
      </c>
      <c r="N123" s="139">
        <v>0</v>
      </c>
      <c r="O123" s="139">
        <v>0</v>
      </c>
      <c r="P123" s="139"/>
      <c r="Q123" s="139">
        <v>0</v>
      </c>
      <c r="R123" s="139">
        <v>0</v>
      </c>
      <c r="S123" s="139">
        <v>0</v>
      </c>
      <c r="T123" s="139">
        <v>0</v>
      </c>
      <c r="U123" s="159"/>
      <c r="V123" s="159">
        <v>0</v>
      </c>
      <c r="W123" s="136">
        <v>3059.6</v>
      </c>
      <c r="X123" s="139">
        <v>0</v>
      </c>
      <c r="Y123" s="139">
        <f t="shared" si="58"/>
        <v>305.95999999999998</v>
      </c>
      <c r="Z123" s="139"/>
      <c r="AA123" s="160">
        <v>0.8</v>
      </c>
      <c r="AB123" s="139">
        <v>95</v>
      </c>
      <c r="AC123" s="139">
        <f>D123*0.13-AB123-Y123+S123+R123+Q123+O123-L123</f>
        <v>218.69000000000003</v>
      </c>
      <c r="AD123" s="139">
        <f t="shared" si="61"/>
        <v>1384.94</v>
      </c>
    </row>
    <row r="124" spans="1:30">
      <c r="A124" s="134" t="s">
        <v>395</v>
      </c>
      <c r="B124" s="135" t="s">
        <v>362</v>
      </c>
      <c r="C124" s="136">
        <v>3</v>
      </c>
      <c r="D124" s="139">
        <v>6900</v>
      </c>
      <c r="E124" s="136">
        <v>2245.1999999999998</v>
      </c>
      <c r="F124" s="139">
        <v>2210.71</v>
      </c>
      <c r="G124" s="139">
        <v>53.75</v>
      </c>
      <c r="H124" s="139"/>
      <c r="I124" s="139"/>
      <c r="J124" s="139"/>
      <c r="K124" s="139">
        <v>45.36</v>
      </c>
      <c r="L124" s="139">
        <f t="shared" si="49"/>
        <v>58.650000000000006</v>
      </c>
      <c r="M124" s="139">
        <v>0</v>
      </c>
      <c r="N124" s="139">
        <v>0</v>
      </c>
      <c r="O124" s="139">
        <v>50</v>
      </c>
      <c r="P124" s="139"/>
      <c r="Q124" s="139">
        <v>0</v>
      </c>
      <c r="R124" s="139">
        <v>0</v>
      </c>
      <c r="S124" s="139">
        <v>300</v>
      </c>
      <c r="T124" s="139">
        <v>0</v>
      </c>
      <c r="U124" s="159"/>
      <c r="V124" s="159">
        <v>0</v>
      </c>
      <c r="W124" s="136">
        <v>2245.1999999999998</v>
      </c>
      <c r="X124" s="139">
        <v>0</v>
      </c>
      <c r="Y124" s="139">
        <f t="shared" si="58"/>
        <v>224.51999999999998</v>
      </c>
      <c r="Z124" s="139"/>
      <c r="AA124" s="160">
        <v>0.88</v>
      </c>
      <c r="AB124" s="139">
        <v>95</v>
      </c>
      <c r="AC124" s="139">
        <f>D124*0.12+O124+S124-Y124-AB124-L124</f>
        <v>799.83</v>
      </c>
      <c r="AD124" s="139">
        <f>D124*AA124-F124-G124-O124-S124</f>
        <v>3457.54</v>
      </c>
    </row>
    <row r="125" spans="1:30">
      <c r="A125" s="71" t="s">
        <v>89</v>
      </c>
      <c r="B125" s="72">
        <v>29</v>
      </c>
      <c r="C125" s="172">
        <f>AVERAGE(C96:C115)</f>
        <v>4.615384615384615</v>
      </c>
      <c r="D125" s="162">
        <f>SUM(D96:D124)</f>
        <v>97815</v>
      </c>
      <c r="E125" s="170">
        <f>AVERAGE(E97:E124)</f>
        <v>2255.0142857142855</v>
      </c>
      <c r="F125" s="162">
        <f t="shared" ref="F125:G125" si="62">SUM(F96:F124)</f>
        <v>41749.409999999996</v>
      </c>
      <c r="G125" s="162">
        <f t="shared" si="62"/>
        <v>1121.1199999999999</v>
      </c>
      <c r="H125" s="162"/>
      <c r="I125" s="162">
        <f t="shared" ref="I125:O125" si="63">SUM(I96:I124)</f>
        <v>1000</v>
      </c>
      <c r="J125" s="162">
        <f t="shared" si="63"/>
        <v>200</v>
      </c>
      <c r="K125" s="162">
        <f t="shared" si="63"/>
        <v>2854.0700000000006</v>
      </c>
      <c r="L125" s="162">
        <f t="shared" si="63"/>
        <v>831.42750000000012</v>
      </c>
      <c r="M125" s="162">
        <f t="shared" si="63"/>
        <v>161</v>
      </c>
      <c r="N125" s="162">
        <f t="shared" si="63"/>
        <v>14789.500000000004</v>
      </c>
      <c r="O125" s="162">
        <f t="shared" si="63"/>
        <v>250</v>
      </c>
      <c r="P125" s="162"/>
      <c r="Q125" s="162">
        <f t="shared" ref="Q125:T125" si="64">SUM(Q96:Q124)</f>
        <v>796</v>
      </c>
      <c r="R125" s="162">
        <f t="shared" si="64"/>
        <v>120</v>
      </c>
      <c r="S125" s="162">
        <f t="shared" si="64"/>
        <v>1500</v>
      </c>
      <c r="T125" s="162">
        <f t="shared" si="64"/>
        <v>2459.9357999999997</v>
      </c>
      <c r="U125" s="162"/>
      <c r="V125" s="162">
        <f t="shared" ref="V125:Z125" si="65">SUM(V96:V124)</f>
        <v>1.492</v>
      </c>
      <c r="W125" s="162">
        <f t="shared" si="65"/>
        <v>51616.399999999994</v>
      </c>
      <c r="X125" s="162">
        <f t="shared" si="65"/>
        <v>7181.3999999999987</v>
      </c>
      <c r="Y125" s="162">
        <f t="shared" si="65"/>
        <v>4735.5300000000007</v>
      </c>
      <c r="Z125" s="162">
        <f t="shared" si="65"/>
        <v>472.5</v>
      </c>
      <c r="AA125" s="162"/>
      <c r="AB125" s="162">
        <f t="shared" ref="AB125:AD125" si="66">SUM(AB96:AB124)</f>
        <v>2660</v>
      </c>
      <c r="AC125" s="162">
        <f t="shared" si="66"/>
        <v>-10591.553300000005</v>
      </c>
      <c r="AD125" s="162">
        <f t="shared" si="66"/>
        <v>33901.75</v>
      </c>
    </row>
  </sheetData>
  <mergeCells count="4">
    <mergeCell ref="A1:Z1"/>
    <mergeCell ref="A31:AD31"/>
    <mergeCell ref="A62:AD62"/>
    <mergeCell ref="A94:AD9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E124"/>
  <sheetViews>
    <sheetView workbookViewId="0"/>
  </sheetViews>
  <sheetFormatPr baseColWidth="10" defaultColWidth="12.6640625" defaultRowHeight="15.75" customHeight="1"/>
  <sheetData>
    <row r="1" spans="1:30">
      <c r="A1" s="457" t="s">
        <v>400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  <c r="AC1" s="458"/>
      <c r="AD1" s="459"/>
    </row>
    <row r="2" spans="1:30">
      <c r="A2" s="95" t="s">
        <v>0</v>
      </c>
      <c r="B2" s="95" t="s">
        <v>1</v>
      </c>
      <c r="C2" s="95" t="s">
        <v>372</v>
      </c>
      <c r="D2" s="95" t="s">
        <v>2</v>
      </c>
      <c r="E2" s="95" t="s">
        <v>9</v>
      </c>
      <c r="F2" s="95" t="s">
        <v>7</v>
      </c>
      <c r="G2" s="95" t="s">
        <v>8</v>
      </c>
      <c r="H2" s="95"/>
      <c r="I2" s="95" t="s">
        <v>287</v>
      </c>
      <c r="J2" s="95" t="s">
        <v>288</v>
      </c>
      <c r="K2" s="95" t="s">
        <v>257</v>
      </c>
      <c r="L2" s="95" t="s">
        <v>373</v>
      </c>
      <c r="M2" s="95" t="s">
        <v>374</v>
      </c>
      <c r="N2" s="95" t="s">
        <v>375</v>
      </c>
      <c r="O2" s="95" t="s">
        <v>376</v>
      </c>
      <c r="P2" s="95"/>
      <c r="Q2" s="95" t="s">
        <v>377</v>
      </c>
      <c r="R2" s="150" t="s">
        <v>378</v>
      </c>
      <c r="S2" s="150" t="s">
        <v>379</v>
      </c>
      <c r="T2" s="150" t="s">
        <v>352</v>
      </c>
      <c r="U2" s="95"/>
      <c r="V2" s="95" t="s">
        <v>380</v>
      </c>
      <c r="W2" s="95" t="s">
        <v>381</v>
      </c>
      <c r="X2" s="95" t="s">
        <v>382</v>
      </c>
      <c r="Y2" s="95" t="s">
        <v>383</v>
      </c>
      <c r="Z2" s="95" t="s">
        <v>384</v>
      </c>
      <c r="AA2" s="95" t="s">
        <v>385</v>
      </c>
      <c r="AB2" s="95" t="s">
        <v>333</v>
      </c>
      <c r="AC2" s="95" t="s">
        <v>13</v>
      </c>
      <c r="AD2" s="95" t="s">
        <v>98</v>
      </c>
    </row>
    <row r="3" spans="1:30">
      <c r="A3" s="184" t="s">
        <v>347</v>
      </c>
      <c r="B3" s="185" t="s">
        <v>401</v>
      </c>
      <c r="C3" s="112">
        <v>6</v>
      </c>
      <c r="D3" s="103">
        <v>9390</v>
      </c>
      <c r="E3" s="102" t="s">
        <v>402</v>
      </c>
      <c r="F3" s="128">
        <v>2673.51</v>
      </c>
      <c r="G3" s="103">
        <f>39.4+113.6</f>
        <v>153</v>
      </c>
      <c r="H3" s="103"/>
      <c r="I3" s="103"/>
      <c r="J3" s="103"/>
      <c r="K3" s="128">
        <v>338.89</v>
      </c>
      <c r="L3" s="103">
        <f t="shared" ref="L3:L30" si="0">D3*0.0085</f>
        <v>79.815000000000012</v>
      </c>
      <c r="M3" s="103">
        <v>7</v>
      </c>
      <c r="N3" s="103">
        <v>689.44</v>
      </c>
      <c r="O3" s="103"/>
      <c r="P3" s="103"/>
      <c r="Q3" s="103">
        <v>0</v>
      </c>
      <c r="R3" s="103"/>
      <c r="S3" s="103"/>
      <c r="T3" s="103">
        <v>0</v>
      </c>
      <c r="U3" s="152"/>
      <c r="V3" s="152">
        <v>7.4899999999999994E-2</v>
      </c>
      <c r="W3" s="153">
        <v>2247.3000000000002</v>
      </c>
      <c r="X3" s="103">
        <v>359.07</v>
      </c>
      <c r="Y3" s="103">
        <f t="shared" ref="Y3:Y30" si="1">E3*0.1</f>
        <v>0.45880000000000004</v>
      </c>
      <c r="Z3" s="103"/>
      <c r="AA3" s="154">
        <v>0.75</v>
      </c>
      <c r="AB3" s="103">
        <v>95</v>
      </c>
      <c r="AC3" s="103">
        <f t="shared" ref="AC3:AC22" si="2">D3-F3-G3+K3-L3-M3-N3-X3-Y3-AB3-AD3-T3</f>
        <v>5668.1552000000001</v>
      </c>
      <c r="AD3" s="103">
        <f t="shared" ref="AD3:AD8" si="3">AA3*E3</f>
        <v>3.4409999999999998</v>
      </c>
    </row>
    <row r="4" spans="1:30">
      <c r="A4" s="186" t="s">
        <v>355</v>
      </c>
      <c r="B4" s="185">
        <v>352371</v>
      </c>
      <c r="C4" s="112">
        <v>6</v>
      </c>
      <c r="D4" s="103">
        <v>6250</v>
      </c>
      <c r="E4" s="112">
        <v>2887</v>
      </c>
      <c r="F4" s="146">
        <v>2715.38</v>
      </c>
      <c r="G4" s="128">
        <v>90.22</v>
      </c>
      <c r="H4" s="103"/>
      <c r="I4" s="103"/>
      <c r="J4" s="103"/>
      <c r="K4" s="128">
        <v>349.14</v>
      </c>
      <c r="L4" s="103">
        <f t="shared" si="0"/>
        <v>53.125000000000007</v>
      </c>
      <c r="M4" s="103">
        <v>7</v>
      </c>
      <c r="N4" s="103">
        <v>689.44</v>
      </c>
      <c r="O4" s="103"/>
      <c r="P4" s="103"/>
      <c r="Q4" s="103">
        <v>0</v>
      </c>
      <c r="R4" s="103"/>
      <c r="S4" s="103"/>
      <c r="T4" s="103">
        <f t="shared" ref="T4:T22" si="4">W4*V4</f>
        <v>222.33315999999999</v>
      </c>
      <c r="U4" s="152"/>
      <c r="V4" s="152">
        <v>7.4899999999999994E-2</v>
      </c>
      <c r="W4" s="153">
        <v>2968.4</v>
      </c>
      <c r="X4" s="103">
        <v>359.07</v>
      </c>
      <c r="Y4" s="103">
        <f t="shared" si="1"/>
        <v>288.7</v>
      </c>
      <c r="Z4" s="103"/>
      <c r="AA4" s="154">
        <v>0.75</v>
      </c>
      <c r="AB4" s="103">
        <v>95</v>
      </c>
      <c r="AC4" s="103">
        <f t="shared" si="2"/>
        <v>-86.378160000000065</v>
      </c>
      <c r="AD4" s="103">
        <f t="shared" si="3"/>
        <v>2165.25</v>
      </c>
    </row>
    <row r="5" spans="1:30">
      <c r="A5" s="187"/>
      <c r="B5" s="185">
        <v>352372</v>
      </c>
      <c r="C5" s="112"/>
      <c r="D5" s="103"/>
      <c r="E5" s="112"/>
      <c r="F5" s="146"/>
      <c r="G5" s="117"/>
      <c r="H5" s="103"/>
      <c r="I5" s="103"/>
      <c r="J5" s="103"/>
      <c r="K5" s="146"/>
      <c r="L5" s="103">
        <f t="shared" si="0"/>
        <v>0</v>
      </c>
      <c r="M5" s="103">
        <v>7</v>
      </c>
      <c r="N5" s="103">
        <v>689.44</v>
      </c>
      <c r="O5" s="103"/>
      <c r="P5" s="103"/>
      <c r="Q5" s="103">
        <v>0</v>
      </c>
      <c r="R5" s="103"/>
      <c r="S5" s="103"/>
      <c r="T5" s="103">
        <f t="shared" si="4"/>
        <v>1.498E-2</v>
      </c>
      <c r="U5" s="152"/>
      <c r="V5" s="152">
        <v>7.4899999999999994E-2</v>
      </c>
      <c r="W5" s="153">
        <v>0.2</v>
      </c>
      <c r="X5" s="103">
        <v>359.07</v>
      </c>
      <c r="Y5" s="103">
        <f t="shared" si="1"/>
        <v>0</v>
      </c>
      <c r="Z5" s="103"/>
      <c r="AA5" s="154"/>
      <c r="AB5" s="103">
        <v>95</v>
      </c>
      <c r="AC5" s="103">
        <f t="shared" si="2"/>
        <v>-1150.5249799999999</v>
      </c>
      <c r="AD5" s="103">
        <f t="shared" si="3"/>
        <v>0</v>
      </c>
    </row>
    <row r="6" spans="1:30">
      <c r="A6" s="184" t="s">
        <v>318</v>
      </c>
      <c r="B6" s="185">
        <v>352373</v>
      </c>
      <c r="C6" s="112"/>
      <c r="D6" s="103"/>
      <c r="E6" s="117"/>
      <c r="F6" s="146">
        <v>270.93</v>
      </c>
      <c r="G6" s="128">
        <v>82.9</v>
      </c>
      <c r="H6" s="103"/>
      <c r="I6" s="103"/>
      <c r="J6" s="103"/>
      <c r="K6" s="146">
        <v>27.67</v>
      </c>
      <c r="L6" s="103">
        <f t="shared" si="0"/>
        <v>0</v>
      </c>
      <c r="M6" s="103">
        <v>7</v>
      </c>
      <c r="N6" s="103">
        <v>689.44</v>
      </c>
      <c r="O6" s="103"/>
      <c r="P6" s="103"/>
      <c r="Q6" s="103">
        <v>0</v>
      </c>
      <c r="R6" s="103"/>
      <c r="S6" s="103"/>
      <c r="T6" s="103">
        <f t="shared" si="4"/>
        <v>77.16946999999999</v>
      </c>
      <c r="U6" s="152"/>
      <c r="V6" s="152">
        <v>7.4899999999999994E-2</v>
      </c>
      <c r="W6" s="153">
        <v>1030.3</v>
      </c>
      <c r="X6" s="103">
        <v>359.07</v>
      </c>
      <c r="Y6" s="103">
        <f t="shared" si="1"/>
        <v>0</v>
      </c>
      <c r="Z6" s="103"/>
      <c r="AA6" s="154"/>
      <c r="AB6" s="103">
        <v>95</v>
      </c>
      <c r="AC6" s="103">
        <f t="shared" si="2"/>
        <v>-1553.8394700000001</v>
      </c>
      <c r="AD6" s="103">
        <f t="shared" si="3"/>
        <v>0</v>
      </c>
    </row>
    <row r="7" spans="1:30">
      <c r="A7" s="187"/>
      <c r="B7" s="188" t="s">
        <v>403</v>
      </c>
      <c r="C7" s="112"/>
      <c r="D7" s="103"/>
      <c r="E7" s="117"/>
      <c r="F7" s="146"/>
      <c r="G7" s="128"/>
      <c r="H7" s="103"/>
      <c r="I7" s="103"/>
      <c r="J7" s="103"/>
      <c r="K7" s="146"/>
      <c r="L7" s="103">
        <f t="shared" si="0"/>
        <v>0</v>
      </c>
      <c r="M7" s="103">
        <v>7</v>
      </c>
      <c r="N7" s="103">
        <v>689.44</v>
      </c>
      <c r="O7" s="103"/>
      <c r="P7" s="103"/>
      <c r="Q7" s="103">
        <v>0</v>
      </c>
      <c r="R7" s="103"/>
      <c r="S7" s="103"/>
      <c r="T7" s="103">
        <f t="shared" si="4"/>
        <v>0</v>
      </c>
      <c r="U7" s="152"/>
      <c r="V7" s="152">
        <v>7.4899999999999994E-2</v>
      </c>
      <c r="W7" s="153"/>
      <c r="X7" s="103">
        <v>359.07</v>
      </c>
      <c r="Y7" s="103">
        <f t="shared" si="1"/>
        <v>0</v>
      </c>
      <c r="Z7" s="103"/>
      <c r="AA7" s="154"/>
      <c r="AB7" s="103">
        <v>95</v>
      </c>
      <c r="AC7" s="103">
        <f t="shared" si="2"/>
        <v>-1150.51</v>
      </c>
      <c r="AD7" s="103">
        <f t="shared" si="3"/>
        <v>0</v>
      </c>
    </row>
    <row r="8" spans="1:30">
      <c r="A8" s="187"/>
      <c r="B8" s="185">
        <v>352375</v>
      </c>
      <c r="C8" s="112"/>
      <c r="D8" s="103"/>
      <c r="E8" s="112"/>
      <c r="F8" s="146"/>
      <c r="G8" s="128"/>
      <c r="H8" s="103"/>
      <c r="I8" s="103"/>
      <c r="J8" s="103"/>
      <c r="K8" s="146"/>
      <c r="L8" s="103">
        <f t="shared" si="0"/>
        <v>0</v>
      </c>
      <c r="M8" s="103">
        <v>7</v>
      </c>
      <c r="N8" s="103">
        <v>689.44</v>
      </c>
      <c r="O8" s="103"/>
      <c r="P8" s="103"/>
      <c r="Q8" s="103">
        <v>0</v>
      </c>
      <c r="R8" s="103"/>
      <c r="S8" s="103"/>
      <c r="T8" s="103">
        <f t="shared" si="4"/>
        <v>0</v>
      </c>
      <c r="U8" s="152"/>
      <c r="V8" s="152">
        <v>7.4899999999999994E-2</v>
      </c>
      <c r="W8" s="153"/>
      <c r="X8" s="103">
        <v>359.07</v>
      </c>
      <c r="Y8" s="103">
        <f t="shared" si="1"/>
        <v>0</v>
      </c>
      <c r="Z8" s="103"/>
      <c r="AA8" s="154"/>
      <c r="AB8" s="103">
        <v>95</v>
      </c>
      <c r="AC8" s="103">
        <f t="shared" si="2"/>
        <v>-1150.51</v>
      </c>
      <c r="AD8" s="103">
        <f t="shared" si="3"/>
        <v>0</v>
      </c>
    </row>
    <row r="9" spans="1:30">
      <c r="A9" s="187" t="s">
        <v>62</v>
      </c>
      <c r="B9" s="185">
        <v>352376</v>
      </c>
      <c r="C9" s="112">
        <v>7</v>
      </c>
      <c r="D9" s="103">
        <v>5050</v>
      </c>
      <c r="E9" s="117">
        <v>2710</v>
      </c>
      <c r="F9" s="146">
        <v>1789.84</v>
      </c>
      <c r="G9" s="128">
        <v>14</v>
      </c>
      <c r="H9" s="103"/>
      <c r="I9" s="103">
        <v>100</v>
      </c>
      <c r="J9" s="103"/>
      <c r="K9" s="146">
        <v>291.45</v>
      </c>
      <c r="L9" s="103">
        <f t="shared" si="0"/>
        <v>42.925000000000004</v>
      </c>
      <c r="M9" s="103">
        <v>7</v>
      </c>
      <c r="N9" s="103">
        <v>689.44</v>
      </c>
      <c r="O9" s="103"/>
      <c r="P9" s="103"/>
      <c r="Q9" s="103">
        <v>0</v>
      </c>
      <c r="R9" s="103"/>
      <c r="S9" s="103"/>
      <c r="T9" s="103">
        <f t="shared" si="4"/>
        <v>206.45435999999998</v>
      </c>
      <c r="U9" s="152"/>
      <c r="V9" s="152">
        <v>7.4899999999999994E-2</v>
      </c>
      <c r="W9" s="153">
        <v>2756.4</v>
      </c>
      <c r="X9" s="103">
        <v>359.07</v>
      </c>
      <c r="Y9" s="103">
        <f t="shared" si="1"/>
        <v>271</v>
      </c>
      <c r="Z9" s="103"/>
      <c r="AA9" s="154">
        <v>0.75</v>
      </c>
      <c r="AB9" s="103">
        <v>95</v>
      </c>
      <c r="AC9" s="103">
        <f t="shared" si="2"/>
        <v>-265.77936000000068</v>
      </c>
      <c r="AD9" s="103">
        <f>AA9*E9+I9</f>
        <v>2132.5</v>
      </c>
    </row>
    <row r="10" spans="1:30">
      <c r="A10" s="187" t="s">
        <v>390</v>
      </c>
      <c r="B10" s="185">
        <v>352377</v>
      </c>
      <c r="C10" s="112">
        <v>7</v>
      </c>
      <c r="D10" s="103">
        <v>11025</v>
      </c>
      <c r="E10" s="112">
        <v>4551</v>
      </c>
      <c r="F10" s="146">
        <v>3701.7</v>
      </c>
      <c r="G10" s="128">
        <v>44.75</v>
      </c>
      <c r="H10" s="103"/>
      <c r="I10" s="103"/>
      <c r="J10" s="103"/>
      <c r="K10" s="146">
        <v>65.040000000000006</v>
      </c>
      <c r="L10" s="103">
        <f t="shared" si="0"/>
        <v>93.712500000000006</v>
      </c>
      <c r="M10" s="103">
        <v>7</v>
      </c>
      <c r="N10" s="103">
        <v>689.44</v>
      </c>
      <c r="O10" s="103"/>
      <c r="P10" s="103"/>
      <c r="Q10" s="103">
        <v>0</v>
      </c>
      <c r="R10" s="103"/>
      <c r="S10" s="103"/>
      <c r="T10" s="103">
        <f t="shared" si="4"/>
        <v>369.00234</v>
      </c>
      <c r="U10" s="152"/>
      <c r="V10" s="152">
        <v>7.4899999999999994E-2</v>
      </c>
      <c r="W10" s="153">
        <v>4926.6000000000004</v>
      </c>
      <c r="X10" s="103">
        <v>359.07</v>
      </c>
      <c r="Y10" s="103">
        <f t="shared" si="1"/>
        <v>455.1</v>
      </c>
      <c r="Z10" s="103"/>
      <c r="AA10" s="154">
        <v>0.7</v>
      </c>
      <c r="AB10" s="103">
        <v>95</v>
      </c>
      <c r="AC10" s="103">
        <f t="shared" si="2"/>
        <v>2089.5651600000001</v>
      </c>
      <c r="AD10" s="103">
        <f t="shared" ref="AD10:AD11" si="5">AA10*E10</f>
        <v>3185.7</v>
      </c>
    </row>
    <row r="11" spans="1:30">
      <c r="A11" s="187"/>
      <c r="B11" s="185">
        <v>359885</v>
      </c>
      <c r="C11" s="112"/>
      <c r="D11" s="103"/>
      <c r="E11" s="112"/>
      <c r="F11" s="146"/>
      <c r="G11" s="128"/>
      <c r="H11" s="103"/>
      <c r="I11" s="103"/>
      <c r="J11" s="103"/>
      <c r="K11" s="146"/>
      <c r="L11" s="103">
        <f t="shared" si="0"/>
        <v>0</v>
      </c>
      <c r="M11" s="103">
        <v>7</v>
      </c>
      <c r="N11" s="103">
        <v>689.44</v>
      </c>
      <c r="O11" s="103"/>
      <c r="P11" s="103"/>
      <c r="Q11" s="103">
        <v>0</v>
      </c>
      <c r="R11" s="103"/>
      <c r="S11" s="103"/>
      <c r="T11" s="103">
        <f t="shared" si="4"/>
        <v>72.66798</v>
      </c>
      <c r="U11" s="152"/>
      <c r="V11" s="152">
        <v>7.4899999999999994E-2</v>
      </c>
      <c r="W11" s="153">
        <v>970.2</v>
      </c>
      <c r="X11" s="103">
        <v>359.07</v>
      </c>
      <c r="Y11" s="103">
        <f t="shared" si="1"/>
        <v>0</v>
      </c>
      <c r="Z11" s="103"/>
      <c r="AA11" s="154">
        <v>0.75</v>
      </c>
      <c r="AB11" s="103">
        <v>95</v>
      </c>
      <c r="AC11" s="103">
        <f t="shared" si="2"/>
        <v>-1223.1779799999999</v>
      </c>
      <c r="AD11" s="103">
        <f t="shared" si="5"/>
        <v>0</v>
      </c>
    </row>
    <row r="12" spans="1:30">
      <c r="A12" s="189" t="s">
        <v>393</v>
      </c>
      <c r="B12" s="185">
        <v>359886</v>
      </c>
      <c r="C12" s="112">
        <v>5</v>
      </c>
      <c r="D12" s="103">
        <v>7275</v>
      </c>
      <c r="E12" s="112">
        <v>3418</v>
      </c>
      <c r="F12" s="146">
        <v>2385.31</v>
      </c>
      <c r="G12" s="128">
        <v>166.3</v>
      </c>
      <c r="H12" s="103"/>
      <c r="I12" s="103">
        <v>200</v>
      </c>
      <c r="J12" s="103"/>
      <c r="K12" s="146">
        <v>405.31</v>
      </c>
      <c r="L12" s="103">
        <f t="shared" si="0"/>
        <v>61.837500000000006</v>
      </c>
      <c r="M12" s="103">
        <v>7</v>
      </c>
      <c r="N12" s="103">
        <v>689.44</v>
      </c>
      <c r="O12" s="103"/>
      <c r="P12" s="103"/>
      <c r="Q12" s="103">
        <v>0</v>
      </c>
      <c r="R12" s="103"/>
      <c r="S12" s="103"/>
      <c r="T12" s="103">
        <f t="shared" si="4"/>
        <v>248.89269999999999</v>
      </c>
      <c r="U12" s="152"/>
      <c r="V12" s="152">
        <v>7.4899999999999994E-2</v>
      </c>
      <c r="W12" s="153">
        <v>3323</v>
      </c>
      <c r="X12" s="103">
        <v>359.07</v>
      </c>
      <c r="Y12" s="103">
        <f t="shared" si="1"/>
        <v>341.8</v>
      </c>
      <c r="Z12" s="103"/>
      <c r="AA12" s="154">
        <v>0.75</v>
      </c>
      <c r="AB12" s="103">
        <v>95</v>
      </c>
      <c r="AC12" s="103">
        <f t="shared" si="2"/>
        <v>562.15980000000025</v>
      </c>
      <c r="AD12" s="103">
        <f>AA12*E12+I12</f>
        <v>2763.5</v>
      </c>
    </row>
    <row r="13" spans="1:30">
      <c r="A13" s="187" t="s">
        <v>319</v>
      </c>
      <c r="B13" s="185">
        <v>465180</v>
      </c>
      <c r="C13" s="112">
        <v>0</v>
      </c>
      <c r="D13" s="103">
        <v>0</v>
      </c>
      <c r="E13" s="112">
        <v>0</v>
      </c>
      <c r="F13" s="146">
        <v>515.6</v>
      </c>
      <c r="G13" s="128">
        <v>78.989999999999995</v>
      </c>
      <c r="H13" s="103"/>
      <c r="I13" s="103"/>
      <c r="J13" s="103"/>
      <c r="K13" s="146">
        <v>84.85</v>
      </c>
      <c r="L13" s="103">
        <f t="shared" si="0"/>
        <v>0</v>
      </c>
      <c r="M13" s="103">
        <v>7</v>
      </c>
      <c r="N13" s="103">
        <v>789.51</v>
      </c>
      <c r="O13" s="103"/>
      <c r="P13" s="103"/>
      <c r="Q13" s="103">
        <v>0</v>
      </c>
      <c r="R13" s="103"/>
      <c r="S13" s="103"/>
      <c r="T13" s="103">
        <f t="shared" si="4"/>
        <v>8.6931000000000012</v>
      </c>
      <c r="U13" s="152"/>
      <c r="V13" s="152">
        <v>7.4300000000000005E-2</v>
      </c>
      <c r="W13" s="153">
        <v>117</v>
      </c>
      <c r="X13" s="103">
        <v>359.07</v>
      </c>
      <c r="Y13" s="103">
        <f t="shared" si="1"/>
        <v>0</v>
      </c>
      <c r="Z13" s="103"/>
      <c r="AA13" s="154">
        <v>0.75</v>
      </c>
      <c r="AB13" s="103">
        <v>95</v>
      </c>
      <c r="AC13" s="103">
        <f t="shared" si="2"/>
        <v>-1769.0130999999999</v>
      </c>
      <c r="AD13" s="103">
        <f t="shared" ref="AD13:AD14" si="6">AA13*E13</f>
        <v>0</v>
      </c>
    </row>
    <row r="14" spans="1:30">
      <c r="A14" s="187" t="s">
        <v>322</v>
      </c>
      <c r="B14" s="185">
        <v>465181</v>
      </c>
      <c r="C14" s="117">
        <v>5</v>
      </c>
      <c r="D14" s="128">
        <v>7400</v>
      </c>
      <c r="E14" s="112">
        <v>3541</v>
      </c>
      <c r="F14" s="146">
        <v>2848.67</v>
      </c>
      <c r="G14" s="128"/>
      <c r="H14" s="128"/>
      <c r="I14" s="128"/>
      <c r="J14" s="128"/>
      <c r="K14" s="146">
        <v>469.76</v>
      </c>
      <c r="L14" s="103">
        <f t="shared" si="0"/>
        <v>62.900000000000006</v>
      </c>
      <c r="M14" s="103">
        <v>7</v>
      </c>
      <c r="N14" s="103">
        <v>789.51</v>
      </c>
      <c r="O14" s="103"/>
      <c r="P14" s="103"/>
      <c r="Q14" s="103">
        <v>0</v>
      </c>
      <c r="R14" s="103"/>
      <c r="S14" s="103"/>
      <c r="T14" s="103">
        <f t="shared" si="4"/>
        <v>248.08770000000001</v>
      </c>
      <c r="U14" s="152"/>
      <c r="V14" s="152">
        <v>7.4300000000000005E-2</v>
      </c>
      <c r="W14" s="153">
        <v>3339</v>
      </c>
      <c r="X14" s="103">
        <v>359.07</v>
      </c>
      <c r="Y14" s="103">
        <f t="shared" si="1"/>
        <v>354.1</v>
      </c>
      <c r="Z14" s="103"/>
      <c r="AA14" s="154">
        <v>0.8</v>
      </c>
      <c r="AB14" s="103">
        <v>95</v>
      </c>
      <c r="AC14" s="103">
        <f t="shared" si="2"/>
        <v>272.6223</v>
      </c>
      <c r="AD14" s="103">
        <f t="shared" si="6"/>
        <v>2832.8</v>
      </c>
    </row>
    <row r="15" spans="1:30">
      <c r="A15" s="187" t="s">
        <v>349</v>
      </c>
      <c r="B15" s="185">
        <v>465182</v>
      </c>
      <c r="C15" s="112">
        <v>6</v>
      </c>
      <c r="D15" s="103">
        <v>6050</v>
      </c>
      <c r="E15" s="112">
        <v>3914</v>
      </c>
      <c r="F15" s="146">
        <v>2633.8</v>
      </c>
      <c r="G15" s="128">
        <v>104.45</v>
      </c>
      <c r="H15" s="128"/>
      <c r="I15" s="128">
        <v>200</v>
      </c>
      <c r="J15" s="128"/>
      <c r="K15" s="146">
        <v>31.13</v>
      </c>
      <c r="L15" s="103">
        <f t="shared" si="0"/>
        <v>51.425000000000004</v>
      </c>
      <c r="M15" s="103">
        <v>7</v>
      </c>
      <c r="N15" s="103">
        <v>789.51</v>
      </c>
      <c r="O15" s="103"/>
      <c r="P15" s="103"/>
      <c r="Q15" s="103">
        <v>0</v>
      </c>
      <c r="R15" s="103"/>
      <c r="S15" s="103"/>
      <c r="T15" s="103">
        <f t="shared" si="4"/>
        <v>281.06947000000002</v>
      </c>
      <c r="U15" s="152"/>
      <c r="V15" s="152">
        <v>7.4300000000000005E-2</v>
      </c>
      <c r="W15" s="153">
        <v>3782.9</v>
      </c>
      <c r="X15" s="103">
        <v>359.07</v>
      </c>
      <c r="Y15" s="103">
        <f t="shared" si="1"/>
        <v>391.40000000000003</v>
      </c>
      <c r="Z15" s="103"/>
      <c r="AA15" s="154">
        <v>0.8</v>
      </c>
      <c r="AB15" s="103">
        <v>95</v>
      </c>
      <c r="AC15" s="103">
        <f t="shared" si="2"/>
        <v>-1962.7944700000007</v>
      </c>
      <c r="AD15" s="103">
        <f>AA15*E15+I15</f>
        <v>3331.2000000000003</v>
      </c>
    </row>
    <row r="16" spans="1:30">
      <c r="A16" s="187" t="s">
        <v>88</v>
      </c>
      <c r="B16" s="185">
        <v>465183</v>
      </c>
      <c r="C16" s="117">
        <v>0</v>
      </c>
      <c r="D16" s="103">
        <v>0</v>
      </c>
      <c r="E16" s="112">
        <v>0</v>
      </c>
      <c r="F16" s="146"/>
      <c r="G16" s="128"/>
      <c r="H16" s="128"/>
      <c r="I16" s="128"/>
      <c r="J16" s="128"/>
      <c r="K16" s="146"/>
      <c r="L16" s="103">
        <f t="shared" si="0"/>
        <v>0</v>
      </c>
      <c r="M16" s="103">
        <v>7</v>
      </c>
      <c r="N16" s="103">
        <v>789.51</v>
      </c>
      <c r="O16" s="103"/>
      <c r="P16" s="103"/>
      <c r="Q16" s="103">
        <v>0</v>
      </c>
      <c r="R16" s="103"/>
      <c r="S16" s="103"/>
      <c r="T16" s="103">
        <f t="shared" si="4"/>
        <v>1.4860000000000002E-2</v>
      </c>
      <c r="U16" s="152"/>
      <c r="V16" s="152">
        <v>7.4300000000000005E-2</v>
      </c>
      <c r="W16" s="153">
        <v>0.2</v>
      </c>
      <c r="X16" s="103">
        <v>359.07</v>
      </c>
      <c r="Y16" s="103">
        <f t="shared" si="1"/>
        <v>0</v>
      </c>
      <c r="Z16" s="103"/>
      <c r="AA16" s="154">
        <v>0.8</v>
      </c>
      <c r="AB16" s="103">
        <v>95</v>
      </c>
      <c r="AC16" s="103">
        <f t="shared" si="2"/>
        <v>-1250.5948599999999</v>
      </c>
      <c r="AD16" s="103">
        <f t="shared" ref="AD16:AD17" si="7">AA16*E16</f>
        <v>0</v>
      </c>
    </row>
    <row r="17" spans="1:30">
      <c r="A17" s="190" t="s">
        <v>40</v>
      </c>
      <c r="B17" s="185">
        <v>465184</v>
      </c>
      <c r="C17" s="117">
        <v>7</v>
      </c>
      <c r="D17" s="103">
        <v>9800</v>
      </c>
      <c r="E17" s="112">
        <v>4425</v>
      </c>
      <c r="F17" s="146">
        <v>3246.41</v>
      </c>
      <c r="G17" s="128">
        <v>14</v>
      </c>
      <c r="H17" s="128"/>
      <c r="I17" s="128"/>
      <c r="J17" s="128"/>
      <c r="K17" s="146">
        <v>43.14</v>
      </c>
      <c r="L17" s="103">
        <f t="shared" si="0"/>
        <v>83.300000000000011</v>
      </c>
      <c r="M17" s="103">
        <v>7</v>
      </c>
      <c r="N17" s="103">
        <v>789.51</v>
      </c>
      <c r="O17" s="103"/>
      <c r="P17" s="103"/>
      <c r="Q17" s="103">
        <v>0</v>
      </c>
      <c r="R17" s="103"/>
      <c r="S17" s="103"/>
      <c r="T17" s="103">
        <f t="shared" si="4"/>
        <v>323.26444000000004</v>
      </c>
      <c r="U17" s="152"/>
      <c r="V17" s="152">
        <v>7.4300000000000005E-2</v>
      </c>
      <c r="W17" s="153">
        <v>4350.8</v>
      </c>
      <c r="X17" s="103">
        <v>359.07</v>
      </c>
      <c r="Y17" s="103">
        <f t="shared" si="1"/>
        <v>442.5</v>
      </c>
      <c r="Z17" s="103"/>
      <c r="AA17" s="154">
        <v>0.8</v>
      </c>
      <c r="AB17" s="103">
        <v>95</v>
      </c>
      <c r="AC17" s="103">
        <f t="shared" si="2"/>
        <v>943.08556000000033</v>
      </c>
      <c r="AD17" s="103">
        <f t="shared" si="7"/>
        <v>3540</v>
      </c>
    </row>
    <row r="18" spans="1:30">
      <c r="A18" s="187" t="s">
        <v>75</v>
      </c>
      <c r="B18" s="185">
        <v>465185</v>
      </c>
      <c r="C18" s="117">
        <v>5</v>
      </c>
      <c r="D18" s="103">
        <v>5780</v>
      </c>
      <c r="E18" s="112">
        <v>2425</v>
      </c>
      <c r="F18" s="146">
        <v>2749.26</v>
      </c>
      <c r="G18" s="128">
        <v>11.98</v>
      </c>
      <c r="H18" s="128"/>
      <c r="I18" s="128">
        <v>200</v>
      </c>
      <c r="J18" s="128"/>
      <c r="K18" s="146">
        <v>541.55999999999995</v>
      </c>
      <c r="L18" s="103">
        <f t="shared" si="0"/>
        <v>49.13</v>
      </c>
      <c r="M18" s="103">
        <v>7</v>
      </c>
      <c r="N18" s="103">
        <v>789.51</v>
      </c>
      <c r="O18" s="103"/>
      <c r="P18" s="103"/>
      <c r="Q18" s="103">
        <v>0</v>
      </c>
      <c r="R18" s="103"/>
      <c r="S18" s="103"/>
      <c r="T18" s="103">
        <f t="shared" si="4"/>
        <v>192.11751000000001</v>
      </c>
      <c r="U18" s="152"/>
      <c r="V18" s="152">
        <v>7.4300000000000005E-2</v>
      </c>
      <c r="W18" s="153">
        <v>2585.6999999999998</v>
      </c>
      <c r="X18" s="103">
        <v>359.07</v>
      </c>
      <c r="Y18" s="103">
        <f t="shared" si="1"/>
        <v>242.5</v>
      </c>
      <c r="Z18" s="103"/>
      <c r="AA18" s="154">
        <v>0.8</v>
      </c>
      <c r="AB18" s="103">
        <v>95</v>
      </c>
      <c r="AC18" s="103">
        <f t="shared" si="2"/>
        <v>-314.00751000000082</v>
      </c>
      <c r="AD18" s="103">
        <f t="shared" ref="AD18:AD19" si="8">AA18*E18+I18</f>
        <v>2140</v>
      </c>
    </row>
    <row r="19" spans="1:30">
      <c r="A19" s="187" t="s">
        <v>404</v>
      </c>
      <c r="B19" s="185">
        <v>465186</v>
      </c>
      <c r="C19" s="112">
        <v>6</v>
      </c>
      <c r="D19" s="103">
        <v>2750</v>
      </c>
      <c r="E19" s="112">
        <v>2205</v>
      </c>
      <c r="F19" s="146">
        <v>1312.99</v>
      </c>
      <c r="G19" s="128">
        <v>23.48</v>
      </c>
      <c r="H19" s="128"/>
      <c r="I19" s="128">
        <v>250</v>
      </c>
      <c r="J19" s="128"/>
      <c r="K19" s="146">
        <v>29.15</v>
      </c>
      <c r="L19" s="103">
        <f t="shared" si="0"/>
        <v>23.375</v>
      </c>
      <c r="M19" s="103">
        <v>7</v>
      </c>
      <c r="N19" s="103">
        <v>789.51</v>
      </c>
      <c r="O19" s="103"/>
      <c r="P19" s="103"/>
      <c r="Q19" s="103">
        <v>0</v>
      </c>
      <c r="R19" s="103"/>
      <c r="S19" s="103"/>
      <c r="T19" s="103">
        <f t="shared" si="4"/>
        <v>178.75837000000001</v>
      </c>
      <c r="U19" s="152"/>
      <c r="V19" s="152">
        <v>7.4300000000000005E-2</v>
      </c>
      <c r="W19" s="153">
        <v>2405.9</v>
      </c>
      <c r="X19" s="103">
        <v>359.07</v>
      </c>
      <c r="Y19" s="103">
        <f t="shared" si="1"/>
        <v>220.5</v>
      </c>
      <c r="Z19" s="103"/>
      <c r="AA19" s="154">
        <v>0.7</v>
      </c>
      <c r="AB19" s="103">
        <v>95</v>
      </c>
      <c r="AC19" s="103">
        <f t="shared" si="2"/>
        <v>-2024.0333699999999</v>
      </c>
      <c r="AD19" s="103">
        <f t="shared" si="8"/>
        <v>1793.5</v>
      </c>
    </row>
    <row r="20" spans="1:30">
      <c r="A20" s="187" t="s">
        <v>192</v>
      </c>
      <c r="B20" s="185">
        <v>465187</v>
      </c>
      <c r="C20" s="117">
        <v>7</v>
      </c>
      <c r="D20" s="103">
        <v>12775</v>
      </c>
      <c r="E20" s="112">
        <v>5148</v>
      </c>
      <c r="F20" s="146">
        <v>4288.95</v>
      </c>
      <c r="G20" s="128">
        <v>66.95</v>
      </c>
      <c r="H20" s="128"/>
      <c r="I20" s="128"/>
      <c r="J20" s="128"/>
      <c r="K20" s="146">
        <v>344.45</v>
      </c>
      <c r="L20" s="103">
        <f t="shared" si="0"/>
        <v>108.58750000000001</v>
      </c>
      <c r="M20" s="103">
        <v>7</v>
      </c>
      <c r="N20" s="103">
        <v>789.51</v>
      </c>
      <c r="O20" s="103"/>
      <c r="P20" s="103"/>
      <c r="Q20" s="103">
        <v>0</v>
      </c>
      <c r="R20" s="103"/>
      <c r="S20" s="103"/>
      <c r="T20" s="103">
        <f t="shared" si="4"/>
        <v>387.63796000000002</v>
      </c>
      <c r="U20" s="152"/>
      <c r="V20" s="152">
        <v>7.4300000000000005E-2</v>
      </c>
      <c r="W20" s="153">
        <v>5217.2</v>
      </c>
      <c r="X20" s="103">
        <v>359.07</v>
      </c>
      <c r="Y20" s="103">
        <f t="shared" si="1"/>
        <v>514.80000000000007</v>
      </c>
      <c r="Z20" s="103"/>
      <c r="AA20" s="154">
        <v>0.8</v>
      </c>
      <c r="AB20" s="103">
        <v>95</v>
      </c>
      <c r="AC20" s="103">
        <f t="shared" si="2"/>
        <v>2383.544539999999</v>
      </c>
      <c r="AD20" s="103">
        <f t="shared" ref="AD20:AD22" si="9">AA20*E20</f>
        <v>4118.4000000000005</v>
      </c>
    </row>
    <row r="21" spans="1:30">
      <c r="A21" s="187" t="s">
        <v>191</v>
      </c>
      <c r="B21" s="185">
        <v>465188</v>
      </c>
      <c r="C21" s="117">
        <v>7</v>
      </c>
      <c r="D21" s="128">
        <v>8450</v>
      </c>
      <c r="E21" s="112">
        <v>3646</v>
      </c>
      <c r="F21" s="146">
        <v>2408.9499999999998</v>
      </c>
      <c r="G21" s="128">
        <v>163.19</v>
      </c>
      <c r="H21" s="128"/>
      <c r="I21" s="128"/>
      <c r="J21" s="128"/>
      <c r="K21" s="146">
        <v>341.64</v>
      </c>
      <c r="L21" s="103">
        <f t="shared" si="0"/>
        <v>71.825000000000003</v>
      </c>
      <c r="M21" s="103">
        <v>7</v>
      </c>
      <c r="N21" s="103">
        <v>789.51</v>
      </c>
      <c r="O21" s="103"/>
      <c r="P21" s="103"/>
      <c r="Q21" s="103">
        <v>0</v>
      </c>
      <c r="R21" s="103"/>
      <c r="S21" s="103"/>
      <c r="T21" s="103">
        <f t="shared" si="4"/>
        <v>271.46248000000003</v>
      </c>
      <c r="U21" s="152"/>
      <c r="V21" s="152">
        <v>7.4300000000000005E-2</v>
      </c>
      <c r="W21" s="153">
        <v>3653.6</v>
      </c>
      <c r="X21" s="103">
        <v>359.07</v>
      </c>
      <c r="Y21" s="103">
        <f t="shared" si="1"/>
        <v>364.6</v>
      </c>
      <c r="Z21" s="103"/>
      <c r="AA21" s="154">
        <v>0.8</v>
      </c>
      <c r="AB21" s="103">
        <v>95</v>
      </c>
      <c r="AC21" s="103">
        <f t="shared" si="2"/>
        <v>1344.2325200000005</v>
      </c>
      <c r="AD21" s="103">
        <f t="shared" si="9"/>
        <v>2916.8</v>
      </c>
    </row>
    <row r="22" spans="1:30">
      <c r="A22" s="184"/>
      <c r="B22" s="185">
        <v>465189</v>
      </c>
      <c r="C22" s="112"/>
      <c r="D22" s="103">
        <v>0</v>
      </c>
      <c r="E22" s="117"/>
      <c r="F22" s="146"/>
      <c r="G22" s="128"/>
      <c r="H22" s="103"/>
      <c r="I22" s="103"/>
      <c r="J22" s="103"/>
      <c r="K22" s="146"/>
      <c r="L22" s="103">
        <f t="shared" si="0"/>
        <v>0</v>
      </c>
      <c r="M22" s="103">
        <v>7</v>
      </c>
      <c r="N22" s="103">
        <v>789.51</v>
      </c>
      <c r="O22" s="103"/>
      <c r="P22" s="103"/>
      <c r="Q22" s="103">
        <v>0</v>
      </c>
      <c r="R22" s="103"/>
      <c r="S22" s="103"/>
      <c r="T22" s="103">
        <f t="shared" si="4"/>
        <v>2.2290000000000001E-2</v>
      </c>
      <c r="U22" s="152"/>
      <c r="V22" s="152">
        <v>7.4300000000000005E-2</v>
      </c>
      <c r="W22" s="155">
        <v>0.3</v>
      </c>
      <c r="X22" s="103">
        <v>359.07</v>
      </c>
      <c r="Y22" s="103">
        <f t="shared" si="1"/>
        <v>0</v>
      </c>
      <c r="Z22" s="103"/>
      <c r="AA22" s="154"/>
      <c r="AB22" s="103">
        <v>95</v>
      </c>
      <c r="AC22" s="103">
        <f t="shared" si="2"/>
        <v>-1250.60229</v>
      </c>
      <c r="AD22" s="103">
        <f t="shared" si="9"/>
        <v>0</v>
      </c>
    </row>
    <row r="23" spans="1:30">
      <c r="A23" s="134" t="s">
        <v>386</v>
      </c>
      <c r="B23" s="135" t="s">
        <v>399</v>
      </c>
      <c r="C23" s="158">
        <v>5</v>
      </c>
      <c r="D23" s="139">
        <v>4100</v>
      </c>
      <c r="E23" s="136">
        <v>1658</v>
      </c>
      <c r="F23" s="139">
        <v>2698.33</v>
      </c>
      <c r="G23" s="139">
        <v>348.42</v>
      </c>
      <c r="H23" s="139"/>
      <c r="I23" s="139"/>
      <c r="J23" s="139"/>
      <c r="K23" s="139">
        <v>358.8</v>
      </c>
      <c r="L23" s="139">
        <f t="shared" si="0"/>
        <v>34.85</v>
      </c>
      <c r="M23" s="139">
        <v>0</v>
      </c>
      <c r="N23" s="139">
        <v>0</v>
      </c>
      <c r="O23" s="139">
        <v>0</v>
      </c>
      <c r="P23" s="139"/>
      <c r="Q23" s="139">
        <v>0</v>
      </c>
      <c r="R23" s="139">
        <v>0</v>
      </c>
      <c r="S23" s="139">
        <v>0</v>
      </c>
      <c r="T23" s="139">
        <v>0</v>
      </c>
      <c r="U23" s="159"/>
      <c r="V23" s="159">
        <v>0</v>
      </c>
      <c r="W23" s="136">
        <v>1658</v>
      </c>
      <c r="X23" s="139">
        <v>0</v>
      </c>
      <c r="Y23" s="139">
        <f t="shared" si="1"/>
        <v>165.8</v>
      </c>
      <c r="Z23" s="139"/>
      <c r="AA23" s="160">
        <v>0.85</v>
      </c>
      <c r="AB23" s="139">
        <v>95</v>
      </c>
      <c r="AC23" s="139">
        <f>D23*0.15-Y23-L23</f>
        <v>414.34999999999997</v>
      </c>
      <c r="AD23" s="139">
        <f>D23*0.85-F23-G23+K23</f>
        <v>797.05000000000007</v>
      </c>
    </row>
    <row r="24" spans="1:30">
      <c r="A24" s="134" t="s">
        <v>359</v>
      </c>
      <c r="B24" s="135" t="s">
        <v>360</v>
      </c>
      <c r="C24" s="158"/>
      <c r="D24" s="139">
        <v>0</v>
      </c>
      <c r="E24" s="136">
        <v>68.099999999999994</v>
      </c>
      <c r="F24" s="139"/>
      <c r="G24" s="139"/>
      <c r="H24" s="139"/>
      <c r="I24" s="139"/>
      <c r="J24" s="139"/>
      <c r="K24" s="139"/>
      <c r="L24" s="139">
        <f t="shared" si="0"/>
        <v>0</v>
      </c>
      <c r="M24" s="139">
        <v>0</v>
      </c>
      <c r="N24" s="139">
        <v>0</v>
      </c>
      <c r="O24" s="139">
        <v>50</v>
      </c>
      <c r="P24" s="139"/>
      <c r="Q24" s="139">
        <v>199</v>
      </c>
      <c r="R24" s="139">
        <v>30</v>
      </c>
      <c r="S24" s="139">
        <v>300</v>
      </c>
      <c r="T24" s="139">
        <v>0</v>
      </c>
      <c r="U24" s="159"/>
      <c r="V24" s="159">
        <v>0</v>
      </c>
      <c r="W24" s="136">
        <v>68.099999999999994</v>
      </c>
      <c r="X24" s="139">
        <v>0</v>
      </c>
      <c r="Y24" s="139">
        <f t="shared" si="1"/>
        <v>6.81</v>
      </c>
      <c r="Z24" s="139"/>
      <c r="AA24" s="160">
        <v>0.87</v>
      </c>
      <c r="AB24" s="139">
        <v>95</v>
      </c>
      <c r="AC24" s="139">
        <f t="shared" ref="AC24:AC25" si="10">D24*0.13+S24+R24+Q24+O24-Y24-L24</f>
        <v>572.19000000000005</v>
      </c>
      <c r="AD24" s="139">
        <f t="shared" ref="AD24:AD25" si="11">D24*0.87-F24-G24-O24-Q24-R24-S24</f>
        <v>-579</v>
      </c>
    </row>
    <row r="25" spans="1:30">
      <c r="A25" s="134" t="s">
        <v>387</v>
      </c>
      <c r="B25" s="135" t="s">
        <v>362</v>
      </c>
      <c r="C25" s="158"/>
      <c r="D25" s="139">
        <v>7700</v>
      </c>
      <c r="E25" s="136">
        <v>3607.2</v>
      </c>
      <c r="F25" s="139">
        <v>2573.0500000000002</v>
      </c>
      <c r="G25" s="139">
        <v>1.28</v>
      </c>
      <c r="H25" s="139"/>
      <c r="I25" s="139"/>
      <c r="J25" s="139"/>
      <c r="K25" s="139">
        <v>388.4</v>
      </c>
      <c r="L25" s="139">
        <f t="shared" si="0"/>
        <v>65.45</v>
      </c>
      <c r="M25" s="139">
        <v>7</v>
      </c>
      <c r="N25" s="139">
        <v>0</v>
      </c>
      <c r="O25" s="139">
        <v>50</v>
      </c>
      <c r="P25" s="139"/>
      <c r="Q25" s="139">
        <v>199</v>
      </c>
      <c r="R25" s="139">
        <v>30</v>
      </c>
      <c r="S25" s="139">
        <v>300</v>
      </c>
      <c r="T25" s="139">
        <v>0</v>
      </c>
      <c r="U25" s="159"/>
      <c r="V25" s="159">
        <v>0</v>
      </c>
      <c r="W25" s="136">
        <v>3607.2</v>
      </c>
      <c r="X25" s="139">
        <v>0</v>
      </c>
      <c r="Y25" s="139">
        <f t="shared" si="1"/>
        <v>360.72</v>
      </c>
      <c r="Z25" s="139"/>
      <c r="AA25" s="160">
        <v>0.87</v>
      </c>
      <c r="AB25" s="139">
        <v>95</v>
      </c>
      <c r="AC25" s="139">
        <f t="shared" si="10"/>
        <v>1153.83</v>
      </c>
      <c r="AD25" s="139">
        <f t="shared" si="11"/>
        <v>3545.67</v>
      </c>
    </row>
    <row r="26" spans="1:30">
      <c r="A26" s="134" t="s">
        <v>363</v>
      </c>
      <c r="B26" s="134">
        <v>1118</v>
      </c>
      <c r="C26" s="158"/>
      <c r="D26" s="139">
        <v>2980</v>
      </c>
      <c r="E26" s="136">
        <v>1289.5999999999999</v>
      </c>
      <c r="F26" s="139">
        <v>450</v>
      </c>
      <c r="G26" s="139"/>
      <c r="H26" s="139"/>
      <c r="I26" s="139"/>
      <c r="J26" s="139"/>
      <c r="K26" s="139"/>
      <c r="L26" s="139">
        <f t="shared" si="0"/>
        <v>25.330000000000002</v>
      </c>
      <c r="M26" s="139">
        <v>0</v>
      </c>
      <c r="N26" s="139">
        <v>0</v>
      </c>
      <c r="O26" s="139">
        <v>0</v>
      </c>
      <c r="P26" s="139"/>
      <c r="Q26" s="139">
        <v>0</v>
      </c>
      <c r="R26" s="139">
        <v>0</v>
      </c>
      <c r="S26" s="139">
        <v>0</v>
      </c>
      <c r="T26" s="139">
        <v>0</v>
      </c>
      <c r="U26" s="159"/>
      <c r="V26" s="159">
        <v>0</v>
      </c>
      <c r="W26" s="136">
        <v>1289.5999999999999</v>
      </c>
      <c r="X26" s="139">
        <v>0</v>
      </c>
      <c r="Y26" s="139">
        <f t="shared" si="1"/>
        <v>128.96</v>
      </c>
      <c r="Z26" s="139"/>
      <c r="AA26" s="160">
        <v>0.8</v>
      </c>
      <c r="AB26" s="139">
        <v>95</v>
      </c>
      <c r="AC26" s="139">
        <f>D26*0.2-Y26-L26-I26-AB26</f>
        <v>346.71</v>
      </c>
      <c r="AD26" s="139">
        <f>D26*AA26-F26-G26</f>
        <v>1934</v>
      </c>
    </row>
    <row r="27" spans="1:30">
      <c r="A27" s="134" t="s">
        <v>368</v>
      </c>
      <c r="B27" s="134" t="s">
        <v>369</v>
      </c>
      <c r="C27" s="158"/>
      <c r="D27" s="139">
        <v>7600</v>
      </c>
      <c r="E27" s="136">
        <v>3936.8</v>
      </c>
      <c r="F27" s="139">
        <v>2536</v>
      </c>
      <c r="G27" s="139">
        <v>208.15</v>
      </c>
      <c r="H27" s="139"/>
      <c r="I27" s="139"/>
      <c r="J27" s="139"/>
      <c r="K27" s="139">
        <v>116.1</v>
      </c>
      <c r="L27" s="139">
        <f t="shared" si="0"/>
        <v>64.600000000000009</v>
      </c>
      <c r="M27" s="139">
        <v>7</v>
      </c>
      <c r="N27" s="139">
        <v>0</v>
      </c>
      <c r="O27" s="139">
        <v>50</v>
      </c>
      <c r="P27" s="139"/>
      <c r="Q27" s="139">
        <v>199</v>
      </c>
      <c r="R27" s="139">
        <v>30</v>
      </c>
      <c r="S27" s="139">
        <v>300</v>
      </c>
      <c r="T27" s="139">
        <v>0</v>
      </c>
      <c r="U27" s="159"/>
      <c r="V27" s="159">
        <v>0</v>
      </c>
      <c r="W27" s="136">
        <v>3936.8</v>
      </c>
      <c r="X27" s="139">
        <v>0</v>
      </c>
      <c r="Y27" s="139">
        <f t="shared" si="1"/>
        <v>393.68000000000006</v>
      </c>
      <c r="Z27" s="139"/>
      <c r="AA27" s="160">
        <v>0.89</v>
      </c>
      <c r="AB27" s="139">
        <v>95</v>
      </c>
      <c r="AC27" s="139">
        <f>D27*0.11-AB27-Y27+S27+R27+Q27+O27-L27</f>
        <v>861.71999999999991</v>
      </c>
      <c r="AD27" s="139">
        <f>D27*AA27-F27-G27-O27-Q27-R27-S27</f>
        <v>3440.85</v>
      </c>
    </row>
    <row r="28" spans="1:30">
      <c r="A28" s="134" t="s">
        <v>364</v>
      </c>
      <c r="B28" s="134">
        <v>2013</v>
      </c>
      <c r="C28" s="158"/>
      <c r="D28" s="139">
        <v>2900</v>
      </c>
      <c r="E28" s="136">
        <v>1275.5</v>
      </c>
      <c r="F28" s="139">
        <v>1187.47</v>
      </c>
      <c r="G28" s="139"/>
      <c r="H28" s="139"/>
      <c r="I28" s="139"/>
      <c r="J28" s="139"/>
      <c r="K28" s="139">
        <v>24.54</v>
      </c>
      <c r="L28" s="139">
        <f t="shared" si="0"/>
        <v>24.650000000000002</v>
      </c>
      <c r="M28" s="139">
        <v>0</v>
      </c>
      <c r="N28" s="139">
        <v>0</v>
      </c>
      <c r="O28" s="139">
        <v>50</v>
      </c>
      <c r="P28" s="139"/>
      <c r="Q28" s="139">
        <v>199</v>
      </c>
      <c r="R28" s="139">
        <v>30</v>
      </c>
      <c r="S28" s="139">
        <v>300</v>
      </c>
      <c r="T28" s="139">
        <v>0</v>
      </c>
      <c r="U28" s="159"/>
      <c r="V28" s="159">
        <v>0</v>
      </c>
      <c r="W28" s="136">
        <v>1275.5</v>
      </c>
      <c r="X28" s="139">
        <v>0</v>
      </c>
      <c r="Y28" s="139">
        <f t="shared" si="1"/>
        <v>127.55000000000001</v>
      </c>
      <c r="Z28" s="139"/>
      <c r="AA28" s="160">
        <v>0.87</v>
      </c>
      <c r="AB28" s="139">
        <v>95</v>
      </c>
      <c r="AC28" s="139">
        <f>D28*0.13+S28+R28+Q28+O28-Y28-L28</f>
        <v>803.80000000000007</v>
      </c>
      <c r="AD28" s="139">
        <f t="shared" ref="AD28:AD29" si="12">D28*AA28-F28-G28-S28-R28-Q28-O28</f>
        <v>756.53</v>
      </c>
    </row>
    <row r="29" spans="1:30">
      <c r="A29" s="134" t="s">
        <v>370</v>
      </c>
      <c r="B29" s="134">
        <v>1</v>
      </c>
      <c r="C29" s="158"/>
      <c r="D29" s="139">
        <v>0</v>
      </c>
      <c r="E29" s="136">
        <v>155.69999999999999</v>
      </c>
      <c r="F29" s="139"/>
      <c r="G29" s="139"/>
      <c r="H29" s="139"/>
      <c r="I29" s="139"/>
      <c r="J29" s="139"/>
      <c r="K29" s="139"/>
      <c r="L29" s="139">
        <f t="shared" si="0"/>
        <v>0</v>
      </c>
      <c r="M29" s="139">
        <v>7</v>
      </c>
      <c r="N29" s="139">
        <v>0</v>
      </c>
      <c r="O29" s="139">
        <v>0</v>
      </c>
      <c r="P29" s="139"/>
      <c r="Q29" s="139">
        <v>0</v>
      </c>
      <c r="R29" s="139">
        <v>0</v>
      </c>
      <c r="S29" s="139">
        <v>0</v>
      </c>
      <c r="T29" s="139">
        <v>0</v>
      </c>
      <c r="U29" s="159"/>
      <c r="V29" s="159">
        <v>0</v>
      </c>
      <c r="W29" s="136">
        <v>155.69999999999999</v>
      </c>
      <c r="X29" s="139">
        <v>0</v>
      </c>
      <c r="Y29" s="139">
        <f t="shared" si="1"/>
        <v>15.57</v>
      </c>
      <c r="Z29" s="139"/>
      <c r="AA29" s="160">
        <v>0.8</v>
      </c>
      <c r="AB29" s="139">
        <v>95</v>
      </c>
      <c r="AC29" s="139">
        <f>D29*0.13-AB29-Y29+S29+R29+Q29+O29-L29</f>
        <v>-110.57</v>
      </c>
      <c r="AD29" s="139">
        <f t="shared" si="12"/>
        <v>0</v>
      </c>
    </row>
    <row r="30" spans="1:30">
      <c r="A30" s="134" t="s">
        <v>395</v>
      </c>
      <c r="B30" s="135" t="s">
        <v>362</v>
      </c>
      <c r="C30" s="158"/>
      <c r="D30" s="139">
        <v>0</v>
      </c>
      <c r="E30" s="136">
        <v>1127</v>
      </c>
      <c r="F30" s="139">
        <v>361.98</v>
      </c>
      <c r="G30" s="139"/>
      <c r="H30" s="139"/>
      <c r="I30" s="139"/>
      <c r="J30" s="139"/>
      <c r="K30" s="139">
        <v>7.03</v>
      </c>
      <c r="L30" s="139">
        <f t="shared" si="0"/>
        <v>0</v>
      </c>
      <c r="M30" s="139">
        <v>0</v>
      </c>
      <c r="N30" s="139">
        <v>0</v>
      </c>
      <c r="O30" s="139">
        <v>50</v>
      </c>
      <c r="P30" s="139"/>
      <c r="Q30" s="139">
        <v>0</v>
      </c>
      <c r="R30" s="139">
        <v>0</v>
      </c>
      <c r="S30" s="139">
        <v>300</v>
      </c>
      <c r="T30" s="139">
        <v>0</v>
      </c>
      <c r="U30" s="159"/>
      <c r="V30" s="159">
        <v>0</v>
      </c>
      <c r="W30" s="136">
        <v>1127</v>
      </c>
      <c r="X30" s="139">
        <v>0</v>
      </c>
      <c r="Y30" s="139">
        <f t="shared" si="1"/>
        <v>112.7</v>
      </c>
      <c r="Z30" s="139"/>
      <c r="AA30" s="160">
        <v>0.88</v>
      </c>
      <c r="AB30" s="139">
        <v>95</v>
      </c>
      <c r="AC30" s="139">
        <f>D30*0.12+O30+S30-Y30-AB30-L30</f>
        <v>142.30000000000001</v>
      </c>
      <c r="AD30" s="139">
        <f>D30*AA30-F30-G30-O30-S30</f>
        <v>-711.98</v>
      </c>
    </row>
    <row r="31" spans="1:30">
      <c r="A31" s="72" t="s">
        <v>89</v>
      </c>
      <c r="B31" s="72">
        <v>28</v>
      </c>
      <c r="C31" s="191">
        <f>AVERAGE(C3:C22)</f>
        <v>5.2857142857142856</v>
      </c>
      <c r="D31" s="162">
        <f>SUM(D3:D30)</f>
        <v>117275</v>
      </c>
      <c r="E31" s="170">
        <f>AVERAGE(E4:E30)</f>
        <v>2475.6142857142854</v>
      </c>
      <c r="F31" s="162">
        <f t="shared" ref="F31:G31" si="13">SUM(F3:F30)</f>
        <v>43348.130000000012</v>
      </c>
      <c r="G31" s="162">
        <f t="shared" si="13"/>
        <v>1572.0600000000004</v>
      </c>
      <c r="H31" s="162"/>
      <c r="I31" s="162">
        <f t="shared" ref="I31:O31" si="14">SUM(I3:I30)</f>
        <v>950</v>
      </c>
      <c r="J31" s="162">
        <f t="shared" si="14"/>
        <v>0</v>
      </c>
      <c r="K31" s="162">
        <f t="shared" si="14"/>
        <v>4258.0499999999993</v>
      </c>
      <c r="L31" s="162">
        <f t="shared" si="14"/>
        <v>996.8375000000002</v>
      </c>
      <c r="M31" s="162">
        <f t="shared" si="14"/>
        <v>161</v>
      </c>
      <c r="N31" s="162">
        <f t="shared" si="14"/>
        <v>14789.500000000004</v>
      </c>
      <c r="O31" s="162">
        <f t="shared" si="14"/>
        <v>250</v>
      </c>
      <c r="P31" s="162"/>
      <c r="Q31" s="162">
        <f t="shared" ref="Q31:T31" si="15">SUM(Q3:Q30)</f>
        <v>796</v>
      </c>
      <c r="R31" s="162">
        <f t="shared" si="15"/>
        <v>120</v>
      </c>
      <c r="S31" s="162">
        <f t="shared" si="15"/>
        <v>1500</v>
      </c>
      <c r="T31" s="162">
        <f t="shared" si="15"/>
        <v>3087.6631700000003</v>
      </c>
      <c r="U31" s="162"/>
      <c r="V31" s="162">
        <f t="shared" ref="V31:Z31" si="16">SUM(V3:V30)</f>
        <v>1.492</v>
      </c>
      <c r="W31" s="162">
        <f t="shared" si="16"/>
        <v>56792.899999999994</v>
      </c>
      <c r="X31" s="162">
        <f t="shared" si="16"/>
        <v>7181.3999999999987</v>
      </c>
      <c r="Y31" s="162">
        <f t="shared" si="16"/>
        <v>5199.2488000000003</v>
      </c>
      <c r="Z31" s="162">
        <f t="shared" si="16"/>
        <v>0</v>
      </c>
      <c r="AA31" s="162"/>
      <c r="AB31" s="162">
        <f t="shared" ref="AB31:AD31" si="17">SUM(AB3:AB30)</f>
        <v>2660</v>
      </c>
      <c r="AC31" s="162">
        <f t="shared" si="17"/>
        <v>2295.9295299999985</v>
      </c>
      <c r="AD31" s="162">
        <f t="shared" si="17"/>
        <v>40106.210999999996</v>
      </c>
    </row>
    <row r="32" spans="1:30">
      <c r="A32" s="173"/>
      <c r="B32" s="174"/>
      <c r="C32" s="175"/>
      <c r="D32" s="176"/>
      <c r="E32" s="177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8"/>
      <c r="V32" s="178"/>
      <c r="W32" s="179"/>
      <c r="X32" s="176"/>
      <c r="Y32" s="176"/>
      <c r="Z32" s="176"/>
      <c r="AA32" s="180"/>
      <c r="AB32" s="181"/>
      <c r="AC32" s="176"/>
      <c r="AD32" s="176"/>
    </row>
    <row r="33" spans="1:30">
      <c r="A33" s="457" t="s">
        <v>405</v>
      </c>
      <c r="B33" s="458"/>
      <c r="C33" s="458"/>
      <c r="D33" s="458"/>
      <c r="E33" s="458"/>
      <c r="F33" s="458"/>
      <c r="G33" s="458"/>
      <c r="H33" s="458"/>
      <c r="I33" s="458"/>
      <c r="J33" s="458"/>
      <c r="K33" s="458"/>
      <c r="L33" s="458"/>
      <c r="M33" s="458"/>
      <c r="N33" s="458"/>
      <c r="O33" s="458"/>
      <c r="P33" s="458"/>
      <c r="Q33" s="458"/>
      <c r="R33" s="458"/>
      <c r="S33" s="458"/>
      <c r="T33" s="458"/>
      <c r="U33" s="458"/>
      <c r="V33" s="458"/>
      <c r="W33" s="458"/>
      <c r="X33" s="458"/>
      <c r="Y33" s="458"/>
      <c r="Z33" s="458"/>
      <c r="AA33" s="458"/>
      <c r="AB33" s="458"/>
      <c r="AC33" s="458"/>
      <c r="AD33" s="459"/>
    </row>
    <row r="34" spans="1:30">
      <c r="A34" s="95" t="s">
        <v>0</v>
      </c>
      <c r="B34" s="95" t="s">
        <v>1</v>
      </c>
      <c r="C34" s="95" t="s">
        <v>372</v>
      </c>
      <c r="D34" s="95" t="s">
        <v>2</v>
      </c>
      <c r="E34" s="95" t="s">
        <v>9</v>
      </c>
      <c r="F34" s="95" t="s">
        <v>7</v>
      </c>
      <c r="G34" s="95" t="s">
        <v>8</v>
      </c>
      <c r="H34" s="95"/>
      <c r="I34" s="95" t="s">
        <v>287</v>
      </c>
      <c r="J34" s="95" t="s">
        <v>288</v>
      </c>
      <c r="K34" s="95" t="s">
        <v>257</v>
      </c>
      <c r="L34" s="95" t="s">
        <v>373</v>
      </c>
      <c r="M34" s="95" t="s">
        <v>374</v>
      </c>
      <c r="N34" s="95" t="s">
        <v>375</v>
      </c>
      <c r="O34" s="95" t="s">
        <v>376</v>
      </c>
      <c r="P34" s="95"/>
      <c r="Q34" s="95" t="s">
        <v>377</v>
      </c>
      <c r="R34" s="150" t="s">
        <v>378</v>
      </c>
      <c r="S34" s="150" t="s">
        <v>379</v>
      </c>
      <c r="T34" s="150" t="s">
        <v>352</v>
      </c>
      <c r="U34" s="95"/>
      <c r="V34" s="95" t="s">
        <v>380</v>
      </c>
      <c r="W34" s="95" t="s">
        <v>381</v>
      </c>
      <c r="X34" s="95" t="s">
        <v>382</v>
      </c>
      <c r="Y34" s="95" t="s">
        <v>383</v>
      </c>
      <c r="Z34" s="95" t="s">
        <v>384</v>
      </c>
      <c r="AA34" s="95" t="s">
        <v>385</v>
      </c>
      <c r="AB34" s="95" t="s">
        <v>333</v>
      </c>
      <c r="AC34" s="95" t="s">
        <v>13</v>
      </c>
      <c r="AD34" s="95" t="s">
        <v>98</v>
      </c>
    </row>
    <row r="35" spans="1:30">
      <c r="A35" s="184" t="s">
        <v>347</v>
      </c>
      <c r="B35" s="185">
        <v>352368</v>
      </c>
      <c r="C35" s="112">
        <v>7</v>
      </c>
      <c r="D35" s="103">
        <v>6000</v>
      </c>
      <c r="E35" s="102" t="s">
        <v>406</v>
      </c>
      <c r="F35" s="128">
        <v>3066.99</v>
      </c>
      <c r="G35" s="103">
        <v>37.1</v>
      </c>
      <c r="H35" s="103"/>
      <c r="I35" s="103">
        <v>100</v>
      </c>
      <c r="J35" s="103"/>
      <c r="K35" s="128">
        <v>512.84</v>
      </c>
      <c r="L35" s="103">
        <f t="shared" ref="L35:L62" si="18">D35*0.0085</f>
        <v>51.000000000000007</v>
      </c>
      <c r="M35" s="103">
        <v>7</v>
      </c>
      <c r="N35" s="103">
        <v>689.44</v>
      </c>
      <c r="O35" s="103"/>
      <c r="P35" s="103"/>
      <c r="Q35" s="103">
        <v>0</v>
      </c>
      <c r="R35" s="103"/>
      <c r="S35" s="103"/>
      <c r="T35" s="103">
        <f t="shared" ref="T35:T54" si="19">W35*V35</f>
        <v>337.91134999999997</v>
      </c>
      <c r="U35" s="152"/>
      <c r="V35" s="152">
        <v>7.4899999999999994E-2</v>
      </c>
      <c r="W35" s="153">
        <v>4511.5</v>
      </c>
      <c r="X35" s="103">
        <v>359.07</v>
      </c>
      <c r="Y35" s="103">
        <f t="shared" ref="Y35:Y62" si="20">E35*0.1</f>
        <v>315.90000000000003</v>
      </c>
      <c r="Z35" s="103"/>
      <c r="AA35" s="154">
        <v>0.75</v>
      </c>
      <c r="AB35" s="103">
        <v>95</v>
      </c>
      <c r="AC35" s="103">
        <f t="shared" ref="AC35:AC54" si="21">D35-F35-G35+K35-L35-M35-N35-X35-Y35-AB35-AD35-T35</f>
        <v>-815.82134999999982</v>
      </c>
      <c r="AD35" s="103">
        <f t="shared" ref="AD35:AD40" si="22">AA35*E35</f>
        <v>2369.25</v>
      </c>
    </row>
    <row r="36" spans="1:30">
      <c r="A36" s="186" t="s">
        <v>355</v>
      </c>
      <c r="B36" s="185">
        <v>352371</v>
      </c>
      <c r="C36" s="112"/>
      <c r="D36" s="103">
        <v>0</v>
      </c>
      <c r="E36" s="112"/>
      <c r="F36" s="146"/>
      <c r="G36" s="128">
        <v>1.4</v>
      </c>
      <c r="H36" s="103"/>
      <c r="I36" s="103"/>
      <c r="J36" s="103"/>
      <c r="K36" s="128"/>
      <c r="L36" s="103">
        <f t="shared" si="18"/>
        <v>0</v>
      </c>
      <c r="M36" s="103">
        <v>7</v>
      </c>
      <c r="N36" s="103">
        <v>689.44</v>
      </c>
      <c r="O36" s="103"/>
      <c r="P36" s="103"/>
      <c r="Q36" s="103">
        <v>0</v>
      </c>
      <c r="R36" s="103"/>
      <c r="S36" s="103"/>
      <c r="T36" s="103">
        <f t="shared" si="19"/>
        <v>1.4979999999999998</v>
      </c>
      <c r="U36" s="152"/>
      <c r="V36" s="152">
        <v>7.4899999999999994E-2</v>
      </c>
      <c r="W36" s="153">
        <v>20</v>
      </c>
      <c r="X36" s="103">
        <v>359.07</v>
      </c>
      <c r="Y36" s="103">
        <f t="shared" si="20"/>
        <v>0</v>
      </c>
      <c r="Z36" s="103"/>
      <c r="AA36" s="154">
        <v>0.75</v>
      </c>
      <c r="AB36" s="103">
        <v>95</v>
      </c>
      <c r="AC36" s="103">
        <f t="shared" si="21"/>
        <v>-1153.4080000000001</v>
      </c>
      <c r="AD36" s="103">
        <f t="shared" si="22"/>
        <v>0</v>
      </c>
    </row>
    <row r="37" spans="1:30">
      <c r="A37" s="187"/>
      <c r="B37" s="185">
        <v>352372</v>
      </c>
      <c r="C37" s="112"/>
      <c r="D37" s="103"/>
      <c r="E37" s="112"/>
      <c r="F37" s="146"/>
      <c r="G37" s="117"/>
      <c r="H37" s="103"/>
      <c r="I37" s="103"/>
      <c r="J37" s="103"/>
      <c r="K37" s="146"/>
      <c r="L37" s="103">
        <f t="shared" si="18"/>
        <v>0</v>
      </c>
      <c r="M37" s="103">
        <v>7</v>
      </c>
      <c r="N37" s="103">
        <v>689.44</v>
      </c>
      <c r="O37" s="103"/>
      <c r="P37" s="103"/>
      <c r="Q37" s="103">
        <v>0</v>
      </c>
      <c r="R37" s="103"/>
      <c r="S37" s="103"/>
      <c r="T37" s="103">
        <f t="shared" si="19"/>
        <v>3.5202999999999998</v>
      </c>
      <c r="U37" s="152"/>
      <c r="V37" s="152">
        <v>7.4899999999999994E-2</v>
      </c>
      <c r="W37" s="153">
        <v>47</v>
      </c>
      <c r="X37" s="103">
        <v>359.07</v>
      </c>
      <c r="Y37" s="103">
        <f t="shared" si="20"/>
        <v>0</v>
      </c>
      <c r="Z37" s="103"/>
      <c r="AA37" s="154"/>
      <c r="AB37" s="103">
        <v>95</v>
      </c>
      <c r="AC37" s="103">
        <f t="shared" si="21"/>
        <v>-1154.0302999999999</v>
      </c>
      <c r="AD37" s="103">
        <f t="shared" si="22"/>
        <v>0</v>
      </c>
    </row>
    <row r="38" spans="1:30">
      <c r="A38" s="184" t="s">
        <v>318</v>
      </c>
      <c r="B38" s="185">
        <v>352373</v>
      </c>
      <c r="C38" s="112"/>
      <c r="D38" s="103">
        <v>900</v>
      </c>
      <c r="E38" s="117">
        <v>748</v>
      </c>
      <c r="F38" s="146">
        <v>268.93</v>
      </c>
      <c r="G38" s="128">
        <v>26.15</v>
      </c>
      <c r="H38" s="103"/>
      <c r="I38" s="103"/>
      <c r="J38" s="103"/>
      <c r="K38" s="146">
        <v>17.510000000000002</v>
      </c>
      <c r="L38" s="103">
        <f t="shared" si="18"/>
        <v>7.65</v>
      </c>
      <c r="M38" s="103">
        <v>7</v>
      </c>
      <c r="N38" s="103">
        <v>689.44</v>
      </c>
      <c r="O38" s="103"/>
      <c r="P38" s="103"/>
      <c r="Q38" s="103">
        <v>0</v>
      </c>
      <c r="R38" s="103"/>
      <c r="S38" s="103"/>
      <c r="T38" s="103">
        <f t="shared" si="19"/>
        <v>0</v>
      </c>
      <c r="U38" s="152"/>
      <c r="V38" s="152">
        <v>7.4899999999999994E-2</v>
      </c>
      <c r="W38" s="153"/>
      <c r="X38" s="103">
        <v>359.07</v>
      </c>
      <c r="Y38" s="103">
        <f t="shared" si="20"/>
        <v>74.8</v>
      </c>
      <c r="Z38" s="103"/>
      <c r="AA38" s="154"/>
      <c r="AB38" s="103">
        <v>95</v>
      </c>
      <c r="AC38" s="103">
        <f t="shared" si="21"/>
        <v>-610.53000000000009</v>
      </c>
      <c r="AD38" s="103">
        <f t="shared" si="22"/>
        <v>0</v>
      </c>
    </row>
    <row r="39" spans="1:30">
      <c r="A39" s="187"/>
      <c r="B39" s="188" t="s">
        <v>403</v>
      </c>
      <c r="C39" s="112"/>
      <c r="D39" s="103"/>
      <c r="E39" s="117"/>
      <c r="F39" s="146"/>
      <c r="G39" s="128">
        <v>1.86</v>
      </c>
      <c r="H39" s="103"/>
      <c r="I39" s="103"/>
      <c r="J39" s="103"/>
      <c r="K39" s="146"/>
      <c r="L39" s="103">
        <f t="shared" si="18"/>
        <v>0</v>
      </c>
      <c r="M39" s="103">
        <v>7</v>
      </c>
      <c r="N39" s="103">
        <v>689.44</v>
      </c>
      <c r="O39" s="103"/>
      <c r="P39" s="103"/>
      <c r="Q39" s="103">
        <v>0</v>
      </c>
      <c r="R39" s="103"/>
      <c r="S39" s="103"/>
      <c r="T39" s="103">
        <f t="shared" si="19"/>
        <v>7.115499999999999</v>
      </c>
      <c r="U39" s="152"/>
      <c r="V39" s="152">
        <v>7.4899999999999994E-2</v>
      </c>
      <c r="W39" s="153">
        <v>95</v>
      </c>
      <c r="X39" s="103">
        <v>359.07</v>
      </c>
      <c r="Y39" s="103">
        <f t="shared" si="20"/>
        <v>0</v>
      </c>
      <c r="Z39" s="103"/>
      <c r="AA39" s="154"/>
      <c r="AB39" s="103">
        <v>95</v>
      </c>
      <c r="AC39" s="103">
        <f t="shared" si="21"/>
        <v>-1159.4855000000002</v>
      </c>
      <c r="AD39" s="103">
        <f t="shared" si="22"/>
        <v>0</v>
      </c>
    </row>
    <row r="40" spans="1:30">
      <c r="A40" s="187"/>
      <c r="B40" s="185">
        <v>352375</v>
      </c>
      <c r="C40" s="112"/>
      <c r="D40" s="103"/>
      <c r="E40" s="112"/>
      <c r="F40" s="146"/>
      <c r="G40" s="128"/>
      <c r="H40" s="103"/>
      <c r="I40" s="103"/>
      <c r="J40" s="103"/>
      <c r="K40" s="146"/>
      <c r="L40" s="103">
        <f t="shared" si="18"/>
        <v>0</v>
      </c>
      <c r="M40" s="103">
        <v>7</v>
      </c>
      <c r="N40" s="103">
        <v>689.44</v>
      </c>
      <c r="O40" s="103"/>
      <c r="P40" s="103"/>
      <c r="Q40" s="103">
        <v>0</v>
      </c>
      <c r="R40" s="103"/>
      <c r="S40" s="103"/>
      <c r="T40" s="103">
        <f t="shared" si="19"/>
        <v>0</v>
      </c>
      <c r="U40" s="152"/>
      <c r="V40" s="152">
        <v>7.4899999999999994E-2</v>
      </c>
      <c r="W40" s="153"/>
      <c r="X40" s="103">
        <v>359.07</v>
      </c>
      <c r="Y40" s="103">
        <f t="shared" si="20"/>
        <v>0</v>
      </c>
      <c r="Z40" s="103"/>
      <c r="AA40" s="154"/>
      <c r="AB40" s="103">
        <v>95</v>
      </c>
      <c r="AC40" s="103">
        <f t="shared" si="21"/>
        <v>-1150.51</v>
      </c>
      <c r="AD40" s="103">
        <f t="shared" si="22"/>
        <v>0</v>
      </c>
    </row>
    <row r="41" spans="1:30">
      <c r="A41" s="187" t="s">
        <v>62</v>
      </c>
      <c r="B41" s="185">
        <v>352376</v>
      </c>
      <c r="C41" s="112">
        <v>7</v>
      </c>
      <c r="D41" s="103">
        <v>11700</v>
      </c>
      <c r="E41" s="117">
        <v>4980</v>
      </c>
      <c r="F41" s="146">
        <v>2907.01</v>
      </c>
      <c r="G41" s="128">
        <v>2.78</v>
      </c>
      <c r="H41" s="103"/>
      <c r="I41" s="103"/>
      <c r="J41" s="103"/>
      <c r="K41" s="146">
        <v>339.66</v>
      </c>
      <c r="L41" s="103">
        <f t="shared" si="18"/>
        <v>99.45</v>
      </c>
      <c r="M41" s="103">
        <v>7</v>
      </c>
      <c r="N41" s="103">
        <v>689.44</v>
      </c>
      <c r="O41" s="103"/>
      <c r="P41" s="103"/>
      <c r="Q41" s="103">
        <v>0</v>
      </c>
      <c r="R41" s="103"/>
      <c r="S41" s="103"/>
      <c r="T41" s="103">
        <f t="shared" si="19"/>
        <v>277.13</v>
      </c>
      <c r="U41" s="152"/>
      <c r="V41" s="152">
        <v>7.4899999999999994E-2</v>
      </c>
      <c r="W41" s="153">
        <v>3700</v>
      </c>
      <c r="X41" s="103">
        <v>359.07</v>
      </c>
      <c r="Y41" s="103">
        <f t="shared" si="20"/>
        <v>498</v>
      </c>
      <c r="Z41" s="103"/>
      <c r="AA41" s="154">
        <v>0.75</v>
      </c>
      <c r="AB41" s="103">
        <v>95</v>
      </c>
      <c r="AC41" s="103">
        <f t="shared" si="21"/>
        <v>3369.7799999999979</v>
      </c>
      <c r="AD41" s="103">
        <f>AA41*E41+I41</f>
        <v>3735</v>
      </c>
    </row>
    <row r="42" spans="1:30">
      <c r="A42" s="187" t="s">
        <v>390</v>
      </c>
      <c r="B42" s="185">
        <v>352377</v>
      </c>
      <c r="C42" s="112">
        <v>2</v>
      </c>
      <c r="D42" s="103">
        <v>1000</v>
      </c>
      <c r="E42" s="112">
        <v>600</v>
      </c>
      <c r="F42" s="146"/>
      <c r="G42" s="128">
        <v>14</v>
      </c>
      <c r="H42" s="103"/>
      <c r="I42" s="103"/>
      <c r="J42" s="103"/>
      <c r="K42" s="146"/>
      <c r="L42" s="103">
        <f t="shared" si="18"/>
        <v>8.5</v>
      </c>
      <c r="M42" s="103">
        <v>7</v>
      </c>
      <c r="N42" s="103">
        <v>689.44</v>
      </c>
      <c r="O42" s="103"/>
      <c r="P42" s="103"/>
      <c r="Q42" s="103">
        <v>0</v>
      </c>
      <c r="R42" s="103"/>
      <c r="S42" s="103"/>
      <c r="T42" s="103">
        <f t="shared" si="19"/>
        <v>30.783899999999999</v>
      </c>
      <c r="U42" s="152"/>
      <c r="V42" s="152">
        <v>7.4899999999999994E-2</v>
      </c>
      <c r="W42" s="153">
        <v>411</v>
      </c>
      <c r="X42" s="103">
        <v>359.07</v>
      </c>
      <c r="Y42" s="103">
        <f t="shared" si="20"/>
        <v>60</v>
      </c>
      <c r="Z42" s="103"/>
      <c r="AA42" s="154">
        <v>0.7</v>
      </c>
      <c r="AB42" s="103">
        <v>95</v>
      </c>
      <c r="AC42" s="103">
        <f t="shared" si="21"/>
        <v>-683.79390000000001</v>
      </c>
      <c r="AD42" s="103">
        <f t="shared" ref="AD42:AD43" si="23">AA42*E42</f>
        <v>420</v>
      </c>
    </row>
    <row r="43" spans="1:30">
      <c r="A43" s="187"/>
      <c r="B43" s="185">
        <v>359885</v>
      </c>
      <c r="C43" s="112"/>
      <c r="D43" s="103">
        <v>0</v>
      </c>
      <c r="E43" s="112"/>
      <c r="F43" s="146"/>
      <c r="G43" s="128"/>
      <c r="H43" s="103"/>
      <c r="I43" s="103"/>
      <c r="J43" s="103"/>
      <c r="K43" s="146"/>
      <c r="L43" s="103">
        <f t="shared" si="18"/>
        <v>0</v>
      </c>
      <c r="M43" s="103">
        <v>7</v>
      </c>
      <c r="N43" s="103">
        <v>689.44</v>
      </c>
      <c r="O43" s="103"/>
      <c r="P43" s="103"/>
      <c r="Q43" s="103">
        <v>0</v>
      </c>
      <c r="R43" s="103"/>
      <c r="S43" s="103"/>
      <c r="T43" s="103">
        <f t="shared" si="19"/>
        <v>0</v>
      </c>
      <c r="U43" s="152"/>
      <c r="V43" s="152">
        <v>7.4899999999999994E-2</v>
      </c>
      <c r="W43" s="153"/>
      <c r="X43" s="103">
        <v>359.07</v>
      </c>
      <c r="Y43" s="103">
        <f t="shared" si="20"/>
        <v>0</v>
      </c>
      <c r="Z43" s="103"/>
      <c r="AA43" s="154">
        <v>0.75</v>
      </c>
      <c r="AB43" s="103">
        <v>95</v>
      </c>
      <c r="AC43" s="103">
        <f t="shared" si="21"/>
        <v>-1150.51</v>
      </c>
      <c r="AD43" s="103">
        <f t="shared" si="23"/>
        <v>0</v>
      </c>
    </row>
    <row r="44" spans="1:30">
      <c r="A44" s="189" t="s">
        <v>393</v>
      </c>
      <c r="B44" s="185">
        <v>359886</v>
      </c>
      <c r="C44" s="112">
        <v>5</v>
      </c>
      <c r="D44" s="103">
        <v>4275</v>
      </c>
      <c r="E44" s="112">
        <v>2204</v>
      </c>
      <c r="F44" s="146">
        <v>1572.35</v>
      </c>
      <c r="G44" s="128">
        <v>295.23</v>
      </c>
      <c r="H44" s="103"/>
      <c r="I44" s="103"/>
      <c r="J44" s="103"/>
      <c r="K44" s="146">
        <v>150.4</v>
      </c>
      <c r="L44" s="103">
        <f t="shared" si="18"/>
        <v>36.337500000000006</v>
      </c>
      <c r="M44" s="103">
        <v>7</v>
      </c>
      <c r="N44" s="103">
        <v>689.44</v>
      </c>
      <c r="O44" s="103"/>
      <c r="P44" s="103"/>
      <c r="Q44" s="103">
        <v>0</v>
      </c>
      <c r="R44" s="103"/>
      <c r="S44" s="103"/>
      <c r="T44" s="103">
        <f t="shared" si="19"/>
        <v>194.29059999999998</v>
      </c>
      <c r="U44" s="152"/>
      <c r="V44" s="152">
        <v>7.4899999999999994E-2</v>
      </c>
      <c r="W44" s="153">
        <v>2594</v>
      </c>
      <c r="X44" s="103">
        <v>359.07</v>
      </c>
      <c r="Y44" s="103">
        <f t="shared" si="20"/>
        <v>220.4</v>
      </c>
      <c r="Z44" s="103"/>
      <c r="AA44" s="154">
        <v>0.75</v>
      </c>
      <c r="AB44" s="103">
        <v>95</v>
      </c>
      <c r="AC44" s="103">
        <f t="shared" si="21"/>
        <v>-696.71810000000005</v>
      </c>
      <c r="AD44" s="103">
        <f>AA44*E44+I44</f>
        <v>1653</v>
      </c>
    </row>
    <row r="45" spans="1:30">
      <c r="A45" s="187" t="s">
        <v>319</v>
      </c>
      <c r="B45" s="185">
        <v>465180</v>
      </c>
      <c r="C45" s="112">
        <v>6</v>
      </c>
      <c r="D45" s="103">
        <v>4950</v>
      </c>
      <c r="E45" s="112">
        <v>2362</v>
      </c>
      <c r="F45" s="146">
        <v>1652.37</v>
      </c>
      <c r="G45" s="128">
        <v>64.05</v>
      </c>
      <c r="H45" s="103"/>
      <c r="I45" s="103">
        <v>100</v>
      </c>
      <c r="J45" s="103"/>
      <c r="K45" s="146">
        <v>148.94</v>
      </c>
      <c r="L45" s="103">
        <f t="shared" si="18"/>
        <v>42.075000000000003</v>
      </c>
      <c r="M45" s="103">
        <v>7</v>
      </c>
      <c r="N45" s="103">
        <v>789.51</v>
      </c>
      <c r="O45" s="103"/>
      <c r="P45" s="103"/>
      <c r="Q45" s="103">
        <v>0</v>
      </c>
      <c r="R45" s="103"/>
      <c r="S45" s="103"/>
      <c r="T45" s="103">
        <f t="shared" si="19"/>
        <v>189.53930000000003</v>
      </c>
      <c r="U45" s="152"/>
      <c r="V45" s="152">
        <v>7.4300000000000005E-2</v>
      </c>
      <c r="W45" s="153">
        <v>2551</v>
      </c>
      <c r="X45" s="103">
        <v>359.07</v>
      </c>
      <c r="Y45" s="103">
        <f t="shared" si="20"/>
        <v>236.20000000000002</v>
      </c>
      <c r="Z45" s="103"/>
      <c r="AA45" s="154">
        <v>0.75</v>
      </c>
      <c r="AB45" s="103">
        <v>95</v>
      </c>
      <c r="AC45" s="103">
        <f t="shared" si="21"/>
        <v>-107.37429999999983</v>
      </c>
      <c r="AD45" s="103">
        <f t="shared" ref="AD45:AD46" si="24">AA45*E45</f>
        <v>1771.5</v>
      </c>
    </row>
    <row r="46" spans="1:30">
      <c r="A46" s="187" t="s">
        <v>322</v>
      </c>
      <c r="B46" s="185">
        <v>465181</v>
      </c>
      <c r="C46" s="117">
        <v>7</v>
      </c>
      <c r="D46" s="128">
        <v>7400</v>
      </c>
      <c r="E46" s="112">
        <v>3806</v>
      </c>
      <c r="F46" s="146">
        <v>1937.56</v>
      </c>
      <c r="G46" s="128"/>
      <c r="H46" s="128"/>
      <c r="I46" s="128">
        <v>200</v>
      </c>
      <c r="J46" s="128"/>
      <c r="K46" s="146">
        <v>328.18</v>
      </c>
      <c r="L46" s="103">
        <f t="shared" si="18"/>
        <v>62.900000000000006</v>
      </c>
      <c r="M46" s="103">
        <v>7</v>
      </c>
      <c r="N46" s="103">
        <v>789.51</v>
      </c>
      <c r="O46" s="103"/>
      <c r="P46" s="103"/>
      <c r="Q46" s="103">
        <v>0</v>
      </c>
      <c r="R46" s="103"/>
      <c r="S46" s="103"/>
      <c r="T46" s="103">
        <f t="shared" si="19"/>
        <v>194.88890000000001</v>
      </c>
      <c r="U46" s="152"/>
      <c r="V46" s="152">
        <v>7.4300000000000005E-2</v>
      </c>
      <c r="W46" s="153">
        <v>2623</v>
      </c>
      <c r="X46" s="103">
        <v>359.07</v>
      </c>
      <c r="Y46" s="103">
        <f t="shared" si="20"/>
        <v>380.6</v>
      </c>
      <c r="Z46" s="103"/>
      <c r="AA46" s="154">
        <v>0.8</v>
      </c>
      <c r="AB46" s="103">
        <v>95</v>
      </c>
      <c r="AC46" s="103">
        <f t="shared" si="21"/>
        <v>856.85110000000066</v>
      </c>
      <c r="AD46" s="103">
        <f t="shared" si="24"/>
        <v>3044.8</v>
      </c>
    </row>
    <row r="47" spans="1:30">
      <c r="A47" s="187" t="s">
        <v>349</v>
      </c>
      <c r="B47" s="185">
        <v>465182</v>
      </c>
      <c r="C47" s="112">
        <v>4</v>
      </c>
      <c r="D47" s="103">
        <v>3000</v>
      </c>
      <c r="E47" s="112">
        <v>1586</v>
      </c>
      <c r="F47" s="146">
        <v>1499.02</v>
      </c>
      <c r="G47" s="128">
        <v>57.49</v>
      </c>
      <c r="H47" s="128"/>
      <c r="I47" s="128"/>
      <c r="J47" s="128"/>
      <c r="K47" s="146">
        <v>32.29</v>
      </c>
      <c r="L47" s="103">
        <f t="shared" si="18"/>
        <v>25.500000000000004</v>
      </c>
      <c r="M47" s="103">
        <v>7</v>
      </c>
      <c r="N47" s="103">
        <v>789.51</v>
      </c>
      <c r="O47" s="103"/>
      <c r="P47" s="103"/>
      <c r="Q47" s="103">
        <v>0</v>
      </c>
      <c r="R47" s="103"/>
      <c r="S47" s="103"/>
      <c r="T47" s="103">
        <f t="shared" si="19"/>
        <v>122.44640000000001</v>
      </c>
      <c r="U47" s="152"/>
      <c r="V47" s="152">
        <v>7.4300000000000005E-2</v>
      </c>
      <c r="W47" s="153">
        <v>1648</v>
      </c>
      <c r="X47" s="103">
        <v>359.07</v>
      </c>
      <c r="Y47" s="103">
        <f t="shared" si="20"/>
        <v>158.60000000000002</v>
      </c>
      <c r="Z47" s="103"/>
      <c r="AA47" s="154">
        <v>0.8</v>
      </c>
      <c r="AB47" s="103">
        <v>95</v>
      </c>
      <c r="AC47" s="103">
        <f t="shared" si="21"/>
        <v>-1350.1464000000003</v>
      </c>
      <c r="AD47" s="103">
        <f>AA47*E47+I47</f>
        <v>1268.8000000000002</v>
      </c>
    </row>
    <row r="48" spans="1:30">
      <c r="A48" s="187" t="s">
        <v>88</v>
      </c>
      <c r="B48" s="185">
        <v>465183</v>
      </c>
      <c r="C48" s="117">
        <v>7</v>
      </c>
      <c r="D48" s="103">
        <v>9800</v>
      </c>
      <c r="E48" s="112">
        <v>4217</v>
      </c>
      <c r="F48" s="146">
        <v>3408.39</v>
      </c>
      <c r="G48" s="128">
        <v>55.63</v>
      </c>
      <c r="H48" s="128"/>
      <c r="I48" s="128"/>
      <c r="J48" s="128"/>
      <c r="K48" s="146">
        <v>556.97</v>
      </c>
      <c r="L48" s="103">
        <f t="shared" si="18"/>
        <v>83.300000000000011</v>
      </c>
      <c r="M48" s="103">
        <v>7</v>
      </c>
      <c r="N48" s="103">
        <v>789.51</v>
      </c>
      <c r="O48" s="103"/>
      <c r="P48" s="103"/>
      <c r="Q48" s="103">
        <v>0</v>
      </c>
      <c r="R48" s="103"/>
      <c r="S48" s="103"/>
      <c r="T48" s="103">
        <f t="shared" si="19"/>
        <v>333.68130000000002</v>
      </c>
      <c r="U48" s="152"/>
      <c r="V48" s="152">
        <v>7.4300000000000005E-2</v>
      </c>
      <c r="W48" s="153">
        <v>4491</v>
      </c>
      <c r="X48" s="103">
        <v>359.07</v>
      </c>
      <c r="Y48" s="103">
        <f t="shared" si="20"/>
        <v>421.70000000000005</v>
      </c>
      <c r="Z48" s="103"/>
      <c r="AA48" s="154">
        <v>0.8</v>
      </c>
      <c r="AB48" s="103">
        <v>95</v>
      </c>
      <c r="AC48" s="103">
        <f t="shared" si="21"/>
        <v>1430.0887000000005</v>
      </c>
      <c r="AD48" s="103">
        <f t="shared" ref="AD48:AD49" si="25">AA48*E48</f>
        <v>3373.6000000000004</v>
      </c>
    </row>
    <row r="49" spans="1:30">
      <c r="A49" s="190" t="s">
        <v>40</v>
      </c>
      <c r="B49" s="185">
        <v>465184</v>
      </c>
      <c r="C49" s="117">
        <v>7</v>
      </c>
      <c r="D49" s="103">
        <v>8550</v>
      </c>
      <c r="E49" s="112">
        <v>3885</v>
      </c>
      <c r="F49" s="146">
        <v>3265.63</v>
      </c>
      <c r="G49" s="128"/>
      <c r="H49" s="128"/>
      <c r="I49" s="128"/>
      <c r="J49" s="128"/>
      <c r="K49" s="146">
        <v>196.57</v>
      </c>
      <c r="L49" s="103">
        <f t="shared" si="18"/>
        <v>72.675000000000011</v>
      </c>
      <c r="M49" s="103">
        <v>7</v>
      </c>
      <c r="N49" s="103">
        <v>789.51</v>
      </c>
      <c r="O49" s="103"/>
      <c r="P49" s="103"/>
      <c r="Q49" s="103">
        <v>0</v>
      </c>
      <c r="R49" s="103"/>
      <c r="S49" s="103"/>
      <c r="T49" s="103">
        <f t="shared" si="19"/>
        <v>287.68960000000004</v>
      </c>
      <c r="U49" s="152"/>
      <c r="V49" s="152">
        <v>7.4300000000000005E-2</v>
      </c>
      <c r="W49" s="153">
        <v>3872</v>
      </c>
      <c r="X49" s="103">
        <v>359.07</v>
      </c>
      <c r="Y49" s="103">
        <f t="shared" si="20"/>
        <v>388.5</v>
      </c>
      <c r="Z49" s="103"/>
      <c r="AA49" s="154">
        <v>0.8</v>
      </c>
      <c r="AB49" s="103">
        <v>95</v>
      </c>
      <c r="AC49" s="103">
        <f t="shared" si="21"/>
        <v>373.49539999999945</v>
      </c>
      <c r="AD49" s="103">
        <f t="shared" si="25"/>
        <v>3108</v>
      </c>
    </row>
    <row r="50" spans="1:30">
      <c r="A50" s="187" t="s">
        <v>75</v>
      </c>
      <c r="B50" s="185">
        <v>465185</v>
      </c>
      <c r="C50" s="117">
        <v>7</v>
      </c>
      <c r="D50" s="103">
        <v>6600</v>
      </c>
      <c r="E50" s="112">
        <v>2926</v>
      </c>
      <c r="F50" s="146">
        <v>2042.92</v>
      </c>
      <c r="G50" s="128">
        <v>99.3</v>
      </c>
      <c r="H50" s="128"/>
      <c r="I50" s="128">
        <v>200</v>
      </c>
      <c r="J50" s="128"/>
      <c r="K50" s="146">
        <v>393.79</v>
      </c>
      <c r="L50" s="103">
        <f t="shared" si="18"/>
        <v>56.1</v>
      </c>
      <c r="M50" s="103">
        <v>7</v>
      </c>
      <c r="N50" s="103">
        <v>789.51</v>
      </c>
      <c r="O50" s="103"/>
      <c r="P50" s="103"/>
      <c r="Q50" s="103">
        <v>0</v>
      </c>
      <c r="R50" s="103"/>
      <c r="S50" s="103"/>
      <c r="T50" s="103">
        <f t="shared" si="19"/>
        <v>216.95600000000002</v>
      </c>
      <c r="U50" s="152"/>
      <c r="V50" s="152">
        <v>7.4300000000000005E-2</v>
      </c>
      <c r="W50" s="153">
        <v>2920</v>
      </c>
      <c r="X50" s="103">
        <v>359.07</v>
      </c>
      <c r="Y50" s="103">
        <f t="shared" si="20"/>
        <v>292.60000000000002</v>
      </c>
      <c r="Z50" s="103"/>
      <c r="AA50" s="154">
        <v>0.8</v>
      </c>
      <c r="AB50" s="103">
        <v>95</v>
      </c>
      <c r="AC50" s="103">
        <f t="shared" si="21"/>
        <v>494.53399999999885</v>
      </c>
      <c r="AD50" s="103">
        <f t="shared" ref="AD50:AD51" si="26">AA50*E50+I50</f>
        <v>2540.8000000000002</v>
      </c>
    </row>
    <row r="51" spans="1:30">
      <c r="A51" s="187" t="s">
        <v>404</v>
      </c>
      <c r="B51" s="185">
        <v>465186</v>
      </c>
      <c r="C51" s="112">
        <v>7</v>
      </c>
      <c r="D51" s="103">
        <v>8675</v>
      </c>
      <c r="E51" s="112">
        <v>3979</v>
      </c>
      <c r="F51" s="146">
        <v>3281.76</v>
      </c>
      <c r="G51" s="128">
        <v>39.479999999999997</v>
      </c>
      <c r="H51" s="128"/>
      <c r="I51" s="128"/>
      <c r="J51" s="128">
        <v>100</v>
      </c>
      <c r="K51" s="146">
        <v>71.040000000000006</v>
      </c>
      <c r="L51" s="103">
        <f t="shared" si="18"/>
        <v>73.737500000000011</v>
      </c>
      <c r="M51" s="103">
        <v>7</v>
      </c>
      <c r="N51" s="103">
        <v>789.51</v>
      </c>
      <c r="O51" s="103"/>
      <c r="P51" s="103"/>
      <c r="Q51" s="103">
        <v>0</v>
      </c>
      <c r="R51" s="103"/>
      <c r="S51" s="103"/>
      <c r="T51" s="103">
        <f t="shared" si="19"/>
        <v>295.56540000000001</v>
      </c>
      <c r="U51" s="152"/>
      <c r="V51" s="152">
        <v>7.4300000000000005E-2</v>
      </c>
      <c r="W51" s="153">
        <v>3978</v>
      </c>
      <c r="X51" s="103">
        <v>359.07</v>
      </c>
      <c r="Y51" s="103">
        <f t="shared" si="20"/>
        <v>397.90000000000003</v>
      </c>
      <c r="Z51" s="103"/>
      <c r="AA51" s="154">
        <v>0.7</v>
      </c>
      <c r="AB51" s="103">
        <v>95</v>
      </c>
      <c r="AC51" s="103">
        <f t="shared" si="21"/>
        <v>621.7171000000003</v>
      </c>
      <c r="AD51" s="103">
        <f t="shared" si="26"/>
        <v>2785.2999999999997</v>
      </c>
    </row>
    <row r="52" spans="1:30">
      <c r="A52" s="187" t="s">
        <v>192</v>
      </c>
      <c r="B52" s="185">
        <v>465187</v>
      </c>
      <c r="C52" s="117">
        <v>7</v>
      </c>
      <c r="D52" s="103">
        <v>9500</v>
      </c>
      <c r="E52" s="112">
        <v>4609</v>
      </c>
      <c r="F52" s="146">
        <v>3507.77</v>
      </c>
      <c r="G52" s="128">
        <v>37</v>
      </c>
      <c r="H52" s="128"/>
      <c r="I52" s="128"/>
      <c r="J52" s="128"/>
      <c r="K52" s="146">
        <v>395.74</v>
      </c>
      <c r="L52" s="103">
        <f t="shared" si="18"/>
        <v>80.75</v>
      </c>
      <c r="M52" s="103">
        <v>7</v>
      </c>
      <c r="N52" s="103">
        <v>789.51</v>
      </c>
      <c r="O52" s="103"/>
      <c r="P52" s="103"/>
      <c r="Q52" s="103">
        <v>0</v>
      </c>
      <c r="R52" s="103"/>
      <c r="S52" s="103"/>
      <c r="T52" s="103">
        <f t="shared" si="19"/>
        <v>339.47670000000005</v>
      </c>
      <c r="U52" s="152"/>
      <c r="V52" s="152">
        <v>7.4300000000000005E-2</v>
      </c>
      <c r="W52" s="153">
        <v>4569</v>
      </c>
      <c r="X52" s="103">
        <v>359.07</v>
      </c>
      <c r="Y52" s="103">
        <f t="shared" si="20"/>
        <v>460.90000000000003</v>
      </c>
      <c r="Z52" s="103"/>
      <c r="AA52" s="154">
        <v>0.8</v>
      </c>
      <c r="AB52" s="103">
        <v>95</v>
      </c>
      <c r="AC52" s="103">
        <f t="shared" si="21"/>
        <v>532.06329999999946</v>
      </c>
      <c r="AD52" s="103">
        <f t="shared" ref="AD52:AD54" si="27">AA52*E52</f>
        <v>3687.2000000000003</v>
      </c>
    </row>
    <row r="53" spans="1:30">
      <c r="A53" s="187" t="s">
        <v>191</v>
      </c>
      <c r="B53" s="185">
        <v>465188</v>
      </c>
      <c r="C53" s="117"/>
      <c r="D53" s="128">
        <v>0</v>
      </c>
      <c r="E53" s="112"/>
      <c r="F53" s="146"/>
      <c r="G53" s="128">
        <v>44.16</v>
      </c>
      <c r="H53" s="128"/>
      <c r="I53" s="128"/>
      <c r="J53" s="128"/>
      <c r="K53" s="146"/>
      <c r="L53" s="103">
        <f t="shared" si="18"/>
        <v>0</v>
      </c>
      <c r="M53" s="103">
        <v>7</v>
      </c>
      <c r="N53" s="103">
        <v>789.51</v>
      </c>
      <c r="O53" s="103"/>
      <c r="P53" s="103"/>
      <c r="Q53" s="103">
        <v>0</v>
      </c>
      <c r="R53" s="103"/>
      <c r="S53" s="103"/>
      <c r="T53" s="103">
        <f t="shared" si="19"/>
        <v>13.448300000000001</v>
      </c>
      <c r="U53" s="152"/>
      <c r="V53" s="152">
        <v>7.4300000000000005E-2</v>
      </c>
      <c r="W53" s="153">
        <v>181</v>
      </c>
      <c r="X53" s="103">
        <v>359.07</v>
      </c>
      <c r="Y53" s="103">
        <f t="shared" si="20"/>
        <v>0</v>
      </c>
      <c r="Z53" s="103"/>
      <c r="AA53" s="154">
        <v>0.8</v>
      </c>
      <c r="AB53" s="103">
        <v>95</v>
      </c>
      <c r="AC53" s="103">
        <f t="shared" si="21"/>
        <v>-1308.1883</v>
      </c>
      <c r="AD53" s="103">
        <f t="shared" si="27"/>
        <v>0</v>
      </c>
    </row>
    <row r="54" spans="1:30">
      <c r="A54" s="184" t="s">
        <v>407</v>
      </c>
      <c r="B54" s="185">
        <v>465189</v>
      </c>
      <c r="C54" s="112">
        <v>4</v>
      </c>
      <c r="D54" s="103">
        <v>2500</v>
      </c>
      <c r="E54" s="117">
        <v>1624</v>
      </c>
      <c r="F54" s="146">
        <v>1100</v>
      </c>
      <c r="G54" s="128"/>
      <c r="H54" s="103"/>
      <c r="I54" s="103"/>
      <c r="J54" s="103"/>
      <c r="K54" s="146"/>
      <c r="L54" s="103">
        <f t="shared" si="18"/>
        <v>21.25</v>
      </c>
      <c r="M54" s="103">
        <v>7</v>
      </c>
      <c r="N54" s="103">
        <v>789.51</v>
      </c>
      <c r="O54" s="103"/>
      <c r="P54" s="103"/>
      <c r="Q54" s="103">
        <v>0</v>
      </c>
      <c r="R54" s="103"/>
      <c r="S54" s="103"/>
      <c r="T54" s="103">
        <f t="shared" si="19"/>
        <v>124.89830000000001</v>
      </c>
      <c r="U54" s="152"/>
      <c r="V54" s="152">
        <v>7.4300000000000005E-2</v>
      </c>
      <c r="W54" s="155">
        <v>1681</v>
      </c>
      <c r="X54" s="103">
        <v>359.07</v>
      </c>
      <c r="Y54" s="103">
        <f t="shared" si="20"/>
        <v>162.4</v>
      </c>
      <c r="Z54" s="103"/>
      <c r="AA54" s="154">
        <v>0.65</v>
      </c>
      <c r="AB54" s="103">
        <v>95</v>
      </c>
      <c r="AC54" s="103">
        <f t="shared" si="21"/>
        <v>-1214.7283000000002</v>
      </c>
      <c r="AD54" s="103">
        <f t="shared" si="27"/>
        <v>1055.6000000000001</v>
      </c>
    </row>
    <row r="55" spans="1:30">
      <c r="A55" s="134" t="s">
        <v>386</v>
      </c>
      <c r="B55" s="135" t="s">
        <v>399</v>
      </c>
      <c r="C55" s="158"/>
      <c r="D55" s="139">
        <v>3250</v>
      </c>
      <c r="E55" s="136">
        <v>1619</v>
      </c>
      <c r="F55" s="139">
        <v>417.33</v>
      </c>
      <c r="G55" s="139">
        <v>179.44</v>
      </c>
      <c r="H55" s="139"/>
      <c r="I55" s="139"/>
      <c r="J55" s="139"/>
      <c r="K55" s="139">
        <v>61.67</v>
      </c>
      <c r="L55" s="139">
        <f t="shared" si="18"/>
        <v>27.625000000000004</v>
      </c>
      <c r="M55" s="139">
        <v>0</v>
      </c>
      <c r="N55" s="139">
        <v>0</v>
      </c>
      <c r="O55" s="139">
        <v>0</v>
      </c>
      <c r="P55" s="139"/>
      <c r="Q55" s="139">
        <v>0</v>
      </c>
      <c r="R55" s="139">
        <v>0</v>
      </c>
      <c r="S55" s="139">
        <v>0</v>
      </c>
      <c r="T55" s="139">
        <v>0</v>
      </c>
      <c r="U55" s="159"/>
      <c r="V55" s="159">
        <v>0</v>
      </c>
      <c r="W55" s="136">
        <v>1619</v>
      </c>
      <c r="X55" s="139">
        <v>0</v>
      </c>
      <c r="Y55" s="139">
        <f t="shared" si="20"/>
        <v>161.9</v>
      </c>
      <c r="Z55" s="139"/>
      <c r="AA55" s="160">
        <v>0.85</v>
      </c>
      <c r="AB55" s="139">
        <v>95</v>
      </c>
      <c r="AC55" s="139">
        <f>D55*0.15-Y55-L55</f>
        <v>297.97500000000002</v>
      </c>
      <c r="AD55" s="139">
        <f>D55*0.85-F55-G55+K55</f>
        <v>2227.4</v>
      </c>
    </row>
    <row r="56" spans="1:30">
      <c r="A56" s="134" t="s">
        <v>359</v>
      </c>
      <c r="B56" s="135" t="s">
        <v>360</v>
      </c>
      <c r="C56" s="158"/>
      <c r="D56" s="139">
        <v>2700</v>
      </c>
      <c r="E56" s="136"/>
      <c r="F56" s="139">
        <v>1061.5</v>
      </c>
      <c r="G56" s="139"/>
      <c r="H56" s="139"/>
      <c r="I56" s="139"/>
      <c r="J56" s="139"/>
      <c r="K56" s="139">
        <v>21.98</v>
      </c>
      <c r="L56" s="139">
        <f t="shared" si="18"/>
        <v>22.950000000000003</v>
      </c>
      <c r="M56" s="139">
        <v>0</v>
      </c>
      <c r="N56" s="139">
        <v>0</v>
      </c>
      <c r="O56" s="139">
        <v>50</v>
      </c>
      <c r="P56" s="139"/>
      <c r="Q56" s="139">
        <v>199</v>
      </c>
      <c r="R56" s="139">
        <v>30</v>
      </c>
      <c r="S56" s="139">
        <v>300</v>
      </c>
      <c r="T56" s="139">
        <v>0</v>
      </c>
      <c r="U56" s="159"/>
      <c r="V56" s="159">
        <v>0</v>
      </c>
      <c r="W56" s="136"/>
      <c r="X56" s="139">
        <v>0</v>
      </c>
      <c r="Y56" s="139">
        <f t="shared" si="20"/>
        <v>0</v>
      </c>
      <c r="Z56" s="139"/>
      <c r="AA56" s="160">
        <v>0.87</v>
      </c>
      <c r="AB56" s="139">
        <v>95</v>
      </c>
      <c r="AC56" s="139">
        <f t="shared" ref="AC56:AC57" si="28">D56*0.13+S56+R56+Q56+O56-Y56-L56</f>
        <v>907.05</v>
      </c>
      <c r="AD56" s="139">
        <f t="shared" ref="AD56:AD57" si="29">D56*0.87-F56-G56-O56-Q56-R56-S56</f>
        <v>708.5</v>
      </c>
    </row>
    <row r="57" spans="1:30">
      <c r="A57" s="134" t="s">
        <v>387</v>
      </c>
      <c r="B57" s="135" t="s">
        <v>362</v>
      </c>
      <c r="C57" s="158"/>
      <c r="D57" s="139">
        <v>6250</v>
      </c>
      <c r="E57" s="136">
        <v>2991</v>
      </c>
      <c r="F57" s="139">
        <v>2369.0100000000002</v>
      </c>
      <c r="G57" s="139"/>
      <c r="H57" s="139"/>
      <c r="I57" s="139"/>
      <c r="J57" s="139"/>
      <c r="K57" s="139">
        <v>268.20999999999998</v>
      </c>
      <c r="L57" s="139">
        <f t="shared" si="18"/>
        <v>53.125000000000007</v>
      </c>
      <c r="M57" s="139">
        <v>7</v>
      </c>
      <c r="N57" s="139">
        <v>0</v>
      </c>
      <c r="O57" s="139">
        <v>50</v>
      </c>
      <c r="P57" s="139"/>
      <c r="Q57" s="139">
        <v>199</v>
      </c>
      <c r="R57" s="139">
        <v>30</v>
      </c>
      <c r="S57" s="139">
        <v>300</v>
      </c>
      <c r="T57" s="139">
        <v>0</v>
      </c>
      <c r="U57" s="159"/>
      <c r="V57" s="159">
        <v>0</v>
      </c>
      <c r="W57" s="136">
        <v>2991</v>
      </c>
      <c r="X57" s="139">
        <v>0</v>
      </c>
      <c r="Y57" s="139">
        <f t="shared" si="20"/>
        <v>299.10000000000002</v>
      </c>
      <c r="Z57" s="139"/>
      <c r="AA57" s="160">
        <v>0.87</v>
      </c>
      <c r="AB57" s="139">
        <v>95</v>
      </c>
      <c r="AC57" s="139">
        <f t="shared" si="28"/>
        <v>1039.2750000000001</v>
      </c>
      <c r="AD57" s="139">
        <f t="shared" si="29"/>
        <v>2489.4899999999998</v>
      </c>
    </row>
    <row r="58" spans="1:30">
      <c r="A58" s="134" t="s">
        <v>363</v>
      </c>
      <c r="B58" s="134">
        <v>1118</v>
      </c>
      <c r="C58" s="158"/>
      <c r="D58" s="139">
        <v>6950</v>
      </c>
      <c r="E58" s="136">
        <v>3276</v>
      </c>
      <c r="F58" s="139">
        <v>2140</v>
      </c>
      <c r="G58" s="139">
        <v>56.93</v>
      </c>
      <c r="H58" s="139"/>
      <c r="I58" s="139"/>
      <c r="J58" s="139"/>
      <c r="K58" s="139"/>
      <c r="L58" s="139">
        <f t="shared" si="18"/>
        <v>59.075000000000003</v>
      </c>
      <c r="M58" s="139">
        <v>0</v>
      </c>
      <c r="N58" s="139">
        <v>0</v>
      </c>
      <c r="O58" s="139">
        <v>0</v>
      </c>
      <c r="P58" s="139"/>
      <c r="Q58" s="139">
        <v>0</v>
      </c>
      <c r="R58" s="139">
        <v>0</v>
      </c>
      <c r="S58" s="139">
        <v>0</v>
      </c>
      <c r="T58" s="139">
        <v>0</v>
      </c>
      <c r="U58" s="159"/>
      <c r="V58" s="159">
        <v>0</v>
      </c>
      <c r="W58" s="136">
        <v>3276</v>
      </c>
      <c r="X58" s="139">
        <v>0</v>
      </c>
      <c r="Y58" s="139">
        <f t="shared" si="20"/>
        <v>327.60000000000002</v>
      </c>
      <c r="Z58" s="139"/>
      <c r="AA58" s="160">
        <v>0.8</v>
      </c>
      <c r="AB58" s="139">
        <v>95</v>
      </c>
      <c r="AC58" s="139">
        <f>D58*0.2-Y58-L58-I58-AB58</f>
        <v>908.32500000000005</v>
      </c>
      <c r="AD58" s="139">
        <f>D58*AA58-F58-G58</f>
        <v>3363.07</v>
      </c>
    </row>
    <row r="59" spans="1:30">
      <c r="A59" s="134" t="s">
        <v>368</v>
      </c>
      <c r="B59" s="134" t="s">
        <v>369</v>
      </c>
      <c r="C59" s="158"/>
      <c r="D59" s="139">
        <v>0</v>
      </c>
      <c r="E59" s="136">
        <v>441</v>
      </c>
      <c r="F59" s="139">
        <v>350</v>
      </c>
      <c r="G59" s="139">
        <v>44.75</v>
      </c>
      <c r="H59" s="139"/>
      <c r="I59" s="139"/>
      <c r="J59" s="139"/>
      <c r="K59" s="139">
        <v>8.2899999999999991</v>
      </c>
      <c r="L59" s="139">
        <f t="shared" si="18"/>
        <v>0</v>
      </c>
      <c r="M59" s="139">
        <v>7</v>
      </c>
      <c r="N59" s="139">
        <v>0</v>
      </c>
      <c r="O59" s="139">
        <v>50</v>
      </c>
      <c r="P59" s="139"/>
      <c r="Q59" s="139">
        <v>199</v>
      </c>
      <c r="R59" s="139">
        <v>30</v>
      </c>
      <c r="S59" s="139">
        <v>300</v>
      </c>
      <c r="T59" s="139">
        <v>0</v>
      </c>
      <c r="U59" s="159"/>
      <c r="V59" s="159">
        <v>0</v>
      </c>
      <c r="W59" s="136">
        <v>441</v>
      </c>
      <c r="X59" s="139">
        <v>0</v>
      </c>
      <c r="Y59" s="139">
        <f t="shared" si="20"/>
        <v>44.1</v>
      </c>
      <c r="Z59" s="139"/>
      <c r="AA59" s="160">
        <v>0.89</v>
      </c>
      <c r="AB59" s="139">
        <v>95</v>
      </c>
      <c r="AC59" s="139">
        <f>D59*0.11-AB59-Y59+S59+R59+Q59+O59-L59</f>
        <v>439.9</v>
      </c>
      <c r="AD59" s="139">
        <f>D59*AA59-F59-G59-O59-Q59-R59-S59</f>
        <v>-973.75</v>
      </c>
    </row>
    <row r="60" spans="1:30">
      <c r="A60" s="134" t="s">
        <v>364</v>
      </c>
      <c r="B60" s="134">
        <v>2013</v>
      </c>
      <c r="C60" s="158"/>
      <c r="D60" s="139">
        <v>0</v>
      </c>
      <c r="E60" s="136"/>
      <c r="F60" s="139"/>
      <c r="G60" s="139">
        <v>52.45</v>
      </c>
      <c r="H60" s="139"/>
      <c r="I60" s="139"/>
      <c r="J60" s="139"/>
      <c r="K60" s="139"/>
      <c r="L60" s="139">
        <f t="shared" si="18"/>
        <v>0</v>
      </c>
      <c r="M60" s="139">
        <v>0</v>
      </c>
      <c r="N60" s="139">
        <v>0</v>
      </c>
      <c r="O60" s="139">
        <v>50</v>
      </c>
      <c r="P60" s="139"/>
      <c r="Q60" s="139">
        <v>199</v>
      </c>
      <c r="R60" s="139">
        <v>30</v>
      </c>
      <c r="S60" s="139">
        <v>300</v>
      </c>
      <c r="T60" s="139">
        <v>0</v>
      </c>
      <c r="U60" s="159"/>
      <c r="V60" s="159">
        <v>0</v>
      </c>
      <c r="W60" s="136"/>
      <c r="X60" s="139">
        <v>0</v>
      </c>
      <c r="Y60" s="139">
        <f t="shared" si="20"/>
        <v>0</v>
      </c>
      <c r="Z60" s="139"/>
      <c r="AA60" s="160">
        <v>0.87</v>
      </c>
      <c r="AB60" s="139">
        <v>95</v>
      </c>
      <c r="AC60" s="139">
        <f>D60*0.13+S60+R60+Q60+O60-Y60-L60</f>
        <v>579</v>
      </c>
      <c r="AD60" s="139">
        <f t="shared" ref="AD60:AD61" si="30">D60*AA60-F60-G60-S60-R60-Q60-O60</f>
        <v>-631.45000000000005</v>
      </c>
    </row>
    <row r="61" spans="1:30">
      <c r="A61" s="134" t="s">
        <v>408</v>
      </c>
      <c r="B61" s="134">
        <v>1122</v>
      </c>
      <c r="C61" s="158"/>
      <c r="D61" s="139">
        <v>1450</v>
      </c>
      <c r="E61" s="136">
        <v>1027</v>
      </c>
      <c r="F61" s="139">
        <v>1086.27</v>
      </c>
      <c r="G61" s="139"/>
      <c r="H61" s="139"/>
      <c r="I61" s="139"/>
      <c r="J61" s="139"/>
      <c r="K61" s="139">
        <v>6.59</v>
      </c>
      <c r="L61" s="139">
        <f t="shared" si="18"/>
        <v>12.325000000000001</v>
      </c>
      <c r="M61" s="139">
        <v>7</v>
      </c>
      <c r="N61" s="139">
        <v>0</v>
      </c>
      <c r="O61" s="139">
        <v>0</v>
      </c>
      <c r="P61" s="139"/>
      <c r="Q61" s="139">
        <v>0</v>
      </c>
      <c r="R61" s="139">
        <v>0</v>
      </c>
      <c r="S61" s="139">
        <v>0</v>
      </c>
      <c r="T61" s="139">
        <v>0</v>
      </c>
      <c r="U61" s="159"/>
      <c r="V61" s="159">
        <v>0</v>
      </c>
      <c r="W61" s="136">
        <v>1051</v>
      </c>
      <c r="X61" s="139">
        <v>0</v>
      </c>
      <c r="Y61" s="139">
        <f t="shared" si="20"/>
        <v>102.7</v>
      </c>
      <c r="Z61" s="139"/>
      <c r="AA61" s="160">
        <v>0.8</v>
      </c>
      <c r="AB61" s="139">
        <v>95</v>
      </c>
      <c r="AC61" s="139">
        <f>D61*0.13-AB61-Y61+S61+R61+Q61+O61-L61</f>
        <v>-21.525000000000006</v>
      </c>
      <c r="AD61" s="139">
        <f t="shared" si="30"/>
        <v>73.730000000000018</v>
      </c>
    </row>
    <row r="62" spans="1:30">
      <c r="A62" s="134" t="s">
        <v>395</v>
      </c>
      <c r="B62" s="135" t="s">
        <v>362</v>
      </c>
      <c r="C62" s="158"/>
      <c r="D62" s="139">
        <v>0</v>
      </c>
      <c r="E62" s="136">
        <v>63</v>
      </c>
      <c r="F62" s="139">
        <v>717.94</v>
      </c>
      <c r="G62" s="139"/>
      <c r="H62" s="139"/>
      <c r="I62" s="139"/>
      <c r="J62" s="139"/>
      <c r="K62" s="139">
        <v>13.33</v>
      </c>
      <c r="L62" s="139">
        <f t="shared" si="18"/>
        <v>0</v>
      </c>
      <c r="M62" s="139">
        <v>0</v>
      </c>
      <c r="N62" s="139">
        <v>0</v>
      </c>
      <c r="O62" s="139">
        <v>50</v>
      </c>
      <c r="P62" s="139"/>
      <c r="Q62" s="139">
        <v>0</v>
      </c>
      <c r="R62" s="139">
        <v>0</v>
      </c>
      <c r="S62" s="139">
        <v>300</v>
      </c>
      <c r="T62" s="139">
        <v>0</v>
      </c>
      <c r="U62" s="159"/>
      <c r="V62" s="159">
        <v>0</v>
      </c>
      <c r="W62" s="136">
        <v>63</v>
      </c>
      <c r="X62" s="139">
        <v>0</v>
      </c>
      <c r="Y62" s="139">
        <f t="shared" si="20"/>
        <v>6.3000000000000007</v>
      </c>
      <c r="Z62" s="139"/>
      <c r="AA62" s="160">
        <v>0.88</v>
      </c>
      <c r="AB62" s="139">
        <v>95</v>
      </c>
      <c r="AC62" s="139">
        <f>D62*0.12+O62+S62-Y62-AB62-L62</f>
        <v>248.7</v>
      </c>
      <c r="AD62" s="139">
        <f>D62*AA62-F62-G62-O62-S62</f>
        <v>-1067.94</v>
      </c>
    </row>
    <row r="63" spans="1:30">
      <c r="A63" s="72" t="s">
        <v>89</v>
      </c>
      <c r="B63" s="72">
        <v>28</v>
      </c>
      <c r="C63" s="191">
        <f>AVERAGE(C35:C54)</f>
        <v>5.9230769230769234</v>
      </c>
      <c r="D63" s="162">
        <f>SUM(D35:D62)</f>
        <v>105450</v>
      </c>
      <c r="E63" s="170">
        <f>AVERAGE(E36:E62)</f>
        <v>2470.6842105263158</v>
      </c>
      <c r="F63" s="162">
        <f t="shared" ref="F63:G63" si="31">SUM(F35:F62)</f>
        <v>37652.75</v>
      </c>
      <c r="G63" s="162">
        <f t="shared" si="31"/>
        <v>1109.2</v>
      </c>
      <c r="H63" s="162"/>
      <c r="I63" s="162">
        <f t="shared" ref="I63:O63" si="32">SUM(I35:I62)</f>
        <v>600</v>
      </c>
      <c r="J63" s="162">
        <f t="shared" si="32"/>
        <v>100</v>
      </c>
      <c r="K63" s="162">
        <f t="shared" si="32"/>
        <v>3524.0000000000005</v>
      </c>
      <c r="L63" s="162">
        <f t="shared" si="32"/>
        <v>896.32500000000027</v>
      </c>
      <c r="M63" s="162">
        <f t="shared" si="32"/>
        <v>161</v>
      </c>
      <c r="N63" s="162">
        <f t="shared" si="32"/>
        <v>14789.500000000004</v>
      </c>
      <c r="O63" s="162">
        <f t="shared" si="32"/>
        <v>250</v>
      </c>
      <c r="P63" s="162"/>
      <c r="Q63" s="162">
        <f t="shared" ref="Q63:T63" si="33">SUM(Q35:Q62)</f>
        <v>796</v>
      </c>
      <c r="R63" s="162">
        <f t="shared" si="33"/>
        <v>120</v>
      </c>
      <c r="S63" s="162">
        <f t="shared" si="33"/>
        <v>1500</v>
      </c>
      <c r="T63" s="162">
        <f t="shared" si="33"/>
        <v>2970.8398500000003</v>
      </c>
      <c r="U63" s="162"/>
      <c r="V63" s="162">
        <f t="shared" ref="V63:Z63" si="34">SUM(V35:V62)</f>
        <v>1.492</v>
      </c>
      <c r="W63" s="162">
        <f t="shared" si="34"/>
        <v>49333.5</v>
      </c>
      <c r="X63" s="162">
        <f t="shared" si="34"/>
        <v>7181.3999999999987</v>
      </c>
      <c r="Y63" s="162">
        <f t="shared" si="34"/>
        <v>5010.2000000000007</v>
      </c>
      <c r="Z63" s="162">
        <f t="shared" si="34"/>
        <v>0</v>
      </c>
      <c r="AA63" s="162"/>
      <c r="AB63" s="162">
        <f t="shared" ref="AB63:AD63" si="35">SUM(AB35:AB62)</f>
        <v>2660</v>
      </c>
      <c r="AC63" s="162">
        <f t="shared" si="35"/>
        <v>-478.01485000000338</v>
      </c>
      <c r="AD63" s="162">
        <f t="shared" si="35"/>
        <v>37001.899999999994</v>
      </c>
    </row>
    <row r="64" spans="1:30">
      <c r="A64" s="173"/>
      <c r="B64" s="174"/>
      <c r="C64" s="175"/>
      <c r="D64" s="176"/>
      <c r="E64" s="177"/>
      <c r="F64" s="176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8"/>
      <c r="V64" s="178"/>
      <c r="W64" s="179"/>
      <c r="X64" s="176"/>
      <c r="Y64" s="176"/>
      <c r="Z64" s="176"/>
      <c r="AA64" s="180"/>
      <c r="AB64" s="181"/>
      <c r="AC64" s="176"/>
      <c r="AD64" s="176"/>
    </row>
    <row r="65" spans="1:30">
      <c r="A65" s="457" t="s">
        <v>409</v>
      </c>
      <c r="B65" s="458"/>
      <c r="C65" s="458"/>
      <c r="D65" s="458"/>
      <c r="E65" s="458"/>
      <c r="F65" s="458"/>
      <c r="G65" s="458"/>
      <c r="H65" s="458"/>
      <c r="I65" s="458"/>
      <c r="J65" s="458"/>
      <c r="K65" s="458"/>
      <c r="L65" s="458"/>
      <c r="M65" s="458"/>
      <c r="N65" s="458"/>
      <c r="O65" s="458"/>
      <c r="P65" s="458"/>
      <c r="Q65" s="458"/>
      <c r="R65" s="458"/>
      <c r="S65" s="458"/>
      <c r="T65" s="458"/>
      <c r="U65" s="458"/>
      <c r="V65" s="458"/>
      <c r="W65" s="458"/>
      <c r="X65" s="458"/>
      <c r="Y65" s="458"/>
      <c r="Z65" s="458"/>
      <c r="AA65" s="458"/>
      <c r="AB65" s="458"/>
      <c r="AC65" s="458"/>
      <c r="AD65" s="459"/>
    </row>
    <row r="66" spans="1:30">
      <c r="A66" s="95" t="s">
        <v>0</v>
      </c>
      <c r="B66" s="95" t="s">
        <v>1</v>
      </c>
      <c r="C66" s="95" t="s">
        <v>372</v>
      </c>
      <c r="D66" s="95" t="s">
        <v>2</v>
      </c>
      <c r="E66" s="95" t="s">
        <v>9</v>
      </c>
      <c r="F66" s="95" t="s">
        <v>7</v>
      </c>
      <c r="G66" s="95" t="s">
        <v>8</v>
      </c>
      <c r="H66" s="95"/>
      <c r="I66" s="95" t="s">
        <v>287</v>
      </c>
      <c r="J66" s="95" t="s">
        <v>288</v>
      </c>
      <c r="K66" s="95" t="s">
        <v>257</v>
      </c>
      <c r="L66" s="95" t="s">
        <v>373</v>
      </c>
      <c r="M66" s="95" t="s">
        <v>374</v>
      </c>
      <c r="N66" s="95" t="s">
        <v>375</v>
      </c>
      <c r="O66" s="95" t="s">
        <v>376</v>
      </c>
      <c r="P66" s="95"/>
      <c r="Q66" s="95" t="s">
        <v>377</v>
      </c>
      <c r="R66" s="150" t="s">
        <v>378</v>
      </c>
      <c r="S66" s="150" t="s">
        <v>379</v>
      </c>
      <c r="T66" s="150" t="s">
        <v>352</v>
      </c>
      <c r="U66" s="95"/>
      <c r="V66" s="95" t="s">
        <v>380</v>
      </c>
      <c r="W66" s="95" t="s">
        <v>381</v>
      </c>
      <c r="X66" s="95" t="s">
        <v>382</v>
      </c>
      <c r="Y66" s="95" t="s">
        <v>383</v>
      </c>
      <c r="Z66" s="95" t="s">
        <v>384</v>
      </c>
      <c r="AA66" s="95" t="s">
        <v>385</v>
      </c>
      <c r="AB66" s="95" t="s">
        <v>333</v>
      </c>
      <c r="AC66" s="95" t="s">
        <v>13</v>
      </c>
      <c r="AD66" s="95" t="s">
        <v>98</v>
      </c>
    </row>
    <row r="67" spans="1:30">
      <c r="A67" s="184" t="s">
        <v>347</v>
      </c>
      <c r="B67" s="185">
        <v>352368</v>
      </c>
      <c r="C67" s="112">
        <v>7</v>
      </c>
      <c r="D67" s="103">
        <v>7500</v>
      </c>
      <c r="E67" s="102" t="s">
        <v>410</v>
      </c>
      <c r="F67" s="128">
        <v>3049.12</v>
      </c>
      <c r="G67" s="103">
        <v>210.12</v>
      </c>
      <c r="H67" s="103"/>
      <c r="I67" s="103"/>
      <c r="J67" s="103"/>
      <c r="K67" s="128">
        <v>576.89</v>
      </c>
      <c r="L67" s="103">
        <f t="shared" ref="L67:L93" si="36">D67*0.0085</f>
        <v>63.750000000000007</v>
      </c>
      <c r="M67" s="103">
        <v>7</v>
      </c>
      <c r="N67" s="103">
        <v>689.44</v>
      </c>
      <c r="O67" s="103"/>
      <c r="P67" s="103"/>
      <c r="Q67" s="103">
        <v>0</v>
      </c>
      <c r="R67" s="103"/>
      <c r="S67" s="103"/>
      <c r="T67" s="103">
        <f t="shared" ref="T67:T86" si="37">W67*V67</f>
        <v>281.84869999999995</v>
      </c>
      <c r="U67" s="152"/>
      <c r="V67" s="152">
        <v>7.4899999999999994E-2</v>
      </c>
      <c r="W67" s="153">
        <v>3763</v>
      </c>
      <c r="X67" s="103">
        <v>359.07</v>
      </c>
      <c r="Y67" s="103">
        <f t="shared" ref="Y67:Y93" si="38">E67*0.1</f>
        <v>367.20000000000005</v>
      </c>
      <c r="Z67" s="103"/>
      <c r="AA67" s="154">
        <v>0.75</v>
      </c>
      <c r="AB67" s="103">
        <v>95</v>
      </c>
      <c r="AC67" s="103">
        <f t="shared" ref="AC67:AC86" si="39">D67-F67-G67+K67-L67-M67-N67-X67-Y67-AB67-AD67-T67</f>
        <v>200.34130000000056</v>
      </c>
      <c r="AD67" s="103">
        <f t="shared" ref="AD67:AD72" si="40">AA67*E67</f>
        <v>2754</v>
      </c>
    </row>
    <row r="68" spans="1:30">
      <c r="A68" s="186" t="s">
        <v>355</v>
      </c>
      <c r="B68" s="185">
        <v>352371</v>
      </c>
      <c r="C68" s="112">
        <v>3</v>
      </c>
      <c r="D68" s="103">
        <v>1700</v>
      </c>
      <c r="E68" s="112">
        <v>1434</v>
      </c>
      <c r="F68" s="146">
        <v>1039.92</v>
      </c>
      <c r="G68" s="128">
        <v>12.96</v>
      </c>
      <c r="H68" s="103"/>
      <c r="I68" s="103"/>
      <c r="J68" s="103"/>
      <c r="K68" s="128">
        <v>227.7</v>
      </c>
      <c r="L68" s="103">
        <f t="shared" si="36"/>
        <v>14.450000000000001</v>
      </c>
      <c r="M68" s="103">
        <v>7</v>
      </c>
      <c r="N68" s="103">
        <v>689.44</v>
      </c>
      <c r="O68" s="103"/>
      <c r="P68" s="103"/>
      <c r="Q68" s="103">
        <v>0</v>
      </c>
      <c r="R68" s="103"/>
      <c r="S68" s="103"/>
      <c r="T68" s="103">
        <f t="shared" si="37"/>
        <v>110.62729999999999</v>
      </c>
      <c r="U68" s="152"/>
      <c r="V68" s="152">
        <v>7.4899999999999994E-2</v>
      </c>
      <c r="W68" s="153">
        <v>1477</v>
      </c>
      <c r="X68" s="103">
        <v>359.07</v>
      </c>
      <c r="Y68" s="103">
        <f t="shared" si="38"/>
        <v>143.4</v>
      </c>
      <c r="Z68" s="103"/>
      <c r="AA68" s="154">
        <v>0.75</v>
      </c>
      <c r="AB68" s="103">
        <v>95</v>
      </c>
      <c r="AC68" s="103">
        <f t="shared" si="39"/>
        <v>-1619.6673000000001</v>
      </c>
      <c r="AD68" s="103">
        <f t="shared" si="40"/>
        <v>1075.5</v>
      </c>
    </row>
    <row r="69" spans="1:30">
      <c r="A69" s="187"/>
      <c r="B69" s="185">
        <v>352372</v>
      </c>
      <c r="C69" s="112"/>
      <c r="D69" s="103">
        <v>0</v>
      </c>
      <c r="E69" s="112">
        <v>0</v>
      </c>
      <c r="F69" s="146"/>
      <c r="G69" s="117"/>
      <c r="H69" s="103"/>
      <c r="I69" s="103"/>
      <c r="J69" s="103"/>
      <c r="K69" s="146"/>
      <c r="L69" s="103">
        <f t="shared" si="36"/>
        <v>0</v>
      </c>
      <c r="M69" s="103">
        <v>7</v>
      </c>
      <c r="N69" s="103">
        <v>689.44</v>
      </c>
      <c r="O69" s="103"/>
      <c r="P69" s="103"/>
      <c r="Q69" s="103">
        <v>0</v>
      </c>
      <c r="R69" s="103"/>
      <c r="S69" s="103"/>
      <c r="T69" s="103">
        <f t="shared" si="37"/>
        <v>0</v>
      </c>
      <c r="U69" s="152"/>
      <c r="V69" s="152">
        <v>7.4899999999999994E-2</v>
      </c>
      <c r="W69" s="153"/>
      <c r="X69" s="103">
        <v>359.07</v>
      </c>
      <c r="Y69" s="103">
        <f t="shared" si="38"/>
        <v>0</v>
      </c>
      <c r="Z69" s="103"/>
      <c r="AA69" s="154"/>
      <c r="AB69" s="103">
        <v>95</v>
      </c>
      <c r="AC69" s="103">
        <f t="shared" si="39"/>
        <v>-1150.51</v>
      </c>
      <c r="AD69" s="103">
        <f t="shared" si="40"/>
        <v>0</v>
      </c>
    </row>
    <row r="70" spans="1:30">
      <c r="A70" s="184"/>
      <c r="B70" s="185">
        <v>352373</v>
      </c>
      <c r="C70" s="112"/>
      <c r="D70" s="103">
        <v>0</v>
      </c>
      <c r="E70" s="117">
        <v>0</v>
      </c>
      <c r="F70" s="146"/>
      <c r="G70" s="128">
        <v>13.4</v>
      </c>
      <c r="H70" s="103"/>
      <c r="I70" s="103"/>
      <c r="J70" s="103"/>
      <c r="K70" s="146"/>
      <c r="L70" s="103">
        <f t="shared" si="36"/>
        <v>0</v>
      </c>
      <c r="M70" s="103">
        <v>7</v>
      </c>
      <c r="N70" s="103">
        <v>689.44</v>
      </c>
      <c r="O70" s="103"/>
      <c r="P70" s="103"/>
      <c r="Q70" s="103">
        <v>0</v>
      </c>
      <c r="R70" s="103"/>
      <c r="S70" s="103"/>
      <c r="T70" s="103">
        <f t="shared" si="37"/>
        <v>4.4939999999999998</v>
      </c>
      <c r="U70" s="152"/>
      <c r="V70" s="152">
        <v>7.4899999999999994E-2</v>
      </c>
      <c r="W70" s="153">
        <v>60</v>
      </c>
      <c r="X70" s="103">
        <v>359.07</v>
      </c>
      <c r="Y70" s="103">
        <f t="shared" si="38"/>
        <v>0</v>
      </c>
      <c r="Z70" s="103"/>
      <c r="AA70" s="154"/>
      <c r="AB70" s="103">
        <v>95</v>
      </c>
      <c r="AC70" s="103">
        <f t="shared" si="39"/>
        <v>-1168.404</v>
      </c>
      <c r="AD70" s="103">
        <f t="shared" si="40"/>
        <v>0</v>
      </c>
    </row>
    <row r="71" spans="1:30">
      <c r="A71" s="187"/>
      <c r="B71" s="188" t="s">
        <v>403</v>
      </c>
      <c r="C71" s="112"/>
      <c r="D71" s="103">
        <v>0</v>
      </c>
      <c r="E71" s="117">
        <v>0</v>
      </c>
      <c r="F71" s="146"/>
      <c r="G71" s="128"/>
      <c r="H71" s="103"/>
      <c r="I71" s="103"/>
      <c r="J71" s="103"/>
      <c r="K71" s="146"/>
      <c r="L71" s="103">
        <f t="shared" si="36"/>
        <v>0</v>
      </c>
      <c r="M71" s="103">
        <v>7</v>
      </c>
      <c r="N71" s="103">
        <v>689.44</v>
      </c>
      <c r="O71" s="103"/>
      <c r="P71" s="103"/>
      <c r="Q71" s="103">
        <v>0</v>
      </c>
      <c r="R71" s="103"/>
      <c r="S71" s="103"/>
      <c r="T71" s="103">
        <f t="shared" si="37"/>
        <v>0</v>
      </c>
      <c r="U71" s="152"/>
      <c r="V71" s="152">
        <v>7.4899999999999994E-2</v>
      </c>
      <c r="W71" s="153"/>
      <c r="X71" s="103">
        <v>359.07</v>
      </c>
      <c r="Y71" s="103">
        <f t="shared" si="38"/>
        <v>0</v>
      </c>
      <c r="Z71" s="103"/>
      <c r="AA71" s="154"/>
      <c r="AB71" s="103">
        <v>95</v>
      </c>
      <c r="AC71" s="103">
        <f t="shared" si="39"/>
        <v>-1150.51</v>
      </c>
      <c r="AD71" s="103">
        <f t="shared" si="40"/>
        <v>0</v>
      </c>
    </row>
    <row r="72" spans="1:30">
      <c r="A72" s="187"/>
      <c r="B72" s="185">
        <v>352375</v>
      </c>
      <c r="C72" s="112"/>
      <c r="D72" s="103">
        <v>0</v>
      </c>
      <c r="E72" s="112">
        <v>0</v>
      </c>
      <c r="F72" s="146"/>
      <c r="G72" s="128"/>
      <c r="H72" s="103"/>
      <c r="I72" s="103"/>
      <c r="J72" s="103"/>
      <c r="K72" s="146"/>
      <c r="L72" s="103">
        <f t="shared" si="36"/>
        <v>0</v>
      </c>
      <c r="M72" s="103">
        <v>7</v>
      </c>
      <c r="N72" s="103">
        <v>689.44</v>
      </c>
      <c r="O72" s="103"/>
      <c r="P72" s="103"/>
      <c r="Q72" s="103">
        <v>0</v>
      </c>
      <c r="R72" s="103"/>
      <c r="S72" s="103"/>
      <c r="T72" s="103">
        <f t="shared" si="37"/>
        <v>0</v>
      </c>
      <c r="U72" s="152"/>
      <c r="V72" s="152">
        <v>7.4899999999999994E-2</v>
      </c>
      <c r="W72" s="153"/>
      <c r="X72" s="103">
        <v>359.07</v>
      </c>
      <c r="Y72" s="103">
        <f t="shared" si="38"/>
        <v>0</v>
      </c>
      <c r="Z72" s="103"/>
      <c r="AA72" s="154"/>
      <c r="AB72" s="103">
        <v>95</v>
      </c>
      <c r="AC72" s="103">
        <f t="shared" si="39"/>
        <v>-1150.51</v>
      </c>
      <c r="AD72" s="103">
        <f t="shared" si="40"/>
        <v>0</v>
      </c>
    </row>
    <row r="73" spans="1:30">
      <c r="A73" s="187" t="s">
        <v>62</v>
      </c>
      <c r="B73" s="185">
        <v>352376</v>
      </c>
      <c r="C73" s="112">
        <v>7</v>
      </c>
      <c r="D73" s="103">
        <v>3400</v>
      </c>
      <c r="E73" s="117">
        <v>2199</v>
      </c>
      <c r="F73" s="146">
        <v>2619.17</v>
      </c>
      <c r="G73" s="128">
        <v>7</v>
      </c>
      <c r="H73" s="103"/>
      <c r="I73" s="103"/>
      <c r="J73" s="103"/>
      <c r="K73" s="146">
        <v>131.03</v>
      </c>
      <c r="L73" s="103">
        <f t="shared" si="36"/>
        <v>28.900000000000002</v>
      </c>
      <c r="M73" s="103">
        <v>7</v>
      </c>
      <c r="N73" s="103">
        <v>689.44</v>
      </c>
      <c r="O73" s="103"/>
      <c r="P73" s="103"/>
      <c r="Q73" s="103">
        <v>0</v>
      </c>
      <c r="R73" s="103"/>
      <c r="S73" s="103"/>
      <c r="T73" s="103">
        <f t="shared" si="37"/>
        <v>271.73719999999997</v>
      </c>
      <c r="U73" s="152"/>
      <c r="V73" s="152">
        <v>7.4899999999999994E-2</v>
      </c>
      <c r="W73" s="153">
        <v>3628</v>
      </c>
      <c r="X73" s="103">
        <v>359.07</v>
      </c>
      <c r="Y73" s="103">
        <f t="shared" si="38"/>
        <v>219.9</v>
      </c>
      <c r="Z73" s="103"/>
      <c r="AA73" s="154">
        <v>0.75</v>
      </c>
      <c r="AB73" s="103">
        <v>95</v>
      </c>
      <c r="AC73" s="103">
        <f t="shared" si="39"/>
        <v>-2415.4372000000003</v>
      </c>
      <c r="AD73" s="103">
        <f>AA73*E73+I73</f>
        <v>1649.25</v>
      </c>
    </row>
    <row r="74" spans="1:30">
      <c r="A74" s="187" t="s">
        <v>411</v>
      </c>
      <c r="B74" s="185">
        <v>352377</v>
      </c>
      <c r="C74" s="112">
        <v>7</v>
      </c>
      <c r="D74" s="103">
        <v>11029</v>
      </c>
      <c r="E74" s="112">
        <v>5178</v>
      </c>
      <c r="F74" s="146">
        <v>4419.3</v>
      </c>
      <c r="G74" s="128">
        <v>67.75</v>
      </c>
      <c r="H74" s="103"/>
      <c r="I74" s="103"/>
      <c r="J74" s="103"/>
      <c r="K74" s="146">
        <v>164.78</v>
      </c>
      <c r="L74" s="103">
        <f t="shared" si="36"/>
        <v>93.746500000000012</v>
      </c>
      <c r="M74" s="103">
        <v>7</v>
      </c>
      <c r="N74" s="103">
        <v>689.44</v>
      </c>
      <c r="O74" s="103"/>
      <c r="P74" s="103"/>
      <c r="Q74" s="103">
        <v>0</v>
      </c>
      <c r="R74" s="103"/>
      <c r="S74" s="103"/>
      <c r="T74" s="103">
        <f t="shared" si="37"/>
        <v>423.18499999999995</v>
      </c>
      <c r="U74" s="152"/>
      <c r="V74" s="152">
        <v>7.4899999999999994E-2</v>
      </c>
      <c r="W74" s="153">
        <v>5650</v>
      </c>
      <c r="X74" s="103">
        <v>359.07</v>
      </c>
      <c r="Y74" s="103">
        <f t="shared" si="38"/>
        <v>517.80000000000007</v>
      </c>
      <c r="Z74" s="103"/>
      <c r="AA74" s="154">
        <v>0.7</v>
      </c>
      <c r="AB74" s="103">
        <v>95</v>
      </c>
      <c r="AC74" s="103">
        <f t="shared" si="39"/>
        <v>896.88850000000002</v>
      </c>
      <c r="AD74" s="103">
        <f t="shared" ref="AD74:AD75" si="41">AA74*E74</f>
        <v>3624.6</v>
      </c>
    </row>
    <row r="75" spans="1:30">
      <c r="A75" s="187"/>
      <c r="B75" s="185">
        <v>359885</v>
      </c>
      <c r="C75" s="112"/>
      <c r="D75" s="103">
        <v>0</v>
      </c>
      <c r="E75" s="112">
        <v>0</v>
      </c>
      <c r="F75" s="146"/>
      <c r="G75" s="128"/>
      <c r="H75" s="103"/>
      <c r="I75" s="103"/>
      <c r="J75" s="103"/>
      <c r="K75" s="146"/>
      <c r="L75" s="103">
        <f t="shared" si="36"/>
        <v>0</v>
      </c>
      <c r="M75" s="103">
        <v>7</v>
      </c>
      <c r="N75" s="103">
        <v>689.44</v>
      </c>
      <c r="O75" s="103"/>
      <c r="P75" s="103"/>
      <c r="Q75" s="103">
        <v>0</v>
      </c>
      <c r="R75" s="103"/>
      <c r="S75" s="103"/>
      <c r="T75" s="103">
        <f t="shared" si="37"/>
        <v>0</v>
      </c>
      <c r="U75" s="152"/>
      <c r="V75" s="152">
        <v>7.4899999999999994E-2</v>
      </c>
      <c r="W75" s="153"/>
      <c r="X75" s="103">
        <v>359.07</v>
      </c>
      <c r="Y75" s="103">
        <f t="shared" si="38"/>
        <v>0</v>
      </c>
      <c r="Z75" s="103"/>
      <c r="AA75" s="154"/>
      <c r="AB75" s="103">
        <v>95</v>
      </c>
      <c r="AC75" s="103">
        <f t="shared" si="39"/>
        <v>-1150.51</v>
      </c>
      <c r="AD75" s="103">
        <f t="shared" si="41"/>
        <v>0</v>
      </c>
    </row>
    <row r="76" spans="1:30">
      <c r="A76" s="189" t="s">
        <v>393</v>
      </c>
      <c r="B76" s="185">
        <v>359886</v>
      </c>
      <c r="C76" s="112">
        <v>5</v>
      </c>
      <c r="D76" s="103">
        <v>6800</v>
      </c>
      <c r="E76" s="112">
        <v>2918</v>
      </c>
      <c r="F76" s="146">
        <v>2058.4899999999998</v>
      </c>
      <c r="G76" s="128">
        <v>189.23</v>
      </c>
      <c r="H76" s="103"/>
      <c r="I76" s="103"/>
      <c r="J76" s="103"/>
      <c r="K76" s="146">
        <v>372.15</v>
      </c>
      <c r="L76" s="103">
        <f t="shared" si="36"/>
        <v>57.800000000000004</v>
      </c>
      <c r="M76" s="103">
        <v>7</v>
      </c>
      <c r="N76" s="103">
        <v>689.44</v>
      </c>
      <c r="O76" s="103"/>
      <c r="P76" s="103"/>
      <c r="Q76" s="103">
        <v>0</v>
      </c>
      <c r="R76" s="103"/>
      <c r="S76" s="103"/>
      <c r="T76" s="103">
        <f t="shared" si="37"/>
        <v>231.66569999999999</v>
      </c>
      <c r="U76" s="152"/>
      <c r="V76" s="152">
        <v>7.4899999999999994E-2</v>
      </c>
      <c r="W76" s="153">
        <v>3093</v>
      </c>
      <c r="X76" s="103">
        <v>359.07</v>
      </c>
      <c r="Y76" s="103">
        <f t="shared" si="38"/>
        <v>291.8</v>
      </c>
      <c r="Z76" s="103"/>
      <c r="AA76" s="154">
        <v>0.75</v>
      </c>
      <c r="AB76" s="103">
        <v>95</v>
      </c>
      <c r="AC76" s="103">
        <f t="shared" si="39"/>
        <v>1004.1543000000001</v>
      </c>
      <c r="AD76" s="103">
        <f>AA76*E76+I76</f>
        <v>2188.5</v>
      </c>
    </row>
    <row r="77" spans="1:30">
      <c r="A77" s="187" t="s">
        <v>319</v>
      </c>
      <c r="B77" s="185">
        <v>465180</v>
      </c>
      <c r="C77" s="112">
        <v>5</v>
      </c>
      <c r="D77" s="103">
        <v>4700</v>
      </c>
      <c r="E77" s="112">
        <v>2844</v>
      </c>
      <c r="F77" s="146">
        <v>2684.62</v>
      </c>
      <c r="G77" s="128"/>
      <c r="H77" s="103"/>
      <c r="I77" s="103">
        <v>100</v>
      </c>
      <c r="J77" s="103"/>
      <c r="K77" s="146">
        <v>550.5</v>
      </c>
      <c r="L77" s="103">
        <f t="shared" si="36"/>
        <v>39.950000000000003</v>
      </c>
      <c r="M77" s="103">
        <v>7</v>
      </c>
      <c r="N77" s="103">
        <v>789.51</v>
      </c>
      <c r="O77" s="103"/>
      <c r="P77" s="103"/>
      <c r="Q77" s="103">
        <v>0</v>
      </c>
      <c r="R77" s="103"/>
      <c r="S77" s="103"/>
      <c r="T77" s="103">
        <f t="shared" si="37"/>
        <v>217.92190000000002</v>
      </c>
      <c r="U77" s="152"/>
      <c r="V77" s="152">
        <v>7.4300000000000005E-2</v>
      </c>
      <c r="W77" s="153">
        <v>2933</v>
      </c>
      <c r="X77" s="103">
        <v>359.07</v>
      </c>
      <c r="Y77" s="103">
        <f t="shared" si="38"/>
        <v>284.40000000000003</v>
      </c>
      <c r="Z77" s="103"/>
      <c r="AA77" s="154">
        <v>0.75</v>
      </c>
      <c r="AB77" s="103">
        <v>95</v>
      </c>
      <c r="AC77" s="103">
        <f t="shared" si="39"/>
        <v>-1359.9718999999998</v>
      </c>
      <c r="AD77" s="103">
        <f t="shared" ref="AD77:AD78" si="42">AA77*E77</f>
        <v>2133</v>
      </c>
    </row>
    <row r="78" spans="1:30">
      <c r="A78" s="187" t="s">
        <v>322</v>
      </c>
      <c r="B78" s="185">
        <v>465181</v>
      </c>
      <c r="C78" s="117">
        <v>7</v>
      </c>
      <c r="D78" s="103">
        <v>8840</v>
      </c>
      <c r="E78" s="112">
        <v>4301</v>
      </c>
      <c r="F78" s="146">
        <v>2926.83</v>
      </c>
      <c r="G78" s="128"/>
      <c r="H78" s="128"/>
      <c r="I78" s="128"/>
      <c r="J78" s="128"/>
      <c r="K78" s="146">
        <v>562.94000000000005</v>
      </c>
      <c r="L78" s="103">
        <f t="shared" si="36"/>
        <v>75.14</v>
      </c>
      <c r="M78" s="103">
        <v>7</v>
      </c>
      <c r="N78" s="103">
        <v>789.51</v>
      </c>
      <c r="O78" s="103"/>
      <c r="P78" s="103"/>
      <c r="Q78" s="103">
        <v>0</v>
      </c>
      <c r="R78" s="103"/>
      <c r="S78" s="103"/>
      <c r="T78" s="103">
        <f t="shared" si="37"/>
        <v>349.58150000000001</v>
      </c>
      <c r="U78" s="152"/>
      <c r="V78" s="152">
        <v>7.4300000000000005E-2</v>
      </c>
      <c r="W78" s="153">
        <v>4705</v>
      </c>
      <c r="X78" s="103">
        <v>359.07</v>
      </c>
      <c r="Y78" s="103">
        <f t="shared" si="38"/>
        <v>430.1</v>
      </c>
      <c r="Z78" s="103"/>
      <c r="AA78" s="154">
        <v>0.8</v>
      </c>
      <c r="AB78" s="103">
        <v>95</v>
      </c>
      <c r="AC78" s="103">
        <f t="shared" si="39"/>
        <v>929.90849999999978</v>
      </c>
      <c r="AD78" s="103">
        <f t="shared" si="42"/>
        <v>3440.8</v>
      </c>
    </row>
    <row r="79" spans="1:30">
      <c r="A79" s="187" t="s">
        <v>349</v>
      </c>
      <c r="B79" s="185">
        <v>465182</v>
      </c>
      <c r="C79" s="112">
        <v>7</v>
      </c>
      <c r="D79" s="103">
        <v>10250</v>
      </c>
      <c r="E79" s="112">
        <v>4900</v>
      </c>
      <c r="F79" s="146">
        <v>2900.88</v>
      </c>
      <c r="G79" s="128">
        <v>55.15</v>
      </c>
      <c r="H79" s="128"/>
      <c r="I79" s="128">
        <v>100</v>
      </c>
      <c r="J79" s="128"/>
      <c r="K79" s="146">
        <v>34.07</v>
      </c>
      <c r="L79" s="103">
        <f t="shared" si="36"/>
        <v>87.125</v>
      </c>
      <c r="M79" s="103">
        <v>7</v>
      </c>
      <c r="N79" s="103">
        <v>789.51</v>
      </c>
      <c r="O79" s="103"/>
      <c r="P79" s="103"/>
      <c r="Q79" s="103">
        <v>0</v>
      </c>
      <c r="R79" s="103"/>
      <c r="S79" s="103"/>
      <c r="T79" s="103">
        <f t="shared" si="37"/>
        <v>333.60700000000003</v>
      </c>
      <c r="U79" s="152"/>
      <c r="V79" s="152">
        <v>7.4300000000000005E-2</v>
      </c>
      <c r="W79" s="153">
        <v>4490</v>
      </c>
      <c r="X79" s="103">
        <v>359.07</v>
      </c>
      <c r="Y79" s="103">
        <f t="shared" si="38"/>
        <v>490</v>
      </c>
      <c r="Z79" s="103"/>
      <c r="AA79" s="154">
        <v>0.8</v>
      </c>
      <c r="AB79" s="103">
        <v>95</v>
      </c>
      <c r="AC79" s="103">
        <f t="shared" si="39"/>
        <v>1146.7280000000001</v>
      </c>
      <c r="AD79" s="103">
        <f>AA79*E79+I79</f>
        <v>4020</v>
      </c>
    </row>
    <row r="80" spans="1:30">
      <c r="A80" s="187" t="s">
        <v>88</v>
      </c>
      <c r="B80" s="185">
        <v>465183</v>
      </c>
      <c r="C80" s="117">
        <v>7</v>
      </c>
      <c r="D80" s="103">
        <v>7700</v>
      </c>
      <c r="E80" s="112">
        <v>3765</v>
      </c>
      <c r="F80" s="146">
        <v>2290.81</v>
      </c>
      <c r="G80" s="128">
        <v>63.18</v>
      </c>
      <c r="H80" s="128"/>
      <c r="I80" s="128">
        <v>400</v>
      </c>
      <c r="J80" s="128"/>
      <c r="K80" s="146">
        <v>379.23</v>
      </c>
      <c r="L80" s="103">
        <f t="shared" si="36"/>
        <v>65.45</v>
      </c>
      <c r="M80" s="103">
        <v>7</v>
      </c>
      <c r="N80" s="103">
        <v>789.51</v>
      </c>
      <c r="O80" s="103"/>
      <c r="P80" s="103"/>
      <c r="Q80" s="103">
        <v>0</v>
      </c>
      <c r="R80" s="103"/>
      <c r="S80" s="103"/>
      <c r="T80" s="103">
        <f t="shared" si="37"/>
        <v>277.36189999999999</v>
      </c>
      <c r="U80" s="152"/>
      <c r="V80" s="152">
        <v>7.4300000000000005E-2</v>
      </c>
      <c r="W80" s="153">
        <v>3733</v>
      </c>
      <c r="X80" s="103">
        <v>359.07</v>
      </c>
      <c r="Y80" s="103">
        <f t="shared" si="38"/>
        <v>376.5</v>
      </c>
      <c r="Z80" s="103"/>
      <c r="AA80" s="154">
        <v>0.8</v>
      </c>
      <c r="AB80" s="103">
        <v>95</v>
      </c>
      <c r="AC80" s="103">
        <f t="shared" si="39"/>
        <v>743.34810000000004</v>
      </c>
      <c r="AD80" s="103">
        <f t="shared" ref="AD80:AD81" si="43">AA80*E80</f>
        <v>3012</v>
      </c>
    </row>
    <row r="81" spans="1:31">
      <c r="A81" s="190" t="s">
        <v>40</v>
      </c>
      <c r="B81" s="185">
        <v>465184</v>
      </c>
      <c r="C81" s="117">
        <v>7</v>
      </c>
      <c r="D81" s="103">
        <v>10800</v>
      </c>
      <c r="E81" s="112">
        <v>5593</v>
      </c>
      <c r="F81" s="146">
        <v>3413.02</v>
      </c>
      <c r="G81" s="128">
        <v>83.84</v>
      </c>
      <c r="H81" s="128"/>
      <c r="I81" s="128"/>
      <c r="J81" s="128"/>
      <c r="K81" s="146">
        <v>63.73</v>
      </c>
      <c r="L81" s="103">
        <f t="shared" si="36"/>
        <v>91.800000000000011</v>
      </c>
      <c r="M81" s="103">
        <v>7</v>
      </c>
      <c r="N81" s="103">
        <v>789.51</v>
      </c>
      <c r="O81" s="103"/>
      <c r="P81" s="103"/>
      <c r="Q81" s="103">
        <v>0</v>
      </c>
      <c r="R81" s="103"/>
      <c r="S81" s="103"/>
      <c r="T81" s="103">
        <f t="shared" si="37"/>
        <v>435.39800000000002</v>
      </c>
      <c r="U81" s="152"/>
      <c r="V81" s="152">
        <v>7.4300000000000005E-2</v>
      </c>
      <c r="W81" s="153">
        <v>5860</v>
      </c>
      <c r="X81" s="103">
        <v>359.07</v>
      </c>
      <c r="Y81" s="103">
        <f t="shared" si="38"/>
        <v>559.30000000000007</v>
      </c>
      <c r="Z81" s="103"/>
      <c r="AA81" s="154">
        <v>0.8</v>
      </c>
      <c r="AB81" s="103">
        <v>95</v>
      </c>
      <c r="AC81" s="103">
        <f t="shared" si="39"/>
        <v>555.39199999999812</v>
      </c>
      <c r="AD81" s="103">
        <f t="shared" si="43"/>
        <v>4474.4000000000005</v>
      </c>
    </row>
    <row r="82" spans="1:31">
      <c r="A82" s="187"/>
      <c r="B82" s="185">
        <v>465185</v>
      </c>
      <c r="C82" s="117"/>
      <c r="D82" s="103">
        <v>0</v>
      </c>
      <c r="E82" s="112">
        <v>0</v>
      </c>
      <c r="F82" s="146"/>
      <c r="G82" s="128">
        <v>10.45</v>
      </c>
      <c r="H82" s="128"/>
      <c r="I82" s="128"/>
      <c r="J82" s="128"/>
      <c r="K82" s="146"/>
      <c r="L82" s="103">
        <f t="shared" si="36"/>
        <v>0</v>
      </c>
      <c r="M82" s="103">
        <v>7</v>
      </c>
      <c r="N82" s="103">
        <v>789.51</v>
      </c>
      <c r="O82" s="103"/>
      <c r="P82" s="103"/>
      <c r="Q82" s="103">
        <v>0</v>
      </c>
      <c r="R82" s="103"/>
      <c r="S82" s="103"/>
      <c r="T82" s="103">
        <f t="shared" si="37"/>
        <v>5.2010000000000005</v>
      </c>
      <c r="U82" s="152"/>
      <c r="V82" s="152">
        <v>7.4300000000000005E-2</v>
      </c>
      <c r="W82" s="153">
        <v>70</v>
      </c>
      <c r="X82" s="103">
        <v>359.07</v>
      </c>
      <c r="Y82" s="103">
        <f t="shared" si="38"/>
        <v>0</v>
      </c>
      <c r="Z82" s="103"/>
      <c r="AA82" s="154">
        <v>0.8</v>
      </c>
      <c r="AB82" s="103">
        <v>95</v>
      </c>
      <c r="AC82" s="103">
        <f t="shared" si="39"/>
        <v>-1266.231</v>
      </c>
      <c r="AD82" s="103">
        <f t="shared" ref="AD82:AD83" si="44">AA82*E82+I82</f>
        <v>0</v>
      </c>
    </row>
    <row r="83" spans="1:31">
      <c r="A83" s="187" t="s">
        <v>404</v>
      </c>
      <c r="B83" s="185">
        <v>465186</v>
      </c>
      <c r="C83" s="112">
        <v>7</v>
      </c>
      <c r="D83" s="103">
        <v>5530</v>
      </c>
      <c r="E83" s="112">
        <v>2504</v>
      </c>
      <c r="F83" s="146">
        <v>1779.37</v>
      </c>
      <c r="G83" s="128"/>
      <c r="H83" s="128"/>
      <c r="I83" s="128"/>
      <c r="J83" s="128"/>
      <c r="K83" s="146">
        <v>27.45</v>
      </c>
      <c r="L83" s="103">
        <f t="shared" si="36"/>
        <v>47.005000000000003</v>
      </c>
      <c r="M83" s="103">
        <v>7</v>
      </c>
      <c r="N83" s="103">
        <v>789.51</v>
      </c>
      <c r="O83" s="103"/>
      <c r="P83" s="103"/>
      <c r="Q83" s="103">
        <v>0</v>
      </c>
      <c r="R83" s="103"/>
      <c r="S83" s="103"/>
      <c r="T83" s="103">
        <f t="shared" si="37"/>
        <v>205.58810000000003</v>
      </c>
      <c r="U83" s="152"/>
      <c r="V83" s="152">
        <v>7.4300000000000005E-2</v>
      </c>
      <c r="W83" s="153">
        <v>2767</v>
      </c>
      <c r="X83" s="103">
        <v>359.07</v>
      </c>
      <c r="Y83" s="103">
        <f t="shared" si="38"/>
        <v>250.4</v>
      </c>
      <c r="Z83" s="103"/>
      <c r="AA83" s="154">
        <v>0.7</v>
      </c>
      <c r="AB83" s="103">
        <v>95</v>
      </c>
      <c r="AC83" s="103">
        <f t="shared" si="39"/>
        <v>271.70689999999934</v>
      </c>
      <c r="AD83" s="103">
        <f t="shared" si="44"/>
        <v>1752.8</v>
      </c>
    </row>
    <row r="84" spans="1:31">
      <c r="A84" s="187" t="s">
        <v>192</v>
      </c>
      <c r="B84" s="185">
        <v>465187</v>
      </c>
      <c r="C84" s="117">
        <v>3</v>
      </c>
      <c r="D84" s="103">
        <v>3795</v>
      </c>
      <c r="E84" s="112">
        <v>1326</v>
      </c>
      <c r="F84" s="146">
        <v>1083.21</v>
      </c>
      <c r="G84" s="128">
        <v>34.49</v>
      </c>
      <c r="H84" s="128"/>
      <c r="I84" s="128"/>
      <c r="J84" s="128"/>
      <c r="K84" s="146">
        <v>136.85</v>
      </c>
      <c r="L84" s="103">
        <f t="shared" si="36"/>
        <v>32.2575</v>
      </c>
      <c r="M84" s="103">
        <v>7</v>
      </c>
      <c r="N84" s="103">
        <v>789.51</v>
      </c>
      <c r="O84" s="103"/>
      <c r="P84" s="103"/>
      <c r="Q84" s="103">
        <v>0</v>
      </c>
      <c r="R84" s="103"/>
      <c r="S84" s="103"/>
      <c r="T84" s="103">
        <f t="shared" si="37"/>
        <v>108.92380000000001</v>
      </c>
      <c r="U84" s="152"/>
      <c r="V84" s="152">
        <v>7.4300000000000005E-2</v>
      </c>
      <c r="W84" s="153">
        <v>1466</v>
      </c>
      <c r="X84" s="103">
        <v>359.07</v>
      </c>
      <c r="Y84" s="103">
        <f t="shared" si="38"/>
        <v>132.6</v>
      </c>
      <c r="Z84" s="103"/>
      <c r="AA84" s="154">
        <v>0.8</v>
      </c>
      <c r="AB84" s="103">
        <v>95</v>
      </c>
      <c r="AC84" s="103">
        <f t="shared" si="39"/>
        <v>228.98870000000011</v>
      </c>
      <c r="AD84" s="103">
        <f t="shared" ref="AD84:AD86" si="45">AA84*E84</f>
        <v>1060.8</v>
      </c>
    </row>
    <row r="85" spans="1:31">
      <c r="A85" s="184" t="s">
        <v>407</v>
      </c>
      <c r="B85" s="185">
        <v>465188</v>
      </c>
      <c r="C85" s="112">
        <v>6</v>
      </c>
      <c r="D85" s="103">
        <v>3500</v>
      </c>
      <c r="E85" s="117">
        <v>1364</v>
      </c>
      <c r="F85" s="146">
        <v>926.74</v>
      </c>
      <c r="G85" s="128">
        <f>2.78+32.91</f>
        <v>35.69</v>
      </c>
      <c r="H85" s="128"/>
      <c r="I85" s="128"/>
      <c r="J85" s="128"/>
      <c r="K85" s="146">
        <v>41.13</v>
      </c>
      <c r="L85" s="103">
        <f t="shared" si="36"/>
        <v>29.750000000000004</v>
      </c>
      <c r="M85" s="103">
        <v>7</v>
      </c>
      <c r="N85" s="103">
        <v>789.51</v>
      </c>
      <c r="O85" s="103"/>
      <c r="P85" s="103"/>
      <c r="Q85" s="103">
        <v>0</v>
      </c>
      <c r="R85" s="103"/>
      <c r="S85" s="103"/>
      <c r="T85" s="103">
        <f t="shared" si="37"/>
        <v>143.0275</v>
      </c>
      <c r="U85" s="152"/>
      <c r="V85" s="152">
        <v>7.4300000000000005E-2</v>
      </c>
      <c r="W85" s="153">
        <f>186+1739</f>
        <v>1925</v>
      </c>
      <c r="X85" s="103">
        <v>359.07</v>
      </c>
      <c r="Y85" s="103">
        <f t="shared" si="38"/>
        <v>136.4</v>
      </c>
      <c r="Z85" s="103"/>
      <c r="AA85" s="154">
        <v>0.65</v>
      </c>
      <c r="AB85" s="103">
        <v>95</v>
      </c>
      <c r="AC85" s="103">
        <f t="shared" si="39"/>
        <v>132.34250000000023</v>
      </c>
      <c r="AD85" s="103">
        <f t="shared" si="45"/>
        <v>886.6</v>
      </c>
    </row>
    <row r="86" spans="1:31">
      <c r="A86" s="184"/>
      <c r="B86" s="185">
        <v>465189</v>
      </c>
      <c r="C86" s="112"/>
      <c r="D86" s="103"/>
      <c r="E86" s="117"/>
      <c r="F86" s="146"/>
      <c r="G86" s="128"/>
      <c r="H86" s="103"/>
      <c r="I86" s="103"/>
      <c r="J86" s="103"/>
      <c r="K86" s="146"/>
      <c r="L86" s="103">
        <f t="shared" si="36"/>
        <v>0</v>
      </c>
      <c r="M86" s="103">
        <v>7</v>
      </c>
      <c r="N86" s="103">
        <v>789.51</v>
      </c>
      <c r="O86" s="103"/>
      <c r="P86" s="103"/>
      <c r="Q86" s="103">
        <v>0</v>
      </c>
      <c r="R86" s="103"/>
      <c r="S86" s="103"/>
      <c r="T86" s="103">
        <f t="shared" si="37"/>
        <v>0</v>
      </c>
      <c r="U86" s="152"/>
      <c r="V86" s="152">
        <v>7.4300000000000005E-2</v>
      </c>
      <c r="W86" s="155"/>
      <c r="X86" s="103">
        <v>359.07</v>
      </c>
      <c r="Y86" s="103">
        <f t="shared" si="38"/>
        <v>0</v>
      </c>
      <c r="Z86" s="103"/>
      <c r="AA86" s="154"/>
      <c r="AB86" s="103">
        <v>95</v>
      </c>
      <c r="AC86" s="103">
        <f t="shared" si="39"/>
        <v>-1250.58</v>
      </c>
      <c r="AD86" s="103">
        <f t="shared" si="45"/>
        <v>0</v>
      </c>
    </row>
    <row r="87" spans="1:31">
      <c r="A87" s="134" t="s">
        <v>386</v>
      </c>
      <c r="B87" s="135" t="s">
        <v>399</v>
      </c>
      <c r="C87" s="158">
        <v>7</v>
      </c>
      <c r="D87" s="139">
        <v>7983</v>
      </c>
      <c r="E87" s="192">
        <v>3423</v>
      </c>
      <c r="F87" s="139">
        <v>2510.83</v>
      </c>
      <c r="G87" s="139">
        <v>154.71</v>
      </c>
      <c r="H87" s="139"/>
      <c r="I87" s="139"/>
      <c r="J87" s="139"/>
      <c r="K87" s="139"/>
      <c r="L87" s="139">
        <f t="shared" si="36"/>
        <v>67.855500000000006</v>
      </c>
      <c r="M87" s="139">
        <v>0</v>
      </c>
      <c r="N87" s="139">
        <v>0</v>
      </c>
      <c r="O87" s="139">
        <v>0</v>
      </c>
      <c r="P87" s="139"/>
      <c r="Q87" s="139">
        <v>0</v>
      </c>
      <c r="R87" s="139">
        <v>0</v>
      </c>
      <c r="S87" s="139">
        <v>0</v>
      </c>
      <c r="T87" s="139">
        <v>0</v>
      </c>
      <c r="U87" s="159"/>
      <c r="V87" s="159">
        <v>0</v>
      </c>
      <c r="W87" s="136">
        <v>3423</v>
      </c>
      <c r="X87" s="139">
        <v>0</v>
      </c>
      <c r="Y87" s="139">
        <f t="shared" si="38"/>
        <v>342.3</v>
      </c>
      <c r="Z87" s="139"/>
      <c r="AA87" s="160">
        <v>0.85</v>
      </c>
      <c r="AB87" s="139">
        <v>95</v>
      </c>
      <c r="AC87" s="139">
        <f>D87*0.15-Y87-L87</f>
        <v>787.29450000000008</v>
      </c>
      <c r="AD87" s="139">
        <f>D87*0.85-F87-G87+K87</f>
        <v>4120.01</v>
      </c>
    </row>
    <row r="88" spans="1:31">
      <c r="A88" s="134" t="s">
        <v>387</v>
      </c>
      <c r="B88" s="135" t="s">
        <v>362</v>
      </c>
      <c r="C88" s="158"/>
      <c r="D88" s="139">
        <v>8400</v>
      </c>
      <c r="E88" s="192">
        <v>2832</v>
      </c>
      <c r="F88" s="139">
        <v>2755</v>
      </c>
      <c r="G88" s="139"/>
      <c r="H88" s="139"/>
      <c r="I88" s="139"/>
      <c r="J88" s="139"/>
      <c r="K88" s="139">
        <v>160.72999999999999</v>
      </c>
      <c r="L88" s="139">
        <f t="shared" si="36"/>
        <v>71.400000000000006</v>
      </c>
      <c r="M88" s="139">
        <v>7</v>
      </c>
      <c r="N88" s="139">
        <v>0</v>
      </c>
      <c r="O88" s="139">
        <v>50</v>
      </c>
      <c r="P88" s="139"/>
      <c r="Q88" s="139">
        <v>199</v>
      </c>
      <c r="R88" s="139">
        <v>30</v>
      </c>
      <c r="S88" s="139">
        <v>300</v>
      </c>
      <c r="T88" s="139">
        <v>0</v>
      </c>
      <c r="U88" s="159"/>
      <c r="V88" s="159">
        <v>0</v>
      </c>
      <c r="W88" s="136">
        <v>2832</v>
      </c>
      <c r="X88" s="139">
        <v>0</v>
      </c>
      <c r="Y88" s="139">
        <f t="shared" si="38"/>
        <v>283.2</v>
      </c>
      <c r="Z88" s="139"/>
      <c r="AA88" s="160">
        <v>0.87</v>
      </c>
      <c r="AB88" s="139">
        <v>95</v>
      </c>
      <c r="AC88" s="139">
        <f>D88*0.13+S88+R88+Q88+O88-Y88-L88</f>
        <v>1316.3999999999999</v>
      </c>
      <c r="AD88" s="139">
        <f>D88*0.87-F88-G88-O88-Q88-R88-S88</f>
        <v>3974</v>
      </c>
    </row>
    <row r="89" spans="1:31">
      <c r="A89" s="134" t="s">
        <v>363</v>
      </c>
      <c r="B89" s="134">
        <v>1118</v>
      </c>
      <c r="C89" s="158"/>
      <c r="D89" s="139">
        <v>4300</v>
      </c>
      <c r="E89" s="136">
        <v>2231</v>
      </c>
      <c r="F89" s="139">
        <v>1295.01</v>
      </c>
      <c r="G89" s="139"/>
      <c r="H89" s="139"/>
      <c r="I89" s="139"/>
      <c r="J89" s="139"/>
      <c r="K89" s="139"/>
      <c r="L89" s="139">
        <f t="shared" si="36"/>
        <v>36.550000000000004</v>
      </c>
      <c r="M89" s="139">
        <v>0</v>
      </c>
      <c r="N89" s="139">
        <v>0</v>
      </c>
      <c r="O89" s="139">
        <v>0</v>
      </c>
      <c r="P89" s="139"/>
      <c r="Q89" s="139">
        <v>0</v>
      </c>
      <c r="R89" s="139">
        <v>0</v>
      </c>
      <c r="S89" s="139">
        <v>0</v>
      </c>
      <c r="T89" s="139">
        <v>0</v>
      </c>
      <c r="U89" s="159"/>
      <c r="V89" s="159">
        <v>0</v>
      </c>
      <c r="W89" s="136">
        <v>2231</v>
      </c>
      <c r="X89" s="139">
        <v>0</v>
      </c>
      <c r="Y89" s="139">
        <f t="shared" si="38"/>
        <v>223.10000000000002</v>
      </c>
      <c r="Z89" s="139"/>
      <c r="AA89" s="160">
        <v>0.8</v>
      </c>
      <c r="AB89" s="139">
        <v>95</v>
      </c>
      <c r="AC89" s="139">
        <f>D89*0.2-Y89-L89-I89-AB89</f>
        <v>505.35</v>
      </c>
      <c r="AD89" s="139">
        <f>D89*AA89-F89-G89</f>
        <v>2144.9899999999998</v>
      </c>
    </row>
    <row r="90" spans="1:31">
      <c r="A90" s="134" t="s">
        <v>368</v>
      </c>
      <c r="B90" s="134" t="s">
        <v>369</v>
      </c>
      <c r="C90" s="158"/>
      <c r="D90" s="139">
        <v>5900</v>
      </c>
      <c r="E90" s="136">
        <v>2754</v>
      </c>
      <c r="F90" s="139">
        <v>1897.02</v>
      </c>
      <c r="G90" s="139">
        <v>6.9</v>
      </c>
      <c r="H90" s="139"/>
      <c r="I90" s="139"/>
      <c r="J90" s="139"/>
      <c r="K90" s="139">
        <v>40.950000000000003</v>
      </c>
      <c r="L90" s="139">
        <f t="shared" si="36"/>
        <v>50.150000000000006</v>
      </c>
      <c r="M90" s="139">
        <v>7</v>
      </c>
      <c r="N90" s="139">
        <v>0</v>
      </c>
      <c r="O90" s="139">
        <v>50</v>
      </c>
      <c r="P90" s="139"/>
      <c r="Q90" s="139">
        <v>199</v>
      </c>
      <c r="R90" s="139">
        <v>30</v>
      </c>
      <c r="S90" s="139">
        <v>300</v>
      </c>
      <c r="T90" s="139">
        <v>0</v>
      </c>
      <c r="U90" s="159"/>
      <c r="V90" s="159">
        <v>0</v>
      </c>
      <c r="W90" s="136">
        <v>2754</v>
      </c>
      <c r="X90" s="139">
        <v>0</v>
      </c>
      <c r="Y90" s="139">
        <f t="shared" si="38"/>
        <v>275.40000000000003</v>
      </c>
      <c r="Z90" s="139"/>
      <c r="AA90" s="160">
        <v>0.89</v>
      </c>
      <c r="AB90" s="139">
        <v>95</v>
      </c>
      <c r="AC90" s="139">
        <f>D90*0.11-AB90-Y90+S90+R90+Q90+O90-L90</f>
        <v>807.44999999999993</v>
      </c>
      <c r="AD90" s="139">
        <f>D90*AA90-F90-G90-O90-Q90-R90-S90</f>
        <v>2768.08</v>
      </c>
    </row>
    <row r="91" spans="1:31">
      <c r="A91" s="134" t="s">
        <v>364</v>
      </c>
      <c r="B91" s="134">
        <v>2013</v>
      </c>
      <c r="C91" s="158"/>
      <c r="D91" s="139">
        <v>0</v>
      </c>
      <c r="E91" s="136"/>
      <c r="F91" s="139">
        <v>0</v>
      </c>
      <c r="G91" s="139">
        <v>327.83</v>
      </c>
      <c r="H91" s="139"/>
      <c r="I91" s="139"/>
      <c r="J91" s="139"/>
      <c r="K91" s="139"/>
      <c r="L91" s="139">
        <f t="shared" si="36"/>
        <v>0</v>
      </c>
      <c r="M91" s="139">
        <v>0</v>
      </c>
      <c r="N91" s="139">
        <v>0</v>
      </c>
      <c r="O91" s="139">
        <v>50</v>
      </c>
      <c r="P91" s="139"/>
      <c r="Q91" s="139">
        <v>199</v>
      </c>
      <c r="R91" s="139">
        <v>30</v>
      </c>
      <c r="S91" s="139">
        <v>300</v>
      </c>
      <c r="T91" s="139">
        <v>0</v>
      </c>
      <c r="U91" s="159"/>
      <c r="V91" s="159">
        <v>0</v>
      </c>
      <c r="W91" s="136"/>
      <c r="X91" s="139">
        <v>0</v>
      </c>
      <c r="Y91" s="139">
        <f t="shared" si="38"/>
        <v>0</v>
      </c>
      <c r="Z91" s="139"/>
      <c r="AA91" s="160">
        <v>0.87</v>
      </c>
      <c r="AB91" s="139">
        <v>95</v>
      </c>
      <c r="AC91" s="139">
        <f>D91*0.13+S91+R91+Q91+O91-Y91-L91</f>
        <v>579</v>
      </c>
      <c r="AD91" s="139">
        <f t="shared" ref="AD91:AD92" si="46">D91*AA91-F91-G91-S91-R91-Q91-O91</f>
        <v>-906.82999999999993</v>
      </c>
    </row>
    <row r="92" spans="1:31">
      <c r="A92" s="134" t="s">
        <v>408</v>
      </c>
      <c r="B92" s="134">
        <v>1122</v>
      </c>
      <c r="C92" s="158"/>
      <c r="D92" s="139">
        <v>1675</v>
      </c>
      <c r="E92" s="136">
        <v>824</v>
      </c>
      <c r="F92" s="139">
        <v>693.87</v>
      </c>
      <c r="G92" s="139">
        <v>29.51</v>
      </c>
      <c r="H92" s="139"/>
      <c r="I92" s="139"/>
      <c r="J92" s="139"/>
      <c r="K92" s="139"/>
      <c r="L92" s="139">
        <f t="shared" si="36"/>
        <v>14.237500000000001</v>
      </c>
      <c r="M92" s="139">
        <v>7</v>
      </c>
      <c r="N92" s="139">
        <v>0</v>
      </c>
      <c r="O92" s="139">
        <v>0</v>
      </c>
      <c r="P92" s="139"/>
      <c r="Q92" s="139">
        <v>0</v>
      </c>
      <c r="R92" s="139">
        <v>0</v>
      </c>
      <c r="S92" s="139">
        <v>0</v>
      </c>
      <c r="T92" s="139">
        <v>0</v>
      </c>
      <c r="U92" s="159"/>
      <c r="V92" s="159">
        <v>0</v>
      </c>
      <c r="W92" s="136">
        <v>824</v>
      </c>
      <c r="X92" s="139">
        <v>0</v>
      </c>
      <c r="Y92" s="139">
        <f t="shared" si="38"/>
        <v>82.4</v>
      </c>
      <c r="Z92" s="139"/>
      <c r="AA92" s="160">
        <v>0.8</v>
      </c>
      <c r="AB92" s="139">
        <v>95</v>
      </c>
      <c r="AC92" s="139">
        <f>D92*0.13-AB92-Y92+S92+R92+Q92+O92-L92</f>
        <v>26.112499999999994</v>
      </c>
      <c r="AD92" s="139">
        <f t="shared" si="46"/>
        <v>616.62</v>
      </c>
    </row>
    <row r="93" spans="1:31">
      <c r="A93" s="134" t="s">
        <v>395</v>
      </c>
      <c r="B93" s="135" t="s">
        <v>362</v>
      </c>
      <c r="C93" s="158"/>
      <c r="D93" s="139">
        <v>0</v>
      </c>
      <c r="E93" s="136"/>
      <c r="F93" s="139"/>
      <c r="G93" s="139"/>
      <c r="H93" s="139"/>
      <c r="I93" s="139"/>
      <c r="J93" s="139"/>
      <c r="K93" s="139"/>
      <c r="L93" s="139">
        <f t="shared" si="36"/>
        <v>0</v>
      </c>
      <c r="M93" s="139">
        <v>0</v>
      </c>
      <c r="N93" s="139">
        <v>0</v>
      </c>
      <c r="O93" s="139">
        <v>50</v>
      </c>
      <c r="P93" s="139"/>
      <c r="Q93" s="139">
        <v>0</v>
      </c>
      <c r="R93" s="139">
        <v>0</v>
      </c>
      <c r="S93" s="139">
        <v>300</v>
      </c>
      <c r="T93" s="139">
        <v>0</v>
      </c>
      <c r="U93" s="159"/>
      <c r="V93" s="159">
        <v>0</v>
      </c>
      <c r="W93" s="136"/>
      <c r="X93" s="139">
        <v>0</v>
      </c>
      <c r="Y93" s="139">
        <f t="shared" si="38"/>
        <v>0</v>
      </c>
      <c r="Z93" s="139"/>
      <c r="AA93" s="160">
        <v>0.88</v>
      </c>
      <c r="AB93" s="139">
        <v>95</v>
      </c>
      <c r="AC93" s="139">
        <f>D93*0.12+O93+S93-Y93-AB93-L93</f>
        <v>255</v>
      </c>
      <c r="AD93" s="139">
        <f>D93*AA93-F93-G93-O93-S93</f>
        <v>-350</v>
      </c>
    </row>
    <row r="94" spans="1:31">
      <c r="A94" s="72" t="s">
        <v>89</v>
      </c>
      <c r="B94" s="72">
        <v>28</v>
      </c>
      <c r="C94" s="191">
        <f>AVERAGE(C67:C86)</f>
        <v>6</v>
      </c>
      <c r="D94" s="162">
        <f>SUM(D67:D93)</f>
        <v>113802</v>
      </c>
      <c r="E94" s="170">
        <f>AVERAGE(E68:E93)</f>
        <v>2190.8695652173915</v>
      </c>
      <c r="F94" s="162">
        <f t="shared" ref="F94:G94" si="47">SUM(F67:F93)</f>
        <v>40343.21</v>
      </c>
      <c r="G94" s="162">
        <f t="shared" si="47"/>
        <v>1302.21</v>
      </c>
      <c r="H94" s="162"/>
      <c r="I94" s="162">
        <f t="shared" ref="I94:O94" si="48">SUM(I67:I93)</f>
        <v>600</v>
      </c>
      <c r="J94" s="162">
        <f t="shared" si="48"/>
        <v>0</v>
      </c>
      <c r="K94" s="162">
        <f t="shared" si="48"/>
        <v>3470.1299999999997</v>
      </c>
      <c r="L94" s="162">
        <f t="shared" si="48"/>
        <v>967.31699999999989</v>
      </c>
      <c r="M94" s="162">
        <f t="shared" si="48"/>
        <v>161</v>
      </c>
      <c r="N94" s="162">
        <f t="shared" si="48"/>
        <v>14789.500000000004</v>
      </c>
      <c r="O94" s="162">
        <f t="shared" si="48"/>
        <v>200</v>
      </c>
      <c r="P94" s="162"/>
      <c r="Q94" s="162">
        <f t="shared" ref="Q94:T94" si="49">SUM(Q67:Q93)</f>
        <v>597</v>
      </c>
      <c r="R94" s="162">
        <f t="shared" si="49"/>
        <v>90</v>
      </c>
      <c r="S94" s="162">
        <f t="shared" si="49"/>
        <v>1200</v>
      </c>
      <c r="T94" s="162">
        <f t="shared" si="49"/>
        <v>3400.1686</v>
      </c>
      <c r="U94" s="162"/>
      <c r="V94" s="162">
        <f t="shared" ref="V94:Z94" si="50">SUM(V67:V93)</f>
        <v>1.492</v>
      </c>
      <c r="W94" s="162">
        <f t="shared" si="50"/>
        <v>57684</v>
      </c>
      <c r="X94" s="162">
        <f t="shared" si="50"/>
        <v>7181.3999999999987</v>
      </c>
      <c r="Y94" s="162">
        <f t="shared" si="50"/>
        <v>5406.2</v>
      </c>
      <c r="Z94" s="162">
        <f t="shared" si="50"/>
        <v>0</v>
      </c>
      <c r="AA94" s="162"/>
      <c r="AB94" s="162">
        <f t="shared" ref="AB94:AD94" si="51">SUM(AB67:AB93)</f>
        <v>2565</v>
      </c>
      <c r="AC94" s="162">
        <f t="shared" si="51"/>
        <v>-3295.9256000000005</v>
      </c>
      <c r="AD94" s="162">
        <f t="shared" si="51"/>
        <v>44439.12</v>
      </c>
    </row>
    <row r="95" spans="1:31">
      <c r="A95" s="173"/>
      <c r="B95" s="174"/>
      <c r="C95" s="175"/>
      <c r="D95" s="176"/>
      <c r="E95" s="177"/>
      <c r="F95" s="176"/>
      <c r="G95" s="176"/>
      <c r="H95" s="176"/>
      <c r="I95" s="176"/>
      <c r="J95" s="176"/>
      <c r="K95" s="176"/>
      <c r="L95" s="176"/>
      <c r="M95" s="176"/>
      <c r="N95" s="176"/>
      <c r="O95" s="176"/>
      <c r="P95" s="176"/>
      <c r="Q95" s="176"/>
      <c r="R95" s="176"/>
      <c r="S95" s="176"/>
      <c r="T95" s="176"/>
      <c r="U95" s="178"/>
      <c r="V95" s="178"/>
      <c r="W95" s="179"/>
      <c r="X95" s="176"/>
      <c r="Y95" s="176"/>
      <c r="Z95" s="176"/>
      <c r="AA95" s="180"/>
      <c r="AB95" s="181"/>
      <c r="AC95" s="176"/>
      <c r="AD95" s="176"/>
    </row>
    <row r="96" spans="1:31">
      <c r="A96" s="457" t="s">
        <v>412</v>
      </c>
      <c r="B96" s="458"/>
      <c r="C96" s="458"/>
      <c r="D96" s="458"/>
      <c r="E96" s="458"/>
      <c r="F96" s="458"/>
      <c r="G96" s="458"/>
      <c r="H96" s="458"/>
      <c r="I96" s="458"/>
      <c r="J96" s="458"/>
      <c r="K96" s="458"/>
      <c r="L96" s="458"/>
      <c r="M96" s="458"/>
      <c r="N96" s="458"/>
      <c r="O96" s="458"/>
      <c r="P96" s="458"/>
      <c r="Q96" s="458"/>
      <c r="R96" s="458"/>
      <c r="S96" s="458"/>
      <c r="T96" s="458"/>
      <c r="U96" s="458"/>
      <c r="V96" s="458"/>
      <c r="W96" s="458"/>
      <c r="X96" s="458"/>
      <c r="Y96" s="458"/>
      <c r="Z96" s="458"/>
      <c r="AA96" s="458"/>
      <c r="AB96" s="458"/>
      <c r="AC96" s="458"/>
      <c r="AD96" s="458"/>
      <c r="AE96" s="459"/>
    </row>
    <row r="97" spans="1:31">
      <c r="A97" s="95" t="s">
        <v>0</v>
      </c>
      <c r="B97" s="95" t="s">
        <v>1</v>
      </c>
      <c r="C97" s="95" t="s">
        <v>372</v>
      </c>
      <c r="D97" s="95" t="s">
        <v>2</v>
      </c>
      <c r="E97" s="95" t="s">
        <v>413</v>
      </c>
      <c r="F97" s="150" t="s">
        <v>414</v>
      </c>
      <c r="G97" s="150" t="s">
        <v>415</v>
      </c>
      <c r="H97" s="95" t="s">
        <v>416</v>
      </c>
      <c r="I97" s="95" t="s">
        <v>7</v>
      </c>
      <c r="J97" s="95" t="s">
        <v>8</v>
      </c>
      <c r="K97" s="95" t="s">
        <v>287</v>
      </c>
      <c r="L97" s="95" t="s">
        <v>288</v>
      </c>
      <c r="M97" s="95" t="s">
        <v>257</v>
      </c>
      <c r="N97" s="95" t="s">
        <v>373</v>
      </c>
      <c r="O97" s="95" t="s">
        <v>374</v>
      </c>
      <c r="P97" s="95"/>
      <c r="Q97" s="95" t="s">
        <v>375</v>
      </c>
      <c r="R97" s="95" t="s">
        <v>376</v>
      </c>
      <c r="S97" s="95" t="s">
        <v>377</v>
      </c>
      <c r="T97" s="150" t="s">
        <v>378</v>
      </c>
      <c r="U97" s="150"/>
      <c r="V97" s="150" t="s">
        <v>379</v>
      </c>
      <c r="W97" s="150" t="s">
        <v>352</v>
      </c>
      <c r="X97" s="95" t="s">
        <v>380</v>
      </c>
      <c r="Y97" s="95" t="s">
        <v>381</v>
      </c>
      <c r="Z97" s="95" t="s">
        <v>382</v>
      </c>
      <c r="AA97" s="95" t="s">
        <v>383</v>
      </c>
      <c r="AB97" s="95" t="s">
        <v>385</v>
      </c>
      <c r="AC97" s="150" t="s">
        <v>333</v>
      </c>
      <c r="AD97" s="95" t="s">
        <v>13</v>
      </c>
      <c r="AE97" s="95" t="s">
        <v>98</v>
      </c>
    </row>
    <row r="98" spans="1:31">
      <c r="A98" s="184" t="s">
        <v>347</v>
      </c>
      <c r="B98" s="185">
        <v>352368</v>
      </c>
      <c r="C98" s="112">
        <v>5</v>
      </c>
      <c r="D98" s="103">
        <v>5180</v>
      </c>
      <c r="E98" s="102">
        <f t="shared" ref="E98:E117" si="52">F98+G98</f>
        <v>2377</v>
      </c>
      <c r="F98" s="102" t="s">
        <v>417</v>
      </c>
      <c r="G98" s="102" t="s">
        <v>418</v>
      </c>
      <c r="H98" s="128">
        <f t="shared" ref="H98:H99" si="53">D98/E98</f>
        <v>2.1792175010517458</v>
      </c>
      <c r="I98" s="128">
        <v>1706.9</v>
      </c>
      <c r="J98" s="103">
        <v>21.36</v>
      </c>
      <c r="K98" s="103"/>
      <c r="L98" s="103"/>
      <c r="M98" s="128">
        <v>179.21</v>
      </c>
      <c r="N98" s="103">
        <f t="shared" ref="N98:N123" si="54">D98*0.0085</f>
        <v>44.03</v>
      </c>
      <c r="O98" s="103">
        <v>7</v>
      </c>
      <c r="P98" s="103"/>
      <c r="Q98" s="103">
        <v>689.44</v>
      </c>
      <c r="R98" s="103"/>
      <c r="S98" s="103">
        <v>0</v>
      </c>
      <c r="T98" s="103"/>
      <c r="U98" s="103"/>
      <c r="V98" s="103"/>
      <c r="W98" s="103">
        <f t="shared" ref="W98:W117" si="55">Y98*X98</f>
        <v>189.49699999999999</v>
      </c>
      <c r="X98" s="152">
        <v>7.4899999999999994E-2</v>
      </c>
      <c r="Y98" s="153">
        <v>2530</v>
      </c>
      <c r="Z98" s="103">
        <v>359.07</v>
      </c>
      <c r="AA98" s="103">
        <f t="shared" ref="AA98:AA123" si="56">E98*0.1</f>
        <v>237.70000000000002</v>
      </c>
      <c r="AB98" s="154">
        <v>0.75</v>
      </c>
      <c r="AC98" s="103">
        <v>95</v>
      </c>
      <c r="AD98" s="103">
        <f t="shared" ref="AD98:AD108" si="57">D98-I98-J98+M98-N98-O98-Q98-Z98-AA98-AC98-AE98-W98</f>
        <v>226.4629999999996</v>
      </c>
      <c r="AE98" s="103">
        <f t="shared" ref="AE98:AE103" si="58">AB98*E98</f>
        <v>1782.75</v>
      </c>
    </row>
    <row r="99" spans="1:31">
      <c r="A99" s="186" t="s">
        <v>355</v>
      </c>
      <c r="B99" s="185">
        <v>352371</v>
      </c>
      <c r="C99" s="112">
        <v>7</v>
      </c>
      <c r="D99" s="103">
        <v>5750</v>
      </c>
      <c r="E99" s="102">
        <f t="shared" si="52"/>
        <v>3171</v>
      </c>
      <c r="F99" s="112">
        <v>2849</v>
      </c>
      <c r="G99" s="112">
        <v>322</v>
      </c>
      <c r="H99" s="128">
        <f t="shared" si="53"/>
        <v>1.8133081046988331</v>
      </c>
      <c r="I99" s="146">
        <v>2427.34</v>
      </c>
      <c r="J99" s="128">
        <v>246.6</v>
      </c>
      <c r="K99" s="103"/>
      <c r="L99" s="103"/>
      <c r="M99" s="128">
        <v>159.02000000000001</v>
      </c>
      <c r="N99" s="103">
        <f t="shared" si="54"/>
        <v>48.875</v>
      </c>
      <c r="O99" s="103">
        <v>7</v>
      </c>
      <c r="P99" s="103"/>
      <c r="Q99" s="103">
        <v>689.44</v>
      </c>
      <c r="R99" s="103"/>
      <c r="S99" s="103">
        <v>0</v>
      </c>
      <c r="T99" s="103"/>
      <c r="U99" s="103"/>
      <c r="V99" s="103"/>
      <c r="W99" s="103">
        <f t="shared" si="55"/>
        <v>195.63879999999997</v>
      </c>
      <c r="X99" s="152">
        <v>7.4899999999999994E-2</v>
      </c>
      <c r="Y99" s="153">
        <v>2612</v>
      </c>
      <c r="Z99" s="103">
        <v>359.07</v>
      </c>
      <c r="AA99" s="103">
        <f t="shared" si="56"/>
        <v>317.10000000000002</v>
      </c>
      <c r="AB99" s="154">
        <v>0.75</v>
      </c>
      <c r="AC99" s="103">
        <v>95</v>
      </c>
      <c r="AD99" s="103">
        <f t="shared" si="57"/>
        <v>-855.29380000000015</v>
      </c>
      <c r="AE99" s="103">
        <f t="shared" si="58"/>
        <v>2378.25</v>
      </c>
    </row>
    <row r="100" spans="1:31">
      <c r="A100" s="187"/>
      <c r="B100" s="185">
        <v>352372</v>
      </c>
      <c r="C100" s="112"/>
      <c r="D100" s="103"/>
      <c r="E100" s="102">
        <f t="shared" si="52"/>
        <v>0</v>
      </c>
      <c r="F100" s="112"/>
      <c r="G100" s="112"/>
      <c r="H100" s="128"/>
      <c r="I100" s="146"/>
      <c r="J100" s="117"/>
      <c r="K100" s="103"/>
      <c r="L100" s="103"/>
      <c r="M100" s="146"/>
      <c r="N100" s="103">
        <f t="shared" si="54"/>
        <v>0</v>
      </c>
      <c r="O100" s="103">
        <v>7</v>
      </c>
      <c r="P100" s="103"/>
      <c r="Q100" s="103">
        <v>689.44</v>
      </c>
      <c r="R100" s="103"/>
      <c r="S100" s="103">
        <v>0</v>
      </c>
      <c r="T100" s="103"/>
      <c r="U100" s="103"/>
      <c r="V100" s="103"/>
      <c r="W100" s="103">
        <f t="shared" si="55"/>
        <v>10.8605</v>
      </c>
      <c r="X100" s="152">
        <v>7.4899999999999994E-2</v>
      </c>
      <c r="Y100" s="153">
        <v>145</v>
      </c>
      <c r="Z100" s="103">
        <v>359.07</v>
      </c>
      <c r="AA100" s="103">
        <f t="shared" si="56"/>
        <v>0</v>
      </c>
      <c r="AB100" s="154"/>
      <c r="AC100" s="103">
        <v>95</v>
      </c>
      <c r="AD100" s="103">
        <f t="shared" si="57"/>
        <v>-1161.3705</v>
      </c>
      <c r="AE100" s="103">
        <f t="shared" si="58"/>
        <v>0</v>
      </c>
    </row>
    <row r="101" spans="1:31">
      <c r="A101" s="184" t="s">
        <v>419</v>
      </c>
      <c r="B101" s="185">
        <v>352373</v>
      </c>
      <c r="C101" s="112"/>
      <c r="D101" s="103"/>
      <c r="E101" s="102">
        <f t="shared" si="52"/>
        <v>0</v>
      </c>
      <c r="F101" s="117"/>
      <c r="G101" s="117"/>
      <c r="H101" s="128"/>
      <c r="I101" s="146"/>
      <c r="J101" s="128">
        <v>29.4</v>
      </c>
      <c r="K101" s="103"/>
      <c r="L101" s="103"/>
      <c r="M101" s="146"/>
      <c r="N101" s="103">
        <f t="shared" si="54"/>
        <v>0</v>
      </c>
      <c r="O101" s="103">
        <v>7</v>
      </c>
      <c r="P101" s="103"/>
      <c r="Q101" s="103">
        <v>689.44</v>
      </c>
      <c r="R101" s="103"/>
      <c r="S101" s="103">
        <v>0</v>
      </c>
      <c r="T101" s="103"/>
      <c r="U101" s="103"/>
      <c r="V101" s="103"/>
      <c r="W101" s="103">
        <f t="shared" si="55"/>
        <v>3.6700999999999997</v>
      </c>
      <c r="X101" s="152">
        <v>7.4899999999999994E-2</v>
      </c>
      <c r="Y101" s="153">
        <v>49</v>
      </c>
      <c r="Z101" s="103">
        <v>359.07</v>
      </c>
      <c r="AA101" s="103">
        <f t="shared" si="56"/>
        <v>0</v>
      </c>
      <c r="AB101" s="154"/>
      <c r="AC101" s="103">
        <v>95</v>
      </c>
      <c r="AD101" s="103">
        <f t="shared" si="57"/>
        <v>-1183.5801000000001</v>
      </c>
      <c r="AE101" s="103">
        <f t="shared" si="58"/>
        <v>0</v>
      </c>
    </row>
    <row r="102" spans="1:31">
      <c r="A102" s="187"/>
      <c r="B102" s="188" t="s">
        <v>403</v>
      </c>
      <c r="C102" s="112"/>
      <c r="D102" s="103"/>
      <c r="E102" s="102">
        <f t="shared" si="52"/>
        <v>0</v>
      </c>
      <c r="F102" s="117"/>
      <c r="G102" s="117"/>
      <c r="H102" s="128"/>
      <c r="I102" s="146"/>
      <c r="J102" s="128"/>
      <c r="K102" s="103"/>
      <c r="L102" s="103"/>
      <c r="M102" s="146"/>
      <c r="N102" s="103">
        <f t="shared" si="54"/>
        <v>0</v>
      </c>
      <c r="O102" s="103">
        <v>7</v>
      </c>
      <c r="P102" s="103"/>
      <c r="Q102" s="103">
        <v>689.44</v>
      </c>
      <c r="R102" s="103"/>
      <c r="S102" s="103">
        <v>0</v>
      </c>
      <c r="T102" s="103"/>
      <c r="U102" s="103"/>
      <c r="V102" s="103"/>
      <c r="W102" s="103">
        <f t="shared" si="55"/>
        <v>0</v>
      </c>
      <c r="X102" s="152">
        <v>7.4899999999999994E-2</v>
      </c>
      <c r="Y102" s="153"/>
      <c r="Z102" s="103">
        <v>359.07</v>
      </c>
      <c r="AA102" s="103">
        <f t="shared" si="56"/>
        <v>0</v>
      </c>
      <c r="AB102" s="154"/>
      <c r="AC102" s="103">
        <v>95</v>
      </c>
      <c r="AD102" s="103">
        <f t="shared" si="57"/>
        <v>-1150.51</v>
      </c>
      <c r="AE102" s="103">
        <f t="shared" si="58"/>
        <v>0</v>
      </c>
    </row>
    <row r="103" spans="1:31">
      <c r="A103" s="187"/>
      <c r="B103" s="185">
        <v>352375</v>
      </c>
      <c r="C103" s="112"/>
      <c r="D103" s="103"/>
      <c r="E103" s="102">
        <f t="shared" si="52"/>
        <v>0</v>
      </c>
      <c r="F103" s="112"/>
      <c r="G103" s="112"/>
      <c r="H103" s="128"/>
      <c r="I103" s="146"/>
      <c r="J103" s="128"/>
      <c r="K103" s="103"/>
      <c r="L103" s="103"/>
      <c r="M103" s="146"/>
      <c r="N103" s="103">
        <f t="shared" si="54"/>
        <v>0</v>
      </c>
      <c r="O103" s="103">
        <v>7</v>
      </c>
      <c r="P103" s="103"/>
      <c r="Q103" s="103">
        <v>689.44</v>
      </c>
      <c r="R103" s="103"/>
      <c r="S103" s="103">
        <v>0</v>
      </c>
      <c r="T103" s="103"/>
      <c r="U103" s="103"/>
      <c r="V103" s="103"/>
      <c r="W103" s="103">
        <f t="shared" si="55"/>
        <v>0</v>
      </c>
      <c r="X103" s="152">
        <v>7.4899999999999994E-2</v>
      </c>
      <c r="Y103" s="153"/>
      <c r="Z103" s="103">
        <v>359.07</v>
      </c>
      <c r="AA103" s="103">
        <f t="shared" si="56"/>
        <v>0</v>
      </c>
      <c r="AB103" s="154"/>
      <c r="AC103" s="103">
        <v>95</v>
      </c>
      <c r="AD103" s="103">
        <f t="shared" si="57"/>
        <v>-1150.51</v>
      </c>
      <c r="AE103" s="103">
        <f t="shared" si="58"/>
        <v>0</v>
      </c>
    </row>
    <row r="104" spans="1:31">
      <c r="A104" s="187" t="s">
        <v>62</v>
      </c>
      <c r="B104" s="185">
        <v>352376</v>
      </c>
      <c r="C104" s="112">
        <v>6</v>
      </c>
      <c r="D104" s="103">
        <v>5550</v>
      </c>
      <c r="E104" s="102">
        <f t="shared" si="52"/>
        <v>2932</v>
      </c>
      <c r="F104" s="117">
        <v>2529</v>
      </c>
      <c r="G104" s="117">
        <v>403</v>
      </c>
      <c r="H104" s="128">
        <f t="shared" ref="H104:H105" si="59">D104/E104</f>
        <v>1.8929058663028648</v>
      </c>
      <c r="I104" s="146">
        <v>2135.3000000000002</v>
      </c>
      <c r="J104" s="128"/>
      <c r="K104" s="103"/>
      <c r="L104" s="103"/>
      <c r="M104" s="146">
        <v>77.45</v>
      </c>
      <c r="N104" s="103">
        <f t="shared" si="54"/>
        <v>47.175000000000004</v>
      </c>
      <c r="O104" s="103">
        <v>7</v>
      </c>
      <c r="P104" s="103"/>
      <c r="Q104" s="103">
        <v>689.44</v>
      </c>
      <c r="R104" s="103"/>
      <c r="S104" s="103">
        <v>0</v>
      </c>
      <c r="T104" s="103"/>
      <c r="U104" s="103"/>
      <c r="V104" s="103"/>
      <c r="W104" s="103">
        <f t="shared" si="55"/>
        <v>219.38209999999998</v>
      </c>
      <c r="X104" s="152">
        <v>7.4899999999999994E-2</v>
      </c>
      <c r="Y104" s="153">
        <v>2929</v>
      </c>
      <c r="Z104" s="103">
        <v>359.07</v>
      </c>
      <c r="AA104" s="103">
        <f t="shared" si="56"/>
        <v>293.2</v>
      </c>
      <c r="AB104" s="154">
        <v>0.75</v>
      </c>
      <c r="AC104" s="103">
        <v>95</v>
      </c>
      <c r="AD104" s="103">
        <f t="shared" si="57"/>
        <v>-417.11710000000056</v>
      </c>
      <c r="AE104" s="103">
        <f>AB104*E104+K104</f>
        <v>2199</v>
      </c>
    </row>
    <row r="105" spans="1:31">
      <c r="A105" s="187" t="s">
        <v>411</v>
      </c>
      <c r="B105" s="185">
        <v>352377</v>
      </c>
      <c r="C105" s="112">
        <v>7</v>
      </c>
      <c r="D105" s="103">
        <v>10200</v>
      </c>
      <c r="E105" s="102">
        <f t="shared" si="52"/>
        <v>4899</v>
      </c>
      <c r="F105" s="112">
        <v>4577</v>
      </c>
      <c r="G105" s="112">
        <v>322</v>
      </c>
      <c r="H105" s="128">
        <f t="shared" si="59"/>
        <v>2.0820575627679117</v>
      </c>
      <c r="I105" s="146">
        <v>3344.61</v>
      </c>
      <c r="J105" s="128">
        <v>119.94</v>
      </c>
      <c r="K105" s="103"/>
      <c r="L105" s="103"/>
      <c r="M105" s="146">
        <v>60.17</v>
      </c>
      <c r="N105" s="103">
        <f t="shared" si="54"/>
        <v>86.7</v>
      </c>
      <c r="O105" s="103">
        <v>7</v>
      </c>
      <c r="P105" s="103"/>
      <c r="Q105" s="103">
        <v>689.44</v>
      </c>
      <c r="R105" s="103"/>
      <c r="S105" s="103">
        <v>0</v>
      </c>
      <c r="T105" s="103"/>
      <c r="U105" s="103"/>
      <c r="V105" s="103"/>
      <c r="W105" s="103">
        <f t="shared" si="55"/>
        <v>349.93279999999999</v>
      </c>
      <c r="X105" s="152">
        <v>7.4899999999999994E-2</v>
      </c>
      <c r="Y105" s="153">
        <v>4672</v>
      </c>
      <c r="Z105" s="103">
        <v>359.07</v>
      </c>
      <c r="AA105" s="103">
        <f t="shared" si="56"/>
        <v>489.90000000000003</v>
      </c>
      <c r="AB105" s="154">
        <v>0.7</v>
      </c>
      <c r="AC105" s="103">
        <v>95</v>
      </c>
      <c r="AD105" s="103">
        <f t="shared" si="57"/>
        <v>1289.2772000000004</v>
      </c>
      <c r="AE105" s="103">
        <f t="shared" ref="AE105:AE106" si="60">AB105*E105</f>
        <v>3429.2999999999997</v>
      </c>
    </row>
    <row r="106" spans="1:31">
      <c r="A106" s="187"/>
      <c r="B106" s="185">
        <v>359885</v>
      </c>
      <c r="C106" s="112"/>
      <c r="D106" s="103"/>
      <c r="E106" s="102">
        <f t="shared" si="52"/>
        <v>0</v>
      </c>
      <c r="F106" s="112"/>
      <c r="G106" s="112"/>
      <c r="H106" s="128"/>
      <c r="I106" s="146"/>
      <c r="J106" s="128"/>
      <c r="K106" s="103"/>
      <c r="L106" s="103"/>
      <c r="M106" s="146"/>
      <c r="N106" s="103">
        <f t="shared" si="54"/>
        <v>0</v>
      </c>
      <c r="O106" s="103">
        <v>7</v>
      </c>
      <c r="P106" s="103"/>
      <c r="Q106" s="103">
        <v>689.44</v>
      </c>
      <c r="R106" s="103"/>
      <c r="S106" s="103">
        <v>0</v>
      </c>
      <c r="T106" s="103"/>
      <c r="U106" s="103"/>
      <c r="V106" s="103"/>
      <c r="W106" s="103">
        <f t="shared" si="55"/>
        <v>0</v>
      </c>
      <c r="X106" s="152">
        <v>7.4899999999999994E-2</v>
      </c>
      <c r="Y106" s="153"/>
      <c r="Z106" s="103">
        <v>359.07</v>
      </c>
      <c r="AA106" s="103">
        <f t="shared" si="56"/>
        <v>0</v>
      </c>
      <c r="AB106" s="154"/>
      <c r="AC106" s="103">
        <v>95</v>
      </c>
      <c r="AD106" s="103">
        <f t="shared" si="57"/>
        <v>-1150.51</v>
      </c>
      <c r="AE106" s="103">
        <f t="shared" si="60"/>
        <v>0</v>
      </c>
    </row>
    <row r="107" spans="1:31">
      <c r="A107" s="189" t="s">
        <v>393</v>
      </c>
      <c r="B107" s="185">
        <v>359886</v>
      </c>
      <c r="C107" s="112">
        <v>7</v>
      </c>
      <c r="D107" s="103">
        <v>8325</v>
      </c>
      <c r="E107" s="102">
        <f t="shared" si="52"/>
        <v>4749</v>
      </c>
      <c r="F107" s="112">
        <v>4662</v>
      </c>
      <c r="G107" s="112">
        <v>87</v>
      </c>
      <c r="H107" s="128">
        <f t="shared" ref="H107:H112" si="61">D107/E107</f>
        <v>1.7530006317119393</v>
      </c>
      <c r="I107" s="146">
        <v>3190.66</v>
      </c>
      <c r="J107" s="128">
        <v>8.9499999999999993</v>
      </c>
      <c r="K107" s="103"/>
      <c r="L107" s="103"/>
      <c r="M107" s="146">
        <v>557.38</v>
      </c>
      <c r="N107" s="103">
        <f t="shared" si="54"/>
        <v>70.762500000000003</v>
      </c>
      <c r="O107" s="103">
        <v>7</v>
      </c>
      <c r="P107" s="103"/>
      <c r="Q107" s="103">
        <v>689.44</v>
      </c>
      <c r="R107" s="103"/>
      <c r="S107" s="103">
        <v>0</v>
      </c>
      <c r="T107" s="103"/>
      <c r="U107" s="103"/>
      <c r="V107" s="103"/>
      <c r="W107" s="103">
        <f t="shared" si="55"/>
        <v>201.85549999999998</v>
      </c>
      <c r="X107" s="152">
        <v>7.4899999999999994E-2</v>
      </c>
      <c r="Y107" s="153">
        <v>2695</v>
      </c>
      <c r="Z107" s="103">
        <v>359.07</v>
      </c>
      <c r="AA107" s="103">
        <f t="shared" si="56"/>
        <v>474.90000000000003</v>
      </c>
      <c r="AB107" s="154">
        <v>0.75</v>
      </c>
      <c r="AC107" s="103">
        <v>95</v>
      </c>
      <c r="AD107" s="103">
        <f t="shared" si="57"/>
        <v>222.99200000000124</v>
      </c>
      <c r="AE107" s="103">
        <f>AB107*E107+K107</f>
        <v>3561.75</v>
      </c>
    </row>
    <row r="108" spans="1:31">
      <c r="A108" s="187" t="s">
        <v>319</v>
      </c>
      <c r="B108" s="185">
        <v>465180</v>
      </c>
      <c r="C108" s="112">
        <v>7</v>
      </c>
      <c r="D108" s="103">
        <v>5363</v>
      </c>
      <c r="E108" s="102">
        <f t="shared" si="52"/>
        <v>3089</v>
      </c>
      <c r="F108" s="112">
        <v>2912</v>
      </c>
      <c r="G108" s="112">
        <v>177</v>
      </c>
      <c r="H108" s="128">
        <f t="shared" si="61"/>
        <v>1.7361605697636775</v>
      </c>
      <c r="I108" s="146">
        <v>2426.5300000000002</v>
      </c>
      <c r="J108" s="128">
        <v>61.33</v>
      </c>
      <c r="K108" s="103"/>
      <c r="L108" s="103"/>
      <c r="M108" s="146">
        <v>351.06</v>
      </c>
      <c r="N108" s="103">
        <f t="shared" si="54"/>
        <v>45.585500000000003</v>
      </c>
      <c r="O108" s="103">
        <v>7</v>
      </c>
      <c r="P108" s="103"/>
      <c r="Q108" s="103">
        <v>789.51</v>
      </c>
      <c r="R108" s="103"/>
      <c r="S108" s="103">
        <v>0</v>
      </c>
      <c r="T108" s="103"/>
      <c r="U108" s="103"/>
      <c r="V108" s="103"/>
      <c r="W108" s="103">
        <f t="shared" si="55"/>
        <v>220.59670000000003</v>
      </c>
      <c r="X108" s="152">
        <v>7.4300000000000005E-2</v>
      </c>
      <c r="Y108" s="153">
        <v>2969</v>
      </c>
      <c r="Z108" s="103">
        <v>359.07</v>
      </c>
      <c r="AA108" s="103">
        <f t="shared" si="56"/>
        <v>308.90000000000003</v>
      </c>
      <c r="AB108" s="154">
        <v>0.75</v>
      </c>
      <c r="AC108" s="103">
        <v>95</v>
      </c>
      <c r="AD108" s="103">
        <f t="shared" si="57"/>
        <v>-916.21220000000062</v>
      </c>
      <c r="AE108" s="103">
        <f>AB108*E108</f>
        <v>2316.75</v>
      </c>
    </row>
    <row r="109" spans="1:31">
      <c r="A109" s="187" t="s">
        <v>322</v>
      </c>
      <c r="B109" s="185">
        <v>465181</v>
      </c>
      <c r="C109" s="117">
        <v>7</v>
      </c>
      <c r="D109" s="103">
        <v>4800</v>
      </c>
      <c r="E109" s="102">
        <f t="shared" si="52"/>
        <v>2448</v>
      </c>
      <c r="F109" s="112">
        <v>2412</v>
      </c>
      <c r="G109" s="112">
        <v>36</v>
      </c>
      <c r="H109" s="128">
        <f t="shared" si="61"/>
        <v>1.9607843137254901</v>
      </c>
      <c r="I109" s="146">
        <v>2608.31</v>
      </c>
      <c r="J109" s="128">
        <v>54.1</v>
      </c>
      <c r="K109" s="128">
        <v>200</v>
      </c>
      <c r="L109" s="128"/>
      <c r="M109" s="146">
        <v>544.57000000000005</v>
      </c>
      <c r="N109" s="103">
        <f t="shared" si="54"/>
        <v>40.800000000000004</v>
      </c>
      <c r="O109" s="103">
        <v>7</v>
      </c>
      <c r="P109" s="103"/>
      <c r="Q109" s="103">
        <v>789.51</v>
      </c>
      <c r="R109" s="103"/>
      <c r="S109" s="103">
        <v>0</v>
      </c>
      <c r="T109" s="103"/>
      <c r="U109" s="103"/>
      <c r="V109" s="103"/>
      <c r="W109" s="103">
        <f t="shared" si="55"/>
        <v>279.14510000000001</v>
      </c>
      <c r="X109" s="152">
        <v>7.4300000000000005E-2</v>
      </c>
      <c r="Y109" s="153">
        <v>3757</v>
      </c>
      <c r="Z109" s="103">
        <v>359.07</v>
      </c>
      <c r="AA109" s="103">
        <f t="shared" si="56"/>
        <v>244.8</v>
      </c>
      <c r="AB109" s="154">
        <v>0.8</v>
      </c>
      <c r="AC109" s="103">
        <v>95</v>
      </c>
      <c r="AD109" s="103">
        <f>D109-I109-J109+M109-N109-O109-Q109-Z109-AA109-AC109-AE109-W109-K109</f>
        <v>-1491.5650999999998</v>
      </c>
      <c r="AE109" s="103">
        <f>AB109*E109+K109</f>
        <v>2158.4</v>
      </c>
    </row>
    <row r="110" spans="1:31">
      <c r="A110" s="187" t="s">
        <v>349</v>
      </c>
      <c r="B110" s="185">
        <v>465182</v>
      </c>
      <c r="C110" s="112">
        <v>7</v>
      </c>
      <c r="D110" s="103">
        <v>7200</v>
      </c>
      <c r="E110" s="102">
        <f t="shared" si="52"/>
        <v>3954</v>
      </c>
      <c r="F110" s="112">
        <v>3862</v>
      </c>
      <c r="G110" s="112">
        <v>92</v>
      </c>
      <c r="H110" s="128">
        <f t="shared" si="61"/>
        <v>1.8209408194233687</v>
      </c>
      <c r="I110" s="146">
        <v>3212.52</v>
      </c>
      <c r="J110" s="128">
        <v>39.25</v>
      </c>
      <c r="K110" s="128"/>
      <c r="L110" s="128">
        <v>100</v>
      </c>
      <c r="M110" s="146">
        <v>71.510000000000005</v>
      </c>
      <c r="N110" s="103">
        <f t="shared" si="54"/>
        <v>61.2</v>
      </c>
      <c r="O110" s="103">
        <v>7</v>
      </c>
      <c r="P110" s="103"/>
      <c r="Q110" s="103">
        <v>789.51</v>
      </c>
      <c r="R110" s="103"/>
      <c r="S110" s="103">
        <v>0</v>
      </c>
      <c r="T110" s="103"/>
      <c r="U110" s="103"/>
      <c r="V110" s="103"/>
      <c r="W110" s="103">
        <f t="shared" si="55"/>
        <v>338.65940000000001</v>
      </c>
      <c r="X110" s="152">
        <v>7.4300000000000005E-2</v>
      </c>
      <c r="Y110" s="153">
        <v>4558</v>
      </c>
      <c r="Z110" s="103">
        <v>359.07</v>
      </c>
      <c r="AA110" s="103">
        <f t="shared" si="56"/>
        <v>395.40000000000003</v>
      </c>
      <c r="AB110" s="154">
        <v>0.8</v>
      </c>
      <c r="AC110" s="103">
        <v>95</v>
      </c>
      <c r="AD110" s="103">
        <f>D110-I110-J110+M110-N110-O110-Q110-Z110-AA110-AC110-AE110-W110</f>
        <v>-1289.2993999999999</v>
      </c>
      <c r="AE110" s="103">
        <f>AB110*E110+K110+L110</f>
        <v>3263.2000000000003</v>
      </c>
    </row>
    <row r="111" spans="1:31">
      <c r="A111" s="187" t="s">
        <v>88</v>
      </c>
      <c r="B111" s="185">
        <v>465183</v>
      </c>
      <c r="C111" s="117">
        <v>7</v>
      </c>
      <c r="D111" s="103">
        <v>6435</v>
      </c>
      <c r="E111" s="102">
        <f t="shared" si="52"/>
        <v>3011</v>
      </c>
      <c r="F111" s="112">
        <v>2950</v>
      </c>
      <c r="G111" s="112">
        <v>61</v>
      </c>
      <c r="H111" s="128">
        <f t="shared" si="61"/>
        <v>2.1371637329790767</v>
      </c>
      <c r="I111" s="146">
        <v>2675.04</v>
      </c>
      <c r="J111" s="128">
        <v>219.83</v>
      </c>
      <c r="K111" s="128">
        <v>200</v>
      </c>
      <c r="L111" s="128"/>
      <c r="M111" s="146">
        <v>339.35</v>
      </c>
      <c r="N111" s="103">
        <f t="shared" si="54"/>
        <v>54.697500000000005</v>
      </c>
      <c r="O111" s="103">
        <v>7</v>
      </c>
      <c r="P111" s="103"/>
      <c r="Q111" s="103">
        <v>789.51</v>
      </c>
      <c r="R111" s="103"/>
      <c r="S111" s="103">
        <v>0</v>
      </c>
      <c r="T111" s="103"/>
      <c r="U111" s="103"/>
      <c r="V111" s="103"/>
      <c r="W111" s="103">
        <f t="shared" si="55"/>
        <v>218.96210000000002</v>
      </c>
      <c r="X111" s="152">
        <v>7.4300000000000005E-2</v>
      </c>
      <c r="Y111" s="153">
        <v>2947</v>
      </c>
      <c r="Z111" s="103">
        <v>359.07</v>
      </c>
      <c r="AA111" s="103">
        <f t="shared" si="56"/>
        <v>301.10000000000002</v>
      </c>
      <c r="AB111" s="154">
        <v>0.8</v>
      </c>
      <c r="AC111" s="103">
        <v>95</v>
      </c>
      <c r="AD111" s="103">
        <f>D111-I111-J111+M111-N111-O111-Q111-Z111-AA111-AC111-AE111-W111-K111</f>
        <v>-754.65960000000018</v>
      </c>
      <c r="AE111" s="103">
        <f>AB111*E111+K111</f>
        <v>2608.8000000000002</v>
      </c>
    </row>
    <row r="112" spans="1:31">
      <c r="A112" s="190" t="s">
        <v>40</v>
      </c>
      <c r="B112" s="185">
        <v>465184</v>
      </c>
      <c r="C112" s="117">
        <v>5</v>
      </c>
      <c r="D112" s="103">
        <v>7300</v>
      </c>
      <c r="E112" s="102">
        <f t="shared" si="52"/>
        <v>3198</v>
      </c>
      <c r="F112" s="112">
        <v>3172</v>
      </c>
      <c r="G112" s="112">
        <v>26</v>
      </c>
      <c r="H112" s="128">
        <f t="shared" si="61"/>
        <v>2.2826766729205752</v>
      </c>
      <c r="I112" s="146">
        <v>1730.01</v>
      </c>
      <c r="J112" s="128">
        <v>158.81</v>
      </c>
      <c r="K112" s="128"/>
      <c r="L112" s="128"/>
      <c r="M112" s="146">
        <v>39.36</v>
      </c>
      <c r="N112" s="103">
        <f t="shared" si="54"/>
        <v>62.050000000000004</v>
      </c>
      <c r="O112" s="103">
        <v>7</v>
      </c>
      <c r="P112" s="103"/>
      <c r="Q112" s="103">
        <v>789.51</v>
      </c>
      <c r="R112" s="103"/>
      <c r="S112" s="103">
        <v>0</v>
      </c>
      <c r="T112" s="103"/>
      <c r="U112" s="103"/>
      <c r="V112" s="103"/>
      <c r="W112" s="103">
        <f t="shared" si="55"/>
        <v>242.14370000000002</v>
      </c>
      <c r="X112" s="152">
        <v>7.4300000000000005E-2</v>
      </c>
      <c r="Y112" s="153">
        <v>3259</v>
      </c>
      <c r="Z112" s="103">
        <v>359.07</v>
      </c>
      <c r="AA112" s="103">
        <f t="shared" si="56"/>
        <v>319.8</v>
      </c>
      <c r="AB112" s="154">
        <v>0.8</v>
      </c>
      <c r="AC112" s="103">
        <v>95</v>
      </c>
      <c r="AD112" s="103">
        <f t="shared" ref="AD112:AD117" si="62">D112-I112-J112+M112-N112-O112-Q112-Z112-AA112-AC112-AE112-W112</f>
        <v>1017.5662999999986</v>
      </c>
      <c r="AE112" s="103">
        <f>AB112*E112</f>
        <v>2558.4</v>
      </c>
    </row>
    <row r="113" spans="1:31">
      <c r="A113" s="187"/>
      <c r="B113" s="185">
        <v>465185</v>
      </c>
      <c r="C113" s="117"/>
      <c r="D113" s="103"/>
      <c r="E113" s="102">
        <f t="shared" si="52"/>
        <v>0</v>
      </c>
      <c r="F113" s="112"/>
      <c r="G113" s="112"/>
      <c r="H113" s="128"/>
      <c r="I113" s="146"/>
      <c r="J113" s="128"/>
      <c r="K113" s="128"/>
      <c r="L113" s="128"/>
      <c r="M113" s="146"/>
      <c r="N113" s="103">
        <f t="shared" si="54"/>
        <v>0</v>
      </c>
      <c r="O113" s="103">
        <v>7</v>
      </c>
      <c r="P113" s="103"/>
      <c r="Q113" s="103">
        <v>789.51</v>
      </c>
      <c r="R113" s="103"/>
      <c r="S113" s="103">
        <v>0</v>
      </c>
      <c r="T113" s="103"/>
      <c r="U113" s="103"/>
      <c r="V113" s="103"/>
      <c r="W113" s="103">
        <f t="shared" si="55"/>
        <v>0.52010000000000001</v>
      </c>
      <c r="X113" s="152">
        <v>7.4300000000000005E-2</v>
      </c>
      <c r="Y113" s="153">
        <v>7</v>
      </c>
      <c r="Z113" s="103">
        <v>359.07</v>
      </c>
      <c r="AA113" s="103">
        <f t="shared" si="56"/>
        <v>0</v>
      </c>
      <c r="AB113" s="154">
        <v>0.8</v>
      </c>
      <c r="AC113" s="103">
        <v>95</v>
      </c>
      <c r="AD113" s="103">
        <f t="shared" si="62"/>
        <v>-1251.1000999999999</v>
      </c>
      <c r="AE113" s="103">
        <f t="shared" ref="AE113:AE114" si="63">AB113*E113+K113</f>
        <v>0</v>
      </c>
    </row>
    <row r="114" spans="1:31">
      <c r="A114" s="187" t="s">
        <v>404</v>
      </c>
      <c r="B114" s="185">
        <v>465186</v>
      </c>
      <c r="C114" s="112">
        <v>4</v>
      </c>
      <c r="D114" s="103">
        <v>5100</v>
      </c>
      <c r="E114" s="102">
        <f t="shared" si="52"/>
        <v>2450</v>
      </c>
      <c r="F114" s="112">
        <v>2319</v>
      </c>
      <c r="G114" s="112">
        <v>131</v>
      </c>
      <c r="H114" s="128">
        <f t="shared" ref="H114:H116" si="64">D114/E114</f>
        <v>2.0816326530612246</v>
      </c>
      <c r="I114" s="146">
        <v>1316.55</v>
      </c>
      <c r="J114" s="128">
        <v>95.18</v>
      </c>
      <c r="K114" s="128"/>
      <c r="L114" s="128"/>
      <c r="M114" s="146">
        <v>31.04</v>
      </c>
      <c r="N114" s="103">
        <f t="shared" si="54"/>
        <v>43.35</v>
      </c>
      <c r="O114" s="103">
        <v>7</v>
      </c>
      <c r="P114" s="103"/>
      <c r="Q114" s="103">
        <v>789.51</v>
      </c>
      <c r="R114" s="103"/>
      <c r="S114" s="103">
        <v>0</v>
      </c>
      <c r="T114" s="103"/>
      <c r="U114" s="103"/>
      <c r="V114" s="103"/>
      <c r="W114" s="103">
        <f t="shared" si="55"/>
        <v>186.0472</v>
      </c>
      <c r="X114" s="152">
        <v>7.4300000000000005E-2</v>
      </c>
      <c r="Y114" s="153">
        <v>2504</v>
      </c>
      <c r="Z114" s="103">
        <v>359.07</v>
      </c>
      <c r="AA114" s="103">
        <f t="shared" si="56"/>
        <v>245</v>
      </c>
      <c r="AB114" s="154">
        <v>0.7</v>
      </c>
      <c r="AC114" s="103">
        <v>95</v>
      </c>
      <c r="AD114" s="103">
        <f t="shared" si="62"/>
        <v>279.33279999999968</v>
      </c>
      <c r="AE114" s="103">
        <f t="shared" si="63"/>
        <v>1715</v>
      </c>
    </row>
    <row r="115" spans="1:31">
      <c r="A115" s="187" t="s">
        <v>192</v>
      </c>
      <c r="B115" s="185">
        <v>465187</v>
      </c>
      <c r="C115" s="117">
        <v>7</v>
      </c>
      <c r="D115" s="103">
        <v>7200</v>
      </c>
      <c r="E115" s="102">
        <f t="shared" si="52"/>
        <v>4018</v>
      </c>
      <c r="F115" s="112">
        <v>3647</v>
      </c>
      <c r="G115" s="112">
        <v>371</v>
      </c>
      <c r="H115" s="128">
        <f t="shared" si="64"/>
        <v>1.7919362867098059</v>
      </c>
      <c r="I115" s="146">
        <v>3123.02</v>
      </c>
      <c r="J115" s="128">
        <v>24.68</v>
      </c>
      <c r="K115" s="128"/>
      <c r="L115" s="128"/>
      <c r="M115" s="146">
        <v>516.02</v>
      </c>
      <c r="N115" s="103">
        <f t="shared" si="54"/>
        <v>61.2</v>
      </c>
      <c r="O115" s="103">
        <v>7</v>
      </c>
      <c r="P115" s="103"/>
      <c r="Q115" s="103">
        <v>789.51</v>
      </c>
      <c r="R115" s="103"/>
      <c r="S115" s="103">
        <v>0</v>
      </c>
      <c r="T115" s="103"/>
      <c r="U115" s="103"/>
      <c r="V115" s="103"/>
      <c r="W115" s="103">
        <f t="shared" si="55"/>
        <v>300.4692</v>
      </c>
      <c r="X115" s="152">
        <v>7.4300000000000005E-2</v>
      </c>
      <c r="Y115" s="153">
        <v>4044</v>
      </c>
      <c r="Z115" s="103">
        <v>359.07</v>
      </c>
      <c r="AA115" s="103">
        <f t="shared" si="56"/>
        <v>401.8</v>
      </c>
      <c r="AB115" s="154">
        <v>0.8</v>
      </c>
      <c r="AC115" s="103">
        <v>95</v>
      </c>
      <c r="AD115" s="103">
        <f t="shared" si="62"/>
        <v>-660.12920000000076</v>
      </c>
      <c r="AE115" s="103">
        <f t="shared" ref="AE115:AE117" si="65">AB115*E115</f>
        <v>3214.4</v>
      </c>
    </row>
    <row r="116" spans="1:31">
      <c r="A116" s="184" t="s">
        <v>407</v>
      </c>
      <c r="B116" s="185">
        <v>465188</v>
      </c>
      <c r="C116" s="112">
        <v>7</v>
      </c>
      <c r="D116" s="103">
        <v>5225</v>
      </c>
      <c r="E116" s="102">
        <f t="shared" si="52"/>
        <v>3070</v>
      </c>
      <c r="F116" s="117">
        <v>2781</v>
      </c>
      <c r="G116" s="117">
        <v>289</v>
      </c>
      <c r="H116" s="128">
        <f t="shared" si="64"/>
        <v>1.7019543973941369</v>
      </c>
      <c r="I116" s="146">
        <v>2413.88</v>
      </c>
      <c r="J116" s="128"/>
      <c r="K116" s="128"/>
      <c r="L116" s="128"/>
      <c r="M116" s="146">
        <v>54.33</v>
      </c>
      <c r="N116" s="103">
        <f t="shared" si="54"/>
        <v>44.412500000000001</v>
      </c>
      <c r="O116" s="103">
        <v>7</v>
      </c>
      <c r="P116" s="103"/>
      <c r="Q116" s="103">
        <v>789.51</v>
      </c>
      <c r="R116" s="103"/>
      <c r="S116" s="103">
        <v>0</v>
      </c>
      <c r="T116" s="103"/>
      <c r="U116" s="103"/>
      <c r="V116" s="103"/>
      <c r="W116" s="103">
        <f t="shared" si="55"/>
        <v>216.88170000000002</v>
      </c>
      <c r="X116" s="152">
        <v>7.4300000000000005E-2</v>
      </c>
      <c r="Y116" s="153">
        <v>2919</v>
      </c>
      <c r="Z116" s="103">
        <v>359.07</v>
      </c>
      <c r="AA116" s="103">
        <f t="shared" si="56"/>
        <v>307</v>
      </c>
      <c r="AB116" s="154">
        <v>0.65</v>
      </c>
      <c r="AC116" s="103">
        <v>95</v>
      </c>
      <c r="AD116" s="103">
        <f t="shared" si="62"/>
        <v>-948.92420000000004</v>
      </c>
      <c r="AE116" s="103">
        <f t="shared" si="65"/>
        <v>1995.5</v>
      </c>
    </row>
    <row r="117" spans="1:31">
      <c r="A117" s="184"/>
      <c r="B117" s="185">
        <v>465189</v>
      </c>
      <c r="C117" s="112"/>
      <c r="D117" s="103"/>
      <c r="E117" s="102">
        <f t="shared" si="52"/>
        <v>0</v>
      </c>
      <c r="F117" s="117"/>
      <c r="G117" s="117"/>
      <c r="H117" s="128"/>
      <c r="I117" s="146"/>
      <c r="J117" s="128"/>
      <c r="K117" s="103"/>
      <c r="L117" s="103"/>
      <c r="M117" s="146"/>
      <c r="N117" s="103">
        <f t="shared" si="54"/>
        <v>0</v>
      </c>
      <c r="O117" s="103">
        <v>7</v>
      </c>
      <c r="P117" s="103"/>
      <c r="Q117" s="103">
        <v>789.51</v>
      </c>
      <c r="R117" s="103"/>
      <c r="S117" s="103">
        <v>0</v>
      </c>
      <c r="T117" s="103"/>
      <c r="U117" s="103"/>
      <c r="V117" s="103"/>
      <c r="W117" s="103">
        <f t="shared" si="55"/>
        <v>0.7430000000000001</v>
      </c>
      <c r="X117" s="152">
        <v>7.4300000000000005E-2</v>
      </c>
      <c r="Y117" s="155">
        <v>10</v>
      </c>
      <c r="Z117" s="103">
        <v>359.07</v>
      </c>
      <c r="AA117" s="103">
        <f t="shared" si="56"/>
        <v>0</v>
      </c>
      <c r="AB117" s="154"/>
      <c r="AC117" s="103">
        <v>95</v>
      </c>
      <c r="AD117" s="103">
        <f t="shared" si="62"/>
        <v>-1251.3229999999999</v>
      </c>
      <c r="AE117" s="103">
        <f t="shared" si="65"/>
        <v>0</v>
      </c>
    </row>
    <row r="118" spans="1:31">
      <c r="A118" s="134" t="s">
        <v>386</v>
      </c>
      <c r="B118" s="135" t="s">
        <v>399</v>
      </c>
      <c r="C118" s="158"/>
      <c r="D118" s="139">
        <v>6900</v>
      </c>
      <c r="E118" s="136">
        <v>3702</v>
      </c>
      <c r="F118" s="193"/>
      <c r="G118" s="193"/>
      <c r="H118" s="168">
        <f t="shared" ref="H118:H119" si="66">D118/E118</f>
        <v>1.8638573743922204</v>
      </c>
      <c r="I118" s="139">
        <v>2297.25</v>
      </c>
      <c r="J118" s="139">
        <v>107.14</v>
      </c>
      <c r="K118" s="139"/>
      <c r="L118" s="139"/>
      <c r="M118" s="139">
        <v>235.75</v>
      </c>
      <c r="N118" s="139">
        <f t="shared" si="54"/>
        <v>58.650000000000006</v>
      </c>
      <c r="O118" s="139">
        <v>0</v>
      </c>
      <c r="P118" s="139"/>
      <c r="Q118" s="139">
        <v>0</v>
      </c>
      <c r="R118" s="139">
        <v>0</v>
      </c>
      <c r="S118" s="139">
        <v>0</v>
      </c>
      <c r="T118" s="139">
        <v>0</v>
      </c>
      <c r="U118" s="139"/>
      <c r="V118" s="139">
        <v>0</v>
      </c>
      <c r="W118" s="139">
        <v>0</v>
      </c>
      <c r="X118" s="159">
        <v>0</v>
      </c>
      <c r="Y118" s="136">
        <v>3702</v>
      </c>
      <c r="Z118" s="139">
        <v>0</v>
      </c>
      <c r="AA118" s="139">
        <f t="shared" si="56"/>
        <v>370.20000000000005</v>
      </c>
      <c r="AB118" s="160">
        <v>0.85</v>
      </c>
      <c r="AC118" s="139">
        <v>95</v>
      </c>
      <c r="AD118" s="139">
        <f>D118*0.15-AA118-N118</f>
        <v>606.15</v>
      </c>
      <c r="AE118" s="139">
        <f>D118*0.85-I118-J118+M118</f>
        <v>3696.36</v>
      </c>
    </row>
    <row r="119" spans="1:31">
      <c r="A119" s="134" t="s">
        <v>387</v>
      </c>
      <c r="B119" s="135" t="s">
        <v>362</v>
      </c>
      <c r="C119" s="158"/>
      <c r="D119" s="139">
        <v>7750</v>
      </c>
      <c r="E119" s="136">
        <v>2635</v>
      </c>
      <c r="F119" s="193"/>
      <c r="G119" s="193"/>
      <c r="H119" s="168">
        <f t="shared" si="66"/>
        <v>2.9411764705882355</v>
      </c>
      <c r="I119" s="139">
        <v>2100.0100000000002</v>
      </c>
      <c r="J119" s="139">
        <v>142.97</v>
      </c>
      <c r="K119" s="139"/>
      <c r="L119" s="139"/>
      <c r="M119" s="139">
        <v>59.33</v>
      </c>
      <c r="N119" s="139">
        <f t="shared" si="54"/>
        <v>65.875</v>
      </c>
      <c r="O119" s="139">
        <v>7</v>
      </c>
      <c r="P119" s="139"/>
      <c r="Q119" s="139">
        <v>0</v>
      </c>
      <c r="R119" s="139">
        <v>50</v>
      </c>
      <c r="S119" s="139">
        <v>199</v>
      </c>
      <c r="T119" s="139">
        <v>30</v>
      </c>
      <c r="U119" s="139"/>
      <c r="V119" s="139">
        <v>300</v>
      </c>
      <c r="W119" s="139">
        <v>0</v>
      </c>
      <c r="X119" s="159">
        <v>0</v>
      </c>
      <c r="Y119" s="136">
        <v>2635</v>
      </c>
      <c r="Z119" s="139">
        <v>0</v>
      </c>
      <c r="AA119" s="139">
        <f t="shared" si="56"/>
        <v>263.5</v>
      </c>
      <c r="AB119" s="160">
        <v>0.87</v>
      </c>
      <c r="AC119" s="139">
        <v>95</v>
      </c>
      <c r="AD119" s="139">
        <f>D119*0.13+V119+T119+S119+R119-AA119-N119</f>
        <v>1257.125</v>
      </c>
      <c r="AE119" s="139">
        <f>D119*0.87-I119-J119-R119-S119-T119-V119</f>
        <v>3920.5199999999995</v>
      </c>
    </row>
    <row r="120" spans="1:31">
      <c r="A120" s="134" t="s">
        <v>363</v>
      </c>
      <c r="B120" s="134">
        <v>1118</v>
      </c>
      <c r="C120" s="158"/>
      <c r="D120" s="139"/>
      <c r="E120" s="136">
        <v>953</v>
      </c>
      <c r="F120" s="136"/>
      <c r="G120" s="136"/>
      <c r="H120" s="168"/>
      <c r="I120" s="139"/>
      <c r="J120" s="139">
        <v>22.5</v>
      </c>
      <c r="K120" s="139"/>
      <c r="L120" s="139"/>
      <c r="M120" s="139"/>
      <c r="N120" s="139">
        <f t="shared" si="54"/>
        <v>0</v>
      </c>
      <c r="O120" s="139">
        <v>0</v>
      </c>
      <c r="P120" s="139"/>
      <c r="Q120" s="139">
        <v>0</v>
      </c>
      <c r="R120" s="139">
        <v>0</v>
      </c>
      <c r="S120" s="139">
        <v>0</v>
      </c>
      <c r="T120" s="139">
        <v>0</v>
      </c>
      <c r="U120" s="139"/>
      <c r="V120" s="139">
        <v>0</v>
      </c>
      <c r="W120" s="139">
        <v>0</v>
      </c>
      <c r="X120" s="159">
        <v>0</v>
      </c>
      <c r="Y120" s="136">
        <v>953</v>
      </c>
      <c r="Z120" s="139">
        <v>0</v>
      </c>
      <c r="AA120" s="139">
        <f t="shared" si="56"/>
        <v>95.300000000000011</v>
      </c>
      <c r="AB120" s="160">
        <v>0.8</v>
      </c>
      <c r="AC120" s="139">
        <v>95</v>
      </c>
      <c r="AD120" s="139">
        <f>D120*0.2-AA120-N120-K120-AC120</f>
        <v>-190.3</v>
      </c>
      <c r="AE120" s="139">
        <f>D120*AB120-I120-J120</f>
        <v>-22.5</v>
      </c>
    </row>
    <row r="121" spans="1:31">
      <c r="A121" s="134" t="s">
        <v>368</v>
      </c>
      <c r="B121" s="134" t="s">
        <v>369</v>
      </c>
      <c r="C121" s="158"/>
      <c r="D121" s="139">
        <v>7482</v>
      </c>
      <c r="E121" s="136">
        <v>3152</v>
      </c>
      <c r="F121" s="136"/>
      <c r="G121" s="136"/>
      <c r="H121" s="168">
        <f t="shared" ref="H121:H123" si="67">D121/E121</f>
        <v>2.373730964467005</v>
      </c>
      <c r="I121" s="139">
        <v>2307.46</v>
      </c>
      <c r="J121" s="139"/>
      <c r="K121" s="139"/>
      <c r="L121" s="139"/>
      <c r="M121" s="139">
        <v>164.51</v>
      </c>
      <c r="N121" s="139">
        <f t="shared" si="54"/>
        <v>63.597000000000001</v>
      </c>
      <c r="O121" s="139">
        <v>7</v>
      </c>
      <c r="P121" s="139"/>
      <c r="Q121" s="139">
        <v>0</v>
      </c>
      <c r="R121" s="139">
        <v>50</v>
      </c>
      <c r="S121" s="139">
        <v>199</v>
      </c>
      <c r="T121" s="139">
        <v>30</v>
      </c>
      <c r="U121" s="139"/>
      <c r="V121" s="139">
        <v>300</v>
      </c>
      <c r="W121" s="139">
        <v>0</v>
      </c>
      <c r="X121" s="159">
        <v>0</v>
      </c>
      <c r="Y121" s="136">
        <v>3152</v>
      </c>
      <c r="Z121" s="139">
        <v>0</v>
      </c>
      <c r="AA121" s="139">
        <f t="shared" si="56"/>
        <v>315.20000000000005</v>
      </c>
      <c r="AB121" s="160">
        <v>0.89</v>
      </c>
      <c r="AC121" s="139">
        <v>95</v>
      </c>
      <c r="AD121" s="139">
        <f>D121*0.11-AC121-AA121+V121+T121+S121+R121-N121</f>
        <v>928.22299999999996</v>
      </c>
      <c r="AE121" s="139">
        <f>D121*AB121-I121-J121-R121-S121-T121-V121</f>
        <v>3772.5200000000004</v>
      </c>
    </row>
    <row r="122" spans="1:31">
      <c r="A122" s="134" t="s">
        <v>364</v>
      </c>
      <c r="B122" s="134">
        <v>2013</v>
      </c>
      <c r="C122" s="158"/>
      <c r="D122" s="139">
        <v>5550</v>
      </c>
      <c r="E122" s="136">
        <v>1939</v>
      </c>
      <c r="F122" s="136"/>
      <c r="G122" s="136"/>
      <c r="H122" s="168">
        <f t="shared" si="67"/>
        <v>2.8623001547189273</v>
      </c>
      <c r="I122" s="139">
        <v>2149.86</v>
      </c>
      <c r="J122" s="139">
        <v>314.2</v>
      </c>
      <c r="K122" s="139"/>
      <c r="L122" s="139"/>
      <c r="M122" s="139">
        <v>25.51</v>
      </c>
      <c r="N122" s="139">
        <f t="shared" si="54"/>
        <v>47.175000000000004</v>
      </c>
      <c r="O122" s="139">
        <v>0</v>
      </c>
      <c r="P122" s="139"/>
      <c r="Q122" s="139">
        <v>0</v>
      </c>
      <c r="R122" s="139">
        <v>50</v>
      </c>
      <c r="S122" s="139">
        <v>199</v>
      </c>
      <c r="T122" s="139">
        <v>30</v>
      </c>
      <c r="U122" s="139"/>
      <c r="V122" s="139">
        <v>300</v>
      </c>
      <c r="W122" s="139">
        <v>0</v>
      </c>
      <c r="X122" s="159">
        <v>0</v>
      </c>
      <c r="Y122" s="136">
        <v>1939</v>
      </c>
      <c r="Z122" s="139">
        <v>0</v>
      </c>
      <c r="AA122" s="139">
        <f t="shared" si="56"/>
        <v>193.9</v>
      </c>
      <c r="AB122" s="160">
        <v>0.87</v>
      </c>
      <c r="AC122" s="139">
        <v>95</v>
      </c>
      <c r="AD122" s="139">
        <f>D122*0.13+V122+T122+S122+R122-AA122-N122</f>
        <v>1059.425</v>
      </c>
      <c r="AE122" s="139">
        <f t="shared" ref="AE122:AE123" si="68">D122*AB122-I122-J122-V122-T122-S122-R122</f>
        <v>1785.44</v>
      </c>
    </row>
    <row r="123" spans="1:31">
      <c r="A123" s="134" t="s">
        <v>408</v>
      </c>
      <c r="B123" s="134">
        <v>1122</v>
      </c>
      <c r="C123" s="158"/>
      <c r="D123" s="139">
        <v>2700</v>
      </c>
      <c r="E123" s="136">
        <v>1762</v>
      </c>
      <c r="F123" s="136"/>
      <c r="G123" s="136"/>
      <c r="H123" s="168">
        <f t="shared" si="67"/>
        <v>1.532349602724177</v>
      </c>
      <c r="I123" s="139">
        <v>628.09</v>
      </c>
      <c r="J123" s="139">
        <v>14.34</v>
      </c>
      <c r="K123" s="139"/>
      <c r="L123" s="139"/>
      <c r="M123" s="139">
        <v>20.76</v>
      </c>
      <c r="N123" s="139">
        <f t="shared" si="54"/>
        <v>22.950000000000003</v>
      </c>
      <c r="O123" s="139">
        <v>7</v>
      </c>
      <c r="P123" s="139"/>
      <c r="Q123" s="139">
        <v>0</v>
      </c>
      <c r="R123" s="139">
        <v>0</v>
      </c>
      <c r="S123" s="139">
        <v>0</v>
      </c>
      <c r="T123" s="139">
        <v>0</v>
      </c>
      <c r="U123" s="139"/>
      <c r="V123" s="139">
        <v>0</v>
      </c>
      <c r="W123" s="139">
        <v>0</v>
      </c>
      <c r="X123" s="159">
        <v>0</v>
      </c>
      <c r="Y123" s="136">
        <v>1762</v>
      </c>
      <c r="Z123" s="139">
        <v>0</v>
      </c>
      <c r="AA123" s="139">
        <f t="shared" si="56"/>
        <v>176.20000000000002</v>
      </c>
      <c r="AB123" s="160">
        <v>0.8</v>
      </c>
      <c r="AC123" s="139">
        <v>95</v>
      </c>
      <c r="AD123" s="139">
        <f>D123*0.13-AC123-AA123+V123+T123+S123+R123-N123</f>
        <v>56.84999999999998</v>
      </c>
      <c r="AE123" s="139">
        <f t="shared" si="68"/>
        <v>1517.57</v>
      </c>
    </row>
    <row r="124" spans="1:31">
      <c r="A124" s="72" t="s">
        <v>89</v>
      </c>
      <c r="B124" s="72">
        <v>28</v>
      </c>
      <c r="C124" s="161">
        <f>AVERAGE(C98:C117)</f>
        <v>6.384615384615385</v>
      </c>
      <c r="D124" s="162">
        <f>SUM(D98:D123)</f>
        <v>114010</v>
      </c>
      <c r="E124" s="170">
        <f t="shared" ref="E124:G124" si="69">AVERAGE(E99:E123)</f>
        <v>2205.2800000000002</v>
      </c>
      <c r="F124" s="161">
        <f t="shared" si="69"/>
        <v>3222.6666666666665</v>
      </c>
      <c r="G124" s="170">
        <f t="shared" si="69"/>
        <v>193.08333333333334</v>
      </c>
      <c r="H124" s="194">
        <f>AVERAGE(H98:H123)</f>
        <v>2.0448418710778453</v>
      </c>
      <c r="I124" s="162">
        <f t="shared" ref="I124:O124" si="70">SUM(I98:I123)</f>
        <v>41793.339999999997</v>
      </c>
      <c r="J124" s="162">
        <f t="shared" si="70"/>
        <v>1680.5800000000002</v>
      </c>
      <c r="K124" s="162">
        <f t="shared" si="70"/>
        <v>400</v>
      </c>
      <c r="L124" s="162">
        <f t="shared" si="70"/>
        <v>100</v>
      </c>
      <c r="M124" s="162">
        <f t="shared" si="70"/>
        <v>3486.3300000000008</v>
      </c>
      <c r="N124" s="162">
        <f t="shared" si="70"/>
        <v>969.08500000000004</v>
      </c>
      <c r="O124" s="162">
        <f t="shared" si="70"/>
        <v>161</v>
      </c>
      <c r="P124" s="162"/>
      <c r="Q124" s="162">
        <f t="shared" ref="Q124:T124" si="71">SUM(Q98:Q123)</f>
        <v>14789.500000000004</v>
      </c>
      <c r="R124" s="162">
        <f t="shared" si="71"/>
        <v>150</v>
      </c>
      <c r="S124" s="162">
        <f t="shared" si="71"/>
        <v>597</v>
      </c>
      <c r="T124" s="162">
        <f t="shared" si="71"/>
        <v>90</v>
      </c>
      <c r="U124" s="162"/>
      <c r="V124" s="162">
        <f t="shared" ref="V124:AA124" si="72">SUM(V98:V123)</f>
        <v>900</v>
      </c>
      <c r="W124" s="162">
        <f t="shared" si="72"/>
        <v>3175.0050000000001</v>
      </c>
      <c r="X124" s="162">
        <f t="shared" si="72"/>
        <v>1.492</v>
      </c>
      <c r="Y124" s="162">
        <f t="shared" si="72"/>
        <v>56749</v>
      </c>
      <c r="Z124" s="162">
        <f t="shared" si="72"/>
        <v>7181.3999999999987</v>
      </c>
      <c r="AA124" s="162">
        <f t="shared" si="72"/>
        <v>5750.9</v>
      </c>
      <c r="AB124" s="162"/>
      <c r="AC124" s="162">
        <f t="shared" ref="AC124:AE124" si="73">SUM(AC98:AC123)</f>
        <v>2470</v>
      </c>
      <c r="AD124" s="162">
        <f t="shared" si="73"/>
        <v>-8879.0000000000036</v>
      </c>
      <c r="AE124" s="162">
        <f t="shared" si="73"/>
        <v>47851.409999999996</v>
      </c>
    </row>
  </sheetData>
  <mergeCells count="4">
    <mergeCell ref="A1:AD1"/>
    <mergeCell ref="A33:AD33"/>
    <mergeCell ref="A65:AD65"/>
    <mergeCell ref="A96:AE96"/>
  </mergeCells>
  <conditionalFormatting sqref="H98:H123">
    <cfRule type="colorScale" priority="1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E150"/>
  <sheetViews>
    <sheetView workbookViewId="0"/>
  </sheetViews>
  <sheetFormatPr baseColWidth="10" defaultColWidth="12.6640625" defaultRowHeight="15.75" customHeight="1"/>
  <sheetData>
    <row r="1" spans="1:31">
      <c r="A1" s="457" t="s">
        <v>420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  <c r="AC1" s="458"/>
      <c r="AD1" s="458"/>
      <c r="AE1" s="459"/>
    </row>
    <row r="2" spans="1:31">
      <c r="A2" s="95" t="s">
        <v>0</v>
      </c>
      <c r="B2" s="95" t="s">
        <v>1</v>
      </c>
      <c r="C2" s="95" t="s">
        <v>372</v>
      </c>
      <c r="D2" s="95" t="s">
        <v>2</v>
      </c>
      <c r="E2" s="95" t="s">
        <v>413</v>
      </c>
      <c r="F2" s="150" t="s">
        <v>414</v>
      </c>
      <c r="G2" s="150" t="s">
        <v>415</v>
      </c>
      <c r="H2" s="95" t="s">
        <v>416</v>
      </c>
      <c r="I2" s="95" t="s">
        <v>7</v>
      </c>
      <c r="J2" s="95" t="s">
        <v>8</v>
      </c>
      <c r="K2" s="95" t="s">
        <v>287</v>
      </c>
      <c r="L2" s="95" t="s">
        <v>288</v>
      </c>
      <c r="M2" s="95" t="s">
        <v>257</v>
      </c>
      <c r="N2" s="95" t="s">
        <v>373</v>
      </c>
      <c r="O2" s="95" t="s">
        <v>374</v>
      </c>
      <c r="P2" s="95"/>
      <c r="Q2" s="95" t="s">
        <v>375</v>
      </c>
      <c r="R2" s="95" t="s">
        <v>376</v>
      </c>
      <c r="S2" s="95" t="s">
        <v>377</v>
      </c>
      <c r="T2" s="150" t="s">
        <v>378</v>
      </c>
      <c r="U2" s="150"/>
      <c r="V2" s="150" t="s">
        <v>379</v>
      </c>
      <c r="W2" s="150" t="s">
        <v>352</v>
      </c>
      <c r="X2" s="95" t="s">
        <v>380</v>
      </c>
      <c r="Y2" s="95" t="s">
        <v>381</v>
      </c>
      <c r="Z2" s="95" t="s">
        <v>382</v>
      </c>
      <c r="AA2" s="95" t="s">
        <v>383</v>
      </c>
      <c r="AB2" s="95" t="s">
        <v>385</v>
      </c>
      <c r="AC2" s="150" t="s">
        <v>333</v>
      </c>
      <c r="AD2" s="95" t="s">
        <v>13</v>
      </c>
      <c r="AE2" s="95" t="s">
        <v>98</v>
      </c>
    </row>
    <row r="3" spans="1:31">
      <c r="A3" s="184" t="s">
        <v>347</v>
      </c>
      <c r="B3" s="185">
        <v>352368</v>
      </c>
      <c r="C3" s="112"/>
      <c r="D3" s="103"/>
      <c r="E3" s="102"/>
      <c r="F3" s="102"/>
      <c r="G3" s="102"/>
      <c r="H3" s="128"/>
      <c r="I3" s="128"/>
      <c r="J3" s="103"/>
      <c r="K3" s="103"/>
      <c r="L3" s="103"/>
      <c r="M3" s="128"/>
      <c r="N3" s="103">
        <f t="shared" ref="N3:N28" si="0">D3*0.0085</f>
        <v>0</v>
      </c>
      <c r="O3" s="103">
        <v>7</v>
      </c>
      <c r="P3" s="103"/>
      <c r="Q3" s="103">
        <v>689.44</v>
      </c>
      <c r="R3" s="103"/>
      <c r="S3" s="103">
        <v>0</v>
      </c>
      <c r="T3" s="103"/>
      <c r="U3" s="103"/>
      <c r="V3" s="103"/>
      <c r="W3" s="103">
        <f t="shared" ref="W3:W22" si="1">Y3*X3</f>
        <v>7.4899999999999994E-2</v>
      </c>
      <c r="X3" s="152">
        <v>7.4899999999999994E-2</v>
      </c>
      <c r="Y3" s="153">
        <v>1</v>
      </c>
      <c r="Z3" s="103">
        <v>359.07</v>
      </c>
      <c r="AA3" s="103">
        <f t="shared" ref="AA3:AA28" si="2">E3*0.1</f>
        <v>0</v>
      </c>
      <c r="AB3" s="154">
        <v>0.75</v>
      </c>
      <c r="AC3" s="103">
        <v>95</v>
      </c>
      <c r="AD3" s="103">
        <f t="shared" ref="AD3:AD9" si="3">D3-I3-J3+M3-N3-O3-Q3-Z3-AA3-AC3-AE3-W3</f>
        <v>-1150.5849000000001</v>
      </c>
      <c r="AE3" s="103">
        <f t="shared" ref="AE3:AE8" si="4">AB3*E3</f>
        <v>0</v>
      </c>
    </row>
    <row r="4" spans="1:31">
      <c r="A4" s="186" t="s">
        <v>355</v>
      </c>
      <c r="B4" s="185">
        <v>352371</v>
      </c>
      <c r="C4" s="112">
        <v>7</v>
      </c>
      <c r="D4" s="103">
        <v>3700</v>
      </c>
      <c r="E4" s="102">
        <f>F4+G4</f>
        <v>2486</v>
      </c>
      <c r="F4" s="112">
        <v>2457</v>
      </c>
      <c r="G4" s="112">
        <v>29</v>
      </c>
      <c r="H4" s="146">
        <f>D4/E4</f>
        <v>1.4883346741753822</v>
      </c>
      <c r="I4" s="146">
        <v>2837.69</v>
      </c>
      <c r="J4" s="128">
        <v>67.540000000000006</v>
      </c>
      <c r="K4" s="103"/>
      <c r="L4" s="103"/>
      <c r="M4" s="128">
        <v>247.31</v>
      </c>
      <c r="N4" s="103">
        <f t="shared" si="0"/>
        <v>31.450000000000003</v>
      </c>
      <c r="O4" s="103">
        <v>7</v>
      </c>
      <c r="P4" s="103"/>
      <c r="Q4" s="103">
        <v>689.44</v>
      </c>
      <c r="R4" s="103"/>
      <c r="S4" s="103">
        <v>0</v>
      </c>
      <c r="T4" s="103"/>
      <c r="U4" s="103"/>
      <c r="V4" s="103"/>
      <c r="W4" s="103">
        <f t="shared" si="1"/>
        <v>248.74289999999999</v>
      </c>
      <c r="X4" s="152">
        <v>7.4899999999999994E-2</v>
      </c>
      <c r="Y4" s="153">
        <v>3321</v>
      </c>
      <c r="Z4" s="103">
        <v>359.07</v>
      </c>
      <c r="AA4" s="103">
        <f t="shared" si="2"/>
        <v>248.60000000000002</v>
      </c>
      <c r="AB4" s="154">
        <v>0.75</v>
      </c>
      <c r="AC4" s="103">
        <v>95</v>
      </c>
      <c r="AD4" s="103">
        <f t="shared" si="3"/>
        <v>-2501.7229000000002</v>
      </c>
      <c r="AE4" s="103">
        <f t="shared" si="4"/>
        <v>1864.5</v>
      </c>
    </row>
    <row r="5" spans="1:31">
      <c r="A5" s="171"/>
      <c r="B5" s="185">
        <v>352372</v>
      </c>
      <c r="C5" s="112"/>
      <c r="D5" s="103"/>
      <c r="E5" s="102"/>
      <c r="F5" s="112"/>
      <c r="G5" s="112"/>
      <c r="H5" s="146"/>
      <c r="I5" s="146"/>
      <c r="J5" s="117"/>
      <c r="K5" s="103"/>
      <c r="L5" s="103"/>
      <c r="M5" s="146"/>
      <c r="N5" s="103">
        <f t="shared" si="0"/>
        <v>0</v>
      </c>
      <c r="O5" s="103">
        <v>7</v>
      </c>
      <c r="P5" s="103"/>
      <c r="Q5" s="103">
        <v>689.44</v>
      </c>
      <c r="R5" s="103"/>
      <c r="S5" s="103">
        <v>0</v>
      </c>
      <c r="T5" s="103"/>
      <c r="U5" s="103"/>
      <c r="V5" s="103"/>
      <c r="W5" s="103">
        <f t="shared" si="1"/>
        <v>0</v>
      </c>
      <c r="X5" s="152">
        <v>7.4899999999999994E-2</v>
      </c>
      <c r="Y5" s="153"/>
      <c r="Z5" s="103">
        <v>359.07</v>
      </c>
      <c r="AA5" s="103">
        <f t="shared" si="2"/>
        <v>0</v>
      </c>
      <c r="AB5" s="154"/>
      <c r="AC5" s="103">
        <v>95</v>
      </c>
      <c r="AD5" s="103">
        <f t="shared" si="3"/>
        <v>-1150.51</v>
      </c>
      <c r="AE5" s="103">
        <f t="shared" si="4"/>
        <v>0</v>
      </c>
    </row>
    <row r="6" spans="1:31">
      <c r="A6" s="184" t="s">
        <v>393</v>
      </c>
      <c r="B6" s="185" t="s">
        <v>421</v>
      </c>
      <c r="C6" s="112">
        <v>7</v>
      </c>
      <c r="D6" s="103">
        <v>8100</v>
      </c>
      <c r="E6" s="102">
        <f>F6+G6</f>
        <v>4383</v>
      </c>
      <c r="F6" s="117">
        <v>3777</v>
      </c>
      <c r="G6" s="117">
        <v>606</v>
      </c>
      <c r="H6" s="146">
        <f>D6/E6</f>
        <v>1.8480492813141685</v>
      </c>
      <c r="I6" s="146">
        <v>2761.35</v>
      </c>
      <c r="J6" s="128">
        <f>36.65+88.13</f>
        <v>124.78</v>
      </c>
      <c r="K6" s="103">
        <v>200</v>
      </c>
      <c r="L6" s="103"/>
      <c r="M6" s="146">
        <v>371.1</v>
      </c>
      <c r="N6" s="103">
        <f t="shared" si="0"/>
        <v>68.850000000000009</v>
      </c>
      <c r="O6" s="103">
        <v>7</v>
      </c>
      <c r="P6" s="103"/>
      <c r="Q6" s="103">
        <v>689.44</v>
      </c>
      <c r="R6" s="103"/>
      <c r="S6" s="103">
        <v>0</v>
      </c>
      <c r="T6" s="103"/>
      <c r="U6" s="103"/>
      <c r="V6" s="103"/>
      <c r="W6" s="103">
        <f t="shared" si="1"/>
        <v>269.64</v>
      </c>
      <c r="X6" s="152">
        <v>7.4899999999999994E-2</v>
      </c>
      <c r="Y6" s="153">
        <v>3600</v>
      </c>
      <c r="Z6" s="103">
        <v>359.07</v>
      </c>
      <c r="AA6" s="103">
        <f t="shared" si="2"/>
        <v>438.3</v>
      </c>
      <c r="AB6" s="154">
        <v>0.75</v>
      </c>
      <c r="AC6" s="103">
        <v>95</v>
      </c>
      <c r="AD6" s="103">
        <f t="shared" si="3"/>
        <v>370.42000000000041</v>
      </c>
      <c r="AE6" s="103">
        <f t="shared" si="4"/>
        <v>3287.25</v>
      </c>
    </row>
    <row r="7" spans="1:31">
      <c r="A7" s="187" t="s">
        <v>419</v>
      </c>
      <c r="B7" s="188" t="s">
        <v>403</v>
      </c>
      <c r="C7" s="112"/>
      <c r="D7" s="103">
        <v>1250</v>
      </c>
      <c r="E7" s="102"/>
      <c r="F7" s="117"/>
      <c r="G7" s="117"/>
      <c r="H7" s="146"/>
      <c r="I7" s="146">
        <v>537.57000000000005</v>
      </c>
      <c r="J7" s="128">
        <v>78.260000000000005</v>
      </c>
      <c r="K7" s="103"/>
      <c r="L7" s="103"/>
      <c r="M7" s="146">
        <v>114.04</v>
      </c>
      <c r="N7" s="103">
        <f t="shared" si="0"/>
        <v>10.625</v>
      </c>
      <c r="O7" s="103">
        <v>7</v>
      </c>
      <c r="P7" s="103"/>
      <c r="Q7" s="103">
        <v>689.44</v>
      </c>
      <c r="R7" s="103"/>
      <c r="S7" s="103">
        <v>0</v>
      </c>
      <c r="T7" s="103"/>
      <c r="U7" s="103"/>
      <c r="V7" s="103"/>
      <c r="W7" s="103">
        <f t="shared" si="1"/>
        <v>0</v>
      </c>
      <c r="X7" s="152">
        <v>7.4899999999999994E-2</v>
      </c>
      <c r="Y7" s="153"/>
      <c r="Z7" s="103">
        <v>359.07</v>
      </c>
      <c r="AA7" s="103">
        <f t="shared" si="2"/>
        <v>0</v>
      </c>
      <c r="AB7" s="154"/>
      <c r="AC7" s="103">
        <v>95</v>
      </c>
      <c r="AD7" s="103">
        <f t="shared" si="3"/>
        <v>-412.92500000000013</v>
      </c>
      <c r="AE7" s="103">
        <f t="shared" si="4"/>
        <v>0</v>
      </c>
    </row>
    <row r="8" spans="1:31">
      <c r="A8" s="187"/>
      <c r="B8" s="185">
        <v>352375</v>
      </c>
      <c r="C8" s="112"/>
      <c r="D8" s="103"/>
      <c r="E8" s="102"/>
      <c r="F8" s="112"/>
      <c r="G8" s="112"/>
      <c r="H8" s="146"/>
      <c r="I8" s="146"/>
      <c r="J8" s="128"/>
      <c r="K8" s="103"/>
      <c r="L8" s="103"/>
      <c r="M8" s="146"/>
      <c r="N8" s="103">
        <f t="shared" si="0"/>
        <v>0</v>
      </c>
      <c r="O8" s="103">
        <v>7</v>
      </c>
      <c r="P8" s="103"/>
      <c r="Q8" s="103">
        <v>689.44</v>
      </c>
      <c r="R8" s="103"/>
      <c r="S8" s="103">
        <v>0</v>
      </c>
      <c r="T8" s="103"/>
      <c r="U8" s="103"/>
      <c r="V8" s="103"/>
      <c r="W8" s="103">
        <f t="shared" si="1"/>
        <v>0</v>
      </c>
      <c r="X8" s="152">
        <v>7.4899999999999994E-2</v>
      </c>
      <c r="Y8" s="153"/>
      <c r="Z8" s="103">
        <v>359.07</v>
      </c>
      <c r="AA8" s="103">
        <f t="shared" si="2"/>
        <v>0</v>
      </c>
      <c r="AB8" s="154"/>
      <c r="AC8" s="103">
        <v>95</v>
      </c>
      <c r="AD8" s="103">
        <f t="shared" si="3"/>
        <v>-1150.51</v>
      </c>
      <c r="AE8" s="103">
        <f t="shared" si="4"/>
        <v>0</v>
      </c>
    </row>
    <row r="9" spans="1:31">
      <c r="A9" s="187" t="s">
        <v>62</v>
      </c>
      <c r="B9" s="185">
        <v>352376</v>
      </c>
      <c r="C9" s="112"/>
      <c r="D9" s="103"/>
      <c r="E9" s="102"/>
      <c r="F9" s="117"/>
      <c r="G9" s="117"/>
      <c r="H9" s="146"/>
      <c r="I9" s="146"/>
      <c r="J9" s="128"/>
      <c r="K9" s="103"/>
      <c r="L9" s="103"/>
      <c r="M9" s="146"/>
      <c r="N9" s="103">
        <f t="shared" si="0"/>
        <v>0</v>
      </c>
      <c r="O9" s="103">
        <v>7</v>
      </c>
      <c r="P9" s="103"/>
      <c r="Q9" s="103">
        <v>689.44</v>
      </c>
      <c r="R9" s="103"/>
      <c r="S9" s="103">
        <v>0</v>
      </c>
      <c r="T9" s="103"/>
      <c r="U9" s="103"/>
      <c r="V9" s="103"/>
      <c r="W9" s="103">
        <f t="shared" si="1"/>
        <v>7.4899999999999994E-2</v>
      </c>
      <c r="X9" s="152">
        <v>7.4899999999999994E-2</v>
      </c>
      <c r="Y9" s="153">
        <v>1</v>
      </c>
      <c r="Z9" s="103">
        <v>359.07</v>
      </c>
      <c r="AA9" s="103">
        <f t="shared" si="2"/>
        <v>0</v>
      </c>
      <c r="AB9" s="154">
        <v>0.75</v>
      </c>
      <c r="AC9" s="103">
        <v>95</v>
      </c>
      <c r="AD9" s="103">
        <f t="shared" si="3"/>
        <v>-1150.5849000000001</v>
      </c>
      <c r="AE9" s="103">
        <f>AB9*E9+K9</f>
        <v>0</v>
      </c>
    </row>
    <row r="10" spans="1:31">
      <c r="A10" s="187" t="s">
        <v>411</v>
      </c>
      <c r="B10" s="185">
        <v>352377</v>
      </c>
      <c r="C10" s="112">
        <v>7</v>
      </c>
      <c r="D10" s="103">
        <v>9800</v>
      </c>
      <c r="E10" s="102">
        <f>F10+G10</f>
        <v>4901</v>
      </c>
      <c r="F10" s="112">
        <v>4740</v>
      </c>
      <c r="G10" s="112">
        <v>161</v>
      </c>
      <c r="H10" s="146">
        <f>D10/E10</f>
        <v>1.9995919200163232</v>
      </c>
      <c r="I10" s="146">
        <v>3088.11</v>
      </c>
      <c r="J10" s="128">
        <v>14.36</v>
      </c>
      <c r="K10" s="103">
        <v>100</v>
      </c>
      <c r="L10" s="103"/>
      <c r="M10" s="146">
        <v>112.25</v>
      </c>
      <c r="N10" s="103">
        <f t="shared" si="0"/>
        <v>83.300000000000011</v>
      </c>
      <c r="O10" s="103">
        <v>7</v>
      </c>
      <c r="P10" s="103"/>
      <c r="Q10" s="103">
        <v>689.44</v>
      </c>
      <c r="R10" s="103"/>
      <c r="S10" s="103">
        <v>0</v>
      </c>
      <c r="T10" s="103"/>
      <c r="U10" s="103"/>
      <c r="V10" s="103"/>
      <c r="W10" s="103">
        <f t="shared" si="1"/>
        <v>344.24039999999997</v>
      </c>
      <c r="X10" s="152">
        <v>7.4899999999999994E-2</v>
      </c>
      <c r="Y10" s="153">
        <v>4596</v>
      </c>
      <c r="Z10" s="103">
        <v>359.07</v>
      </c>
      <c r="AA10" s="103">
        <f t="shared" si="2"/>
        <v>490.1</v>
      </c>
      <c r="AB10" s="154">
        <v>0.7</v>
      </c>
      <c r="AC10" s="103">
        <v>95</v>
      </c>
      <c r="AD10" s="103">
        <f>D10-I10-J10+M10-N10-O10-Q10-Z10-AA10-AC10-AE10-W10+K10</f>
        <v>1410.9295999999993</v>
      </c>
      <c r="AE10" s="103">
        <f t="shared" ref="AE10:AE11" si="5">AB10*E10</f>
        <v>3430.7</v>
      </c>
    </row>
    <row r="11" spans="1:31">
      <c r="A11" s="187"/>
      <c r="B11" s="185">
        <v>359885</v>
      </c>
      <c r="C11" s="112"/>
      <c r="D11" s="103"/>
      <c r="E11" s="102"/>
      <c r="F11" s="112"/>
      <c r="G11" s="112"/>
      <c r="H11" s="146"/>
      <c r="I11" s="146"/>
      <c r="J11" s="128"/>
      <c r="K11" s="103"/>
      <c r="L11" s="103"/>
      <c r="M11" s="146"/>
      <c r="N11" s="103">
        <f t="shared" si="0"/>
        <v>0</v>
      </c>
      <c r="O11" s="103">
        <v>7</v>
      </c>
      <c r="P11" s="103"/>
      <c r="Q11" s="103">
        <v>689.44</v>
      </c>
      <c r="R11" s="103"/>
      <c r="S11" s="103">
        <v>0</v>
      </c>
      <c r="T11" s="103"/>
      <c r="U11" s="103"/>
      <c r="V11" s="103"/>
      <c r="W11" s="103">
        <f t="shared" si="1"/>
        <v>0</v>
      </c>
      <c r="X11" s="152">
        <v>7.4899999999999994E-2</v>
      </c>
      <c r="Y11" s="153"/>
      <c r="Z11" s="103">
        <v>359.07</v>
      </c>
      <c r="AA11" s="103">
        <f t="shared" si="2"/>
        <v>0</v>
      </c>
      <c r="AB11" s="154"/>
      <c r="AC11" s="103">
        <v>95</v>
      </c>
      <c r="AD11" s="103">
        <f t="shared" ref="AD11:AD13" si="6">D11-I11-J11+M11-N11-O11-Q11-Z11-AA11-AC11-AE11-W11</f>
        <v>-1150.51</v>
      </c>
      <c r="AE11" s="103">
        <f t="shared" si="5"/>
        <v>0</v>
      </c>
    </row>
    <row r="12" spans="1:31">
      <c r="A12" s="184"/>
      <c r="B12" s="185">
        <v>359886</v>
      </c>
      <c r="C12" s="112"/>
      <c r="D12" s="103"/>
      <c r="E12" s="102"/>
      <c r="F12" s="112"/>
      <c r="G12" s="112"/>
      <c r="H12" s="146"/>
      <c r="I12" s="146"/>
      <c r="J12" s="128"/>
      <c r="K12" s="103"/>
      <c r="L12" s="103"/>
      <c r="M12" s="146"/>
      <c r="N12" s="103">
        <f t="shared" si="0"/>
        <v>0</v>
      </c>
      <c r="O12" s="103">
        <v>7</v>
      </c>
      <c r="P12" s="103"/>
      <c r="Q12" s="103">
        <v>689.44</v>
      </c>
      <c r="R12" s="103"/>
      <c r="S12" s="103">
        <v>0</v>
      </c>
      <c r="T12" s="103"/>
      <c r="U12" s="103"/>
      <c r="V12" s="103"/>
      <c r="W12" s="103">
        <f t="shared" si="1"/>
        <v>35.352799999999995</v>
      </c>
      <c r="X12" s="152">
        <v>7.4899999999999994E-2</v>
      </c>
      <c r="Y12" s="153">
        <v>472</v>
      </c>
      <c r="Z12" s="103">
        <v>359.07</v>
      </c>
      <c r="AA12" s="103">
        <f t="shared" si="2"/>
        <v>0</v>
      </c>
      <c r="AB12" s="154"/>
      <c r="AC12" s="103">
        <v>95</v>
      </c>
      <c r="AD12" s="103">
        <f t="shared" si="6"/>
        <v>-1185.8627999999999</v>
      </c>
      <c r="AE12" s="103">
        <f>AB6*E12+K12</f>
        <v>0</v>
      </c>
    </row>
    <row r="13" spans="1:31">
      <c r="A13" s="187" t="s">
        <v>319</v>
      </c>
      <c r="B13" s="185">
        <v>465180</v>
      </c>
      <c r="C13" s="112">
        <v>7</v>
      </c>
      <c r="D13" s="103">
        <v>6200</v>
      </c>
      <c r="E13" s="102">
        <f t="shared" ref="E13:E16" si="7">F13+G13</f>
        <v>2845</v>
      </c>
      <c r="F13" s="112">
        <v>2540</v>
      </c>
      <c r="G13" s="112">
        <v>305</v>
      </c>
      <c r="H13" s="146">
        <f t="shared" ref="H13:H16" si="8">D13/E13</f>
        <v>2.1792618629173988</v>
      </c>
      <c r="I13" s="146">
        <v>1933.28</v>
      </c>
      <c r="J13" s="128">
        <v>3.69</v>
      </c>
      <c r="K13" s="103"/>
      <c r="L13" s="103"/>
      <c r="M13" s="146">
        <v>272.26</v>
      </c>
      <c r="N13" s="103">
        <f t="shared" si="0"/>
        <v>52.7</v>
      </c>
      <c r="O13" s="103">
        <v>7</v>
      </c>
      <c r="P13" s="103"/>
      <c r="Q13" s="103">
        <v>789.51</v>
      </c>
      <c r="R13" s="103"/>
      <c r="S13" s="103">
        <v>0</v>
      </c>
      <c r="T13" s="103"/>
      <c r="U13" s="103"/>
      <c r="V13" s="103"/>
      <c r="W13" s="103">
        <f t="shared" si="1"/>
        <v>222.75140000000002</v>
      </c>
      <c r="X13" s="152">
        <v>7.4300000000000005E-2</v>
      </c>
      <c r="Y13" s="153">
        <v>2998</v>
      </c>
      <c r="Z13" s="103">
        <v>359.07</v>
      </c>
      <c r="AA13" s="103">
        <f t="shared" si="2"/>
        <v>284.5</v>
      </c>
      <c r="AB13" s="154">
        <v>0.75</v>
      </c>
      <c r="AC13" s="103">
        <v>95</v>
      </c>
      <c r="AD13" s="103">
        <f t="shared" si="6"/>
        <v>591.00860000000068</v>
      </c>
      <c r="AE13" s="103">
        <f>AB13*E13</f>
        <v>2133.75</v>
      </c>
    </row>
    <row r="14" spans="1:31">
      <c r="A14" s="187" t="s">
        <v>322</v>
      </c>
      <c r="B14" s="185">
        <v>465181</v>
      </c>
      <c r="C14" s="117"/>
      <c r="D14" s="103">
        <v>1600</v>
      </c>
      <c r="E14" s="102">
        <f t="shared" si="7"/>
        <v>938</v>
      </c>
      <c r="F14" s="112">
        <v>831</v>
      </c>
      <c r="G14" s="112">
        <v>107</v>
      </c>
      <c r="H14" s="146">
        <f t="shared" si="8"/>
        <v>1.7057569296375266</v>
      </c>
      <c r="I14" s="146">
        <v>990.19</v>
      </c>
      <c r="J14" s="128">
        <v>77.75</v>
      </c>
      <c r="K14" s="128"/>
      <c r="L14" s="128">
        <v>150</v>
      </c>
      <c r="M14" s="146">
        <v>110.73</v>
      </c>
      <c r="N14" s="103">
        <f t="shared" si="0"/>
        <v>13.600000000000001</v>
      </c>
      <c r="O14" s="103">
        <v>7</v>
      </c>
      <c r="P14" s="103"/>
      <c r="Q14" s="103">
        <v>789.51</v>
      </c>
      <c r="R14" s="103"/>
      <c r="S14" s="103">
        <v>0</v>
      </c>
      <c r="T14" s="103"/>
      <c r="U14" s="103"/>
      <c r="V14" s="103"/>
      <c r="W14" s="103">
        <f t="shared" si="1"/>
        <v>82.547300000000007</v>
      </c>
      <c r="X14" s="152">
        <v>7.4300000000000005E-2</v>
      </c>
      <c r="Y14" s="153">
        <v>1111</v>
      </c>
      <c r="Z14" s="103">
        <v>359.07</v>
      </c>
      <c r="AA14" s="103">
        <f t="shared" si="2"/>
        <v>93.800000000000011</v>
      </c>
      <c r="AB14" s="154">
        <v>0.8</v>
      </c>
      <c r="AC14" s="103">
        <v>95</v>
      </c>
      <c r="AD14" s="103">
        <f>D14-I14-J14+M14-N14-O14-Q14-Z14-AA14-AC14-AE14-W14-K14-L14</f>
        <v>-1848.1373000000001</v>
      </c>
      <c r="AE14" s="103">
        <f t="shared" ref="AE14:AE15" si="9">AB14*E14+K14+L14</f>
        <v>900.40000000000009</v>
      </c>
    </row>
    <row r="15" spans="1:31">
      <c r="A15" s="187" t="s">
        <v>349</v>
      </c>
      <c r="B15" s="185">
        <v>465182</v>
      </c>
      <c r="C15" s="112">
        <v>7</v>
      </c>
      <c r="D15" s="103">
        <v>11500</v>
      </c>
      <c r="E15" s="102">
        <f t="shared" si="7"/>
        <v>6048</v>
      </c>
      <c r="F15" s="112">
        <v>5841</v>
      </c>
      <c r="G15" s="112">
        <v>207</v>
      </c>
      <c r="H15" s="146">
        <f t="shared" si="8"/>
        <v>1.9014550264550265</v>
      </c>
      <c r="I15" s="146">
        <v>3533</v>
      </c>
      <c r="J15" s="128">
        <v>151.54</v>
      </c>
      <c r="K15" s="128"/>
      <c r="L15" s="128"/>
      <c r="M15" s="146">
        <v>216.28</v>
      </c>
      <c r="N15" s="103">
        <f t="shared" si="0"/>
        <v>97.75</v>
      </c>
      <c r="O15" s="103">
        <v>7</v>
      </c>
      <c r="P15" s="103"/>
      <c r="Q15" s="103">
        <v>789.51</v>
      </c>
      <c r="R15" s="103"/>
      <c r="S15" s="103">
        <v>0</v>
      </c>
      <c r="T15" s="103"/>
      <c r="U15" s="103"/>
      <c r="V15" s="103"/>
      <c r="W15" s="103">
        <f t="shared" si="1"/>
        <v>348.46700000000004</v>
      </c>
      <c r="X15" s="152">
        <v>7.4300000000000005E-2</v>
      </c>
      <c r="Y15" s="153">
        <v>4690</v>
      </c>
      <c r="Z15" s="103">
        <v>359.07</v>
      </c>
      <c r="AA15" s="103">
        <f t="shared" si="2"/>
        <v>604.80000000000007</v>
      </c>
      <c r="AB15" s="154">
        <v>0.8</v>
      </c>
      <c r="AC15" s="103">
        <v>95</v>
      </c>
      <c r="AD15" s="103">
        <f>D15-I15-J15+M15-N15-O15-Q15-Z15-AA15-AC15-AE15-W15</f>
        <v>891.74299999999903</v>
      </c>
      <c r="AE15" s="103">
        <f t="shared" si="9"/>
        <v>4838.4000000000005</v>
      </c>
    </row>
    <row r="16" spans="1:31">
      <c r="A16" s="187" t="s">
        <v>88</v>
      </c>
      <c r="B16" s="185">
        <v>465183</v>
      </c>
      <c r="C16" s="117">
        <v>6</v>
      </c>
      <c r="D16" s="103">
        <v>8150</v>
      </c>
      <c r="E16" s="102">
        <f t="shared" si="7"/>
        <v>3694</v>
      </c>
      <c r="F16" s="112">
        <v>3567</v>
      </c>
      <c r="G16" s="112">
        <v>127</v>
      </c>
      <c r="H16" s="146">
        <f t="shared" si="8"/>
        <v>2.2062804547915538</v>
      </c>
      <c r="I16" s="146">
        <v>2823.69</v>
      </c>
      <c r="J16" s="128">
        <v>54.88</v>
      </c>
      <c r="K16" s="128">
        <v>200</v>
      </c>
      <c r="L16" s="128">
        <v>100</v>
      </c>
      <c r="M16" s="146">
        <v>540.89</v>
      </c>
      <c r="N16" s="103">
        <f t="shared" si="0"/>
        <v>69.275000000000006</v>
      </c>
      <c r="O16" s="103">
        <v>7</v>
      </c>
      <c r="P16" s="103"/>
      <c r="Q16" s="103">
        <v>789.51</v>
      </c>
      <c r="R16" s="103"/>
      <c r="S16" s="103">
        <v>0</v>
      </c>
      <c r="T16" s="103"/>
      <c r="U16" s="103"/>
      <c r="V16" s="103"/>
      <c r="W16" s="103">
        <f t="shared" si="1"/>
        <v>307.45340000000004</v>
      </c>
      <c r="X16" s="152">
        <v>7.4300000000000005E-2</v>
      </c>
      <c r="Y16" s="153">
        <v>4138</v>
      </c>
      <c r="Z16" s="103">
        <v>359.07</v>
      </c>
      <c r="AA16" s="103">
        <f t="shared" si="2"/>
        <v>369.40000000000003</v>
      </c>
      <c r="AB16" s="154">
        <v>0.8</v>
      </c>
      <c r="AC16" s="103">
        <v>95</v>
      </c>
      <c r="AD16" s="103">
        <f>D16-I16-J16+M16-N16-O16-Q16-Z16-AA16-AC16-AE16-W16-K16</f>
        <v>460.41160000000013</v>
      </c>
      <c r="AE16" s="103">
        <f>AB16*E16+K16</f>
        <v>3155.2000000000003</v>
      </c>
    </row>
    <row r="17" spans="1:31">
      <c r="A17" s="190" t="s">
        <v>40</v>
      </c>
      <c r="B17" s="185">
        <v>465184</v>
      </c>
      <c r="C17" s="117"/>
      <c r="D17" s="103"/>
      <c r="E17" s="102"/>
      <c r="F17" s="112"/>
      <c r="G17" s="112"/>
      <c r="H17" s="146"/>
      <c r="I17" s="146"/>
      <c r="J17" s="128">
        <v>44.55</v>
      </c>
      <c r="K17" s="128"/>
      <c r="L17" s="128"/>
      <c r="M17" s="146"/>
      <c r="N17" s="103">
        <f t="shared" si="0"/>
        <v>0</v>
      </c>
      <c r="O17" s="103">
        <v>7</v>
      </c>
      <c r="P17" s="103"/>
      <c r="Q17" s="103">
        <v>789.51</v>
      </c>
      <c r="R17" s="103"/>
      <c r="S17" s="103">
        <v>0</v>
      </c>
      <c r="T17" s="103"/>
      <c r="U17" s="103"/>
      <c r="V17" s="103"/>
      <c r="W17" s="103">
        <f t="shared" si="1"/>
        <v>2.7491000000000003</v>
      </c>
      <c r="X17" s="152">
        <v>7.4300000000000005E-2</v>
      </c>
      <c r="Y17" s="153">
        <v>37</v>
      </c>
      <c r="Z17" s="103">
        <v>359.07</v>
      </c>
      <c r="AA17" s="103">
        <f t="shared" si="2"/>
        <v>0</v>
      </c>
      <c r="AB17" s="154">
        <v>0.8</v>
      </c>
      <c r="AC17" s="103">
        <v>95</v>
      </c>
      <c r="AD17" s="103">
        <f t="shared" ref="AD17:AD22" si="10">D17-I17-J17+M17-N17-O17-Q17-Z17-AA17-AC17-AE17-W17</f>
        <v>-1297.8790999999999</v>
      </c>
      <c r="AE17" s="103">
        <f>AB17*E17</f>
        <v>0</v>
      </c>
    </row>
    <row r="18" spans="1:31">
      <c r="A18" s="187"/>
      <c r="B18" s="185">
        <v>465185</v>
      </c>
      <c r="C18" s="117"/>
      <c r="D18" s="103"/>
      <c r="E18" s="102"/>
      <c r="F18" s="112"/>
      <c r="G18" s="112"/>
      <c r="H18" s="146"/>
      <c r="I18" s="146"/>
      <c r="J18" s="128">
        <v>6.11</v>
      </c>
      <c r="K18" s="128"/>
      <c r="L18" s="128"/>
      <c r="M18" s="146"/>
      <c r="N18" s="103">
        <f t="shared" si="0"/>
        <v>0</v>
      </c>
      <c r="O18" s="103">
        <v>7</v>
      </c>
      <c r="P18" s="103"/>
      <c r="Q18" s="103">
        <v>789.51</v>
      </c>
      <c r="R18" s="103"/>
      <c r="S18" s="103">
        <v>0</v>
      </c>
      <c r="T18" s="103"/>
      <c r="U18" s="103"/>
      <c r="V18" s="103"/>
      <c r="W18" s="103">
        <f t="shared" si="1"/>
        <v>6.1669</v>
      </c>
      <c r="X18" s="152">
        <v>7.4300000000000005E-2</v>
      </c>
      <c r="Y18" s="153">
        <v>83</v>
      </c>
      <c r="Z18" s="103">
        <v>359.07</v>
      </c>
      <c r="AA18" s="103">
        <f t="shared" si="2"/>
        <v>0</v>
      </c>
      <c r="AB18" s="154"/>
      <c r="AC18" s="103">
        <v>95</v>
      </c>
      <c r="AD18" s="103">
        <f t="shared" si="10"/>
        <v>-1262.8569</v>
      </c>
      <c r="AE18" s="103">
        <f t="shared" ref="AE18:AE19" si="11">AB18*E18+K18</f>
        <v>0</v>
      </c>
    </row>
    <row r="19" spans="1:31">
      <c r="A19" s="187" t="s">
        <v>404</v>
      </c>
      <c r="B19" s="185">
        <v>465186</v>
      </c>
      <c r="C19" s="112">
        <v>7</v>
      </c>
      <c r="D19" s="103">
        <v>10100</v>
      </c>
      <c r="E19" s="102">
        <f t="shared" ref="E19:E20" si="12">F19+G19</f>
        <v>4772</v>
      </c>
      <c r="F19" s="112">
        <v>4515</v>
      </c>
      <c r="G19" s="112">
        <v>257</v>
      </c>
      <c r="H19" s="146">
        <f t="shared" ref="H19:H20" si="13">D19/E19</f>
        <v>2.1165129924559931</v>
      </c>
      <c r="I19" s="146">
        <v>2644.3</v>
      </c>
      <c r="J19" s="128">
        <v>34.32</v>
      </c>
      <c r="K19" s="128"/>
      <c r="L19" s="128"/>
      <c r="M19" s="146">
        <v>61.43</v>
      </c>
      <c r="N19" s="103">
        <f t="shared" si="0"/>
        <v>85.850000000000009</v>
      </c>
      <c r="O19" s="103">
        <v>7</v>
      </c>
      <c r="P19" s="103"/>
      <c r="Q19" s="103">
        <v>789.51</v>
      </c>
      <c r="R19" s="103"/>
      <c r="S19" s="103">
        <v>0</v>
      </c>
      <c r="T19" s="103"/>
      <c r="U19" s="103"/>
      <c r="V19" s="103"/>
      <c r="W19" s="103">
        <f t="shared" si="1"/>
        <v>257.89530000000002</v>
      </c>
      <c r="X19" s="152">
        <v>7.4300000000000005E-2</v>
      </c>
      <c r="Y19" s="153">
        <v>3471</v>
      </c>
      <c r="Z19" s="103">
        <v>359.07</v>
      </c>
      <c r="AA19" s="103">
        <f t="shared" si="2"/>
        <v>477.20000000000005</v>
      </c>
      <c r="AB19" s="154">
        <v>0.7</v>
      </c>
      <c r="AC19" s="103">
        <v>95</v>
      </c>
      <c r="AD19" s="103">
        <f t="shared" si="10"/>
        <v>2070.8847000000005</v>
      </c>
      <c r="AE19" s="103">
        <f t="shared" si="11"/>
        <v>3340.3999999999996</v>
      </c>
    </row>
    <row r="20" spans="1:31">
      <c r="A20" s="187" t="s">
        <v>192</v>
      </c>
      <c r="B20" s="185">
        <v>465187</v>
      </c>
      <c r="C20" s="117">
        <v>2</v>
      </c>
      <c r="D20" s="103">
        <v>10518</v>
      </c>
      <c r="E20" s="102">
        <f t="shared" si="12"/>
        <v>5033</v>
      </c>
      <c r="F20" s="112">
        <v>4671</v>
      </c>
      <c r="G20" s="112">
        <v>362</v>
      </c>
      <c r="H20" s="146">
        <f t="shared" si="13"/>
        <v>2.0898072720047685</v>
      </c>
      <c r="I20" s="146">
        <v>4011.43</v>
      </c>
      <c r="J20" s="128">
        <v>389.13</v>
      </c>
      <c r="K20" s="128"/>
      <c r="L20" s="128"/>
      <c r="M20" s="146">
        <v>321.83</v>
      </c>
      <c r="N20" s="103">
        <f t="shared" si="0"/>
        <v>89.403000000000006</v>
      </c>
      <c r="O20" s="103">
        <v>7</v>
      </c>
      <c r="P20" s="103"/>
      <c r="Q20" s="103">
        <v>789.51</v>
      </c>
      <c r="R20" s="103"/>
      <c r="S20" s="103">
        <v>0</v>
      </c>
      <c r="T20" s="103"/>
      <c r="U20" s="103"/>
      <c r="V20" s="103"/>
      <c r="W20" s="103">
        <f t="shared" si="1"/>
        <v>376.77530000000002</v>
      </c>
      <c r="X20" s="152">
        <v>7.4300000000000005E-2</v>
      </c>
      <c r="Y20" s="153">
        <v>5071</v>
      </c>
      <c r="Z20" s="103">
        <v>359.07</v>
      </c>
      <c r="AA20" s="103">
        <f t="shared" si="2"/>
        <v>503.3</v>
      </c>
      <c r="AB20" s="154">
        <v>0.8</v>
      </c>
      <c r="AC20" s="103">
        <v>95</v>
      </c>
      <c r="AD20" s="103">
        <f t="shared" si="10"/>
        <v>192.81169999999906</v>
      </c>
      <c r="AE20" s="103">
        <f t="shared" ref="AE20:AE22" si="14">AB20*E20</f>
        <v>4026.4</v>
      </c>
    </row>
    <row r="21" spans="1:31">
      <c r="A21" s="184" t="s">
        <v>407</v>
      </c>
      <c r="B21" s="185">
        <v>465188</v>
      </c>
      <c r="C21" s="112"/>
      <c r="D21" s="103"/>
      <c r="E21" s="102"/>
      <c r="F21" s="117"/>
      <c r="G21" s="117"/>
      <c r="H21" s="146"/>
      <c r="I21" s="146"/>
      <c r="J21" s="128"/>
      <c r="K21" s="128"/>
      <c r="L21" s="128"/>
      <c r="M21" s="146"/>
      <c r="N21" s="103">
        <f t="shared" si="0"/>
        <v>0</v>
      </c>
      <c r="O21" s="103">
        <v>7</v>
      </c>
      <c r="P21" s="103"/>
      <c r="Q21" s="103">
        <v>789.51</v>
      </c>
      <c r="R21" s="103"/>
      <c r="S21" s="103">
        <v>0</v>
      </c>
      <c r="T21" s="103"/>
      <c r="U21" s="103"/>
      <c r="V21" s="103"/>
      <c r="W21" s="103">
        <f t="shared" si="1"/>
        <v>23.330200000000001</v>
      </c>
      <c r="X21" s="152">
        <v>7.4300000000000005E-2</v>
      </c>
      <c r="Y21" s="153">
        <v>314</v>
      </c>
      <c r="Z21" s="103">
        <v>359.07</v>
      </c>
      <c r="AA21" s="103">
        <f t="shared" si="2"/>
        <v>0</v>
      </c>
      <c r="AB21" s="154">
        <v>0.65</v>
      </c>
      <c r="AC21" s="103">
        <v>95</v>
      </c>
      <c r="AD21" s="103">
        <f t="shared" si="10"/>
        <v>-1273.9102</v>
      </c>
      <c r="AE21" s="103">
        <f t="shared" si="14"/>
        <v>0</v>
      </c>
    </row>
    <row r="22" spans="1:31">
      <c r="A22" s="184"/>
      <c r="B22" s="185">
        <v>465189</v>
      </c>
      <c r="C22" s="112"/>
      <c r="D22" s="103"/>
      <c r="E22" s="102"/>
      <c r="F22" s="117"/>
      <c r="G22" s="117"/>
      <c r="H22" s="146"/>
      <c r="I22" s="146"/>
      <c r="J22" s="128">
        <v>19.09</v>
      </c>
      <c r="K22" s="103"/>
      <c r="L22" s="103"/>
      <c r="M22" s="146"/>
      <c r="N22" s="103">
        <f t="shared" si="0"/>
        <v>0</v>
      </c>
      <c r="O22" s="103">
        <v>7</v>
      </c>
      <c r="P22" s="103"/>
      <c r="Q22" s="103">
        <v>789.51</v>
      </c>
      <c r="R22" s="103"/>
      <c r="S22" s="103">
        <v>0</v>
      </c>
      <c r="T22" s="103"/>
      <c r="U22" s="103"/>
      <c r="V22" s="103"/>
      <c r="W22" s="103">
        <f t="shared" si="1"/>
        <v>9.2875000000000014</v>
      </c>
      <c r="X22" s="152">
        <v>7.4300000000000005E-2</v>
      </c>
      <c r="Y22" s="155">
        <v>125</v>
      </c>
      <c r="Z22" s="103">
        <v>359.07</v>
      </c>
      <c r="AA22" s="103">
        <f t="shared" si="2"/>
        <v>0</v>
      </c>
      <c r="AB22" s="154"/>
      <c r="AC22" s="103">
        <v>95</v>
      </c>
      <c r="AD22" s="103">
        <f t="shared" si="10"/>
        <v>-1278.9575</v>
      </c>
      <c r="AE22" s="103">
        <f t="shared" si="14"/>
        <v>0</v>
      </c>
    </row>
    <row r="23" spans="1:31">
      <c r="A23" s="134" t="s">
        <v>386</v>
      </c>
      <c r="B23" s="135" t="s">
        <v>399</v>
      </c>
      <c r="C23" s="158">
        <v>4</v>
      </c>
      <c r="D23" s="139">
        <v>4900</v>
      </c>
      <c r="E23" s="136">
        <v>2132</v>
      </c>
      <c r="F23" s="193"/>
      <c r="G23" s="193"/>
      <c r="H23" s="195">
        <f t="shared" ref="H23:H28" si="15">D23/E23</f>
        <v>2.2983114446529083</v>
      </c>
      <c r="I23" s="139">
        <v>923.67</v>
      </c>
      <c r="J23" s="139">
        <v>43.1</v>
      </c>
      <c r="K23" s="139"/>
      <c r="L23" s="139"/>
      <c r="M23" s="139">
        <v>48.22</v>
      </c>
      <c r="N23" s="139">
        <f t="shared" si="0"/>
        <v>41.650000000000006</v>
      </c>
      <c r="O23" s="139">
        <v>0</v>
      </c>
      <c r="P23" s="139"/>
      <c r="Q23" s="139">
        <v>0</v>
      </c>
      <c r="R23" s="139">
        <v>0</v>
      </c>
      <c r="S23" s="139">
        <v>0</v>
      </c>
      <c r="T23" s="139">
        <v>0</v>
      </c>
      <c r="U23" s="139"/>
      <c r="V23" s="139">
        <v>0</v>
      </c>
      <c r="W23" s="139">
        <v>0</v>
      </c>
      <c r="X23" s="159">
        <v>0</v>
      </c>
      <c r="Y23" s="136">
        <v>2132</v>
      </c>
      <c r="Z23" s="139">
        <v>0</v>
      </c>
      <c r="AA23" s="139">
        <f t="shared" si="2"/>
        <v>213.20000000000002</v>
      </c>
      <c r="AB23" s="160">
        <v>0.85</v>
      </c>
      <c r="AC23" s="139">
        <v>95</v>
      </c>
      <c r="AD23" s="139">
        <f>D23*0.15-AA23-N23</f>
        <v>480.15</v>
      </c>
      <c r="AE23" s="139">
        <f>D23*0.85-I23-J23+M23</f>
        <v>3246.45</v>
      </c>
    </row>
    <row r="24" spans="1:31">
      <c r="A24" s="134" t="s">
        <v>387</v>
      </c>
      <c r="B24" s="135" t="s">
        <v>362</v>
      </c>
      <c r="C24" s="158"/>
      <c r="D24" s="139">
        <v>2750</v>
      </c>
      <c r="E24" s="136">
        <v>2031</v>
      </c>
      <c r="F24" s="193"/>
      <c r="G24" s="193"/>
      <c r="H24" s="195">
        <f t="shared" si="15"/>
        <v>1.3540128015755786</v>
      </c>
      <c r="I24" s="139">
        <v>1586</v>
      </c>
      <c r="J24" s="139">
        <v>41.15</v>
      </c>
      <c r="K24" s="139"/>
      <c r="L24" s="139"/>
      <c r="M24" s="139">
        <v>99.35</v>
      </c>
      <c r="N24" s="139">
        <f t="shared" si="0"/>
        <v>23.375</v>
      </c>
      <c r="O24" s="139">
        <v>7</v>
      </c>
      <c r="P24" s="139"/>
      <c r="Q24" s="139">
        <v>0</v>
      </c>
      <c r="R24" s="139">
        <v>50</v>
      </c>
      <c r="S24" s="139">
        <v>199</v>
      </c>
      <c r="T24" s="139">
        <v>30</v>
      </c>
      <c r="U24" s="139"/>
      <c r="V24" s="139">
        <v>300</v>
      </c>
      <c r="W24" s="139">
        <v>0</v>
      </c>
      <c r="X24" s="159">
        <v>0</v>
      </c>
      <c r="Y24" s="136">
        <v>2031</v>
      </c>
      <c r="Z24" s="139">
        <v>0</v>
      </c>
      <c r="AA24" s="139">
        <f t="shared" si="2"/>
        <v>203.10000000000002</v>
      </c>
      <c r="AB24" s="160">
        <v>0.87</v>
      </c>
      <c r="AC24" s="139">
        <v>95</v>
      </c>
      <c r="AD24" s="139">
        <f>D24*0.13+V24+T24+S24+R24-AA24-N24</f>
        <v>710.02499999999998</v>
      </c>
      <c r="AE24" s="139">
        <f>D24*0.87-I24-J24-R24-S24-T24-V24</f>
        <v>186.35000000000002</v>
      </c>
    </row>
    <row r="25" spans="1:31">
      <c r="A25" s="134" t="s">
        <v>363</v>
      </c>
      <c r="B25" s="134">
        <v>1118</v>
      </c>
      <c r="C25" s="158"/>
      <c r="D25" s="139">
        <v>6750</v>
      </c>
      <c r="E25" s="136">
        <v>3484</v>
      </c>
      <c r="F25" s="136"/>
      <c r="G25" s="136"/>
      <c r="H25" s="195">
        <f t="shared" si="15"/>
        <v>1.9374282433983927</v>
      </c>
      <c r="I25" s="139">
        <v>2038.01</v>
      </c>
      <c r="J25" s="139"/>
      <c r="K25" s="139"/>
      <c r="L25" s="139"/>
      <c r="M25" s="139"/>
      <c r="N25" s="139">
        <f t="shared" si="0"/>
        <v>57.375000000000007</v>
      </c>
      <c r="O25" s="139">
        <v>0</v>
      </c>
      <c r="P25" s="139"/>
      <c r="Q25" s="139">
        <v>0</v>
      </c>
      <c r="R25" s="139">
        <v>0</v>
      </c>
      <c r="S25" s="139">
        <v>0</v>
      </c>
      <c r="T25" s="139">
        <v>0</v>
      </c>
      <c r="U25" s="139"/>
      <c r="V25" s="139">
        <v>0</v>
      </c>
      <c r="W25" s="139">
        <v>0</v>
      </c>
      <c r="X25" s="159">
        <v>0</v>
      </c>
      <c r="Y25" s="136">
        <v>3484</v>
      </c>
      <c r="Z25" s="139">
        <v>0</v>
      </c>
      <c r="AA25" s="139">
        <f t="shared" si="2"/>
        <v>348.40000000000003</v>
      </c>
      <c r="AB25" s="160">
        <v>0.8</v>
      </c>
      <c r="AC25" s="139">
        <v>95</v>
      </c>
      <c r="AD25" s="139">
        <f>D25*0.2-AA25-N25-K25-AC25</f>
        <v>849.22499999999991</v>
      </c>
      <c r="AE25" s="139">
        <f>D25*AB25-I25-J25</f>
        <v>3361.99</v>
      </c>
    </row>
    <row r="26" spans="1:31">
      <c r="A26" s="134" t="s">
        <v>368</v>
      </c>
      <c r="B26" s="134" t="s">
        <v>369</v>
      </c>
      <c r="C26" s="158"/>
      <c r="D26" s="139">
        <v>6250</v>
      </c>
      <c r="E26" s="136">
        <v>3033</v>
      </c>
      <c r="F26" s="136"/>
      <c r="G26" s="136"/>
      <c r="H26" s="195">
        <f t="shared" si="15"/>
        <v>2.0606660072535443</v>
      </c>
      <c r="I26" s="139">
        <v>1410.09</v>
      </c>
      <c r="J26" s="139"/>
      <c r="K26" s="139"/>
      <c r="L26" s="139"/>
      <c r="M26" s="139">
        <v>31.75</v>
      </c>
      <c r="N26" s="139">
        <f t="shared" si="0"/>
        <v>53.125000000000007</v>
      </c>
      <c r="O26" s="139">
        <v>7</v>
      </c>
      <c r="P26" s="139"/>
      <c r="Q26" s="139">
        <v>0</v>
      </c>
      <c r="R26" s="139">
        <v>50</v>
      </c>
      <c r="S26" s="139">
        <v>199</v>
      </c>
      <c r="T26" s="139">
        <v>30</v>
      </c>
      <c r="U26" s="139"/>
      <c r="V26" s="139">
        <v>300</v>
      </c>
      <c r="W26" s="139">
        <v>0</v>
      </c>
      <c r="X26" s="159">
        <v>0</v>
      </c>
      <c r="Y26" s="136">
        <v>3033</v>
      </c>
      <c r="Z26" s="139">
        <v>0</v>
      </c>
      <c r="AA26" s="139">
        <f t="shared" si="2"/>
        <v>303.3</v>
      </c>
      <c r="AB26" s="160">
        <v>0.89</v>
      </c>
      <c r="AC26" s="139">
        <v>95</v>
      </c>
      <c r="AD26" s="139">
        <f>D26*0.11-AC26-AA26+V26+T26+S26+R26-N26</f>
        <v>815.07500000000005</v>
      </c>
      <c r="AE26" s="139">
        <f>D26*AB26-I26-J26-R26-S26-T26-V26</f>
        <v>3573.41</v>
      </c>
    </row>
    <row r="27" spans="1:31">
      <c r="A27" s="134" t="s">
        <v>364</v>
      </c>
      <c r="B27" s="134">
        <v>2013</v>
      </c>
      <c r="C27" s="158"/>
      <c r="D27" s="139">
        <v>7450</v>
      </c>
      <c r="E27" s="136">
        <v>3946</v>
      </c>
      <c r="F27" s="136"/>
      <c r="G27" s="136"/>
      <c r="H27" s="195">
        <f t="shared" si="15"/>
        <v>1.8879878357830715</v>
      </c>
      <c r="I27" s="139">
        <v>2466.56</v>
      </c>
      <c r="J27" s="139">
        <v>143.21</v>
      </c>
      <c r="K27" s="139"/>
      <c r="L27" s="139"/>
      <c r="M27" s="139">
        <v>30.3</v>
      </c>
      <c r="N27" s="139">
        <f t="shared" si="0"/>
        <v>63.325000000000003</v>
      </c>
      <c r="O27" s="139">
        <v>0</v>
      </c>
      <c r="P27" s="139"/>
      <c r="Q27" s="139">
        <v>0</v>
      </c>
      <c r="R27" s="139">
        <v>50</v>
      </c>
      <c r="S27" s="139">
        <v>199</v>
      </c>
      <c r="T27" s="139">
        <v>30</v>
      </c>
      <c r="U27" s="139"/>
      <c r="V27" s="139">
        <v>300</v>
      </c>
      <c r="W27" s="139">
        <v>0</v>
      </c>
      <c r="X27" s="159">
        <v>0</v>
      </c>
      <c r="Y27" s="136">
        <v>3946</v>
      </c>
      <c r="Z27" s="139">
        <v>0</v>
      </c>
      <c r="AA27" s="139">
        <f t="shared" si="2"/>
        <v>394.6</v>
      </c>
      <c r="AB27" s="160">
        <v>0.87</v>
      </c>
      <c r="AC27" s="139">
        <v>95</v>
      </c>
      <c r="AD27" s="139">
        <f>D27*0.13+V27+T27+S27+R27-AA27-N27</f>
        <v>1089.575</v>
      </c>
      <c r="AE27" s="139">
        <f t="shared" ref="AE27:AE28" si="16">D27*AB27-I27-J27-V27-T27-S27-R27</f>
        <v>3292.73</v>
      </c>
    </row>
    <row r="28" spans="1:31">
      <c r="A28" s="134" t="s">
        <v>408</v>
      </c>
      <c r="B28" s="134">
        <v>1122</v>
      </c>
      <c r="C28" s="158"/>
      <c r="D28" s="139">
        <v>1850</v>
      </c>
      <c r="E28" s="136">
        <v>1226</v>
      </c>
      <c r="F28" s="136"/>
      <c r="G28" s="136"/>
      <c r="H28" s="195">
        <f t="shared" si="15"/>
        <v>1.5089722675367048</v>
      </c>
      <c r="I28" s="139">
        <v>1547.59</v>
      </c>
      <c r="J28" s="139">
        <v>41.29</v>
      </c>
      <c r="K28" s="139"/>
      <c r="L28" s="139"/>
      <c r="M28" s="139">
        <v>97.39</v>
      </c>
      <c r="N28" s="139">
        <f t="shared" si="0"/>
        <v>15.725000000000001</v>
      </c>
      <c r="O28" s="139">
        <v>7</v>
      </c>
      <c r="P28" s="139"/>
      <c r="Q28" s="139">
        <v>0</v>
      </c>
      <c r="R28" s="139">
        <v>0</v>
      </c>
      <c r="S28" s="139">
        <v>0</v>
      </c>
      <c r="T28" s="139">
        <v>0</v>
      </c>
      <c r="U28" s="139"/>
      <c r="V28" s="139">
        <v>0</v>
      </c>
      <c r="W28" s="139">
        <v>0</v>
      </c>
      <c r="X28" s="159">
        <v>0</v>
      </c>
      <c r="Y28" s="136">
        <v>1226</v>
      </c>
      <c r="Z28" s="139">
        <v>0</v>
      </c>
      <c r="AA28" s="139">
        <f t="shared" si="2"/>
        <v>122.60000000000001</v>
      </c>
      <c r="AB28" s="160">
        <v>0.8</v>
      </c>
      <c r="AC28" s="139">
        <v>95</v>
      </c>
      <c r="AD28" s="139">
        <f>D28*0.13-AC28-AA28+V28+T28+S28+R28-N28</f>
        <v>7.1749999999999901</v>
      </c>
      <c r="AE28" s="139">
        <f t="shared" si="16"/>
        <v>-108.87999999999991</v>
      </c>
    </row>
    <row r="29" spans="1:31">
      <c r="A29" s="72" t="s">
        <v>89</v>
      </c>
      <c r="B29" s="72">
        <v>28</v>
      </c>
      <c r="C29" s="161">
        <f>AVERAGE(C3:C22)</f>
        <v>6.25</v>
      </c>
      <c r="D29" s="162">
        <f>SUM(D3:D28)</f>
        <v>100868</v>
      </c>
      <c r="E29" s="170">
        <f t="shared" ref="E29:H29" si="17">AVERAGE(E4:E28)</f>
        <v>3396.8</v>
      </c>
      <c r="F29" s="161">
        <f t="shared" si="17"/>
        <v>3659.8888888888887</v>
      </c>
      <c r="G29" s="161">
        <f t="shared" si="17"/>
        <v>240.11111111111111</v>
      </c>
      <c r="H29" s="162">
        <f t="shared" si="17"/>
        <v>1.9054952675978896</v>
      </c>
      <c r="I29" s="162">
        <f t="shared" ref="I29:O29" si="18">SUM(I3:I28)</f>
        <v>35132.529999999992</v>
      </c>
      <c r="J29" s="162">
        <f t="shared" si="18"/>
        <v>1334.7499999999998</v>
      </c>
      <c r="K29" s="162">
        <f t="shared" si="18"/>
        <v>500</v>
      </c>
      <c r="L29" s="162">
        <f t="shared" si="18"/>
        <v>250</v>
      </c>
      <c r="M29" s="162">
        <f t="shared" si="18"/>
        <v>2675.13</v>
      </c>
      <c r="N29" s="162">
        <f t="shared" si="18"/>
        <v>857.37800000000016</v>
      </c>
      <c r="O29" s="162">
        <f t="shared" si="18"/>
        <v>161</v>
      </c>
      <c r="P29" s="162"/>
      <c r="Q29" s="162">
        <f t="shared" ref="Q29:T29" si="19">SUM(Q3:Q28)</f>
        <v>14789.500000000004</v>
      </c>
      <c r="R29" s="162">
        <f t="shared" si="19"/>
        <v>150</v>
      </c>
      <c r="S29" s="162">
        <f t="shared" si="19"/>
        <v>597</v>
      </c>
      <c r="T29" s="162">
        <f t="shared" si="19"/>
        <v>90</v>
      </c>
      <c r="U29" s="162"/>
      <c r="V29" s="162">
        <f t="shared" ref="V29:AA29" si="20">SUM(V3:V28)</f>
        <v>900</v>
      </c>
      <c r="W29" s="162">
        <f t="shared" si="20"/>
        <v>2535.5492999999997</v>
      </c>
      <c r="X29" s="162">
        <f t="shared" si="20"/>
        <v>1.492</v>
      </c>
      <c r="Y29" s="162">
        <f t="shared" si="20"/>
        <v>49881</v>
      </c>
      <c r="Z29" s="162">
        <f t="shared" si="20"/>
        <v>7181.3999999999987</v>
      </c>
      <c r="AA29" s="162">
        <f t="shared" si="20"/>
        <v>5095.2000000000007</v>
      </c>
      <c r="AB29" s="162"/>
      <c r="AC29" s="162">
        <f t="shared" ref="AC29:AE29" si="21">SUM(AC3:AC28)</f>
        <v>2470</v>
      </c>
      <c r="AD29" s="162">
        <f t="shared" si="21"/>
        <v>-6875.5173000000041</v>
      </c>
      <c r="AE29" s="162">
        <f t="shared" si="21"/>
        <v>40529.050000000003</v>
      </c>
    </row>
    <row r="30" spans="1:31">
      <c r="A30" s="173"/>
      <c r="B30" s="174"/>
      <c r="C30" s="175"/>
      <c r="D30" s="176"/>
      <c r="E30" s="177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8"/>
      <c r="V30" s="178"/>
      <c r="W30" s="179"/>
      <c r="X30" s="176"/>
      <c r="Y30" s="176"/>
      <c r="Z30" s="176"/>
      <c r="AA30" s="180"/>
      <c r="AB30" s="181"/>
      <c r="AC30" s="176"/>
      <c r="AD30" s="176"/>
    </row>
    <row r="31" spans="1:31">
      <c r="A31" s="457" t="s">
        <v>422</v>
      </c>
      <c r="B31" s="458"/>
      <c r="C31" s="458"/>
      <c r="D31" s="458"/>
      <c r="E31" s="458"/>
      <c r="F31" s="458"/>
      <c r="G31" s="458"/>
      <c r="H31" s="458"/>
      <c r="I31" s="458"/>
      <c r="J31" s="458"/>
      <c r="K31" s="458"/>
      <c r="L31" s="458"/>
      <c r="M31" s="458"/>
      <c r="N31" s="458"/>
      <c r="O31" s="458"/>
      <c r="P31" s="458"/>
      <c r="Q31" s="458"/>
      <c r="R31" s="458"/>
      <c r="S31" s="458"/>
      <c r="T31" s="458"/>
      <c r="U31" s="458"/>
      <c r="V31" s="458"/>
      <c r="W31" s="458"/>
      <c r="X31" s="458"/>
      <c r="Y31" s="458"/>
      <c r="Z31" s="458"/>
      <c r="AA31" s="458"/>
      <c r="AB31" s="458"/>
      <c r="AC31" s="458"/>
      <c r="AD31" s="458"/>
      <c r="AE31" s="459"/>
    </row>
    <row r="32" spans="1:31">
      <c r="A32" s="95" t="s">
        <v>0</v>
      </c>
      <c r="B32" s="95" t="s">
        <v>1</v>
      </c>
      <c r="C32" s="95" t="s">
        <v>372</v>
      </c>
      <c r="D32" s="95" t="s">
        <v>2</v>
      </c>
      <c r="E32" s="95" t="s">
        <v>413</v>
      </c>
      <c r="F32" s="150" t="s">
        <v>414</v>
      </c>
      <c r="G32" s="150" t="s">
        <v>415</v>
      </c>
      <c r="H32" s="95" t="s">
        <v>416</v>
      </c>
      <c r="I32" s="95" t="s">
        <v>7</v>
      </c>
      <c r="J32" s="95" t="s">
        <v>8</v>
      </c>
      <c r="K32" s="95" t="s">
        <v>287</v>
      </c>
      <c r="L32" s="95" t="s">
        <v>288</v>
      </c>
      <c r="M32" s="95" t="s">
        <v>257</v>
      </c>
      <c r="N32" s="95" t="s">
        <v>373</v>
      </c>
      <c r="O32" s="95" t="s">
        <v>374</v>
      </c>
      <c r="P32" s="95"/>
      <c r="Q32" s="95" t="s">
        <v>375</v>
      </c>
      <c r="R32" s="95" t="s">
        <v>376</v>
      </c>
      <c r="S32" s="95" t="s">
        <v>377</v>
      </c>
      <c r="T32" s="150" t="s">
        <v>378</v>
      </c>
      <c r="U32" s="150"/>
      <c r="V32" s="150" t="s">
        <v>379</v>
      </c>
      <c r="W32" s="150" t="s">
        <v>352</v>
      </c>
      <c r="X32" s="95" t="s">
        <v>380</v>
      </c>
      <c r="Y32" s="95" t="s">
        <v>381</v>
      </c>
      <c r="Z32" s="95" t="s">
        <v>382</v>
      </c>
      <c r="AA32" s="95" t="s">
        <v>383</v>
      </c>
      <c r="AB32" s="95" t="s">
        <v>385</v>
      </c>
      <c r="AC32" s="150" t="s">
        <v>333</v>
      </c>
      <c r="AD32" s="95" t="s">
        <v>13</v>
      </c>
      <c r="AE32" s="95" t="s">
        <v>98</v>
      </c>
    </row>
    <row r="33" spans="1:31">
      <c r="A33" s="196" t="s">
        <v>347</v>
      </c>
      <c r="B33" s="185">
        <v>352368</v>
      </c>
      <c r="C33" s="112"/>
      <c r="D33" s="103"/>
      <c r="E33" s="102"/>
      <c r="F33" s="102"/>
      <c r="G33" s="102"/>
      <c r="H33" s="128"/>
      <c r="I33" s="128"/>
      <c r="J33" s="103"/>
      <c r="K33" s="103"/>
      <c r="L33" s="103"/>
      <c r="M33" s="128"/>
      <c r="N33" s="103">
        <f t="shared" ref="N33:N58" si="22">D33*0.0085</f>
        <v>0</v>
      </c>
      <c r="O33" s="103">
        <v>7</v>
      </c>
      <c r="P33" s="103"/>
      <c r="Q33" s="103">
        <v>689.44</v>
      </c>
      <c r="R33" s="103"/>
      <c r="S33" s="103">
        <v>0</v>
      </c>
      <c r="T33" s="103"/>
      <c r="U33" s="103"/>
      <c r="V33" s="103"/>
      <c r="W33" s="103">
        <f t="shared" ref="W33:W52" si="23">Y33*X33</f>
        <v>7.4899999999999994E-2</v>
      </c>
      <c r="X33" s="152">
        <v>7.4899999999999994E-2</v>
      </c>
      <c r="Y33" s="153">
        <v>1</v>
      </c>
      <c r="Z33" s="103">
        <v>359.07</v>
      </c>
      <c r="AA33" s="103">
        <f t="shared" ref="AA33:AA58" si="24">E33*0.1</f>
        <v>0</v>
      </c>
      <c r="AB33" s="154">
        <v>0.75</v>
      </c>
      <c r="AC33" s="103">
        <v>95</v>
      </c>
      <c r="AD33" s="103">
        <f t="shared" ref="AD33:AD39" si="25">D33-I33-J33+M33-N33-O33-Q33-Z33-AA33-AC33-AE33-W33</f>
        <v>-1150.5849000000001</v>
      </c>
      <c r="AE33" s="103">
        <f t="shared" ref="AE33:AE38" si="26">AB33*E33</f>
        <v>0</v>
      </c>
    </row>
    <row r="34" spans="1:31">
      <c r="A34" s="186" t="s">
        <v>423</v>
      </c>
      <c r="B34" s="185">
        <v>352371</v>
      </c>
      <c r="C34" s="112">
        <v>5</v>
      </c>
      <c r="D34" s="103">
        <v>7050</v>
      </c>
      <c r="E34" s="102" t="s">
        <v>424</v>
      </c>
      <c r="F34" s="112">
        <v>2771</v>
      </c>
      <c r="G34" s="112">
        <v>354</v>
      </c>
      <c r="H34" s="146">
        <f>D34/E34</f>
        <v>2.2559999999999998</v>
      </c>
      <c r="I34" s="146">
        <v>2173.96</v>
      </c>
      <c r="J34" s="128"/>
      <c r="K34" s="103"/>
      <c r="L34" s="103"/>
      <c r="M34" s="128">
        <v>199.64</v>
      </c>
      <c r="N34" s="103">
        <f t="shared" si="22"/>
        <v>59.925000000000004</v>
      </c>
      <c r="O34" s="103">
        <v>7</v>
      </c>
      <c r="P34" s="103"/>
      <c r="Q34" s="103">
        <v>689.44</v>
      </c>
      <c r="R34" s="103"/>
      <c r="S34" s="103">
        <v>0</v>
      </c>
      <c r="T34" s="103"/>
      <c r="U34" s="103"/>
      <c r="V34" s="103"/>
      <c r="W34" s="103">
        <f t="shared" si="23"/>
        <v>247.02019999999999</v>
      </c>
      <c r="X34" s="152">
        <v>7.4899999999999994E-2</v>
      </c>
      <c r="Y34" s="153">
        <v>3298</v>
      </c>
      <c r="Z34" s="103">
        <v>359.07</v>
      </c>
      <c r="AA34" s="103">
        <f t="shared" si="24"/>
        <v>312.5</v>
      </c>
      <c r="AB34" s="154">
        <v>0.75</v>
      </c>
      <c r="AC34" s="103">
        <v>95</v>
      </c>
      <c r="AD34" s="103">
        <f t="shared" si="25"/>
        <v>961.97480000000041</v>
      </c>
      <c r="AE34" s="103">
        <f t="shared" si="26"/>
        <v>2343.75</v>
      </c>
    </row>
    <row r="35" spans="1:31">
      <c r="A35" s="171"/>
      <c r="B35" s="185">
        <v>352372</v>
      </c>
      <c r="C35" s="112"/>
      <c r="D35" s="103"/>
      <c r="E35" s="102"/>
      <c r="F35" s="112"/>
      <c r="G35" s="112"/>
      <c r="H35" s="146"/>
      <c r="I35" s="146"/>
      <c r="J35" s="117"/>
      <c r="K35" s="103"/>
      <c r="L35" s="103"/>
      <c r="M35" s="146"/>
      <c r="N35" s="103">
        <f t="shared" si="22"/>
        <v>0</v>
      </c>
      <c r="O35" s="103">
        <v>7</v>
      </c>
      <c r="P35" s="103"/>
      <c r="Q35" s="103">
        <v>689.44</v>
      </c>
      <c r="R35" s="103"/>
      <c r="S35" s="103">
        <v>0</v>
      </c>
      <c r="T35" s="103"/>
      <c r="U35" s="103"/>
      <c r="V35" s="103"/>
      <c r="W35" s="103">
        <f t="shared" si="23"/>
        <v>0</v>
      </c>
      <c r="X35" s="152">
        <v>7.4899999999999994E-2</v>
      </c>
      <c r="Y35" s="153"/>
      <c r="Z35" s="103">
        <v>359.07</v>
      </c>
      <c r="AA35" s="103">
        <f t="shared" si="24"/>
        <v>0</v>
      </c>
      <c r="AB35" s="154"/>
      <c r="AC35" s="103">
        <v>95</v>
      </c>
      <c r="AD35" s="103">
        <f t="shared" si="25"/>
        <v>-1150.51</v>
      </c>
      <c r="AE35" s="103">
        <f t="shared" si="26"/>
        <v>0</v>
      </c>
    </row>
    <row r="36" spans="1:31">
      <c r="A36" s="184" t="s">
        <v>425</v>
      </c>
      <c r="B36" s="185">
        <v>352373</v>
      </c>
      <c r="C36" s="112">
        <v>7</v>
      </c>
      <c r="D36" s="103">
        <v>11200</v>
      </c>
      <c r="E36" s="102" t="s">
        <v>426</v>
      </c>
      <c r="F36" s="117">
        <v>5307</v>
      </c>
      <c r="G36" s="117">
        <v>38</v>
      </c>
      <c r="H36" s="146">
        <f>D36/E36</f>
        <v>2.0954162768942939</v>
      </c>
      <c r="I36" s="146">
        <v>3181.95</v>
      </c>
      <c r="J36" s="128"/>
      <c r="K36" s="103"/>
      <c r="L36" s="103"/>
      <c r="M36" s="146">
        <v>421.4</v>
      </c>
      <c r="N36" s="103">
        <f t="shared" si="22"/>
        <v>95.2</v>
      </c>
      <c r="O36" s="103">
        <v>7</v>
      </c>
      <c r="P36" s="103"/>
      <c r="Q36" s="103">
        <v>689.44</v>
      </c>
      <c r="R36" s="103"/>
      <c r="S36" s="103">
        <v>0</v>
      </c>
      <c r="T36" s="103"/>
      <c r="U36" s="103"/>
      <c r="V36" s="103"/>
      <c r="W36" s="103">
        <f t="shared" si="23"/>
        <v>345.81329999999997</v>
      </c>
      <c r="X36" s="152">
        <v>7.4899999999999994E-2</v>
      </c>
      <c r="Y36" s="153">
        <v>4617</v>
      </c>
      <c r="Z36" s="103">
        <v>359.07</v>
      </c>
      <c r="AA36" s="103">
        <f t="shared" si="24"/>
        <v>534.5</v>
      </c>
      <c r="AB36" s="154">
        <v>0.75</v>
      </c>
      <c r="AC36" s="103">
        <v>95</v>
      </c>
      <c r="AD36" s="103">
        <f t="shared" si="25"/>
        <v>2304.6767</v>
      </c>
      <c r="AE36" s="103">
        <f t="shared" si="26"/>
        <v>4008.75</v>
      </c>
    </row>
    <row r="37" spans="1:31">
      <c r="A37" s="197" t="s">
        <v>419</v>
      </c>
      <c r="B37" s="188" t="s">
        <v>403</v>
      </c>
      <c r="C37" s="112"/>
      <c r="D37" s="103"/>
      <c r="E37" s="102"/>
      <c r="F37" s="117"/>
      <c r="G37" s="117"/>
      <c r="H37" s="146"/>
      <c r="I37" s="146"/>
      <c r="J37" s="128">
        <v>29.85</v>
      </c>
      <c r="K37" s="103"/>
      <c r="L37" s="103"/>
      <c r="M37" s="146"/>
      <c r="N37" s="103">
        <f t="shared" si="22"/>
        <v>0</v>
      </c>
      <c r="O37" s="103">
        <v>7</v>
      </c>
      <c r="P37" s="103"/>
      <c r="Q37" s="103">
        <v>689.44</v>
      </c>
      <c r="R37" s="103"/>
      <c r="S37" s="103">
        <v>0</v>
      </c>
      <c r="T37" s="103"/>
      <c r="U37" s="103"/>
      <c r="V37" s="103"/>
      <c r="W37" s="103">
        <f t="shared" si="23"/>
        <v>6.9656999999999991</v>
      </c>
      <c r="X37" s="152">
        <v>7.4899999999999994E-2</v>
      </c>
      <c r="Y37" s="153">
        <v>93</v>
      </c>
      <c r="Z37" s="103">
        <v>359.07</v>
      </c>
      <c r="AA37" s="103">
        <f t="shared" si="24"/>
        <v>0</v>
      </c>
      <c r="AB37" s="154"/>
      <c r="AC37" s="103">
        <v>95</v>
      </c>
      <c r="AD37" s="103">
        <f t="shared" si="25"/>
        <v>-1187.3257000000001</v>
      </c>
      <c r="AE37" s="103">
        <f t="shared" si="26"/>
        <v>0</v>
      </c>
    </row>
    <row r="38" spans="1:31">
      <c r="A38" s="187"/>
      <c r="B38" s="185">
        <v>352375</v>
      </c>
      <c r="C38" s="112"/>
      <c r="D38" s="103"/>
      <c r="E38" s="102"/>
      <c r="F38" s="112"/>
      <c r="G38" s="112"/>
      <c r="H38" s="146"/>
      <c r="I38" s="146"/>
      <c r="J38" s="128"/>
      <c r="K38" s="103"/>
      <c r="L38" s="103"/>
      <c r="M38" s="146"/>
      <c r="N38" s="103">
        <f t="shared" si="22"/>
        <v>0</v>
      </c>
      <c r="O38" s="103">
        <v>7</v>
      </c>
      <c r="P38" s="103"/>
      <c r="Q38" s="103">
        <v>689.44</v>
      </c>
      <c r="R38" s="103"/>
      <c r="S38" s="103">
        <v>0</v>
      </c>
      <c r="T38" s="103"/>
      <c r="U38" s="103"/>
      <c r="V38" s="103"/>
      <c r="W38" s="103">
        <f t="shared" si="23"/>
        <v>0</v>
      </c>
      <c r="X38" s="152">
        <v>7.4899999999999994E-2</v>
      </c>
      <c r="Y38" s="153"/>
      <c r="Z38" s="103">
        <v>359.07</v>
      </c>
      <c r="AA38" s="103">
        <f t="shared" si="24"/>
        <v>0</v>
      </c>
      <c r="AB38" s="154"/>
      <c r="AC38" s="103">
        <v>95</v>
      </c>
      <c r="AD38" s="103">
        <f t="shared" si="25"/>
        <v>-1150.51</v>
      </c>
      <c r="AE38" s="103">
        <f t="shared" si="26"/>
        <v>0</v>
      </c>
    </row>
    <row r="39" spans="1:31">
      <c r="A39" s="187" t="s">
        <v>427</v>
      </c>
      <c r="B39" s="185">
        <v>352376</v>
      </c>
      <c r="C39" s="112">
        <v>7</v>
      </c>
      <c r="D39" s="103">
        <v>7155</v>
      </c>
      <c r="E39" s="102" t="s">
        <v>428</v>
      </c>
      <c r="F39" s="117">
        <v>3683</v>
      </c>
      <c r="G39" s="117">
        <v>525</v>
      </c>
      <c r="H39" s="146">
        <f t="shared" ref="H39:H40" si="27">D39/E39</f>
        <v>1.7003326996197718</v>
      </c>
      <c r="I39" s="146">
        <v>2911.42</v>
      </c>
      <c r="J39" s="128">
        <v>11.72</v>
      </c>
      <c r="K39" s="103"/>
      <c r="L39" s="103"/>
      <c r="M39" s="146">
        <v>139.78</v>
      </c>
      <c r="N39" s="103">
        <f t="shared" si="22"/>
        <v>60.817500000000003</v>
      </c>
      <c r="O39" s="103">
        <v>7</v>
      </c>
      <c r="P39" s="103"/>
      <c r="Q39" s="103">
        <v>689.44</v>
      </c>
      <c r="R39" s="103"/>
      <c r="S39" s="103">
        <v>0</v>
      </c>
      <c r="T39" s="103"/>
      <c r="U39" s="103"/>
      <c r="V39" s="103"/>
      <c r="W39" s="103">
        <f t="shared" si="23"/>
        <v>305.29239999999999</v>
      </c>
      <c r="X39" s="152">
        <v>7.4899999999999994E-2</v>
      </c>
      <c r="Y39" s="153">
        <v>4076</v>
      </c>
      <c r="Z39" s="103">
        <v>359.07</v>
      </c>
      <c r="AA39" s="103">
        <f t="shared" si="24"/>
        <v>420.8</v>
      </c>
      <c r="AB39" s="154">
        <v>0.75</v>
      </c>
      <c r="AC39" s="103">
        <v>95</v>
      </c>
      <c r="AD39" s="103">
        <f t="shared" si="25"/>
        <v>-721.77990000000113</v>
      </c>
      <c r="AE39" s="103">
        <f>AB39*E39+K39</f>
        <v>3156</v>
      </c>
    </row>
    <row r="40" spans="1:31">
      <c r="A40" s="187" t="s">
        <v>429</v>
      </c>
      <c r="B40" s="185">
        <v>352377</v>
      </c>
      <c r="C40" s="112">
        <v>7</v>
      </c>
      <c r="D40" s="103">
        <v>10050</v>
      </c>
      <c r="E40" s="102" t="s">
        <v>430</v>
      </c>
      <c r="F40" s="112">
        <v>4471</v>
      </c>
      <c r="G40" s="112">
        <v>230</v>
      </c>
      <c r="H40" s="146">
        <f t="shared" si="27"/>
        <v>2.1378430121250798</v>
      </c>
      <c r="I40" s="146">
        <v>3204.64</v>
      </c>
      <c r="J40" s="128">
        <v>403.46</v>
      </c>
      <c r="K40" s="103"/>
      <c r="L40" s="103"/>
      <c r="M40" s="146">
        <v>49.33</v>
      </c>
      <c r="N40" s="103">
        <f t="shared" si="22"/>
        <v>85.425000000000011</v>
      </c>
      <c r="O40" s="103">
        <v>7</v>
      </c>
      <c r="P40" s="103"/>
      <c r="Q40" s="103">
        <v>689.44</v>
      </c>
      <c r="R40" s="103"/>
      <c r="S40" s="103">
        <v>0</v>
      </c>
      <c r="T40" s="103"/>
      <c r="U40" s="103"/>
      <c r="V40" s="103"/>
      <c r="W40" s="103">
        <f t="shared" si="23"/>
        <v>398.76759999999996</v>
      </c>
      <c r="X40" s="152">
        <v>7.4899999999999994E-2</v>
      </c>
      <c r="Y40" s="153">
        <v>5324</v>
      </c>
      <c r="Z40" s="103">
        <v>359.07</v>
      </c>
      <c r="AA40" s="103">
        <f t="shared" si="24"/>
        <v>470.1</v>
      </c>
      <c r="AB40" s="154">
        <v>0.7</v>
      </c>
      <c r="AC40" s="103">
        <v>95</v>
      </c>
      <c r="AD40" s="103">
        <f>D40-I40-J40+M40-N40-O40-Q40-Z40-AA40-AC40-AE40-W40+K40</f>
        <v>1095.7274</v>
      </c>
      <c r="AE40" s="103">
        <f t="shared" ref="AE40:AE41" si="28">AB40*E40</f>
        <v>3290.7</v>
      </c>
    </row>
    <row r="41" spans="1:31">
      <c r="A41" s="187"/>
      <c r="B41" s="185">
        <v>359885</v>
      </c>
      <c r="C41" s="112"/>
      <c r="D41" s="103"/>
      <c r="E41" s="102"/>
      <c r="F41" s="112"/>
      <c r="G41" s="112"/>
      <c r="H41" s="146"/>
      <c r="I41" s="146"/>
      <c r="J41" s="128"/>
      <c r="K41" s="103"/>
      <c r="L41" s="103"/>
      <c r="M41" s="146"/>
      <c r="N41" s="103">
        <f t="shared" si="22"/>
        <v>0</v>
      </c>
      <c r="O41" s="103">
        <v>7</v>
      </c>
      <c r="P41" s="103"/>
      <c r="Q41" s="103">
        <v>689.44</v>
      </c>
      <c r="R41" s="103"/>
      <c r="S41" s="103">
        <v>0</v>
      </c>
      <c r="T41" s="103"/>
      <c r="U41" s="103"/>
      <c r="V41" s="103"/>
      <c r="W41" s="103">
        <f t="shared" si="23"/>
        <v>0</v>
      </c>
      <c r="X41" s="152">
        <v>7.4899999999999994E-2</v>
      </c>
      <c r="Y41" s="153"/>
      <c r="Z41" s="103">
        <v>359.07</v>
      </c>
      <c r="AA41" s="103">
        <f t="shared" si="24"/>
        <v>0</v>
      </c>
      <c r="AB41" s="154"/>
      <c r="AC41" s="103">
        <v>95</v>
      </c>
      <c r="AD41" s="103">
        <f t="shared" ref="AD41:AD43" si="29">D41-I41-J41+M41-N41-O41-Q41-Z41-AA41-AC41-AE41-W41</f>
        <v>-1150.51</v>
      </c>
      <c r="AE41" s="103">
        <f t="shared" si="28"/>
        <v>0</v>
      </c>
    </row>
    <row r="42" spans="1:31">
      <c r="A42" s="184"/>
      <c r="B42" s="185">
        <v>359886</v>
      </c>
      <c r="C42" s="112"/>
      <c r="D42" s="103"/>
      <c r="E42" s="102"/>
      <c r="F42" s="112"/>
      <c r="G42" s="112"/>
      <c r="H42" s="146"/>
      <c r="I42" s="146"/>
      <c r="J42" s="128"/>
      <c r="K42" s="103"/>
      <c r="L42" s="103"/>
      <c r="M42" s="146"/>
      <c r="N42" s="103">
        <f t="shared" si="22"/>
        <v>0</v>
      </c>
      <c r="O42" s="103">
        <v>7</v>
      </c>
      <c r="P42" s="103"/>
      <c r="Q42" s="103">
        <v>689.44</v>
      </c>
      <c r="R42" s="103"/>
      <c r="S42" s="103">
        <v>0</v>
      </c>
      <c r="T42" s="103"/>
      <c r="U42" s="103"/>
      <c r="V42" s="103"/>
      <c r="W42" s="103">
        <f t="shared" si="23"/>
        <v>0</v>
      </c>
      <c r="X42" s="152">
        <v>7.4899999999999994E-2</v>
      </c>
      <c r="Y42" s="153"/>
      <c r="Z42" s="103">
        <v>359.07</v>
      </c>
      <c r="AA42" s="103">
        <f t="shared" si="24"/>
        <v>0</v>
      </c>
      <c r="AB42" s="154"/>
      <c r="AC42" s="103">
        <v>95</v>
      </c>
      <c r="AD42" s="103">
        <f t="shared" si="29"/>
        <v>-1150.51</v>
      </c>
      <c r="AE42" s="103">
        <f>AB36*E42+K42</f>
        <v>0</v>
      </c>
    </row>
    <row r="43" spans="1:31">
      <c r="A43" s="197" t="s">
        <v>431</v>
      </c>
      <c r="B43" s="185">
        <v>465180</v>
      </c>
      <c r="C43" s="112"/>
      <c r="D43" s="103"/>
      <c r="E43" s="102"/>
      <c r="F43" s="112"/>
      <c r="G43" s="112"/>
      <c r="H43" s="146"/>
      <c r="I43" s="146">
        <v>335.89</v>
      </c>
      <c r="J43" s="128"/>
      <c r="K43" s="103"/>
      <c r="L43" s="103"/>
      <c r="M43" s="146">
        <v>36.979999999999997</v>
      </c>
      <c r="N43" s="103">
        <f t="shared" si="22"/>
        <v>0</v>
      </c>
      <c r="O43" s="103">
        <v>7</v>
      </c>
      <c r="P43" s="103"/>
      <c r="Q43" s="103">
        <v>789.51</v>
      </c>
      <c r="R43" s="103"/>
      <c r="S43" s="103">
        <v>0</v>
      </c>
      <c r="T43" s="103"/>
      <c r="U43" s="103"/>
      <c r="V43" s="103"/>
      <c r="W43" s="103">
        <f t="shared" si="23"/>
        <v>16.346</v>
      </c>
      <c r="X43" s="152">
        <v>7.4300000000000005E-2</v>
      </c>
      <c r="Y43" s="153">
        <v>220</v>
      </c>
      <c r="Z43" s="103">
        <v>359.07</v>
      </c>
      <c r="AA43" s="103">
        <f t="shared" si="24"/>
        <v>0</v>
      </c>
      <c r="AB43" s="154">
        <v>0.75</v>
      </c>
      <c r="AC43" s="103">
        <v>95</v>
      </c>
      <c r="AD43" s="103">
        <f t="shared" si="29"/>
        <v>-1565.836</v>
      </c>
      <c r="AE43" s="103">
        <f>AB43*E43</f>
        <v>0</v>
      </c>
    </row>
    <row r="44" spans="1:31">
      <c r="A44" s="197" t="s">
        <v>322</v>
      </c>
      <c r="B44" s="185">
        <v>465181</v>
      </c>
      <c r="C44" s="117"/>
      <c r="D44" s="103"/>
      <c r="E44" s="102"/>
      <c r="F44" s="112"/>
      <c r="G44" s="112"/>
      <c r="H44" s="146"/>
      <c r="I44" s="146"/>
      <c r="J44" s="128">
        <v>110.85</v>
      </c>
      <c r="K44" s="128"/>
      <c r="L44" s="128"/>
      <c r="M44" s="146"/>
      <c r="N44" s="103">
        <f t="shared" si="22"/>
        <v>0</v>
      </c>
      <c r="O44" s="103">
        <v>7</v>
      </c>
      <c r="P44" s="103"/>
      <c r="Q44" s="103">
        <v>789.51</v>
      </c>
      <c r="R44" s="103"/>
      <c r="S44" s="103">
        <v>0</v>
      </c>
      <c r="T44" s="103"/>
      <c r="U44" s="103"/>
      <c r="V44" s="103"/>
      <c r="W44" s="103">
        <f t="shared" si="23"/>
        <v>31.131700000000002</v>
      </c>
      <c r="X44" s="152">
        <v>7.4300000000000005E-2</v>
      </c>
      <c r="Y44" s="153">
        <v>419</v>
      </c>
      <c r="Z44" s="103">
        <v>359.07</v>
      </c>
      <c r="AA44" s="103">
        <f t="shared" si="24"/>
        <v>0</v>
      </c>
      <c r="AB44" s="154">
        <v>0.8</v>
      </c>
      <c r="AC44" s="103">
        <v>95</v>
      </c>
      <c r="AD44" s="103">
        <f>D44-I44-J44+M44-N44-O44-Q44-Z44-AA44-AC44-AE44-W44-K44-L44</f>
        <v>-1392.5617</v>
      </c>
      <c r="AE44" s="103">
        <f t="shared" ref="AE44:AE45" si="30">AB44*E44+K44+L44</f>
        <v>0</v>
      </c>
    </row>
    <row r="45" spans="1:31">
      <c r="A45" s="187" t="s">
        <v>432</v>
      </c>
      <c r="B45" s="185">
        <v>465182</v>
      </c>
      <c r="C45" s="112">
        <v>4</v>
      </c>
      <c r="D45" s="103">
        <v>5400</v>
      </c>
      <c r="E45" s="102" t="s">
        <v>433</v>
      </c>
      <c r="F45" s="112">
        <v>2728</v>
      </c>
      <c r="G45" s="112">
        <v>51</v>
      </c>
      <c r="H45" s="146">
        <f>D45/E45</f>
        <v>1.9431450161928752</v>
      </c>
      <c r="I45" s="146">
        <v>2318.38</v>
      </c>
      <c r="J45" s="128">
        <v>337.65</v>
      </c>
      <c r="K45" s="128"/>
      <c r="L45" s="128"/>
      <c r="M45" s="146">
        <v>43.78</v>
      </c>
      <c r="N45" s="103">
        <f t="shared" si="22"/>
        <v>45.900000000000006</v>
      </c>
      <c r="O45" s="103">
        <v>7</v>
      </c>
      <c r="P45" s="103"/>
      <c r="Q45" s="103">
        <v>789.51</v>
      </c>
      <c r="R45" s="103"/>
      <c r="S45" s="103">
        <v>0</v>
      </c>
      <c r="T45" s="103"/>
      <c r="U45" s="103"/>
      <c r="V45" s="103"/>
      <c r="W45" s="103">
        <f t="shared" si="23"/>
        <v>327.51440000000002</v>
      </c>
      <c r="X45" s="152">
        <v>7.4300000000000005E-2</v>
      </c>
      <c r="Y45" s="153">
        <v>4408</v>
      </c>
      <c r="Z45" s="103">
        <v>359.07</v>
      </c>
      <c r="AA45" s="103">
        <f t="shared" si="24"/>
        <v>277.90000000000003</v>
      </c>
      <c r="AB45" s="154">
        <v>0.8</v>
      </c>
      <c r="AC45" s="103">
        <v>95</v>
      </c>
      <c r="AD45" s="103">
        <f>D45-I45-J45+M45-N45-O45-Q45-Z45-AA45-AC45-AE45-W45</f>
        <v>-1337.3444000000004</v>
      </c>
      <c r="AE45" s="103">
        <f t="shared" si="30"/>
        <v>2223.2000000000003</v>
      </c>
    </row>
    <row r="46" spans="1:31">
      <c r="A46" s="197" t="s">
        <v>434</v>
      </c>
      <c r="B46" s="185">
        <v>465183</v>
      </c>
      <c r="C46" s="117"/>
      <c r="D46" s="103"/>
      <c r="E46" s="102"/>
      <c r="F46" s="112"/>
      <c r="G46" s="112"/>
      <c r="H46" s="146"/>
      <c r="I46" s="146"/>
      <c r="J46" s="128">
        <v>9.0399999999999991</v>
      </c>
      <c r="K46" s="128"/>
      <c r="L46" s="128"/>
      <c r="M46" s="146"/>
      <c r="N46" s="103">
        <f t="shared" si="22"/>
        <v>0</v>
      </c>
      <c r="O46" s="103">
        <v>7</v>
      </c>
      <c r="P46" s="103"/>
      <c r="Q46" s="103">
        <v>789.51</v>
      </c>
      <c r="R46" s="103"/>
      <c r="S46" s="103">
        <v>0</v>
      </c>
      <c r="T46" s="103"/>
      <c r="U46" s="103"/>
      <c r="V46" s="103"/>
      <c r="W46" s="103">
        <f t="shared" si="23"/>
        <v>0.89160000000000006</v>
      </c>
      <c r="X46" s="152">
        <v>7.4300000000000005E-2</v>
      </c>
      <c r="Y46" s="153">
        <v>12</v>
      </c>
      <c r="Z46" s="103">
        <v>359.07</v>
      </c>
      <c r="AA46" s="103">
        <f t="shared" si="24"/>
        <v>0</v>
      </c>
      <c r="AB46" s="154">
        <v>0.8</v>
      </c>
      <c r="AC46" s="103">
        <v>95</v>
      </c>
      <c r="AD46" s="103">
        <f>D46-I46-J46+M46-N46-O46-Q46-Z46-AA46-AC46-AE46-W46-K46</f>
        <v>-1260.5115999999998</v>
      </c>
      <c r="AE46" s="103">
        <f>AB46*E46+K46</f>
        <v>0</v>
      </c>
    </row>
    <row r="47" spans="1:31">
      <c r="A47" s="190" t="s">
        <v>435</v>
      </c>
      <c r="B47" s="185">
        <v>465184</v>
      </c>
      <c r="C47" s="117">
        <v>6</v>
      </c>
      <c r="D47" s="103">
        <v>8600</v>
      </c>
      <c r="E47" s="102" t="s">
        <v>436</v>
      </c>
      <c r="F47" s="112">
        <v>3783</v>
      </c>
      <c r="G47" s="112">
        <v>131</v>
      </c>
      <c r="H47" s="146">
        <f>D47/E47</f>
        <v>2.1972406745017885</v>
      </c>
      <c r="I47" s="146">
        <v>2431.9899999999998</v>
      </c>
      <c r="J47" s="128">
        <v>49.23</v>
      </c>
      <c r="K47" s="128"/>
      <c r="L47" s="128"/>
      <c r="M47" s="146">
        <v>53.53</v>
      </c>
      <c r="N47" s="103">
        <f t="shared" si="22"/>
        <v>73.100000000000009</v>
      </c>
      <c r="O47" s="103">
        <v>7</v>
      </c>
      <c r="P47" s="103"/>
      <c r="Q47" s="103">
        <v>789.51</v>
      </c>
      <c r="R47" s="103"/>
      <c r="S47" s="103">
        <v>0</v>
      </c>
      <c r="T47" s="103"/>
      <c r="U47" s="103"/>
      <c r="V47" s="103"/>
      <c r="W47" s="103">
        <f t="shared" si="23"/>
        <v>298.4631</v>
      </c>
      <c r="X47" s="152">
        <v>7.4300000000000005E-2</v>
      </c>
      <c r="Y47" s="153">
        <v>4017</v>
      </c>
      <c r="Z47" s="103">
        <v>359.07</v>
      </c>
      <c r="AA47" s="103">
        <f t="shared" si="24"/>
        <v>391.40000000000003</v>
      </c>
      <c r="AB47" s="154">
        <v>0.8</v>
      </c>
      <c r="AC47" s="103">
        <v>95</v>
      </c>
      <c r="AD47" s="103">
        <f t="shared" ref="AD47:AD52" si="31">D47-I47-J47+M47-N47-O47-Q47-Z47-AA47-AC47-AE47-W47</f>
        <v>1027.5669000000003</v>
      </c>
      <c r="AE47" s="103">
        <f>AB47*E47</f>
        <v>3131.2000000000003</v>
      </c>
    </row>
    <row r="48" spans="1:31">
      <c r="A48" s="187"/>
      <c r="B48" s="185">
        <v>465185</v>
      </c>
      <c r="C48" s="117"/>
      <c r="D48" s="103"/>
      <c r="E48" s="102"/>
      <c r="F48" s="112"/>
      <c r="G48" s="112"/>
      <c r="H48" s="146"/>
      <c r="I48" s="146"/>
      <c r="J48" s="128">
        <v>3.72</v>
      </c>
      <c r="K48" s="128"/>
      <c r="L48" s="128"/>
      <c r="M48" s="146"/>
      <c r="N48" s="103">
        <f t="shared" si="22"/>
        <v>0</v>
      </c>
      <c r="O48" s="103">
        <v>7</v>
      </c>
      <c r="P48" s="103"/>
      <c r="Q48" s="103">
        <v>789.51</v>
      </c>
      <c r="R48" s="103"/>
      <c r="S48" s="103">
        <v>0</v>
      </c>
      <c r="T48" s="103"/>
      <c r="U48" s="103"/>
      <c r="V48" s="103"/>
      <c r="W48" s="103">
        <f t="shared" si="23"/>
        <v>7.4300000000000005E-2</v>
      </c>
      <c r="X48" s="152">
        <v>7.4300000000000005E-2</v>
      </c>
      <c r="Y48" s="153">
        <v>1</v>
      </c>
      <c r="Z48" s="103">
        <v>359.07</v>
      </c>
      <c r="AA48" s="103">
        <f t="shared" si="24"/>
        <v>0</v>
      </c>
      <c r="AB48" s="154"/>
      <c r="AC48" s="103">
        <v>95</v>
      </c>
      <c r="AD48" s="103">
        <f t="shared" si="31"/>
        <v>-1254.3742999999999</v>
      </c>
      <c r="AE48" s="103">
        <f t="shared" ref="AE48:AE49" si="32">AB48*E48+K48</f>
        <v>0</v>
      </c>
    </row>
    <row r="49" spans="1:31">
      <c r="A49" s="187" t="s">
        <v>437</v>
      </c>
      <c r="B49" s="185">
        <v>465186</v>
      </c>
      <c r="C49" s="112">
        <v>7</v>
      </c>
      <c r="D49" s="103">
        <v>6414</v>
      </c>
      <c r="E49" s="102" t="s">
        <v>438</v>
      </c>
      <c r="F49" s="112">
        <v>3119</v>
      </c>
      <c r="G49" s="112">
        <v>146</v>
      </c>
      <c r="H49" s="146">
        <f t="shared" ref="H49:H50" si="33">D49/E49</f>
        <v>1.9644716692189892</v>
      </c>
      <c r="I49" s="146">
        <v>3180.48</v>
      </c>
      <c r="J49" s="128">
        <v>116.15</v>
      </c>
      <c r="K49" s="128"/>
      <c r="L49" s="128"/>
      <c r="M49" s="146">
        <v>197.58</v>
      </c>
      <c r="N49" s="103">
        <f t="shared" si="22"/>
        <v>54.519000000000005</v>
      </c>
      <c r="O49" s="103">
        <v>7</v>
      </c>
      <c r="P49" s="103"/>
      <c r="Q49" s="103">
        <v>789.51</v>
      </c>
      <c r="R49" s="103"/>
      <c r="S49" s="103">
        <v>0</v>
      </c>
      <c r="T49" s="103"/>
      <c r="U49" s="103"/>
      <c r="V49" s="103"/>
      <c r="W49" s="103">
        <f t="shared" si="23"/>
        <v>340.7398</v>
      </c>
      <c r="X49" s="152">
        <v>7.4300000000000005E-2</v>
      </c>
      <c r="Y49" s="153">
        <v>4586</v>
      </c>
      <c r="Z49" s="103">
        <v>359.07</v>
      </c>
      <c r="AA49" s="103">
        <f t="shared" si="24"/>
        <v>326.5</v>
      </c>
      <c r="AB49" s="154">
        <v>0.7</v>
      </c>
      <c r="AC49" s="103">
        <v>95</v>
      </c>
      <c r="AD49" s="103">
        <f t="shared" si="31"/>
        <v>-942.88880000000086</v>
      </c>
      <c r="AE49" s="103">
        <f t="shared" si="32"/>
        <v>2285.5</v>
      </c>
    </row>
    <row r="50" spans="1:31">
      <c r="A50" s="187" t="s">
        <v>439</v>
      </c>
      <c r="B50" s="185">
        <v>465187</v>
      </c>
      <c r="C50" s="117">
        <v>7</v>
      </c>
      <c r="D50" s="103">
        <v>9150</v>
      </c>
      <c r="E50" s="102" t="s">
        <v>440</v>
      </c>
      <c r="F50" s="112">
        <v>3817</v>
      </c>
      <c r="G50" s="112">
        <v>59</v>
      </c>
      <c r="H50" s="146">
        <f t="shared" si="33"/>
        <v>2.3606811145510838</v>
      </c>
      <c r="I50" s="146">
        <v>2982.86</v>
      </c>
      <c r="J50" s="128">
        <v>83.33</v>
      </c>
      <c r="K50" s="128"/>
      <c r="L50" s="128"/>
      <c r="M50" s="146">
        <v>264.29000000000002</v>
      </c>
      <c r="N50" s="103">
        <f t="shared" si="22"/>
        <v>77.775000000000006</v>
      </c>
      <c r="O50" s="103">
        <v>7</v>
      </c>
      <c r="P50" s="103"/>
      <c r="Q50" s="103">
        <v>789.51</v>
      </c>
      <c r="R50" s="103"/>
      <c r="S50" s="103">
        <v>0</v>
      </c>
      <c r="T50" s="103"/>
      <c r="U50" s="103"/>
      <c r="V50" s="103"/>
      <c r="W50" s="103">
        <f t="shared" si="23"/>
        <v>300.09770000000003</v>
      </c>
      <c r="X50" s="152">
        <v>7.4300000000000005E-2</v>
      </c>
      <c r="Y50" s="153">
        <v>4039</v>
      </c>
      <c r="Z50" s="103">
        <v>359.07</v>
      </c>
      <c r="AA50" s="103">
        <f t="shared" si="24"/>
        <v>387.6</v>
      </c>
      <c r="AB50" s="154">
        <v>0.8</v>
      </c>
      <c r="AC50" s="103">
        <v>95</v>
      </c>
      <c r="AD50" s="103">
        <f t="shared" si="31"/>
        <v>1231.2472999999993</v>
      </c>
      <c r="AE50" s="103">
        <f t="shared" ref="AE50:AE52" si="34">AB50*E50</f>
        <v>3100.8</v>
      </c>
    </row>
    <row r="51" spans="1:31">
      <c r="A51" s="196" t="s">
        <v>407</v>
      </c>
      <c r="B51" s="185">
        <v>465188</v>
      </c>
      <c r="C51" s="112"/>
      <c r="D51" s="103"/>
      <c r="E51" s="102"/>
      <c r="F51" s="117"/>
      <c r="G51" s="117"/>
      <c r="H51" s="146"/>
      <c r="I51" s="146"/>
      <c r="J51" s="128"/>
      <c r="K51" s="128"/>
      <c r="L51" s="128"/>
      <c r="M51" s="146"/>
      <c r="N51" s="103">
        <f t="shared" si="22"/>
        <v>0</v>
      </c>
      <c r="O51" s="103">
        <v>7</v>
      </c>
      <c r="P51" s="103"/>
      <c r="Q51" s="103">
        <v>789.51</v>
      </c>
      <c r="R51" s="103"/>
      <c r="S51" s="103">
        <v>0</v>
      </c>
      <c r="T51" s="103"/>
      <c r="U51" s="103"/>
      <c r="V51" s="103"/>
      <c r="W51" s="103">
        <f t="shared" si="23"/>
        <v>0</v>
      </c>
      <c r="X51" s="152">
        <v>7.4300000000000005E-2</v>
      </c>
      <c r="Y51" s="153"/>
      <c r="Z51" s="103">
        <v>359.07</v>
      </c>
      <c r="AA51" s="103">
        <f t="shared" si="24"/>
        <v>0</v>
      </c>
      <c r="AB51" s="154">
        <v>0.65</v>
      </c>
      <c r="AC51" s="103">
        <v>95</v>
      </c>
      <c r="AD51" s="103">
        <f t="shared" si="31"/>
        <v>-1250.58</v>
      </c>
      <c r="AE51" s="103">
        <f t="shared" si="34"/>
        <v>0</v>
      </c>
    </row>
    <row r="52" spans="1:31">
      <c r="A52" s="184"/>
      <c r="B52" s="185">
        <v>465189</v>
      </c>
      <c r="C52" s="112"/>
      <c r="D52" s="103"/>
      <c r="E52" s="102"/>
      <c r="F52" s="117"/>
      <c r="G52" s="117"/>
      <c r="H52" s="146"/>
      <c r="I52" s="146"/>
      <c r="J52" s="128"/>
      <c r="K52" s="103"/>
      <c r="L52" s="103"/>
      <c r="M52" s="146"/>
      <c r="N52" s="103">
        <f t="shared" si="22"/>
        <v>0</v>
      </c>
      <c r="O52" s="103">
        <v>7</v>
      </c>
      <c r="P52" s="103"/>
      <c r="Q52" s="103">
        <v>789.51</v>
      </c>
      <c r="R52" s="103"/>
      <c r="S52" s="103">
        <v>0</v>
      </c>
      <c r="T52" s="103"/>
      <c r="U52" s="103"/>
      <c r="V52" s="103"/>
      <c r="W52" s="103">
        <f t="shared" si="23"/>
        <v>11.442200000000001</v>
      </c>
      <c r="X52" s="152">
        <v>7.4300000000000005E-2</v>
      </c>
      <c r="Y52" s="155">
        <v>154</v>
      </c>
      <c r="Z52" s="103">
        <v>359.07</v>
      </c>
      <c r="AA52" s="103">
        <f t="shared" si="24"/>
        <v>0</v>
      </c>
      <c r="AB52" s="154"/>
      <c r="AC52" s="103">
        <v>95</v>
      </c>
      <c r="AD52" s="103">
        <f t="shared" si="31"/>
        <v>-1262.0221999999999</v>
      </c>
      <c r="AE52" s="103">
        <f t="shared" si="34"/>
        <v>0</v>
      </c>
    </row>
    <row r="53" spans="1:31">
      <c r="A53" s="134" t="s">
        <v>441</v>
      </c>
      <c r="B53" s="135" t="s">
        <v>399</v>
      </c>
      <c r="C53" s="158">
        <v>6</v>
      </c>
      <c r="D53" s="139">
        <v>4940</v>
      </c>
      <c r="E53" s="136">
        <v>2954</v>
      </c>
      <c r="F53" s="193"/>
      <c r="G53" s="193"/>
      <c r="H53" s="146">
        <f t="shared" ref="H53:H55" si="35">D53/E53</f>
        <v>1.6723087339201084</v>
      </c>
      <c r="I53" s="139">
        <v>961.62</v>
      </c>
      <c r="J53" s="139">
        <v>193.16</v>
      </c>
      <c r="K53" s="139"/>
      <c r="L53" s="139"/>
      <c r="M53" s="139">
        <v>23.97</v>
      </c>
      <c r="N53" s="139">
        <f t="shared" si="22"/>
        <v>41.99</v>
      </c>
      <c r="O53" s="139">
        <v>0</v>
      </c>
      <c r="P53" s="139"/>
      <c r="Q53" s="139">
        <v>0</v>
      </c>
      <c r="R53" s="139">
        <v>0</v>
      </c>
      <c r="S53" s="139">
        <v>0</v>
      </c>
      <c r="T53" s="139">
        <v>0</v>
      </c>
      <c r="U53" s="139"/>
      <c r="V53" s="139">
        <v>0</v>
      </c>
      <c r="W53" s="139">
        <v>0</v>
      </c>
      <c r="X53" s="159">
        <v>0</v>
      </c>
      <c r="Y53" s="136">
        <v>2954</v>
      </c>
      <c r="Z53" s="139">
        <v>0</v>
      </c>
      <c r="AA53" s="139">
        <f t="shared" si="24"/>
        <v>295.40000000000003</v>
      </c>
      <c r="AB53" s="160">
        <v>0.85</v>
      </c>
      <c r="AC53" s="139">
        <v>95</v>
      </c>
      <c r="AD53" s="139">
        <f>D53*0.15-AA53-N53</f>
        <v>403.60999999999996</v>
      </c>
      <c r="AE53" s="139">
        <f>D53*0.85-I53-J53+M53</f>
        <v>3068.19</v>
      </c>
    </row>
    <row r="54" spans="1:31">
      <c r="A54" s="134" t="s">
        <v>442</v>
      </c>
      <c r="B54" s="135" t="s">
        <v>362</v>
      </c>
      <c r="C54" s="158">
        <v>1</v>
      </c>
      <c r="D54" s="139">
        <v>2100</v>
      </c>
      <c r="E54" s="136">
        <v>846</v>
      </c>
      <c r="F54" s="193"/>
      <c r="G54" s="193"/>
      <c r="H54" s="146">
        <f t="shared" si="35"/>
        <v>2.4822695035460991</v>
      </c>
      <c r="I54" s="139">
        <v>300</v>
      </c>
      <c r="J54" s="139"/>
      <c r="K54" s="139"/>
      <c r="L54" s="139"/>
      <c r="M54" s="139">
        <v>16.52</v>
      </c>
      <c r="N54" s="139">
        <f t="shared" si="22"/>
        <v>17.850000000000001</v>
      </c>
      <c r="O54" s="139">
        <v>7</v>
      </c>
      <c r="P54" s="139"/>
      <c r="Q54" s="139">
        <v>0</v>
      </c>
      <c r="R54" s="139">
        <v>50</v>
      </c>
      <c r="S54" s="139">
        <v>199</v>
      </c>
      <c r="T54" s="139">
        <v>30</v>
      </c>
      <c r="U54" s="139"/>
      <c r="V54" s="139">
        <v>300</v>
      </c>
      <c r="W54" s="139">
        <v>0</v>
      </c>
      <c r="X54" s="159">
        <v>0</v>
      </c>
      <c r="Y54" s="136">
        <v>846</v>
      </c>
      <c r="Z54" s="139">
        <v>0</v>
      </c>
      <c r="AA54" s="139">
        <f t="shared" si="24"/>
        <v>84.600000000000009</v>
      </c>
      <c r="AB54" s="160">
        <v>0.87</v>
      </c>
      <c r="AC54" s="139">
        <v>95</v>
      </c>
      <c r="AD54" s="139">
        <f>D54*0.13+V54+T54+S54+R54-AA54-N54</f>
        <v>749.55</v>
      </c>
      <c r="AE54" s="139">
        <f>D54*0.87-I54-J54-R54-S54-T54-V54</f>
        <v>948</v>
      </c>
    </row>
    <row r="55" spans="1:31">
      <c r="A55" s="134" t="s">
        <v>443</v>
      </c>
      <c r="B55" s="134">
        <v>1118</v>
      </c>
      <c r="C55" s="158">
        <v>4</v>
      </c>
      <c r="D55" s="139">
        <v>2700</v>
      </c>
      <c r="E55" s="136">
        <v>1167</v>
      </c>
      <c r="F55" s="136"/>
      <c r="G55" s="136"/>
      <c r="H55" s="146">
        <f t="shared" si="35"/>
        <v>2.3136246786632393</v>
      </c>
      <c r="I55" s="139">
        <v>400</v>
      </c>
      <c r="J55" s="139"/>
      <c r="K55" s="139"/>
      <c r="L55" s="139"/>
      <c r="M55" s="139">
        <v>0</v>
      </c>
      <c r="N55" s="139">
        <f t="shared" si="22"/>
        <v>22.950000000000003</v>
      </c>
      <c r="O55" s="139">
        <v>0</v>
      </c>
      <c r="P55" s="139"/>
      <c r="Q55" s="139">
        <v>0</v>
      </c>
      <c r="R55" s="139">
        <v>0</v>
      </c>
      <c r="S55" s="139">
        <v>0</v>
      </c>
      <c r="T55" s="139">
        <v>0</v>
      </c>
      <c r="U55" s="139"/>
      <c r="V55" s="139">
        <v>0</v>
      </c>
      <c r="W55" s="139">
        <v>0</v>
      </c>
      <c r="X55" s="159">
        <v>0</v>
      </c>
      <c r="Y55" s="136">
        <v>1167</v>
      </c>
      <c r="Z55" s="139">
        <v>0</v>
      </c>
      <c r="AA55" s="139">
        <f t="shared" si="24"/>
        <v>116.7</v>
      </c>
      <c r="AB55" s="160">
        <v>0.8</v>
      </c>
      <c r="AC55" s="139">
        <v>95</v>
      </c>
      <c r="AD55" s="139">
        <f>D55*0.2-AA55-N55-K55-AC55</f>
        <v>305.35000000000002</v>
      </c>
      <c r="AE55" s="139">
        <f>D55*AB55-I55-J55</f>
        <v>1760</v>
      </c>
    </row>
    <row r="56" spans="1:31">
      <c r="A56" s="134" t="s">
        <v>444</v>
      </c>
      <c r="B56" s="134" t="s">
        <v>369</v>
      </c>
      <c r="C56" s="158">
        <v>2</v>
      </c>
      <c r="D56" s="139">
        <v>0</v>
      </c>
      <c r="E56" s="136">
        <v>1252</v>
      </c>
      <c r="F56" s="136"/>
      <c r="G56" s="136"/>
      <c r="H56" s="139"/>
      <c r="I56" s="139">
        <v>660.01</v>
      </c>
      <c r="J56" s="139">
        <v>6.9</v>
      </c>
      <c r="K56" s="139"/>
      <c r="L56" s="139"/>
      <c r="M56" s="139">
        <v>17.23</v>
      </c>
      <c r="N56" s="139">
        <f t="shared" si="22"/>
        <v>0</v>
      </c>
      <c r="O56" s="139">
        <v>7</v>
      </c>
      <c r="P56" s="139"/>
      <c r="Q56" s="139">
        <v>0</v>
      </c>
      <c r="R56" s="139">
        <v>50</v>
      </c>
      <c r="S56" s="139">
        <v>199</v>
      </c>
      <c r="T56" s="139">
        <v>30</v>
      </c>
      <c r="U56" s="139"/>
      <c r="V56" s="139">
        <v>300</v>
      </c>
      <c r="W56" s="139">
        <v>0</v>
      </c>
      <c r="X56" s="159">
        <v>0</v>
      </c>
      <c r="Y56" s="136">
        <v>1252</v>
      </c>
      <c r="Z56" s="139">
        <v>0</v>
      </c>
      <c r="AA56" s="139">
        <f t="shared" si="24"/>
        <v>125.2</v>
      </c>
      <c r="AB56" s="160">
        <v>0.89</v>
      </c>
      <c r="AC56" s="139">
        <v>95</v>
      </c>
      <c r="AD56" s="139">
        <f>D56*0.11-AC56-AA56+V56+T56+S56+R56-N56</f>
        <v>358.8</v>
      </c>
      <c r="AE56" s="139">
        <f>D56*AB56-I56-J56-R56-S56-T56-V56</f>
        <v>-1245.9099999999999</v>
      </c>
    </row>
    <row r="57" spans="1:31">
      <c r="A57" s="134" t="s">
        <v>445</v>
      </c>
      <c r="B57" s="134">
        <v>2013</v>
      </c>
      <c r="C57" s="158">
        <v>2</v>
      </c>
      <c r="D57" s="139">
        <v>2600</v>
      </c>
      <c r="E57" s="136">
        <v>1334</v>
      </c>
      <c r="F57" s="136"/>
      <c r="G57" s="136"/>
      <c r="H57" s="146">
        <f t="shared" ref="H57:H58" si="36">D57/E57</f>
        <v>1.9490254872563719</v>
      </c>
      <c r="I57" s="139">
        <v>750.62</v>
      </c>
      <c r="J57" s="139">
        <v>360.36</v>
      </c>
      <c r="K57" s="139"/>
      <c r="L57" s="139"/>
      <c r="M57" s="139">
        <v>6.67</v>
      </c>
      <c r="N57" s="139">
        <f t="shared" si="22"/>
        <v>22.1</v>
      </c>
      <c r="O57" s="139">
        <v>0</v>
      </c>
      <c r="P57" s="139"/>
      <c r="Q57" s="139">
        <v>0</v>
      </c>
      <c r="R57" s="139">
        <v>50</v>
      </c>
      <c r="S57" s="139">
        <v>199</v>
      </c>
      <c r="T57" s="139">
        <v>30</v>
      </c>
      <c r="U57" s="139"/>
      <c r="V57" s="139">
        <v>300</v>
      </c>
      <c r="W57" s="139">
        <v>0</v>
      </c>
      <c r="X57" s="159">
        <v>0</v>
      </c>
      <c r="Y57" s="136">
        <v>1334</v>
      </c>
      <c r="Z57" s="139">
        <v>0</v>
      </c>
      <c r="AA57" s="139">
        <f t="shared" si="24"/>
        <v>133.4</v>
      </c>
      <c r="AB57" s="160">
        <v>0.87</v>
      </c>
      <c r="AC57" s="139">
        <v>95</v>
      </c>
      <c r="AD57" s="139">
        <f>D57*0.13+V57+T57+S57+R57-AA57-N57</f>
        <v>761.5</v>
      </c>
      <c r="AE57" s="139">
        <f t="shared" ref="AE57:AE58" si="37">D57*AB57-I57-J57-V57-T57-S57-R57</f>
        <v>572.02</v>
      </c>
    </row>
    <row r="58" spans="1:31">
      <c r="A58" s="134" t="s">
        <v>446</v>
      </c>
      <c r="B58" s="134">
        <v>1122</v>
      </c>
      <c r="C58" s="158">
        <v>7</v>
      </c>
      <c r="D58" s="139">
        <v>7450</v>
      </c>
      <c r="E58" s="136">
        <v>3148</v>
      </c>
      <c r="F58" s="136"/>
      <c r="G58" s="136"/>
      <c r="H58" s="146">
        <f t="shared" si="36"/>
        <v>2.3665819567979671</v>
      </c>
      <c r="I58" s="139">
        <v>1897.33</v>
      </c>
      <c r="J58" s="139">
        <v>26.53</v>
      </c>
      <c r="K58" s="139"/>
      <c r="L58" s="139"/>
      <c r="M58" s="139">
        <v>109.39</v>
      </c>
      <c r="N58" s="139">
        <f t="shared" si="22"/>
        <v>63.325000000000003</v>
      </c>
      <c r="O58" s="139">
        <v>7</v>
      </c>
      <c r="P58" s="139"/>
      <c r="Q58" s="139">
        <v>0</v>
      </c>
      <c r="R58" s="139">
        <v>0</v>
      </c>
      <c r="S58" s="139">
        <v>0</v>
      </c>
      <c r="T58" s="139">
        <v>0</v>
      </c>
      <c r="U58" s="139"/>
      <c r="V58" s="139">
        <v>0</v>
      </c>
      <c r="W58" s="139">
        <v>0</v>
      </c>
      <c r="X58" s="159">
        <v>0</v>
      </c>
      <c r="Y58" s="136">
        <v>3148</v>
      </c>
      <c r="Z58" s="139">
        <v>0</v>
      </c>
      <c r="AA58" s="139">
        <f t="shared" si="24"/>
        <v>314.8</v>
      </c>
      <c r="AB58" s="160">
        <v>0.8</v>
      </c>
      <c r="AC58" s="139">
        <v>95</v>
      </c>
      <c r="AD58" s="139">
        <f>D58*0.13-AC58-AA58+V58+T58+S58+R58-N58</f>
        <v>495.37500000000006</v>
      </c>
      <c r="AE58" s="139">
        <f t="shared" si="37"/>
        <v>4036.14</v>
      </c>
    </row>
    <row r="59" spans="1:31">
      <c r="A59" s="72" t="s">
        <v>89</v>
      </c>
      <c r="B59" s="72">
        <v>28</v>
      </c>
      <c r="C59" s="161">
        <f>AVERAGE(C33:C52)</f>
        <v>6.25</v>
      </c>
      <c r="D59" s="162">
        <f>SUM(D33:D58)</f>
        <v>84809</v>
      </c>
      <c r="E59" s="170">
        <f t="shared" ref="E59:H59" si="38">AVERAGE(E34:E58)</f>
        <v>1783.5</v>
      </c>
      <c r="F59" s="161">
        <f t="shared" si="38"/>
        <v>3709.875</v>
      </c>
      <c r="G59" s="161">
        <f t="shared" si="38"/>
        <v>191.75</v>
      </c>
      <c r="H59" s="162">
        <f t="shared" si="38"/>
        <v>2.110687755637513</v>
      </c>
      <c r="I59" s="162">
        <f t="shared" ref="I59:O59" si="39">SUM(I33:I58)</f>
        <v>27691.149999999994</v>
      </c>
      <c r="J59" s="162">
        <f t="shared" si="39"/>
        <v>1741.95</v>
      </c>
      <c r="K59" s="162">
        <f t="shared" si="39"/>
        <v>0</v>
      </c>
      <c r="L59" s="162">
        <f t="shared" si="39"/>
        <v>0</v>
      </c>
      <c r="M59" s="162">
        <f t="shared" si="39"/>
        <v>1580.0900000000001</v>
      </c>
      <c r="N59" s="162">
        <f t="shared" si="39"/>
        <v>720.87650000000019</v>
      </c>
      <c r="O59" s="162">
        <f t="shared" si="39"/>
        <v>161</v>
      </c>
      <c r="P59" s="162"/>
      <c r="Q59" s="162">
        <f t="shared" ref="Q59:T59" si="40">SUM(Q33:Q58)</f>
        <v>14789.500000000004</v>
      </c>
      <c r="R59" s="162">
        <f t="shared" si="40"/>
        <v>150</v>
      </c>
      <c r="S59" s="162">
        <f t="shared" si="40"/>
        <v>597</v>
      </c>
      <c r="T59" s="162">
        <f t="shared" si="40"/>
        <v>90</v>
      </c>
      <c r="U59" s="162"/>
      <c r="V59" s="162">
        <f t="shared" ref="V59:AA59" si="41">SUM(V33:V58)</f>
        <v>900</v>
      </c>
      <c r="W59" s="162">
        <f t="shared" si="41"/>
        <v>2630.6348999999996</v>
      </c>
      <c r="X59" s="162">
        <f t="shared" si="41"/>
        <v>1.492</v>
      </c>
      <c r="Y59" s="162">
        <f t="shared" si="41"/>
        <v>45966</v>
      </c>
      <c r="Z59" s="162">
        <f t="shared" si="41"/>
        <v>7181.3999999999987</v>
      </c>
      <c r="AA59" s="162">
        <f t="shared" si="41"/>
        <v>4191.3999999999996</v>
      </c>
      <c r="AB59" s="162"/>
      <c r="AC59" s="162">
        <f t="shared" ref="AC59:AE59" si="42">SUM(AC33:AC58)</f>
        <v>2470</v>
      </c>
      <c r="AD59" s="162">
        <f t="shared" si="42"/>
        <v>-8232.4714000000022</v>
      </c>
      <c r="AE59" s="162">
        <f t="shared" si="42"/>
        <v>32678.34</v>
      </c>
    </row>
    <row r="60" spans="1:31">
      <c r="A60" s="173"/>
      <c r="B60" s="174"/>
      <c r="C60" s="175"/>
      <c r="D60" s="176"/>
      <c r="E60" s="177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8"/>
      <c r="V60" s="178"/>
      <c r="W60" s="179"/>
      <c r="X60" s="176"/>
      <c r="Y60" s="176"/>
      <c r="Z60" s="176"/>
      <c r="AA60" s="180"/>
      <c r="AB60" s="181"/>
      <c r="AC60" s="176"/>
      <c r="AD60" s="176"/>
    </row>
    <row r="61" spans="1:31">
      <c r="A61" s="457" t="s">
        <v>447</v>
      </c>
      <c r="B61" s="458"/>
      <c r="C61" s="458"/>
      <c r="D61" s="458"/>
      <c r="E61" s="458"/>
      <c r="F61" s="458"/>
      <c r="G61" s="458"/>
      <c r="H61" s="458"/>
      <c r="I61" s="458"/>
      <c r="J61" s="458"/>
      <c r="K61" s="458"/>
      <c r="L61" s="458"/>
      <c r="M61" s="458"/>
      <c r="N61" s="458"/>
      <c r="O61" s="458"/>
      <c r="P61" s="458"/>
      <c r="Q61" s="458"/>
      <c r="R61" s="458"/>
      <c r="S61" s="458"/>
      <c r="T61" s="458"/>
      <c r="U61" s="458"/>
      <c r="V61" s="458"/>
      <c r="W61" s="458"/>
      <c r="X61" s="458"/>
      <c r="Y61" s="458"/>
      <c r="Z61" s="458"/>
      <c r="AA61" s="458"/>
      <c r="AB61" s="458"/>
      <c r="AC61" s="458"/>
      <c r="AD61" s="458"/>
      <c r="AE61" s="459"/>
    </row>
    <row r="62" spans="1:31">
      <c r="A62" s="95" t="s">
        <v>0</v>
      </c>
      <c r="B62" s="95" t="s">
        <v>1</v>
      </c>
      <c r="C62" s="95" t="s">
        <v>372</v>
      </c>
      <c r="D62" s="95" t="s">
        <v>2</v>
      </c>
      <c r="E62" s="95" t="s">
        <v>413</v>
      </c>
      <c r="F62" s="150" t="s">
        <v>414</v>
      </c>
      <c r="G62" s="150" t="s">
        <v>415</v>
      </c>
      <c r="H62" s="95" t="s">
        <v>416</v>
      </c>
      <c r="I62" s="95" t="s">
        <v>7</v>
      </c>
      <c r="J62" s="95" t="s">
        <v>8</v>
      </c>
      <c r="K62" s="95" t="s">
        <v>287</v>
      </c>
      <c r="L62" s="95" t="s">
        <v>288</v>
      </c>
      <c r="M62" s="95" t="s">
        <v>257</v>
      </c>
      <c r="N62" s="95" t="s">
        <v>373</v>
      </c>
      <c r="O62" s="95" t="s">
        <v>374</v>
      </c>
      <c r="P62" s="95"/>
      <c r="Q62" s="95" t="s">
        <v>375</v>
      </c>
      <c r="R62" s="95" t="s">
        <v>376</v>
      </c>
      <c r="S62" s="95" t="s">
        <v>377</v>
      </c>
      <c r="T62" s="150" t="s">
        <v>378</v>
      </c>
      <c r="U62" s="150"/>
      <c r="V62" s="150" t="s">
        <v>379</v>
      </c>
      <c r="W62" s="150" t="s">
        <v>352</v>
      </c>
      <c r="X62" s="95" t="s">
        <v>380</v>
      </c>
      <c r="Y62" s="95" t="s">
        <v>381</v>
      </c>
      <c r="Z62" s="95" t="s">
        <v>382</v>
      </c>
      <c r="AA62" s="95" t="s">
        <v>383</v>
      </c>
      <c r="AB62" s="95" t="s">
        <v>385</v>
      </c>
      <c r="AC62" s="150" t="s">
        <v>333</v>
      </c>
      <c r="AD62" s="95" t="s">
        <v>13</v>
      </c>
      <c r="AE62" s="95" t="s">
        <v>98</v>
      </c>
    </row>
    <row r="63" spans="1:31">
      <c r="A63" s="198" t="s">
        <v>419</v>
      </c>
      <c r="B63" s="185">
        <v>352368</v>
      </c>
      <c r="C63" s="112">
        <v>1</v>
      </c>
      <c r="D63" s="103">
        <v>1400</v>
      </c>
      <c r="E63" s="153">
        <v>1231</v>
      </c>
      <c r="F63" s="102"/>
      <c r="G63" s="102"/>
      <c r="H63" s="128">
        <f t="shared" ref="H63:H64" si="43">D63/E63</f>
        <v>1.1372867587327375</v>
      </c>
      <c r="I63" s="146">
        <v>418.39</v>
      </c>
      <c r="J63" s="128">
        <v>109.2</v>
      </c>
      <c r="K63" s="103"/>
      <c r="L63" s="103"/>
      <c r="M63" s="128"/>
      <c r="N63" s="103">
        <f t="shared" ref="N63:N88" si="44">D63*0.0085</f>
        <v>11.9</v>
      </c>
      <c r="O63" s="103">
        <v>7</v>
      </c>
      <c r="P63" s="103"/>
      <c r="Q63" s="103">
        <v>689.44</v>
      </c>
      <c r="R63" s="103"/>
      <c r="S63" s="103">
        <v>0</v>
      </c>
      <c r="T63" s="103"/>
      <c r="U63" s="103"/>
      <c r="V63" s="103"/>
      <c r="W63" s="103">
        <f t="shared" ref="W63:W82" si="45">Y63*X63</f>
        <v>92.201899999999995</v>
      </c>
      <c r="X63" s="152">
        <v>7.4899999999999994E-2</v>
      </c>
      <c r="Y63" s="153">
        <v>1231</v>
      </c>
      <c r="Z63" s="103">
        <v>90.57</v>
      </c>
      <c r="AA63" s="103">
        <f t="shared" ref="AA63:AA88" si="46">E63*0.1</f>
        <v>123.10000000000001</v>
      </c>
      <c r="AB63" s="154">
        <v>0.65</v>
      </c>
      <c r="AC63" s="103">
        <v>95</v>
      </c>
      <c r="AD63" s="103">
        <f t="shared" ref="AD63:AD69" si="47">D63-I63-J63+M63-N63-O63-Q63-Z63-AA63-AC63-AE63-W63</f>
        <v>-1036.9519</v>
      </c>
      <c r="AE63" s="103">
        <f t="shared" ref="AE63:AE68" si="48">AB63*E63</f>
        <v>800.15</v>
      </c>
    </row>
    <row r="64" spans="1:31">
      <c r="A64" s="187" t="s">
        <v>448</v>
      </c>
      <c r="B64" s="185">
        <v>352371</v>
      </c>
      <c r="C64" s="112">
        <v>5</v>
      </c>
      <c r="D64" s="103">
        <v>7525</v>
      </c>
      <c r="E64" s="102" t="s">
        <v>449</v>
      </c>
      <c r="F64" s="112">
        <v>3224</v>
      </c>
      <c r="G64" s="112">
        <v>533</v>
      </c>
      <c r="H64" s="128">
        <f t="shared" si="43"/>
        <v>2.0029278679797713</v>
      </c>
      <c r="I64" s="146">
        <v>2450</v>
      </c>
      <c r="J64" s="128">
        <v>136.81</v>
      </c>
      <c r="K64" s="103"/>
      <c r="L64" s="103"/>
      <c r="M64" s="128"/>
      <c r="N64" s="103">
        <f t="shared" si="44"/>
        <v>63.962500000000006</v>
      </c>
      <c r="O64" s="103">
        <v>7</v>
      </c>
      <c r="P64" s="103"/>
      <c r="Q64" s="103">
        <v>689.44</v>
      </c>
      <c r="R64" s="103"/>
      <c r="S64" s="103">
        <v>0</v>
      </c>
      <c r="T64" s="103"/>
      <c r="U64" s="103"/>
      <c r="V64" s="103"/>
      <c r="W64" s="103">
        <f t="shared" si="45"/>
        <v>304.31869999999998</v>
      </c>
      <c r="X64" s="152">
        <v>7.4899999999999994E-2</v>
      </c>
      <c r="Y64" s="153">
        <v>4063</v>
      </c>
      <c r="Z64" s="103">
        <v>90.57</v>
      </c>
      <c r="AA64" s="103">
        <f t="shared" si="46"/>
        <v>375.70000000000005</v>
      </c>
      <c r="AB64" s="154">
        <v>0.75</v>
      </c>
      <c r="AC64" s="103">
        <v>95</v>
      </c>
      <c r="AD64" s="103">
        <f t="shared" si="47"/>
        <v>494.44879999999995</v>
      </c>
      <c r="AE64" s="103">
        <f t="shared" si="48"/>
        <v>2817.75</v>
      </c>
    </row>
    <row r="65" spans="1:31">
      <c r="A65" s="171"/>
      <c r="B65" s="185">
        <v>352372</v>
      </c>
      <c r="C65" s="112"/>
      <c r="D65" s="103"/>
      <c r="E65" s="102"/>
      <c r="F65" s="112"/>
      <c r="G65" s="112"/>
      <c r="H65" s="128"/>
      <c r="I65" s="146"/>
      <c r="J65" s="117"/>
      <c r="K65" s="103"/>
      <c r="L65" s="103"/>
      <c r="M65" s="146"/>
      <c r="N65" s="103">
        <f t="shared" si="44"/>
        <v>0</v>
      </c>
      <c r="O65" s="103">
        <v>7</v>
      </c>
      <c r="P65" s="103"/>
      <c r="Q65" s="103">
        <v>689.44</v>
      </c>
      <c r="R65" s="103"/>
      <c r="S65" s="103">
        <v>0</v>
      </c>
      <c r="T65" s="103"/>
      <c r="U65" s="103"/>
      <c r="V65" s="103"/>
      <c r="W65" s="103">
        <f t="shared" si="45"/>
        <v>0</v>
      </c>
      <c r="X65" s="152">
        <v>7.4899999999999994E-2</v>
      </c>
      <c r="Y65" s="153">
        <v>0</v>
      </c>
      <c r="Z65" s="103">
        <v>90.57</v>
      </c>
      <c r="AA65" s="103">
        <f t="shared" si="46"/>
        <v>0</v>
      </c>
      <c r="AB65" s="154"/>
      <c r="AC65" s="103">
        <v>95</v>
      </c>
      <c r="AD65" s="103">
        <f t="shared" si="47"/>
        <v>-882.01</v>
      </c>
      <c r="AE65" s="103">
        <f t="shared" si="48"/>
        <v>0</v>
      </c>
    </row>
    <row r="66" spans="1:31">
      <c r="A66" s="184" t="s">
        <v>425</v>
      </c>
      <c r="B66" s="185" t="s">
        <v>450</v>
      </c>
      <c r="C66" s="112">
        <v>5</v>
      </c>
      <c r="D66" s="103">
        <v>4650</v>
      </c>
      <c r="E66" s="102" t="s">
        <v>451</v>
      </c>
      <c r="F66" s="117">
        <v>2010</v>
      </c>
      <c r="G66" s="117">
        <v>65</v>
      </c>
      <c r="H66" s="128">
        <f>D66/E66</f>
        <v>2.2409638554216866</v>
      </c>
      <c r="I66" s="146">
        <v>2123.52</v>
      </c>
      <c r="J66" s="128"/>
      <c r="K66" s="103"/>
      <c r="L66" s="103"/>
      <c r="M66" s="146">
        <v>349.69</v>
      </c>
      <c r="N66" s="103">
        <f t="shared" si="44"/>
        <v>39.525000000000006</v>
      </c>
      <c r="O66" s="103">
        <v>7</v>
      </c>
      <c r="P66" s="103"/>
      <c r="Q66" s="103">
        <v>689.44</v>
      </c>
      <c r="R66" s="103"/>
      <c r="S66" s="103">
        <v>0</v>
      </c>
      <c r="T66" s="103"/>
      <c r="U66" s="103"/>
      <c r="V66" s="103"/>
      <c r="W66" s="103">
        <f t="shared" si="45"/>
        <v>220.50559999999999</v>
      </c>
      <c r="X66" s="152">
        <v>7.4899999999999994E-2</v>
      </c>
      <c r="Y66" s="153">
        <v>2944</v>
      </c>
      <c r="Z66" s="103">
        <v>90.57</v>
      </c>
      <c r="AA66" s="103">
        <f t="shared" si="46"/>
        <v>207.5</v>
      </c>
      <c r="AB66" s="154">
        <v>0.75</v>
      </c>
      <c r="AC66" s="103">
        <v>95</v>
      </c>
      <c r="AD66" s="103">
        <f t="shared" si="47"/>
        <v>-29.620600000000223</v>
      </c>
      <c r="AE66" s="103">
        <f t="shared" si="48"/>
        <v>1556.25</v>
      </c>
    </row>
    <row r="67" spans="1:31">
      <c r="A67" s="197"/>
      <c r="B67" s="188" t="s">
        <v>403</v>
      </c>
      <c r="C67" s="112"/>
      <c r="D67" s="103"/>
      <c r="E67" s="102"/>
      <c r="F67" s="117"/>
      <c r="G67" s="117"/>
      <c r="H67" s="128"/>
      <c r="I67" s="146"/>
      <c r="J67" s="128">
        <v>1.1000000000000001</v>
      </c>
      <c r="K67" s="103"/>
      <c r="L67" s="103"/>
      <c r="M67" s="146"/>
      <c r="N67" s="103">
        <f t="shared" si="44"/>
        <v>0</v>
      </c>
      <c r="O67" s="103">
        <v>7</v>
      </c>
      <c r="P67" s="103"/>
      <c r="Q67" s="103">
        <v>689.44</v>
      </c>
      <c r="R67" s="103"/>
      <c r="S67" s="103">
        <v>0</v>
      </c>
      <c r="T67" s="103"/>
      <c r="U67" s="103"/>
      <c r="V67" s="103"/>
      <c r="W67" s="103">
        <f t="shared" si="45"/>
        <v>0</v>
      </c>
      <c r="X67" s="152">
        <v>7.4899999999999994E-2</v>
      </c>
      <c r="Y67" s="153"/>
      <c r="Z67" s="103">
        <v>90.57</v>
      </c>
      <c r="AA67" s="103">
        <f t="shared" si="46"/>
        <v>0</v>
      </c>
      <c r="AB67" s="154"/>
      <c r="AC67" s="103">
        <v>95</v>
      </c>
      <c r="AD67" s="103">
        <f t="shared" si="47"/>
        <v>-883.11000000000013</v>
      </c>
      <c r="AE67" s="103">
        <f t="shared" si="48"/>
        <v>0</v>
      </c>
    </row>
    <row r="68" spans="1:31">
      <c r="A68" s="187"/>
      <c r="B68" s="185">
        <v>352375</v>
      </c>
      <c r="C68" s="112"/>
      <c r="D68" s="103"/>
      <c r="E68" s="102"/>
      <c r="F68" s="112"/>
      <c r="G68" s="112"/>
      <c r="H68" s="128"/>
      <c r="I68" s="146"/>
      <c r="J68" s="128"/>
      <c r="K68" s="103"/>
      <c r="L68" s="103"/>
      <c r="M68" s="146"/>
      <c r="N68" s="103">
        <f t="shared" si="44"/>
        <v>0</v>
      </c>
      <c r="O68" s="103">
        <v>7</v>
      </c>
      <c r="P68" s="103"/>
      <c r="Q68" s="103">
        <v>689.44</v>
      </c>
      <c r="R68" s="103"/>
      <c r="S68" s="103">
        <v>0</v>
      </c>
      <c r="T68" s="103"/>
      <c r="U68" s="103"/>
      <c r="V68" s="103"/>
      <c r="W68" s="103">
        <f t="shared" si="45"/>
        <v>0</v>
      </c>
      <c r="X68" s="152">
        <v>7.4899999999999994E-2</v>
      </c>
      <c r="Y68" s="153">
        <v>0</v>
      </c>
      <c r="Z68" s="103">
        <v>90.57</v>
      </c>
      <c r="AA68" s="103">
        <f t="shared" si="46"/>
        <v>0</v>
      </c>
      <c r="AB68" s="154"/>
      <c r="AC68" s="103">
        <v>95</v>
      </c>
      <c r="AD68" s="103">
        <f t="shared" si="47"/>
        <v>-882.01</v>
      </c>
      <c r="AE68" s="103">
        <f t="shared" si="48"/>
        <v>0</v>
      </c>
    </row>
    <row r="69" spans="1:31">
      <c r="A69" s="187" t="s">
        <v>427</v>
      </c>
      <c r="B69" s="185" t="s">
        <v>452</v>
      </c>
      <c r="C69" s="112">
        <v>7</v>
      </c>
      <c r="D69" s="103">
        <v>4600</v>
      </c>
      <c r="E69" s="102" t="s">
        <v>453</v>
      </c>
      <c r="F69" s="117">
        <v>2679</v>
      </c>
      <c r="G69" s="117">
        <v>68</v>
      </c>
      <c r="H69" s="128">
        <f t="shared" ref="H69:H70" si="49">D69/E69</f>
        <v>1.6745540589734256</v>
      </c>
      <c r="I69" s="146">
        <v>1954.03</v>
      </c>
      <c r="J69" s="128"/>
      <c r="K69" s="103"/>
      <c r="L69" s="103"/>
      <c r="M69" s="146">
        <v>159.91</v>
      </c>
      <c r="N69" s="103">
        <f t="shared" si="44"/>
        <v>39.1</v>
      </c>
      <c r="O69" s="103">
        <v>7</v>
      </c>
      <c r="P69" s="103"/>
      <c r="Q69" s="103">
        <v>689.44</v>
      </c>
      <c r="R69" s="103"/>
      <c r="S69" s="103">
        <v>0</v>
      </c>
      <c r="T69" s="103"/>
      <c r="U69" s="103"/>
      <c r="V69" s="103"/>
      <c r="W69" s="103">
        <f t="shared" si="45"/>
        <v>95.497499999999988</v>
      </c>
      <c r="X69" s="152">
        <v>7.4899999999999994E-2</v>
      </c>
      <c r="Y69" s="153">
        <v>1275</v>
      </c>
      <c r="Z69" s="103">
        <v>90.57</v>
      </c>
      <c r="AA69" s="103">
        <f t="shared" si="46"/>
        <v>274.7</v>
      </c>
      <c r="AB69" s="154">
        <v>0.75</v>
      </c>
      <c r="AC69" s="103">
        <v>95</v>
      </c>
      <c r="AD69" s="103">
        <f t="shared" si="47"/>
        <v>-545.67749999999978</v>
      </c>
      <c r="AE69" s="103">
        <f>AB69*E69+K69</f>
        <v>2060.25</v>
      </c>
    </row>
    <row r="70" spans="1:31">
      <c r="A70" s="187" t="s">
        <v>429</v>
      </c>
      <c r="B70" s="185">
        <v>352377</v>
      </c>
      <c r="C70" s="112">
        <v>3</v>
      </c>
      <c r="D70" s="103">
        <v>4150</v>
      </c>
      <c r="E70" s="102" t="s">
        <v>454</v>
      </c>
      <c r="F70" s="112">
        <v>1566</v>
      </c>
      <c r="G70" s="112">
        <v>381</v>
      </c>
      <c r="H70" s="128">
        <f t="shared" si="49"/>
        <v>2.1314843348741652</v>
      </c>
      <c r="I70" s="146">
        <v>1724.25</v>
      </c>
      <c r="J70" s="128">
        <v>27.98</v>
      </c>
      <c r="K70" s="103"/>
      <c r="L70" s="103"/>
      <c r="M70" s="146">
        <v>37.520000000000003</v>
      </c>
      <c r="N70" s="103">
        <f t="shared" si="44"/>
        <v>35.275000000000006</v>
      </c>
      <c r="O70" s="103">
        <v>7</v>
      </c>
      <c r="P70" s="103"/>
      <c r="Q70" s="103">
        <v>689.44</v>
      </c>
      <c r="R70" s="103"/>
      <c r="S70" s="103">
        <v>0</v>
      </c>
      <c r="T70" s="103"/>
      <c r="U70" s="103"/>
      <c r="V70" s="103"/>
      <c r="W70" s="103">
        <f t="shared" si="45"/>
        <v>149.05099999999999</v>
      </c>
      <c r="X70" s="152">
        <v>7.4899999999999994E-2</v>
      </c>
      <c r="Y70" s="153">
        <v>1990</v>
      </c>
      <c r="Z70" s="103">
        <v>90.57</v>
      </c>
      <c r="AA70" s="103">
        <f t="shared" si="46"/>
        <v>194.70000000000002</v>
      </c>
      <c r="AB70" s="154">
        <v>0.75</v>
      </c>
      <c r="AC70" s="103">
        <v>95</v>
      </c>
      <c r="AD70" s="103">
        <f>D70-I70-J70+M70-N70-O70-Q70-Z70-AA70-AC70-AE70-W70+K70</f>
        <v>-285.99600000000015</v>
      </c>
      <c r="AE70" s="103">
        <f t="shared" ref="AE70:AE71" si="50">AB70*E70</f>
        <v>1460.25</v>
      </c>
    </row>
    <row r="71" spans="1:31">
      <c r="A71" s="187"/>
      <c r="B71" s="185">
        <v>359885</v>
      </c>
      <c r="C71" s="112"/>
      <c r="D71" s="103"/>
      <c r="E71" s="102"/>
      <c r="F71" s="112"/>
      <c r="G71" s="112"/>
      <c r="H71" s="128"/>
      <c r="I71" s="146"/>
      <c r="J71" s="128">
        <v>30.15</v>
      </c>
      <c r="K71" s="103"/>
      <c r="L71" s="103"/>
      <c r="M71" s="146"/>
      <c r="N71" s="103">
        <f t="shared" si="44"/>
        <v>0</v>
      </c>
      <c r="O71" s="103">
        <v>7</v>
      </c>
      <c r="P71" s="103"/>
      <c r="Q71" s="103">
        <v>689.44</v>
      </c>
      <c r="R71" s="103"/>
      <c r="S71" s="103">
        <v>0</v>
      </c>
      <c r="T71" s="103"/>
      <c r="U71" s="103"/>
      <c r="V71" s="103"/>
      <c r="W71" s="103">
        <f t="shared" si="45"/>
        <v>99.467199999999991</v>
      </c>
      <c r="X71" s="152">
        <v>7.4899999999999994E-2</v>
      </c>
      <c r="Y71" s="153">
        <v>1328</v>
      </c>
      <c r="Z71" s="103">
        <v>90.57</v>
      </c>
      <c r="AA71" s="103">
        <f t="shared" si="46"/>
        <v>0</v>
      </c>
      <c r="AB71" s="154"/>
      <c r="AC71" s="103">
        <v>95</v>
      </c>
      <c r="AD71" s="103">
        <f t="shared" ref="AD71:AD73" si="51">D71-I71-J71+M71-N71-O71-Q71-Z71-AA71-AC71-AE71-W71</f>
        <v>-1011.6272000000001</v>
      </c>
      <c r="AE71" s="103">
        <f t="shared" si="50"/>
        <v>0</v>
      </c>
    </row>
    <row r="72" spans="1:31">
      <c r="A72" s="184"/>
      <c r="B72" s="185">
        <v>359886</v>
      </c>
      <c r="C72" s="112"/>
      <c r="D72" s="103"/>
      <c r="E72" s="102"/>
      <c r="F72" s="112"/>
      <c r="G72" s="112"/>
      <c r="H72" s="128"/>
      <c r="I72" s="146"/>
      <c r="J72" s="128"/>
      <c r="K72" s="103"/>
      <c r="L72" s="103"/>
      <c r="M72" s="146"/>
      <c r="N72" s="103">
        <f t="shared" si="44"/>
        <v>0</v>
      </c>
      <c r="O72" s="103">
        <v>7</v>
      </c>
      <c r="P72" s="103"/>
      <c r="Q72" s="103">
        <v>689.44</v>
      </c>
      <c r="R72" s="103"/>
      <c r="S72" s="103">
        <v>0</v>
      </c>
      <c r="T72" s="103"/>
      <c r="U72" s="103"/>
      <c r="V72" s="103"/>
      <c r="W72" s="103">
        <f t="shared" si="45"/>
        <v>5.2429999999999994</v>
      </c>
      <c r="X72" s="152">
        <v>7.4899999999999994E-2</v>
      </c>
      <c r="Y72" s="153">
        <v>70</v>
      </c>
      <c r="Z72" s="103">
        <v>90.57</v>
      </c>
      <c r="AA72" s="103">
        <f t="shared" si="46"/>
        <v>0</v>
      </c>
      <c r="AB72" s="154"/>
      <c r="AC72" s="103">
        <v>95</v>
      </c>
      <c r="AD72" s="103">
        <f t="shared" si="51"/>
        <v>-887.25300000000004</v>
      </c>
      <c r="AE72" s="103">
        <f>AB66*E72+K72</f>
        <v>0</v>
      </c>
    </row>
    <row r="73" spans="1:31">
      <c r="A73" s="190" t="s">
        <v>431</v>
      </c>
      <c r="B73" s="185">
        <v>465180</v>
      </c>
      <c r="C73" s="112">
        <v>7</v>
      </c>
      <c r="D73" s="103">
        <v>5000</v>
      </c>
      <c r="E73" s="102" t="s">
        <v>455</v>
      </c>
      <c r="F73" s="112">
        <v>2192</v>
      </c>
      <c r="G73" s="112">
        <v>201</v>
      </c>
      <c r="H73" s="128">
        <f>D73/E73</f>
        <v>2.0894274968658588</v>
      </c>
      <c r="I73" s="146">
        <v>1480.17</v>
      </c>
      <c r="J73" s="128">
        <v>38.35</v>
      </c>
      <c r="K73" s="103"/>
      <c r="L73" s="103"/>
      <c r="M73" s="146">
        <v>288.29000000000002</v>
      </c>
      <c r="N73" s="103">
        <f t="shared" si="44"/>
        <v>42.5</v>
      </c>
      <c r="O73" s="103">
        <v>7</v>
      </c>
      <c r="P73" s="103"/>
      <c r="Q73" s="103">
        <v>789.51</v>
      </c>
      <c r="R73" s="103"/>
      <c r="S73" s="103">
        <v>0</v>
      </c>
      <c r="T73" s="103"/>
      <c r="U73" s="103"/>
      <c r="V73" s="103"/>
      <c r="W73" s="103">
        <f t="shared" si="45"/>
        <v>187.38460000000001</v>
      </c>
      <c r="X73" s="152">
        <v>7.4300000000000005E-2</v>
      </c>
      <c r="Y73" s="153">
        <v>2522</v>
      </c>
      <c r="Z73" s="103">
        <v>90.57</v>
      </c>
      <c r="AA73" s="103">
        <f t="shared" si="46"/>
        <v>239.3</v>
      </c>
      <c r="AB73" s="154">
        <v>0.75</v>
      </c>
      <c r="AC73" s="103">
        <v>95</v>
      </c>
      <c r="AD73" s="103">
        <f t="shared" si="51"/>
        <v>523.7553999999999</v>
      </c>
      <c r="AE73" s="103">
        <f>AB73*E73</f>
        <v>1794.75</v>
      </c>
    </row>
    <row r="74" spans="1:31">
      <c r="A74" s="197"/>
      <c r="B74" s="185">
        <v>465181</v>
      </c>
      <c r="C74" s="117"/>
      <c r="D74" s="103"/>
      <c r="E74" s="102"/>
      <c r="F74" s="112"/>
      <c r="G74" s="112"/>
      <c r="H74" s="128"/>
      <c r="I74" s="146"/>
      <c r="J74" s="128">
        <v>7.6</v>
      </c>
      <c r="K74" s="128"/>
      <c r="L74" s="128"/>
      <c r="M74" s="146"/>
      <c r="N74" s="103">
        <f t="shared" si="44"/>
        <v>0</v>
      </c>
      <c r="O74" s="103">
        <v>7</v>
      </c>
      <c r="P74" s="103"/>
      <c r="Q74" s="103">
        <v>789.51</v>
      </c>
      <c r="R74" s="103"/>
      <c r="S74" s="103">
        <v>0</v>
      </c>
      <c r="T74" s="103"/>
      <c r="U74" s="103"/>
      <c r="V74" s="103"/>
      <c r="W74" s="103">
        <f t="shared" si="45"/>
        <v>0</v>
      </c>
      <c r="X74" s="152">
        <v>7.4300000000000005E-2</v>
      </c>
      <c r="Y74" s="153">
        <v>0</v>
      </c>
      <c r="Z74" s="103">
        <v>90.57</v>
      </c>
      <c r="AA74" s="103">
        <f t="shared" si="46"/>
        <v>0</v>
      </c>
      <c r="AB74" s="154"/>
      <c r="AC74" s="103">
        <v>95</v>
      </c>
      <c r="AD74" s="103">
        <f>D74-I74-J74+M74-N74-O74-Q74-Z74-AA74-AC74-AE74-W74-K74-L74</f>
        <v>-989.68000000000006</v>
      </c>
      <c r="AE74" s="103">
        <f t="shared" ref="AE74:AE75" si="52">AB74*E74+K74+L74</f>
        <v>0</v>
      </c>
    </row>
    <row r="75" spans="1:31">
      <c r="A75" s="187" t="s">
        <v>432</v>
      </c>
      <c r="B75" s="185">
        <v>465182</v>
      </c>
      <c r="C75" s="112">
        <v>4</v>
      </c>
      <c r="D75" s="103">
        <v>6540</v>
      </c>
      <c r="E75" s="102" t="s">
        <v>406</v>
      </c>
      <c r="F75" s="112">
        <v>3084</v>
      </c>
      <c r="G75" s="112">
        <v>75</v>
      </c>
      <c r="H75" s="128">
        <f t="shared" ref="H75:H80" si="53">D75/E75</f>
        <v>2.0702754036087367</v>
      </c>
      <c r="I75" s="146">
        <v>2060.2199999999998</v>
      </c>
      <c r="J75" s="128">
        <v>16.04</v>
      </c>
      <c r="K75" s="128"/>
      <c r="L75" s="128"/>
      <c r="M75" s="146">
        <v>30.61</v>
      </c>
      <c r="N75" s="103">
        <f t="shared" si="44"/>
        <v>55.59</v>
      </c>
      <c r="O75" s="103">
        <v>7</v>
      </c>
      <c r="P75" s="103"/>
      <c r="Q75" s="103">
        <v>789.51</v>
      </c>
      <c r="R75" s="103"/>
      <c r="S75" s="103">
        <v>0</v>
      </c>
      <c r="T75" s="103"/>
      <c r="U75" s="103"/>
      <c r="V75" s="103"/>
      <c r="W75" s="103">
        <f t="shared" si="45"/>
        <v>218.8135</v>
      </c>
      <c r="X75" s="152">
        <v>7.4300000000000005E-2</v>
      </c>
      <c r="Y75" s="153">
        <v>2945</v>
      </c>
      <c r="Z75" s="103">
        <v>90.57</v>
      </c>
      <c r="AA75" s="103">
        <f t="shared" si="46"/>
        <v>315.90000000000003</v>
      </c>
      <c r="AB75" s="154">
        <v>0.8</v>
      </c>
      <c r="AC75" s="103">
        <v>95</v>
      </c>
      <c r="AD75" s="103">
        <f>D75-I75-J75+M75-N75-O75-Q75-Z75-AA75-AC75-AE75-W75</f>
        <v>394.7664999999995</v>
      </c>
      <c r="AE75" s="103">
        <f t="shared" si="52"/>
        <v>2527.2000000000003</v>
      </c>
    </row>
    <row r="76" spans="1:31">
      <c r="A76" s="190" t="s">
        <v>434</v>
      </c>
      <c r="B76" s="185">
        <v>465183</v>
      </c>
      <c r="C76" s="117">
        <v>7</v>
      </c>
      <c r="D76" s="103">
        <v>5100</v>
      </c>
      <c r="E76" s="102" t="s">
        <v>456</v>
      </c>
      <c r="F76" s="112">
        <v>2236</v>
      </c>
      <c r="G76" s="112">
        <v>341</v>
      </c>
      <c r="H76" s="128">
        <f t="shared" si="53"/>
        <v>1.979045401629802</v>
      </c>
      <c r="I76" s="146">
        <v>2261.35</v>
      </c>
      <c r="J76" s="128"/>
      <c r="K76" s="128">
        <v>200</v>
      </c>
      <c r="L76" s="128"/>
      <c r="M76" s="146">
        <v>400.74</v>
      </c>
      <c r="N76" s="103">
        <f t="shared" si="44"/>
        <v>43.35</v>
      </c>
      <c r="O76" s="103">
        <v>7</v>
      </c>
      <c r="P76" s="103"/>
      <c r="Q76" s="103">
        <v>789.51</v>
      </c>
      <c r="R76" s="103"/>
      <c r="S76" s="103">
        <v>0</v>
      </c>
      <c r="T76" s="103"/>
      <c r="U76" s="103"/>
      <c r="V76" s="103"/>
      <c r="W76" s="103">
        <f t="shared" si="45"/>
        <v>197.19220000000001</v>
      </c>
      <c r="X76" s="152">
        <v>7.4300000000000005E-2</v>
      </c>
      <c r="Y76" s="153">
        <v>2654</v>
      </c>
      <c r="Z76" s="103">
        <v>90.57</v>
      </c>
      <c r="AA76" s="103">
        <f t="shared" si="46"/>
        <v>257.7</v>
      </c>
      <c r="AB76" s="154">
        <v>0.8</v>
      </c>
      <c r="AC76" s="103">
        <v>95</v>
      </c>
      <c r="AD76" s="103">
        <f>D76-I76-J76+M76-N76-O76-Q76-Z76-AA76-AC76-AE76-W76-K76</f>
        <v>-702.53219999999919</v>
      </c>
      <c r="AE76" s="103">
        <f>AB76*E76+K76</f>
        <v>2261.6</v>
      </c>
    </row>
    <row r="77" spans="1:31">
      <c r="A77" s="190" t="s">
        <v>435</v>
      </c>
      <c r="B77" s="185">
        <v>465184</v>
      </c>
      <c r="C77" s="117">
        <v>7</v>
      </c>
      <c r="D77" s="103">
        <v>4907</v>
      </c>
      <c r="E77" s="102" t="s">
        <v>457</v>
      </c>
      <c r="F77" s="112">
        <v>1859</v>
      </c>
      <c r="G77" s="112">
        <v>725</v>
      </c>
      <c r="H77" s="128">
        <f t="shared" si="53"/>
        <v>1.8989938080495357</v>
      </c>
      <c r="I77" s="146">
        <v>2094.59</v>
      </c>
      <c r="J77" s="128">
        <v>131.68</v>
      </c>
      <c r="K77" s="128">
        <v>200</v>
      </c>
      <c r="L77" s="128"/>
      <c r="M77" s="146">
        <v>50.61</v>
      </c>
      <c r="N77" s="103">
        <f t="shared" si="44"/>
        <v>41.709500000000006</v>
      </c>
      <c r="O77" s="103">
        <v>7</v>
      </c>
      <c r="P77" s="103"/>
      <c r="Q77" s="103">
        <v>789.51</v>
      </c>
      <c r="R77" s="103"/>
      <c r="S77" s="103">
        <v>0</v>
      </c>
      <c r="T77" s="103"/>
      <c r="U77" s="103"/>
      <c r="V77" s="103"/>
      <c r="W77" s="103">
        <f t="shared" si="45"/>
        <v>190.5052</v>
      </c>
      <c r="X77" s="152">
        <v>7.4300000000000005E-2</v>
      </c>
      <c r="Y77" s="153">
        <v>2564</v>
      </c>
      <c r="Z77" s="103">
        <v>90.57</v>
      </c>
      <c r="AA77" s="103">
        <f t="shared" si="46"/>
        <v>258.40000000000003</v>
      </c>
      <c r="AB77" s="154">
        <v>0.8</v>
      </c>
      <c r="AC77" s="103">
        <v>95</v>
      </c>
      <c r="AD77" s="103">
        <f t="shared" ref="AD77:AD82" si="54">D77-I77-J77+M77-N77-O77-Q77-Z77-AA77-AC77-AE77-W77</f>
        <v>-808.55470000000014</v>
      </c>
      <c r="AE77" s="103">
        <f>AB77*E77</f>
        <v>2067.2000000000003</v>
      </c>
    </row>
    <row r="78" spans="1:31">
      <c r="A78" s="187" t="s">
        <v>458</v>
      </c>
      <c r="B78" s="185">
        <v>465185</v>
      </c>
      <c r="C78" s="117">
        <v>3</v>
      </c>
      <c r="D78" s="103">
        <v>2400</v>
      </c>
      <c r="E78" s="102" t="s">
        <v>459</v>
      </c>
      <c r="F78" s="112">
        <v>1301</v>
      </c>
      <c r="G78" s="112">
        <v>156</v>
      </c>
      <c r="H78" s="128">
        <f t="shared" si="53"/>
        <v>1.6472203157172272</v>
      </c>
      <c r="I78" s="146">
        <v>1003.98</v>
      </c>
      <c r="J78" s="128"/>
      <c r="K78" s="128"/>
      <c r="L78" s="128"/>
      <c r="M78" s="146">
        <v>202.56</v>
      </c>
      <c r="N78" s="103">
        <f t="shared" si="44"/>
        <v>20.400000000000002</v>
      </c>
      <c r="O78" s="103">
        <v>7</v>
      </c>
      <c r="P78" s="103"/>
      <c r="Q78" s="103">
        <v>789.51</v>
      </c>
      <c r="R78" s="103"/>
      <c r="S78" s="103">
        <v>0</v>
      </c>
      <c r="T78" s="103"/>
      <c r="U78" s="103"/>
      <c r="V78" s="103"/>
      <c r="W78" s="103">
        <f t="shared" si="45"/>
        <v>109.51820000000001</v>
      </c>
      <c r="X78" s="152">
        <v>7.4300000000000005E-2</v>
      </c>
      <c r="Y78" s="153">
        <v>1474</v>
      </c>
      <c r="Z78" s="103">
        <v>90.57</v>
      </c>
      <c r="AA78" s="103">
        <f t="shared" si="46"/>
        <v>145.70000000000002</v>
      </c>
      <c r="AB78" s="154">
        <v>0.75</v>
      </c>
      <c r="AC78" s="103">
        <v>95</v>
      </c>
      <c r="AD78" s="103">
        <f t="shared" si="54"/>
        <v>-751.86820000000012</v>
      </c>
      <c r="AE78" s="103">
        <f t="shared" ref="AE78:AE79" si="55">AB78*E78+K78</f>
        <v>1092.75</v>
      </c>
    </row>
    <row r="79" spans="1:31">
      <c r="A79" s="187" t="s">
        <v>437</v>
      </c>
      <c r="B79" s="185">
        <v>465186</v>
      </c>
      <c r="C79" s="112">
        <v>7</v>
      </c>
      <c r="D79" s="103">
        <v>8200</v>
      </c>
      <c r="E79" s="102" t="s">
        <v>460</v>
      </c>
      <c r="F79" s="112">
        <v>3696</v>
      </c>
      <c r="G79" s="112">
        <v>154</v>
      </c>
      <c r="H79" s="128">
        <f t="shared" si="53"/>
        <v>2.1298701298701297</v>
      </c>
      <c r="I79" s="146">
        <v>2835.75</v>
      </c>
      <c r="J79" s="128">
        <v>149.59</v>
      </c>
      <c r="K79" s="128"/>
      <c r="L79" s="128"/>
      <c r="M79" s="146">
        <v>38.200000000000003</v>
      </c>
      <c r="N79" s="103">
        <f t="shared" si="44"/>
        <v>69.7</v>
      </c>
      <c r="O79" s="103">
        <v>7</v>
      </c>
      <c r="P79" s="103"/>
      <c r="Q79" s="103">
        <v>789.51</v>
      </c>
      <c r="R79" s="103"/>
      <c r="S79" s="103">
        <v>0</v>
      </c>
      <c r="T79" s="103"/>
      <c r="U79" s="103"/>
      <c r="V79" s="103"/>
      <c r="W79" s="103">
        <f t="shared" si="45"/>
        <v>304.40710000000001</v>
      </c>
      <c r="X79" s="152">
        <v>7.4300000000000005E-2</v>
      </c>
      <c r="Y79" s="153">
        <v>4097</v>
      </c>
      <c r="Z79" s="103">
        <v>90.57</v>
      </c>
      <c r="AA79" s="103">
        <f t="shared" si="46"/>
        <v>385</v>
      </c>
      <c r="AB79" s="154">
        <v>0.7</v>
      </c>
      <c r="AC79" s="103">
        <v>95</v>
      </c>
      <c r="AD79" s="103">
        <f t="shared" si="54"/>
        <v>816.67289999999991</v>
      </c>
      <c r="AE79" s="103">
        <f t="shared" si="55"/>
        <v>2695</v>
      </c>
    </row>
    <row r="80" spans="1:31">
      <c r="A80" s="187" t="s">
        <v>439</v>
      </c>
      <c r="B80" s="185">
        <v>465187</v>
      </c>
      <c r="C80" s="117">
        <v>4</v>
      </c>
      <c r="D80" s="103">
        <v>5900</v>
      </c>
      <c r="E80" s="102" t="s">
        <v>461</v>
      </c>
      <c r="F80" s="112">
        <v>2985</v>
      </c>
      <c r="G80" s="112">
        <v>168</v>
      </c>
      <c r="H80" s="128">
        <f t="shared" si="53"/>
        <v>1.871233745639074</v>
      </c>
      <c r="I80" s="146">
        <v>1808.98</v>
      </c>
      <c r="J80" s="128">
        <v>14.96</v>
      </c>
      <c r="K80" s="128"/>
      <c r="L80" s="128"/>
      <c r="M80" s="146">
        <v>121.74</v>
      </c>
      <c r="N80" s="103">
        <f t="shared" si="44"/>
        <v>50.150000000000006</v>
      </c>
      <c r="O80" s="103">
        <v>7</v>
      </c>
      <c r="P80" s="103"/>
      <c r="Q80" s="103">
        <v>789.51</v>
      </c>
      <c r="R80" s="103"/>
      <c r="S80" s="103">
        <v>0</v>
      </c>
      <c r="T80" s="103"/>
      <c r="U80" s="103"/>
      <c r="V80" s="103"/>
      <c r="W80" s="103">
        <f t="shared" si="45"/>
        <v>236.27400000000003</v>
      </c>
      <c r="X80" s="152">
        <v>7.4300000000000005E-2</v>
      </c>
      <c r="Y80" s="153">
        <v>3180</v>
      </c>
      <c r="Z80" s="103">
        <v>90.57</v>
      </c>
      <c r="AA80" s="103">
        <f t="shared" si="46"/>
        <v>315.3</v>
      </c>
      <c r="AB80" s="154">
        <v>0.8</v>
      </c>
      <c r="AC80" s="103">
        <v>95</v>
      </c>
      <c r="AD80" s="103">
        <f t="shared" si="54"/>
        <v>91.595999999999862</v>
      </c>
      <c r="AE80" s="103">
        <f t="shared" ref="AE80:AE82" si="56">AB80*E80</f>
        <v>2522.4</v>
      </c>
    </row>
    <row r="81" spans="1:31">
      <c r="A81" s="196"/>
      <c r="B81" s="185">
        <v>465188</v>
      </c>
      <c r="C81" s="112"/>
      <c r="D81" s="103"/>
      <c r="E81" s="102"/>
      <c r="F81" s="117"/>
      <c r="G81" s="117"/>
      <c r="H81" s="128"/>
      <c r="I81" s="146"/>
      <c r="J81" s="128">
        <f>211.93+61.7</f>
        <v>273.63</v>
      </c>
      <c r="K81" s="128"/>
      <c r="L81" s="128"/>
      <c r="M81" s="146"/>
      <c r="N81" s="103">
        <f t="shared" si="44"/>
        <v>0</v>
      </c>
      <c r="O81" s="103">
        <v>7</v>
      </c>
      <c r="P81" s="103"/>
      <c r="Q81" s="103">
        <v>789.51</v>
      </c>
      <c r="R81" s="103"/>
      <c r="S81" s="103">
        <v>0</v>
      </c>
      <c r="T81" s="103"/>
      <c r="U81" s="103"/>
      <c r="V81" s="103"/>
      <c r="W81" s="103">
        <f t="shared" si="45"/>
        <v>146.5196</v>
      </c>
      <c r="X81" s="152">
        <v>7.4300000000000005E-2</v>
      </c>
      <c r="Y81" s="153">
        <v>1972</v>
      </c>
      <c r="Z81" s="103">
        <v>90.57</v>
      </c>
      <c r="AA81" s="103">
        <f t="shared" si="46"/>
        <v>0</v>
      </c>
      <c r="AB81" s="154"/>
      <c r="AC81" s="103">
        <v>95</v>
      </c>
      <c r="AD81" s="103">
        <f t="shared" si="54"/>
        <v>-1402.2295999999999</v>
      </c>
      <c r="AE81" s="103">
        <f t="shared" si="56"/>
        <v>0</v>
      </c>
    </row>
    <row r="82" spans="1:31">
      <c r="A82" s="184"/>
      <c r="B82" s="185">
        <v>465189</v>
      </c>
      <c r="C82" s="112"/>
      <c r="D82" s="103"/>
      <c r="E82" s="102"/>
      <c r="F82" s="117"/>
      <c r="G82" s="117"/>
      <c r="H82" s="128"/>
      <c r="I82" s="146"/>
      <c r="J82" s="128"/>
      <c r="K82" s="103"/>
      <c r="L82" s="103"/>
      <c r="M82" s="146"/>
      <c r="N82" s="103">
        <f t="shared" si="44"/>
        <v>0</v>
      </c>
      <c r="O82" s="103">
        <v>7</v>
      </c>
      <c r="P82" s="103"/>
      <c r="Q82" s="103">
        <v>789.51</v>
      </c>
      <c r="R82" s="103"/>
      <c r="S82" s="103">
        <v>0</v>
      </c>
      <c r="T82" s="103"/>
      <c r="U82" s="103"/>
      <c r="V82" s="103"/>
      <c r="W82" s="103">
        <f t="shared" si="45"/>
        <v>0</v>
      </c>
      <c r="X82" s="152">
        <v>7.4300000000000005E-2</v>
      </c>
      <c r="Y82" s="155"/>
      <c r="Z82" s="103">
        <v>90.57</v>
      </c>
      <c r="AA82" s="103">
        <f t="shared" si="46"/>
        <v>0</v>
      </c>
      <c r="AB82" s="154"/>
      <c r="AC82" s="103">
        <v>95</v>
      </c>
      <c r="AD82" s="103">
        <f t="shared" si="54"/>
        <v>-982.07999999999993</v>
      </c>
      <c r="AE82" s="103">
        <f t="shared" si="56"/>
        <v>0</v>
      </c>
    </row>
    <row r="83" spans="1:31">
      <c r="A83" s="134" t="s">
        <v>462</v>
      </c>
      <c r="B83" s="135" t="s">
        <v>399</v>
      </c>
      <c r="C83" s="158">
        <v>5</v>
      </c>
      <c r="D83" s="139">
        <v>3900</v>
      </c>
      <c r="E83" s="136">
        <v>2451</v>
      </c>
      <c r="F83" s="193"/>
      <c r="G83" s="193"/>
      <c r="H83" s="128">
        <f t="shared" ref="H83:H85" si="57">D83/E83</f>
        <v>1.5911872705018359</v>
      </c>
      <c r="I83" s="139">
        <v>1780.53</v>
      </c>
      <c r="J83" s="139">
        <v>205.82</v>
      </c>
      <c r="K83" s="139"/>
      <c r="L83" s="139"/>
      <c r="M83" s="139">
        <v>229.34</v>
      </c>
      <c r="N83" s="139">
        <f t="shared" si="44"/>
        <v>33.150000000000006</v>
      </c>
      <c r="O83" s="139">
        <v>0</v>
      </c>
      <c r="P83" s="139"/>
      <c r="Q83" s="139">
        <v>0</v>
      </c>
      <c r="R83" s="139">
        <v>0</v>
      </c>
      <c r="S83" s="139">
        <v>0</v>
      </c>
      <c r="T83" s="139">
        <v>0</v>
      </c>
      <c r="U83" s="139"/>
      <c r="V83" s="139">
        <v>0</v>
      </c>
      <c r="W83" s="139">
        <v>0</v>
      </c>
      <c r="X83" s="159">
        <v>0</v>
      </c>
      <c r="Y83" s="136">
        <v>2451</v>
      </c>
      <c r="Z83" s="139">
        <v>0</v>
      </c>
      <c r="AA83" s="139">
        <f t="shared" si="46"/>
        <v>245.10000000000002</v>
      </c>
      <c r="AB83" s="160">
        <v>0.85</v>
      </c>
      <c r="AC83" s="139">
        <v>95</v>
      </c>
      <c r="AD83" s="139">
        <f>D83*0.15-AA83-N83</f>
        <v>306.75</v>
      </c>
      <c r="AE83" s="139">
        <f>D83*0.85-I83-J83+M83</f>
        <v>1557.99</v>
      </c>
    </row>
    <row r="84" spans="1:31">
      <c r="A84" s="134" t="s">
        <v>463</v>
      </c>
      <c r="B84" s="135" t="s">
        <v>362</v>
      </c>
      <c r="C84" s="158">
        <v>7</v>
      </c>
      <c r="D84" s="139">
        <v>9884</v>
      </c>
      <c r="E84" s="136">
        <v>4416</v>
      </c>
      <c r="F84" s="193"/>
      <c r="G84" s="193"/>
      <c r="H84" s="128">
        <f t="shared" si="57"/>
        <v>2.2382246376811592</v>
      </c>
      <c r="I84" s="139">
        <v>2597.58</v>
      </c>
      <c r="J84" s="139">
        <v>46.64</v>
      </c>
      <c r="K84" s="139"/>
      <c r="L84" s="139"/>
      <c r="M84" s="139">
        <v>124.78</v>
      </c>
      <c r="N84" s="139">
        <f t="shared" si="44"/>
        <v>84.01400000000001</v>
      </c>
      <c r="O84" s="139">
        <v>7</v>
      </c>
      <c r="P84" s="139"/>
      <c r="Q84" s="139">
        <v>0</v>
      </c>
      <c r="R84" s="139">
        <v>50</v>
      </c>
      <c r="S84" s="139">
        <v>199</v>
      </c>
      <c r="T84" s="139">
        <v>30</v>
      </c>
      <c r="U84" s="139"/>
      <c r="V84" s="139">
        <v>300</v>
      </c>
      <c r="W84" s="139">
        <v>0</v>
      </c>
      <c r="X84" s="159">
        <v>0</v>
      </c>
      <c r="Y84" s="136">
        <v>4416</v>
      </c>
      <c r="Z84" s="139">
        <v>0</v>
      </c>
      <c r="AA84" s="139">
        <f t="shared" si="46"/>
        <v>441.6</v>
      </c>
      <c r="AB84" s="160">
        <v>0.87</v>
      </c>
      <c r="AC84" s="139">
        <v>95</v>
      </c>
      <c r="AD84" s="139">
        <f>D84*0.13+V84+T84+S84+R84-AA84-N84</f>
        <v>1338.306</v>
      </c>
      <c r="AE84" s="139">
        <f>D84*0.87-I84-J84-R84-S84-T84-V84</f>
        <v>5375.86</v>
      </c>
    </row>
    <row r="85" spans="1:31">
      <c r="A85" s="134" t="s">
        <v>464</v>
      </c>
      <c r="B85" s="134">
        <v>1118</v>
      </c>
      <c r="C85" s="158">
        <v>6</v>
      </c>
      <c r="D85" s="139">
        <v>4225</v>
      </c>
      <c r="E85" s="136">
        <v>2424</v>
      </c>
      <c r="F85" s="136"/>
      <c r="G85" s="136"/>
      <c r="H85" s="128">
        <f t="shared" si="57"/>
        <v>1.7429867986798679</v>
      </c>
      <c r="I85" s="139">
        <v>1512.04</v>
      </c>
      <c r="J85" s="139">
        <v>36.99</v>
      </c>
      <c r="K85" s="139"/>
      <c r="L85" s="139"/>
      <c r="M85" s="139">
        <v>0</v>
      </c>
      <c r="N85" s="139">
        <f t="shared" si="44"/>
        <v>35.912500000000001</v>
      </c>
      <c r="O85" s="139">
        <v>0</v>
      </c>
      <c r="P85" s="139"/>
      <c r="Q85" s="139">
        <v>0</v>
      </c>
      <c r="R85" s="139">
        <v>0</v>
      </c>
      <c r="S85" s="139">
        <v>0</v>
      </c>
      <c r="T85" s="139">
        <v>0</v>
      </c>
      <c r="U85" s="139"/>
      <c r="V85" s="139">
        <v>0</v>
      </c>
      <c r="W85" s="139">
        <v>0</v>
      </c>
      <c r="X85" s="159">
        <v>0</v>
      </c>
      <c r="Y85" s="136">
        <v>2424</v>
      </c>
      <c r="Z85" s="139">
        <v>0</v>
      </c>
      <c r="AA85" s="139">
        <f t="shared" si="46"/>
        <v>242.4</v>
      </c>
      <c r="AB85" s="160">
        <v>0.8</v>
      </c>
      <c r="AC85" s="139">
        <v>95</v>
      </c>
      <c r="AD85" s="139">
        <f>D85*0.2-AA85-N85-K85-AC85</f>
        <v>471.6875</v>
      </c>
      <c r="AE85" s="139">
        <f>D85*AB85-I85-J85</f>
        <v>1830.97</v>
      </c>
    </row>
    <row r="86" spans="1:31">
      <c r="A86" s="199" t="s">
        <v>465</v>
      </c>
      <c r="B86" s="134" t="s">
        <v>369</v>
      </c>
      <c r="C86" s="158"/>
      <c r="D86" s="139">
        <v>0</v>
      </c>
      <c r="E86" s="136"/>
      <c r="F86" s="136"/>
      <c r="G86" s="136"/>
      <c r="H86" s="136"/>
      <c r="I86" s="139"/>
      <c r="J86" s="139">
        <v>5.36</v>
      </c>
      <c r="K86" s="139"/>
      <c r="L86" s="139"/>
      <c r="M86" s="139"/>
      <c r="N86" s="139">
        <f t="shared" si="44"/>
        <v>0</v>
      </c>
      <c r="O86" s="139">
        <v>7</v>
      </c>
      <c r="P86" s="139"/>
      <c r="Q86" s="139">
        <v>0</v>
      </c>
      <c r="R86" s="139">
        <v>50</v>
      </c>
      <c r="S86" s="139">
        <v>199</v>
      </c>
      <c r="T86" s="139">
        <v>30</v>
      </c>
      <c r="U86" s="139"/>
      <c r="V86" s="139">
        <v>300</v>
      </c>
      <c r="W86" s="139">
        <v>0</v>
      </c>
      <c r="X86" s="159">
        <v>0</v>
      </c>
      <c r="Y86" s="136"/>
      <c r="Z86" s="139">
        <v>0</v>
      </c>
      <c r="AA86" s="139">
        <f t="shared" si="46"/>
        <v>0</v>
      </c>
      <c r="AB86" s="160">
        <v>0.89</v>
      </c>
      <c r="AC86" s="139">
        <v>95</v>
      </c>
      <c r="AD86" s="139">
        <f>D86*0.11-AC86-AA86+V86+T86+S86+R86-N86</f>
        <v>484</v>
      </c>
      <c r="AE86" s="139">
        <f>D86*AB86-I86-J86-R86-S86-T86-V86</f>
        <v>-584.36</v>
      </c>
    </row>
    <row r="87" spans="1:31">
      <c r="A87" s="134" t="s">
        <v>466</v>
      </c>
      <c r="B87" s="134">
        <v>2013</v>
      </c>
      <c r="C87" s="158">
        <v>3</v>
      </c>
      <c r="D87" s="139">
        <v>5450</v>
      </c>
      <c r="E87" s="136">
        <v>2872</v>
      </c>
      <c r="F87" s="136"/>
      <c r="G87" s="136"/>
      <c r="H87" s="128">
        <f t="shared" ref="H87:H88" si="58">D87/E87</f>
        <v>1.8976323119777159</v>
      </c>
      <c r="I87" s="139">
        <v>1803.07</v>
      </c>
      <c r="J87" s="139">
        <v>50.56</v>
      </c>
      <c r="K87" s="139"/>
      <c r="L87" s="139"/>
      <c r="M87" s="139">
        <v>20.53</v>
      </c>
      <c r="N87" s="139">
        <f t="shared" si="44"/>
        <v>46.325000000000003</v>
      </c>
      <c r="O87" s="139">
        <v>0</v>
      </c>
      <c r="P87" s="139"/>
      <c r="Q87" s="139">
        <v>0</v>
      </c>
      <c r="R87" s="139">
        <v>50</v>
      </c>
      <c r="S87" s="139">
        <v>199</v>
      </c>
      <c r="T87" s="139">
        <v>30</v>
      </c>
      <c r="U87" s="139"/>
      <c r="V87" s="139">
        <v>300</v>
      </c>
      <c r="W87" s="139">
        <v>0</v>
      </c>
      <c r="X87" s="159">
        <v>0</v>
      </c>
      <c r="Y87" s="136">
        <v>2872</v>
      </c>
      <c r="Z87" s="139">
        <v>0</v>
      </c>
      <c r="AA87" s="139">
        <f t="shared" si="46"/>
        <v>287.2</v>
      </c>
      <c r="AB87" s="160">
        <v>0.87</v>
      </c>
      <c r="AC87" s="139">
        <v>95</v>
      </c>
      <c r="AD87" s="139">
        <f>D87*0.13+V87+T87+S87+R87-AA87-N87</f>
        <v>953.97499999999991</v>
      </c>
      <c r="AE87" s="139">
        <f t="shared" ref="AE87:AE88" si="59">D87*AB87-I87-J87-V87-T87-S87-R87</f>
        <v>2308.8700000000003</v>
      </c>
    </row>
    <row r="88" spans="1:31">
      <c r="A88" s="134" t="s">
        <v>467</v>
      </c>
      <c r="B88" s="134">
        <v>1122</v>
      </c>
      <c r="C88" s="158">
        <v>4</v>
      </c>
      <c r="D88" s="139">
        <v>3400</v>
      </c>
      <c r="E88" s="136">
        <v>1177</v>
      </c>
      <c r="F88" s="136"/>
      <c r="G88" s="136"/>
      <c r="H88" s="128">
        <f t="shared" si="58"/>
        <v>2.888700084961767</v>
      </c>
      <c r="I88" s="139">
        <v>494.32</v>
      </c>
      <c r="J88" s="139">
        <v>95.29</v>
      </c>
      <c r="K88" s="139"/>
      <c r="L88" s="139"/>
      <c r="M88" s="139"/>
      <c r="N88" s="139">
        <f t="shared" si="44"/>
        <v>28.900000000000002</v>
      </c>
      <c r="O88" s="139">
        <v>7</v>
      </c>
      <c r="P88" s="139"/>
      <c r="Q88" s="139">
        <v>0</v>
      </c>
      <c r="R88" s="139">
        <v>0</v>
      </c>
      <c r="S88" s="139">
        <v>0</v>
      </c>
      <c r="T88" s="139">
        <v>0</v>
      </c>
      <c r="U88" s="139"/>
      <c r="V88" s="139">
        <v>0</v>
      </c>
      <c r="W88" s="139">
        <v>0</v>
      </c>
      <c r="X88" s="159">
        <v>0</v>
      </c>
      <c r="Y88" s="136">
        <v>1177</v>
      </c>
      <c r="Z88" s="139">
        <v>0</v>
      </c>
      <c r="AA88" s="139">
        <f t="shared" si="46"/>
        <v>117.7</v>
      </c>
      <c r="AB88" s="160">
        <v>0.8</v>
      </c>
      <c r="AC88" s="139">
        <v>95</v>
      </c>
      <c r="AD88" s="139">
        <f>D88*0.13-AC88-AA88+V88+T88+S88+R88-N88</f>
        <v>200.4</v>
      </c>
      <c r="AE88" s="139">
        <f t="shared" si="59"/>
        <v>2130.39</v>
      </c>
    </row>
    <row r="89" spans="1:31">
      <c r="A89" s="72" t="s">
        <v>89</v>
      </c>
      <c r="B89" s="72">
        <v>28</v>
      </c>
      <c r="C89" s="200">
        <f>AVERAGE(C63:C82)</f>
        <v>5</v>
      </c>
      <c r="D89" s="201">
        <f>SUM(D63:D88)</f>
        <v>87231</v>
      </c>
      <c r="E89" s="200">
        <f>AVERAGE(E63:E88)</f>
        <v>2428.5</v>
      </c>
      <c r="F89" s="202">
        <f t="shared" ref="F89:H89" si="60">AVERAGE(F64:F88)</f>
        <v>2439.2727272727275</v>
      </c>
      <c r="G89" s="202">
        <f t="shared" si="60"/>
        <v>260.63636363636363</v>
      </c>
      <c r="H89" s="201">
        <f t="shared" si="60"/>
        <v>2.0059204701519855</v>
      </c>
      <c r="I89" s="201">
        <f t="shared" ref="I89:O89" si="61">SUM(I63:I88)</f>
        <v>30402.769999999997</v>
      </c>
      <c r="J89" s="201">
        <f t="shared" si="61"/>
        <v>1377.75</v>
      </c>
      <c r="K89" s="201">
        <f t="shared" si="61"/>
        <v>400</v>
      </c>
      <c r="L89" s="201">
        <f t="shared" si="61"/>
        <v>0</v>
      </c>
      <c r="M89" s="201">
        <f t="shared" si="61"/>
        <v>2054.52</v>
      </c>
      <c r="N89" s="201">
        <f t="shared" si="61"/>
        <v>741.46350000000007</v>
      </c>
      <c r="O89" s="201">
        <f t="shared" si="61"/>
        <v>161</v>
      </c>
      <c r="P89" s="201"/>
      <c r="Q89" s="201">
        <f t="shared" ref="Q89:T89" si="62">SUM(Q63:Q88)</f>
        <v>14789.500000000004</v>
      </c>
      <c r="R89" s="201">
        <f t="shared" si="62"/>
        <v>150</v>
      </c>
      <c r="S89" s="201">
        <f t="shared" si="62"/>
        <v>597</v>
      </c>
      <c r="T89" s="201">
        <f t="shared" si="62"/>
        <v>90</v>
      </c>
      <c r="U89" s="201"/>
      <c r="V89" s="201">
        <f t="shared" ref="V89:AA89" si="63">SUM(V63:V88)</f>
        <v>900</v>
      </c>
      <c r="W89" s="201">
        <f t="shared" si="63"/>
        <v>2556.8993</v>
      </c>
      <c r="X89" s="201">
        <f t="shared" si="63"/>
        <v>1.492</v>
      </c>
      <c r="Y89" s="201">
        <f t="shared" si="63"/>
        <v>47649</v>
      </c>
      <c r="Z89" s="201">
        <f t="shared" si="63"/>
        <v>1811.3999999999992</v>
      </c>
      <c r="AA89" s="201">
        <f t="shared" si="63"/>
        <v>4427</v>
      </c>
      <c r="AB89" s="201"/>
      <c r="AC89" s="201">
        <f t="shared" ref="AC89:AE89" si="64">SUM(AC63:AC88)</f>
        <v>2470</v>
      </c>
      <c r="AD89" s="201">
        <f t="shared" si="64"/>
        <v>-6004.8428000000022</v>
      </c>
      <c r="AE89" s="201">
        <f t="shared" si="64"/>
        <v>36275.270000000004</v>
      </c>
    </row>
    <row r="90" spans="1:31">
      <c r="A90" s="173"/>
      <c r="B90" s="174"/>
      <c r="C90" s="175"/>
      <c r="D90" s="176"/>
      <c r="E90" s="177"/>
      <c r="F90" s="176"/>
      <c r="G90" s="176"/>
      <c r="H90" s="176"/>
      <c r="I90" s="176"/>
      <c r="J90" s="176"/>
      <c r="K90" s="176"/>
      <c r="L90" s="176"/>
      <c r="M90" s="176"/>
      <c r="N90" s="176"/>
      <c r="O90" s="176"/>
      <c r="P90" s="176"/>
      <c r="Q90" s="176"/>
      <c r="R90" s="176"/>
      <c r="S90" s="176"/>
      <c r="T90" s="176"/>
      <c r="U90" s="178"/>
      <c r="V90" s="178"/>
      <c r="W90" s="179"/>
      <c r="X90" s="176"/>
      <c r="Y90" s="176"/>
      <c r="Z90" s="176"/>
      <c r="AA90" s="180"/>
      <c r="AB90" s="181"/>
      <c r="AC90" s="176"/>
      <c r="AD90" s="176"/>
    </row>
    <row r="91" spans="1:31">
      <c r="A91" s="457" t="s">
        <v>468</v>
      </c>
      <c r="B91" s="458"/>
      <c r="C91" s="458"/>
      <c r="D91" s="458"/>
      <c r="E91" s="458"/>
      <c r="F91" s="458"/>
      <c r="G91" s="458"/>
      <c r="H91" s="458"/>
      <c r="I91" s="458"/>
      <c r="J91" s="458"/>
      <c r="K91" s="458"/>
      <c r="L91" s="458"/>
      <c r="M91" s="458"/>
      <c r="N91" s="458"/>
      <c r="O91" s="458"/>
      <c r="P91" s="458"/>
      <c r="Q91" s="458"/>
      <c r="R91" s="458"/>
      <c r="S91" s="458"/>
      <c r="T91" s="458"/>
      <c r="U91" s="458"/>
      <c r="V91" s="458"/>
      <c r="W91" s="458"/>
      <c r="X91" s="458"/>
      <c r="Y91" s="458"/>
      <c r="Z91" s="458"/>
      <c r="AA91" s="458"/>
      <c r="AB91" s="458"/>
      <c r="AC91" s="458"/>
      <c r="AD91" s="458"/>
      <c r="AE91" s="459"/>
    </row>
    <row r="92" spans="1:31">
      <c r="A92" s="95" t="s">
        <v>0</v>
      </c>
      <c r="B92" s="95" t="s">
        <v>1</v>
      </c>
      <c r="C92" s="95" t="s">
        <v>372</v>
      </c>
      <c r="D92" s="95" t="s">
        <v>2</v>
      </c>
      <c r="E92" s="95" t="s">
        <v>413</v>
      </c>
      <c r="F92" s="150" t="s">
        <v>414</v>
      </c>
      <c r="G92" s="150" t="s">
        <v>415</v>
      </c>
      <c r="H92" s="95" t="s">
        <v>416</v>
      </c>
      <c r="I92" s="95" t="s">
        <v>7</v>
      </c>
      <c r="J92" s="95" t="s">
        <v>8</v>
      </c>
      <c r="K92" s="95" t="s">
        <v>287</v>
      </c>
      <c r="L92" s="95" t="s">
        <v>288</v>
      </c>
      <c r="M92" s="95" t="s">
        <v>257</v>
      </c>
      <c r="N92" s="95" t="s">
        <v>373</v>
      </c>
      <c r="O92" s="95" t="s">
        <v>374</v>
      </c>
      <c r="P92" s="95"/>
      <c r="Q92" s="95" t="s">
        <v>375</v>
      </c>
      <c r="R92" s="95" t="s">
        <v>376</v>
      </c>
      <c r="S92" s="95" t="s">
        <v>377</v>
      </c>
      <c r="T92" s="150" t="s">
        <v>378</v>
      </c>
      <c r="U92" s="150"/>
      <c r="V92" s="150" t="s">
        <v>379</v>
      </c>
      <c r="W92" s="150" t="s">
        <v>352</v>
      </c>
      <c r="X92" s="95" t="s">
        <v>380</v>
      </c>
      <c r="Y92" s="95" t="s">
        <v>381</v>
      </c>
      <c r="Z92" s="95" t="s">
        <v>382</v>
      </c>
      <c r="AA92" s="95" t="s">
        <v>383</v>
      </c>
      <c r="AB92" s="95" t="s">
        <v>385</v>
      </c>
      <c r="AC92" s="150" t="s">
        <v>333</v>
      </c>
      <c r="AD92" s="95" t="s">
        <v>13</v>
      </c>
      <c r="AE92" s="95" t="s">
        <v>98</v>
      </c>
    </row>
    <row r="93" spans="1:31">
      <c r="A93" s="198"/>
      <c r="B93" s="185">
        <v>352368</v>
      </c>
      <c r="C93" s="112"/>
      <c r="D93" s="103"/>
      <c r="E93" s="153"/>
      <c r="F93" s="102"/>
      <c r="G93" s="102"/>
      <c r="H93" s="128"/>
      <c r="I93" s="146"/>
      <c r="J93" s="128">
        <v>96.3</v>
      </c>
      <c r="K93" s="103"/>
      <c r="L93" s="103"/>
      <c r="M93" s="128"/>
      <c r="N93" s="103">
        <f t="shared" ref="N93:N118" si="65">D93*0.0085</f>
        <v>0</v>
      </c>
      <c r="O93" s="103">
        <v>7</v>
      </c>
      <c r="P93" s="103"/>
      <c r="Q93" s="103">
        <v>689.44</v>
      </c>
      <c r="R93" s="103"/>
      <c r="S93" s="103">
        <v>0</v>
      </c>
      <c r="T93" s="103"/>
      <c r="U93" s="103"/>
      <c r="V93" s="103"/>
      <c r="W93" s="103">
        <f t="shared" ref="W93:W112" si="66">Y93*X93</f>
        <v>11.983999999999998</v>
      </c>
      <c r="X93" s="152">
        <v>7.4899999999999994E-2</v>
      </c>
      <c r="Y93" s="153">
        <v>160</v>
      </c>
      <c r="Z93" s="103">
        <v>90.57</v>
      </c>
      <c r="AA93" s="103">
        <f t="shared" ref="AA93:AA118" si="67">E93*0.1</f>
        <v>0</v>
      </c>
      <c r="AB93" s="154"/>
      <c r="AC93" s="103">
        <v>95</v>
      </c>
      <c r="AD93" s="103">
        <f>D93-I93-J93+M93-N93-O93-Q93-Z93-AA93-AC93-AE93-W93</f>
        <v>-990.29399999999998</v>
      </c>
      <c r="AE93" s="103">
        <f t="shared" ref="AE93:AE98" si="68">AB93*E93</f>
        <v>0</v>
      </c>
    </row>
    <row r="94" spans="1:31">
      <c r="A94" s="187" t="s">
        <v>448</v>
      </c>
      <c r="B94" s="185">
        <v>352371</v>
      </c>
      <c r="C94" s="112">
        <v>1</v>
      </c>
      <c r="D94" s="103">
        <v>1000</v>
      </c>
      <c r="E94" s="102" t="s">
        <v>469</v>
      </c>
      <c r="F94" s="112">
        <v>267</v>
      </c>
      <c r="G94" s="112">
        <v>55</v>
      </c>
      <c r="H94" s="128">
        <f>D94/E94</f>
        <v>3.1055900621118013</v>
      </c>
      <c r="I94" s="146">
        <v>300</v>
      </c>
      <c r="J94" s="128">
        <v>138.28</v>
      </c>
      <c r="K94" s="103"/>
      <c r="L94" s="103"/>
      <c r="M94" s="128"/>
      <c r="N94" s="103">
        <f t="shared" si="65"/>
        <v>8.5</v>
      </c>
      <c r="O94" s="103">
        <v>7</v>
      </c>
      <c r="P94" s="103"/>
      <c r="Q94" s="103">
        <v>689.44</v>
      </c>
      <c r="R94" s="103"/>
      <c r="S94" s="103">
        <v>0</v>
      </c>
      <c r="T94" s="103"/>
      <c r="U94" s="103"/>
      <c r="V94" s="103"/>
      <c r="W94" s="103">
        <f t="shared" si="66"/>
        <v>137.29169999999999</v>
      </c>
      <c r="X94" s="152">
        <v>7.4899999999999994E-2</v>
      </c>
      <c r="Y94" s="153">
        <v>1833</v>
      </c>
      <c r="Z94" s="103">
        <v>90.57</v>
      </c>
      <c r="AA94" s="103">
        <f t="shared" si="67"/>
        <v>32.200000000000003</v>
      </c>
      <c r="AB94" s="154">
        <v>0.75</v>
      </c>
      <c r="AC94" s="103">
        <v>95</v>
      </c>
      <c r="AD94" s="103">
        <f t="shared" ref="AD94:AD99" si="69">D94-I94-J94-N94-O94-Q94-W94-Z94-AA94-AC94-AB94*E94</f>
        <v>-739.7817</v>
      </c>
      <c r="AE94" s="103">
        <f t="shared" si="68"/>
        <v>241.5</v>
      </c>
    </row>
    <row r="95" spans="1:31">
      <c r="A95" s="171"/>
      <c r="B95" s="185">
        <v>352372</v>
      </c>
      <c r="C95" s="112"/>
      <c r="D95" s="103"/>
      <c r="E95" s="102"/>
      <c r="F95" s="112"/>
      <c r="G95" s="112"/>
      <c r="H95" s="128"/>
      <c r="I95" s="146"/>
      <c r="J95" s="117"/>
      <c r="K95" s="103"/>
      <c r="L95" s="103"/>
      <c r="M95" s="146"/>
      <c r="N95" s="103">
        <f t="shared" si="65"/>
        <v>0</v>
      </c>
      <c r="O95" s="103">
        <v>7</v>
      </c>
      <c r="P95" s="103"/>
      <c r="Q95" s="103">
        <v>689.44</v>
      </c>
      <c r="R95" s="103"/>
      <c r="S95" s="103">
        <v>0</v>
      </c>
      <c r="T95" s="103"/>
      <c r="U95" s="103"/>
      <c r="V95" s="103"/>
      <c r="W95" s="103">
        <f t="shared" si="66"/>
        <v>0</v>
      </c>
      <c r="X95" s="152">
        <v>7.4899999999999994E-2</v>
      </c>
      <c r="Y95" s="153">
        <v>0</v>
      </c>
      <c r="Z95" s="103">
        <v>90.57</v>
      </c>
      <c r="AA95" s="103">
        <f t="shared" si="67"/>
        <v>0</v>
      </c>
      <c r="AB95" s="154"/>
      <c r="AC95" s="103">
        <v>95</v>
      </c>
      <c r="AD95" s="103">
        <f t="shared" si="69"/>
        <v>-882.01</v>
      </c>
      <c r="AE95" s="103">
        <f t="shared" si="68"/>
        <v>0</v>
      </c>
    </row>
    <row r="96" spans="1:31">
      <c r="A96" s="184" t="s">
        <v>318</v>
      </c>
      <c r="B96" s="185">
        <v>352373</v>
      </c>
      <c r="C96" s="112"/>
      <c r="D96" s="103"/>
      <c r="E96" s="102"/>
      <c r="F96" s="117"/>
      <c r="G96" s="117"/>
      <c r="H96" s="128"/>
      <c r="I96" s="146">
        <v>256.97000000000003</v>
      </c>
      <c r="J96" s="128"/>
      <c r="K96" s="103"/>
      <c r="L96" s="103"/>
      <c r="M96" s="146">
        <v>2.66</v>
      </c>
      <c r="N96" s="103">
        <f t="shared" si="65"/>
        <v>0</v>
      </c>
      <c r="O96" s="103">
        <v>7</v>
      </c>
      <c r="P96" s="103"/>
      <c r="Q96" s="103">
        <v>689.44</v>
      </c>
      <c r="R96" s="103"/>
      <c r="S96" s="103">
        <v>0</v>
      </c>
      <c r="T96" s="103"/>
      <c r="U96" s="103"/>
      <c r="V96" s="103"/>
      <c r="W96" s="103">
        <f t="shared" si="66"/>
        <v>0</v>
      </c>
      <c r="X96" s="152">
        <v>7.4899999999999994E-2</v>
      </c>
      <c r="Y96" s="153"/>
      <c r="Z96" s="103">
        <v>90.57</v>
      </c>
      <c r="AA96" s="103">
        <f t="shared" si="67"/>
        <v>0</v>
      </c>
      <c r="AB96" s="154"/>
      <c r="AC96" s="103">
        <v>95</v>
      </c>
      <c r="AD96" s="103">
        <f t="shared" si="69"/>
        <v>-1138.98</v>
      </c>
      <c r="AE96" s="103">
        <f t="shared" si="68"/>
        <v>0</v>
      </c>
    </row>
    <row r="97" spans="1:31">
      <c r="A97" s="198"/>
      <c r="B97" s="188" t="s">
        <v>403</v>
      </c>
      <c r="C97" s="112"/>
      <c r="D97" s="103"/>
      <c r="E97" s="102"/>
      <c r="F97" s="117"/>
      <c r="G97" s="117"/>
      <c r="H97" s="128"/>
      <c r="I97" s="146"/>
      <c r="J97" s="128"/>
      <c r="K97" s="103"/>
      <c r="L97" s="103"/>
      <c r="M97" s="146"/>
      <c r="N97" s="103">
        <f t="shared" si="65"/>
        <v>0</v>
      </c>
      <c r="O97" s="103">
        <v>7</v>
      </c>
      <c r="P97" s="103"/>
      <c r="Q97" s="103">
        <v>689.44</v>
      </c>
      <c r="R97" s="103"/>
      <c r="S97" s="103">
        <v>0</v>
      </c>
      <c r="T97" s="103"/>
      <c r="U97" s="103"/>
      <c r="V97" s="103"/>
      <c r="W97" s="103">
        <f t="shared" si="66"/>
        <v>0</v>
      </c>
      <c r="X97" s="152">
        <v>7.4899999999999994E-2</v>
      </c>
      <c r="Y97" s="153"/>
      <c r="Z97" s="103">
        <v>90.57</v>
      </c>
      <c r="AA97" s="103">
        <f t="shared" si="67"/>
        <v>0</v>
      </c>
      <c r="AB97" s="154"/>
      <c r="AC97" s="103">
        <v>95</v>
      </c>
      <c r="AD97" s="103">
        <f t="shared" si="69"/>
        <v>-882.01</v>
      </c>
      <c r="AE97" s="103">
        <f t="shared" si="68"/>
        <v>0</v>
      </c>
    </row>
    <row r="98" spans="1:31">
      <c r="A98" s="187"/>
      <c r="B98" s="185">
        <v>352375</v>
      </c>
      <c r="C98" s="112"/>
      <c r="D98" s="103"/>
      <c r="E98" s="102"/>
      <c r="F98" s="112"/>
      <c r="G98" s="112"/>
      <c r="H98" s="128"/>
      <c r="I98" s="146"/>
      <c r="J98" s="128"/>
      <c r="K98" s="103"/>
      <c r="L98" s="103"/>
      <c r="M98" s="146"/>
      <c r="N98" s="103">
        <f t="shared" si="65"/>
        <v>0</v>
      </c>
      <c r="O98" s="103">
        <v>7</v>
      </c>
      <c r="P98" s="103"/>
      <c r="Q98" s="103">
        <v>689.44</v>
      </c>
      <c r="R98" s="103"/>
      <c r="S98" s="103">
        <v>0</v>
      </c>
      <c r="T98" s="103"/>
      <c r="U98" s="103"/>
      <c r="V98" s="103"/>
      <c r="W98" s="103">
        <f t="shared" si="66"/>
        <v>0</v>
      </c>
      <c r="X98" s="152">
        <v>7.4899999999999994E-2</v>
      </c>
      <c r="Y98" s="153"/>
      <c r="Z98" s="103">
        <v>90.57</v>
      </c>
      <c r="AA98" s="103">
        <f t="shared" si="67"/>
        <v>0</v>
      </c>
      <c r="AB98" s="154"/>
      <c r="AC98" s="103">
        <v>95</v>
      </c>
      <c r="AD98" s="103">
        <f t="shared" si="69"/>
        <v>-882.01</v>
      </c>
      <c r="AE98" s="103">
        <f t="shared" si="68"/>
        <v>0</v>
      </c>
    </row>
    <row r="99" spans="1:31">
      <c r="A99" s="187"/>
      <c r="B99" s="185">
        <v>352376</v>
      </c>
      <c r="C99" s="112"/>
      <c r="D99" s="103"/>
      <c r="E99" s="102"/>
      <c r="F99" s="117"/>
      <c r="G99" s="117"/>
      <c r="H99" s="128"/>
      <c r="I99" s="146"/>
      <c r="J99" s="128">
        <v>57.06</v>
      </c>
      <c r="K99" s="103"/>
      <c r="L99" s="103"/>
      <c r="M99" s="146"/>
      <c r="N99" s="103">
        <f t="shared" si="65"/>
        <v>0</v>
      </c>
      <c r="O99" s="103">
        <v>7</v>
      </c>
      <c r="P99" s="103"/>
      <c r="Q99" s="103">
        <v>689.44</v>
      </c>
      <c r="R99" s="103"/>
      <c r="S99" s="103">
        <v>0</v>
      </c>
      <c r="T99" s="103"/>
      <c r="U99" s="103"/>
      <c r="V99" s="103"/>
      <c r="W99" s="103">
        <f t="shared" si="66"/>
        <v>0.89879999999999993</v>
      </c>
      <c r="X99" s="152">
        <v>7.4899999999999994E-2</v>
      </c>
      <c r="Y99" s="153">
        <v>12</v>
      </c>
      <c r="Z99" s="103">
        <v>90.57</v>
      </c>
      <c r="AA99" s="103">
        <f t="shared" si="67"/>
        <v>0</v>
      </c>
      <c r="AB99" s="154"/>
      <c r="AC99" s="103">
        <v>95</v>
      </c>
      <c r="AD99" s="103">
        <f t="shared" si="69"/>
        <v>-939.9688000000001</v>
      </c>
      <c r="AE99" s="103">
        <f>AB99*E99+K99</f>
        <v>0</v>
      </c>
    </row>
    <row r="100" spans="1:31">
      <c r="A100" s="187" t="s">
        <v>429</v>
      </c>
      <c r="B100" s="185" t="s">
        <v>470</v>
      </c>
      <c r="C100" s="112">
        <v>7</v>
      </c>
      <c r="D100" s="103">
        <v>5200</v>
      </c>
      <c r="E100" s="102" t="s">
        <v>471</v>
      </c>
      <c r="F100" s="112">
        <v>2441</v>
      </c>
      <c r="G100" s="112">
        <v>221</v>
      </c>
      <c r="H100" s="128">
        <f t="shared" ref="H100:H101" si="70">D100/E100</f>
        <v>1.9534184823441021</v>
      </c>
      <c r="I100" s="203">
        <v>1903.13</v>
      </c>
      <c r="J100" s="128">
        <v>45.6</v>
      </c>
      <c r="K100" s="103"/>
      <c r="L100" s="103"/>
      <c r="M100" s="146">
        <v>43.29</v>
      </c>
      <c r="N100" s="103">
        <f t="shared" si="65"/>
        <v>44.2</v>
      </c>
      <c r="O100" s="103">
        <v>7</v>
      </c>
      <c r="P100" s="103"/>
      <c r="Q100" s="103">
        <v>689.44</v>
      </c>
      <c r="R100" s="103"/>
      <c r="S100" s="103">
        <v>0</v>
      </c>
      <c r="T100" s="103"/>
      <c r="U100" s="103"/>
      <c r="V100" s="103"/>
      <c r="W100" s="103">
        <f t="shared" si="66"/>
        <v>125.3077</v>
      </c>
      <c r="X100" s="152">
        <v>7.4899999999999994E-2</v>
      </c>
      <c r="Y100" s="153">
        <v>1673</v>
      </c>
      <c r="Z100" s="103">
        <v>90.57</v>
      </c>
      <c r="AA100" s="103">
        <f t="shared" si="67"/>
        <v>266.2</v>
      </c>
      <c r="AB100" s="154">
        <v>0.75</v>
      </c>
      <c r="AC100" s="103">
        <v>95</v>
      </c>
      <c r="AD100" s="103">
        <f t="shared" ref="AD100:AD101" si="71">D100-I100-J100-N100-O100-Q100-W100-Z100-AA100-AC100-AB100*E100+M100</f>
        <v>-19.657699999999942</v>
      </c>
      <c r="AE100" s="103">
        <f t="shared" ref="AE100:AE101" si="72">AB100*E100</f>
        <v>1996.5</v>
      </c>
    </row>
    <row r="101" spans="1:31">
      <c r="A101" s="184" t="s">
        <v>425</v>
      </c>
      <c r="B101" s="185">
        <v>191276</v>
      </c>
      <c r="C101" s="112">
        <v>7</v>
      </c>
      <c r="D101" s="103">
        <v>12650</v>
      </c>
      <c r="E101" s="102" t="s">
        <v>472</v>
      </c>
      <c r="F101" s="112">
        <v>5872</v>
      </c>
      <c r="G101" s="112">
        <v>932</v>
      </c>
      <c r="H101" s="128">
        <f t="shared" si="70"/>
        <v>1.8592004703115814</v>
      </c>
      <c r="I101" s="146">
        <f>4116.14+831.23</f>
        <v>4947.3700000000008</v>
      </c>
      <c r="J101" s="128">
        <v>25.93</v>
      </c>
      <c r="K101" s="103"/>
      <c r="L101" s="103"/>
      <c r="M101" s="146">
        <v>634.6</v>
      </c>
      <c r="N101" s="103">
        <f t="shared" si="65"/>
        <v>107.52500000000001</v>
      </c>
      <c r="O101" s="103">
        <v>7</v>
      </c>
      <c r="P101" s="103"/>
      <c r="Q101" s="103">
        <v>779.13</v>
      </c>
      <c r="R101" s="103"/>
      <c r="S101" s="103">
        <v>0</v>
      </c>
      <c r="T101" s="103"/>
      <c r="U101" s="103"/>
      <c r="V101" s="103"/>
      <c r="W101" s="103">
        <f t="shared" si="66"/>
        <v>448.42500000000001</v>
      </c>
      <c r="X101" s="152">
        <v>7.4999999999999997E-2</v>
      </c>
      <c r="Y101" s="153">
        <v>5979</v>
      </c>
      <c r="Z101" s="103">
        <v>90.57</v>
      </c>
      <c r="AA101" s="103">
        <f t="shared" si="67"/>
        <v>680.40000000000009</v>
      </c>
      <c r="AB101" s="154">
        <v>0.8</v>
      </c>
      <c r="AC101" s="103">
        <v>95</v>
      </c>
      <c r="AD101" s="103">
        <f t="shared" si="71"/>
        <v>660.04999999999893</v>
      </c>
      <c r="AE101" s="103">
        <f t="shared" si="72"/>
        <v>5443.2000000000007</v>
      </c>
    </row>
    <row r="102" spans="1:31">
      <c r="A102" s="184"/>
      <c r="B102" s="185">
        <v>359886</v>
      </c>
      <c r="C102" s="112"/>
      <c r="D102" s="103"/>
      <c r="E102" s="102"/>
      <c r="F102" s="112"/>
      <c r="G102" s="112"/>
      <c r="H102" s="128"/>
      <c r="I102" s="146"/>
      <c r="J102" s="128">
        <v>28.55</v>
      </c>
      <c r="K102" s="103"/>
      <c r="L102" s="103"/>
      <c r="M102" s="146"/>
      <c r="N102" s="103">
        <f t="shared" si="65"/>
        <v>0</v>
      </c>
      <c r="O102" s="103">
        <v>7</v>
      </c>
      <c r="P102" s="103"/>
      <c r="Q102" s="103">
        <v>689.44</v>
      </c>
      <c r="R102" s="103"/>
      <c r="S102" s="103">
        <v>0</v>
      </c>
      <c r="T102" s="103"/>
      <c r="U102" s="103"/>
      <c r="V102" s="103"/>
      <c r="W102" s="103">
        <f t="shared" si="66"/>
        <v>2.6214999999999997</v>
      </c>
      <c r="X102" s="152">
        <v>7.4899999999999994E-2</v>
      </c>
      <c r="Y102" s="153">
        <v>35</v>
      </c>
      <c r="Z102" s="103">
        <v>90.57</v>
      </c>
      <c r="AA102" s="103">
        <f t="shared" si="67"/>
        <v>0</v>
      </c>
      <c r="AB102" s="154"/>
      <c r="AC102" s="103">
        <v>95</v>
      </c>
      <c r="AD102" s="103">
        <f>D102-I102-J102-N102-O102-Q102-W102-Z102-AA102-AC102-AB102*E102</f>
        <v>-913.18149999999991</v>
      </c>
      <c r="AE102" s="103">
        <f>AB96*E102+K102</f>
        <v>0</v>
      </c>
    </row>
    <row r="103" spans="1:31">
      <c r="A103" s="190" t="s">
        <v>431</v>
      </c>
      <c r="B103" s="185">
        <v>465180</v>
      </c>
      <c r="C103" s="112">
        <v>6</v>
      </c>
      <c r="D103" s="103">
        <v>5700</v>
      </c>
      <c r="E103" s="102" t="s">
        <v>473</v>
      </c>
      <c r="F103" s="112">
        <v>2691</v>
      </c>
      <c r="G103" s="112">
        <v>247</v>
      </c>
      <c r="H103" s="128">
        <f>D103/E103</f>
        <v>1.9400953029271613</v>
      </c>
      <c r="I103" s="146">
        <v>1934.72</v>
      </c>
      <c r="J103" s="128">
        <v>37.1</v>
      </c>
      <c r="K103" s="103"/>
      <c r="L103" s="103"/>
      <c r="M103" s="146">
        <v>228.22</v>
      </c>
      <c r="N103" s="103">
        <f t="shared" si="65"/>
        <v>48.45</v>
      </c>
      <c r="O103" s="103">
        <v>7</v>
      </c>
      <c r="P103" s="103"/>
      <c r="Q103" s="103">
        <v>789.51</v>
      </c>
      <c r="R103" s="103"/>
      <c r="S103" s="103">
        <v>0</v>
      </c>
      <c r="T103" s="103"/>
      <c r="U103" s="103"/>
      <c r="V103" s="103"/>
      <c r="W103" s="103">
        <f t="shared" si="66"/>
        <v>214.13260000000002</v>
      </c>
      <c r="X103" s="152">
        <v>7.4300000000000005E-2</v>
      </c>
      <c r="Y103" s="153">
        <v>2882</v>
      </c>
      <c r="Z103" s="103">
        <v>90.57</v>
      </c>
      <c r="AA103" s="103">
        <f t="shared" si="67"/>
        <v>293.8</v>
      </c>
      <c r="AB103" s="154">
        <v>0.75</v>
      </c>
      <c r="AC103" s="103">
        <v>95</v>
      </c>
      <c r="AD103" s="103">
        <f>D103-I103-J103-N103-O103-Q103-W103-Z103-AA103-AC103-AB103*E103+M103</f>
        <v>214.4374</v>
      </c>
      <c r="AE103" s="103">
        <f>AB103*E103</f>
        <v>2203.5</v>
      </c>
    </row>
    <row r="104" spans="1:31">
      <c r="A104" s="197"/>
      <c r="B104" s="185">
        <v>465181</v>
      </c>
      <c r="C104" s="117"/>
      <c r="D104" s="103"/>
      <c r="E104" s="102"/>
      <c r="F104" s="112"/>
      <c r="G104" s="112"/>
      <c r="H104" s="128"/>
      <c r="I104" s="146"/>
      <c r="J104" s="128"/>
      <c r="K104" s="128"/>
      <c r="L104" s="128"/>
      <c r="M104" s="146"/>
      <c r="N104" s="103">
        <f t="shared" si="65"/>
        <v>0</v>
      </c>
      <c r="O104" s="103">
        <v>7</v>
      </c>
      <c r="P104" s="103"/>
      <c r="Q104" s="103">
        <v>789.51</v>
      </c>
      <c r="R104" s="103"/>
      <c r="S104" s="103">
        <v>0</v>
      </c>
      <c r="T104" s="103"/>
      <c r="U104" s="103"/>
      <c r="V104" s="103"/>
      <c r="W104" s="103">
        <f t="shared" si="66"/>
        <v>0</v>
      </c>
      <c r="X104" s="152">
        <v>7.4300000000000005E-2</v>
      </c>
      <c r="Y104" s="153">
        <v>0</v>
      </c>
      <c r="Z104" s="103">
        <v>90.57</v>
      </c>
      <c r="AA104" s="103">
        <f t="shared" si="67"/>
        <v>0</v>
      </c>
      <c r="AB104" s="154"/>
      <c r="AC104" s="103">
        <v>95</v>
      </c>
      <c r="AD104" s="103">
        <f>D104-I104-J104-N104-O104-Q104-W104-Z104-AA104-AC104-AB104*E104</f>
        <v>-982.07999999999993</v>
      </c>
      <c r="AE104" s="103">
        <f t="shared" ref="AE104:AE105" si="73">AB104*E104+K104+L104</f>
        <v>0</v>
      </c>
    </row>
    <row r="105" spans="1:31">
      <c r="A105" s="187" t="s">
        <v>432</v>
      </c>
      <c r="B105" s="185">
        <v>465182</v>
      </c>
      <c r="C105" s="112">
        <v>7</v>
      </c>
      <c r="D105" s="103">
        <v>10500</v>
      </c>
      <c r="E105" s="102" t="s">
        <v>474</v>
      </c>
      <c r="F105" s="112">
        <v>4927</v>
      </c>
      <c r="G105" s="112">
        <v>119</v>
      </c>
      <c r="H105" s="128">
        <f t="shared" ref="H105:H110" si="74">D105/E105</f>
        <v>2.0808561236623069</v>
      </c>
      <c r="I105" s="146">
        <v>3906.12</v>
      </c>
      <c r="J105" s="128">
        <v>25.3</v>
      </c>
      <c r="K105" s="128"/>
      <c r="L105" s="128"/>
      <c r="M105" s="146">
        <v>62.98</v>
      </c>
      <c r="N105" s="103">
        <f t="shared" si="65"/>
        <v>89.25</v>
      </c>
      <c r="O105" s="103">
        <v>7</v>
      </c>
      <c r="P105" s="103"/>
      <c r="Q105" s="103">
        <v>789.51</v>
      </c>
      <c r="R105" s="103"/>
      <c r="S105" s="103">
        <v>0</v>
      </c>
      <c r="T105" s="103"/>
      <c r="U105" s="103"/>
      <c r="V105" s="103"/>
      <c r="W105" s="103">
        <f t="shared" si="66"/>
        <v>396.98490000000004</v>
      </c>
      <c r="X105" s="152">
        <v>7.4300000000000005E-2</v>
      </c>
      <c r="Y105" s="153">
        <v>5343</v>
      </c>
      <c r="Z105" s="103">
        <v>90.57</v>
      </c>
      <c r="AA105" s="103">
        <f t="shared" si="67"/>
        <v>504.6</v>
      </c>
      <c r="AB105" s="154">
        <v>0.8</v>
      </c>
      <c r="AC105" s="103">
        <v>95</v>
      </c>
      <c r="AD105" s="103">
        <f t="shared" ref="AD105:AD112" si="75">D105-I105-J105-N105-O105-Q105-W105-Z105-AA105-AC105-AB105*E105+M105</f>
        <v>621.84509999999909</v>
      </c>
      <c r="AE105" s="103">
        <f t="shared" si="73"/>
        <v>4036.8</v>
      </c>
    </row>
    <row r="106" spans="1:31">
      <c r="A106" s="190" t="s">
        <v>434</v>
      </c>
      <c r="B106" s="185">
        <v>465183</v>
      </c>
      <c r="C106" s="117">
        <v>7</v>
      </c>
      <c r="D106" s="103">
        <v>9226</v>
      </c>
      <c r="E106" s="102" t="s">
        <v>475</v>
      </c>
      <c r="F106" s="112">
        <v>3959</v>
      </c>
      <c r="G106" s="112">
        <v>162</v>
      </c>
      <c r="H106" s="128">
        <f t="shared" si="74"/>
        <v>2.2387769958747876</v>
      </c>
      <c r="I106" s="146">
        <v>2289.85</v>
      </c>
      <c r="J106" s="128">
        <v>75.19</v>
      </c>
      <c r="K106" s="128"/>
      <c r="L106" s="128"/>
      <c r="M106" s="146">
        <v>277.77</v>
      </c>
      <c r="N106" s="103">
        <f t="shared" si="65"/>
        <v>78.421000000000006</v>
      </c>
      <c r="O106" s="103">
        <v>7</v>
      </c>
      <c r="P106" s="103"/>
      <c r="Q106" s="103">
        <v>789.51</v>
      </c>
      <c r="R106" s="103"/>
      <c r="S106" s="103">
        <v>0</v>
      </c>
      <c r="T106" s="103"/>
      <c r="U106" s="103"/>
      <c r="V106" s="103"/>
      <c r="W106" s="103">
        <f t="shared" si="66"/>
        <v>308.6422</v>
      </c>
      <c r="X106" s="152">
        <v>7.4300000000000005E-2</v>
      </c>
      <c r="Y106" s="153">
        <v>4154</v>
      </c>
      <c r="Z106" s="103">
        <v>90.57</v>
      </c>
      <c r="AA106" s="103">
        <f t="shared" si="67"/>
        <v>412.1</v>
      </c>
      <c r="AB106" s="154">
        <v>0.8</v>
      </c>
      <c r="AC106" s="103">
        <v>95</v>
      </c>
      <c r="AD106" s="103">
        <f t="shared" si="75"/>
        <v>2060.686799999999</v>
      </c>
      <c r="AE106" s="103">
        <f>AB106*E106+K106</f>
        <v>3296.8</v>
      </c>
    </row>
    <row r="107" spans="1:31">
      <c r="A107" s="190" t="s">
        <v>435</v>
      </c>
      <c r="B107" s="185">
        <v>465184</v>
      </c>
      <c r="C107" s="117">
        <v>7</v>
      </c>
      <c r="D107" s="103">
        <v>13600</v>
      </c>
      <c r="E107" s="102" t="s">
        <v>476</v>
      </c>
      <c r="F107" s="112">
        <v>5378</v>
      </c>
      <c r="G107" s="112">
        <v>385</v>
      </c>
      <c r="H107" s="128">
        <f t="shared" si="74"/>
        <v>2.359882005899705</v>
      </c>
      <c r="I107" s="146">
        <v>4054.84</v>
      </c>
      <c r="J107" s="128">
        <v>341.07</v>
      </c>
      <c r="K107" s="128"/>
      <c r="L107" s="128"/>
      <c r="M107" s="146">
        <v>160.47</v>
      </c>
      <c r="N107" s="103">
        <f t="shared" si="65"/>
        <v>115.60000000000001</v>
      </c>
      <c r="O107" s="103">
        <v>7</v>
      </c>
      <c r="P107" s="103"/>
      <c r="Q107" s="103">
        <v>789.51</v>
      </c>
      <c r="R107" s="103"/>
      <c r="S107" s="103">
        <v>0</v>
      </c>
      <c r="T107" s="103"/>
      <c r="U107" s="103"/>
      <c r="V107" s="103"/>
      <c r="W107" s="103">
        <f t="shared" si="66"/>
        <v>450.25800000000004</v>
      </c>
      <c r="X107" s="152">
        <v>7.4300000000000005E-2</v>
      </c>
      <c r="Y107" s="153">
        <v>6060</v>
      </c>
      <c r="Z107" s="103">
        <v>90.57</v>
      </c>
      <c r="AA107" s="103">
        <f t="shared" si="67"/>
        <v>576.30000000000007</v>
      </c>
      <c r="AB107" s="154">
        <v>0.8</v>
      </c>
      <c r="AC107" s="103">
        <v>95</v>
      </c>
      <c r="AD107" s="103">
        <f t="shared" si="75"/>
        <v>2629.9219999999991</v>
      </c>
      <c r="AE107" s="103">
        <f>AB107*E107</f>
        <v>4610.4000000000005</v>
      </c>
    </row>
    <row r="108" spans="1:31">
      <c r="A108" s="187" t="s">
        <v>458</v>
      </c>
      <c r="B108" s="185">
        <v>465185</v>
      </c>
      <c r="C108" s="117">
        <v>7</v>
      </c>
      <c r="D108" s="103">
        <v>9680</v>
      </c>
      <c r="E108" s="102" t="s">
        <v>477</v>
      </c>
      <c r="F108" s="112">
        <v>4695</v>
      </c>
      <c r="G108" s="112">
        <v>337</v>
      </c>
      <c r="H108" s="128">
        <f t="shared" si="74"/>
        <v>1.9236883942766296</v>
      </c>
      <c r="I108" s="146">
        <v>2929.73</v>
      </c>
      <c r="J108" s="128">
        <v>89.55</v>
      </c>
      <c r="K108" s="128"/>
      <c r="L108" s="128"/>
      <c r="M108" s="146">
        <v>382.47</v>
      </c>
      <c r="N108" s="103">
        <f t="shared" si="65"/>
        <v>82.28</v>
      </c>
      <c r="O108" s="103">
        <v>7</v>
      </c>
      <c r="P108" s="103"/>
      <c r="Q108" s="103">
        <v>789.51</v>
      </c>
      <c r="R108" s="103"/>
      <c r="S108" s="103">
        <v>0</v>
      </c>
      <c r="T108" s="103"/>
      <c r="U108" s="103"/>
      <c r="V108" s="103"/>
      <c r="W108" s="103">
        <f t="shared" si="66"/>
        <v>310.57400000000001</v>
      </c>
      <c r="X108" s="152">
        <v>7.4300000000000005E-2</v>
      </c>
      <c r="Y108" s="153">
        <v>4180</v>
      </c>
      <c r="Z108" s="103">
        <v>90.57</v>
      </c>
      <c r="AA108" s="103">
        <f t="shared" si="67"/>
        <v>503.20000000000005</v>
      </c>
      <c r="AB108" s="154">
        <v>0.75</v>
      </c>
      <c r="AC108" s="103">
        <v>95</v>
      </c>
      <c r="AD108" s="103">
        <f t="shared" si="75"/>
        <v>1391.0560000000012</v>
      </c>
      <c r="AE108" s="103">
        <f t="shared" ref="AE108:AE109" si="76">AB108*E108+K108</f>
        <v>3774</v>
      </c>
    </row>
    <row r="109" spans="1:31">
      <c r="A109" s="187" t="s">
        <v>437</v>
      </c>
      <c r="B109" s="185">
        <v>465186</v>
      </c>
      <c r="C109" s="112">
        <v>7</v>
      </c>
      <c r="D109" s="103">
        <v>9850</v>
      </c>
      <c r="E109" s="102" t="s">
        <v>478</v>
      </c>
      <c r="F109" s="112">
        <v>5034</v>
      </c>
      <c r="G109" s="112">
        <v>192</v>
      </c>
      <c r="H109" s="128">
        <f t="shared" si="74"/>
        <v>1.8848067355530043</v>
      </c>
      <c r="I109" s="146">
        <v>4000.04</v>
      </c>
      <c r="J109" s="128">
        <v>575.87</v>
      </c>
      <c r="K109" s="128"/>
      <c r="L109" s="128"/>
      <c r="M109" s="146">
        <v>79.88</v>
      </c>
      <c r="N109" s="103">
        <f t="shared" si="65"/>
        <v>83.725000000000009</v>
      </c>
      <c r="O109" s="103">
        <v>7</v>
      </c>
      <c r="P109" s="103"/>
      <c r="Q109" s="103">
        <v>789.51</v>
      </c>
      <c r="R109" s="103"/>
      <c r="S109" s="103">
        <v>0</v>
      </c>
      <c r="T109" s="103"/>
      <c r="U109" s="103"/>
      <c r="V109" s="103"/>
      <c r="W109" s="103">
        <f t="shared" si="66"/>
        <v>307.08190000000002</v>
      </c>
      <c r="X109" s="152">
        <v>7.4300000000000005E-2</v>
      </c>
      <c r="Y109" s="153">
        <v>4133</v>
      </c>
      <c r="Z109" s="103">
        <v>90.57</v>
      </c>
      <c r="AA109" s="103">
        <f t="shared" si="67"/>
        <v>522.6</v>
      </c>
      <c r="AB109" s="154">
        <v>0.7</v>
      </c>
      <c r="AC109" s="103">
        <v>95</v>
      </c>
      <c r="AD109" s="103">
        <f t="shared" si="75"/>
        <v>-199.71690000000046</v>
      </c>
      <c r="AE109" s="103">
        <f t="shared" si="76"/>
        <v>3658.2</v>
      </c>
    </row>
    <row r="110" spans="1:31">
      <c r="A110" s="187" t="s">
        <v>439</v>
      </c>
      <c r="B110" s="185">
        <v>465187</v>
      </c>
      <c r="C110" s="117">
        <v>4</v>
      </c>
      <c r="D110" s="103">
        <v>3450</v>
      </c>
      <c r="E110" s="102" t="s">
        <v>479</v>
      </c>
      <c r="F110" s="112">
        <v>1987</v>
      </c>
      <c r="G110" s="112">
        <v>95</v>
      </c>
      <c r="H110" s="128">
        <f t="shared" si="74"/>
        <v>1.6570605187319885</v>
      </c>
      <c r="I110" s="146">
        <v>1621.21</v>
      </c>
      <c r="J110" s="128">
        <v>18.13</v>
      </c>
      <c r="K110" s="128"/>
      <c r="L110" s="128"/>
      <c r="M110" s="146">
        <v>94.24</v>
      </c>
      <c r="N110" s="103">
        <f t="shared" si="65"/>
        <v>29.325000000000003</v>
      </c>
      <c r="O110" s="103">
        <v>7</v>
      </c>
      <c r="P110" s="103"/>
      <c r="Q110" s="103">
        <v>789.51</v>
      </c>
      <c r="R110" s="103"/>
      <c r="S110" s="103">
        <v>0</v>
      </c>
      <c r="T110" s="103"/>
      <c r="U110" s="103"/>
      <c r="V110" s="103"/>
      <c r="W110" s="103">
        <f t="shared" si="66"/>
        <v>157.66460000000001</v>
      </c>
      <c r="X110" s="152">
        <v>7.4300000000000005E-2</v>
      </c>
      <c r="Y110" s="153">
        <v>2122</v>
      </c>
      <c r="Z110" s="103">
        <v>90.57</v>
      </c>
      <c r="AA110" s="103">
        <f t="shared" si="67"/>
        <v>208.20000000000002</v>
      </c>
      <c r="AB110" s="154">
        <v>0.8</v>
      </c>
      <c r="AC110" s="103">
        <v>95</v>
      </c>
      <c r="AD110" s="103">
        <f t="shared" si="75"/>
        <v>-1137.9696000000004</v>
      </c>
      <c r="AE110" s="103">
        <f t="shared" ref="AE110:AE112" si="77">AB110*E110</f>
        <v>1665.6000000000001</v>
      </c>
    </row>
    <row r="111" spans="1:31">
      <c r="A111" s="197" t="s">
        <v>427</v>
      </c>
      <c r="B111" s="185">
        <v>465188</v>
      </c>
      <c r="C111" s="112"/>
      <c r="D111" s="103"/>
      <c r="E111" s="102"/>
      <c r="F111" s="117"/>
      <c r="G111" s="117"/>
      <c r="H111" s="128"/>
      <c r="I111" s="146"/>
      <c r="J111" s="128"/>
      <c r="K111" s="128"/>
      <c r="L111" s="128"/>
      <c r="M111" s="146">
        <v>71.5</v>
      </c>
      <c r="N111" s="103">
        <f t="shared" si="65"/>
        <v>0</v>
      </c>
      <c r="O111" s="103">
        <v>7</v>
      </c>
      <c r="P111" s="103"/>
      <c r="Q111" s="103">
        <v>789.51</v>
      </c>
      <c r="R111" s="103"/>
      <c r="S111" s="103">
        <v>0</v>
      </c>
      <c r="T111" s="103"/>
      <c r="U111" s="103"/>
      <c r="V111" s="103"/>
      <c r="W111" s="103">
        <f t="shared" si="66"/>
        <v>90.348800000000011</v>
      </c>
      <c r="X111" s="152">
        <v>7.4300000000000005E-2</v>
      </c>
      <c r="Y111" s="153">
        <v>1216</v>
      </c>
      <c r="Z111" s="103">
        <v>90.57</v>
      </c>
      <c r="AA111" s="103">
        <f t="shared" si="67"/>
        <v>0</v>
      </c>
      <c r="AB111" s="154"/>
      <c r="AC111" s="103">
        <v>95</v>
      </c>
      <c r="AD111" s="103">
        <f t="shared" si="75"/>
        <v>-1000.9287999999999</v>
      </c>
      <c r="AE111" s="103">
        <f t="shared" si="77"/>
        <v>0</v>
      </c>
    </row>
    <row r="112" spans="1:31">
      <c r="A112" s="184"/>
      <c r="B112" s="185">
        <v>465189</v>
      </c>
      <c r="C112" s="112"/>
      <c r="D112" s="103"/>
      <c r="E112" s="102"/>
      <c r="F112" s="117"/>
      <c r="G112" s="117"/>
      <c r="H112" s="128"/>
      <c r="I112" s="146"/>
      <c r="J112" s="128"/>
      <c r="K112" s="103"/>
      <c r="L112" s="103"/>
      <c r="M112" s="146"/>
      <c r="N112" s="103">
        <f t="shared" si="65"/>
        <v>0</v>
      </c>
      <c r="O112" s="103">
        <v>7</v>
      </c>
      <c r="P112" s="103"/>
      <c r="Q112" s="103">
        <v>789.51</v>
      </c>
      <c r="R112" s="103"/>
      <c r="S112" s="103">
        <v>0</v>
      </c>
      <c r="T112" s="103"/>
      <c r="U112" s="103"/>
      <c r="V112" s="103"/>
      <c r="W112" s="103">
        <f t="shared" si="66"/>
        <v>0</v>
      </c>
      <c r="X112" s="152">
        <v>7.4300000000000005E-2</v>
      </c>
      <c r="Y112" s="155"/>
      <c r="Z112" s="103">
        <v>90.57</v>
      </c>
      <c r="AA112" s="103">
        <f t="shared" si="67"/>
        <v>0</v>
      </c>
      <c r="AB112" s="154"/>
      <c r="AC112" s="103">
        <v>95</v>
      </c>
      <c r="AD112" s="103">
        <f t="shared" si="75"/>
        <v>-982.07999999999993</v>
      </c>
      <c r="AE112" s="103">
        <f t="shared" si="77"/>
        <v>0</v>
      </c>
    </row>
    <row r="113" spans="1:31">
      <c r="A113" s="134" t="s">
        <v>462</v>
      </c>
      <c r="B113" s="135" t="s">
        <v>399</v>
      </c>
      <c r="C113" s="158">
        <v>7</v>
      </c>
      <c r="D113" s="139">
        <v>8350</v>
      </c>
      <c r="E113" s="136">
        <v>4137</v>
      </c>
      <c r="F113" s="193"/>
      <c r="G113" s="193"/>
      <c r="H113" s="128">
        <f t="shared" ref="H113:H115" si="78">D113/E113</f>
        <v>2.0183708000966885</v>
      </c>
      <c r="I113" s="139">
        <v>3101.08</v>
      </c>
      <c r="J113" s="139">
        <v>54.31</v>
      </c>
      <c r="K113" s="139"/>
      <c r="L113" s="139"/>
      <c r="M113" s="139">
        <v>514.88</v>
      </c>
      <c r="N113" s="139">
        <f t="shared" si="65"/>
        <v>70.975000000000009</v>
      </c>
      <c r="O113" s="139">
        <v>0</v>
      </c>
      <c r="P113" s="139"/>
      <c r="Q113" s="139">
        <v>0</v>
      </c>
      <c r="R113" s="139">
        <v>0</v>
      </c>
      <c r="S113" s="139">
        <v>0</v>
      </c>
      <c r="T113" s="139">
        <v>0</v>
      </c>
      <c r="U113" s="139"/>
      <c r="V113" s="139">
        <v>0</v>
      </c>
      <c r="W113" s="139">
        <v>0</v>
      </c>
      <c r="X113" s="159">
        <v>0</v>
      </c>
      <c r="Y113" s="136">
        <v>4137</v>
      </c>
      <c r="Z113" s="139">
        <v>0</v>
      </c>
      <c r="AA113" s="139">
        <f t="shared" si="67"/>
        <v>413.70000000000005</v>
      </c>
      <c r="AB113" s="160">
        <v>0.85</v>
      </c>
      <c r="AC113" s="139">
        <v>95</v>
      </c>
      <c r="AD113" s="139">
        <f>D113*0.15-AA113-N113+M113</f>
        <v>1282.7049999999999</v>
      </c>
      <c r="AE113" s="139">
        <f>D113*0.85-I113-J113+M113</f>
        <v>4456.99</v>
      </c>
    </row>
    <row r="114" spans="1:31">
      <c r="A114" s="134" t="s">
        <v>463</v>
      </c>
      <c r="B114" s="135" t="s">
        <v>362</v>
      </c>
      <c r="C114" s="158">
        <v>6</v>
      </c>
      <c r="D114" s="139">
        <v>8250</v>
      </c>
      <c r="E114" s="136">
        <v>3302</v>
      </c>
      <c r="F114" s="193"/>
      <c r="G114" s="193"/>
      <c r="H114" s="128">
        <f t="shared" si="78"/>
        <v>2.4984857662023017</v>
      </c>
      <c r="I114" s="139">
        <v>2270.02</v>
      </c>
      <c r="J114" s="139">
        <v>38.869999999999997</v>
      </c>
      <c r="K114" s="139"/>
      <c r="L114" s="139"/>
      <c r="M114" s="139">
        <v>89.78</v>
      </c>
      <c r="N114" s="139">
        <f t="shared" si="65"/>
        <v>70.125</v>
      </c>
      <c r="O114" s="139">
        <v>7</v>
      </c>
      <c r="P114" s="139"/>
      <c r="Q114" s="139">
        <v>0</v>
      </c>
      <c r="R114" s="139">
        <v>50</v>
      </c>
      <c r="S114" s="139">
        <v>199</v>
      </c>
      <c r="T114" s="139">
        <v>30</v>
      </c>
      <c r="U114" s="139"/>
      <c r="V114" s="139">
        <v>300</v>
      </c>
      <c r="W114" s="139">
        <v>0</v>
      </c>
      <c r="X114" s="159">
        <v>0</v>
      </c>
      <c r="Y114" s="136">
        <v>3302</v>
      </c>
      <c r="Z114" s="139">
        <v>0</v>
      </c>
      <c r="AA114" s="139">
        <f t="shared" si="67"/>
        <v>330.20000000000005</v>
      </c>
      <c r="AB114" s="160">
        <v>0.87</v>
      </c>
      <c r="AC114" s="139">
        <v>95</v>
      </c>
      <c r="AD114" s="139">
        <f>D114*0.13+V114+T114+S114+R114-AA114-N114+M114</f>
        <v>1340.9549999999999</v>
      </c>
      <c r="AE114" s="139">
        <f>D114*0.87-I114-J114-R114-S114-T114-V114</f>
        <v>4289.6099999999997</v>
      </c>
    </row>
    <row r="115" spans="1:31">
      <c r="A115" s="134" t="s">
        <v>464</v>
      </c>
      <c r="B115" s="134">
        <v>1118</v>
      </c>
      <c r="C115" s="158">
        <v>6</v>
      </c>
      <c r="D115" s="139">
        <v>6000</v>
      </c>
      <c r="E115" s="136">
        <v>3177</v>
      </c>
      <c r="F115" s="136"/>
      <c r="G115" s="136"/>
      <c r="H115" s="128">
        <f t="shared" si="78"/>
        <v>1.8885741265344664</v>
      </c>
      <c r="I115" s="139">
        <v>1685.47</v>
      </c>
      <c r="J115" s="139"/>
      <c r="K115" s="139"/>
      <c r="L115" s="139"/>
      <c r="M115" s="139"/>
      <c r="N115" s="139">
        <f t="shared" si="65"/>
        <v>51.000000000000007</v>
      </c>
      <c r="O115" s="139">
        <v>0</v>
      </c>
      <c r="P115" s="139"/>
      <c r="Q115" s="139">
        <v>0</v>
      </c>
      <c r="R115" s="139">
        <v>0</v>
      </c>
      <c r="S115" s="139">
        <v>0</v>
      </c>
      <c r="T115" s="139">
        <v>0</v>
      </c>
      <c r="U115" s="139"/>
      <c r="V115" s="139">
        <v>0</v>
      </c>
      <c r="W115" s="139">
        <v>0</v>
      </c>
      <c r="X115" s="159">
        <v>0</v>
      </c>
      <c r="Y115" s="136">
        <v>3177</v>
      </c>
      <c r="Z115" s="139">
        <v>0</v>
      </c>
      <c r="AA115" s="139">
        <f t="shared" si="67"/>
        <v>317.70000000000005</v>
      </c>
      <c r="AB115" s="160">
        <v>0.8</v>
      </c>
      <c r="AC115" s="139">
        <v>95</v>
      </c>
      <c r="AD115" s="139">
        <f>D115*0.2-AA115-N115-K115-AC115</f>
        <v>736.3</v>
      </c>
      <c r="AE115" s="139">
        <f>D115*AB115-I115-J115</f>
        <v>3114.5299999999997</v>
      </c>
    </row>
    <row r="116" spans="1:31">
      <c r="A116" s="199" t="s">
        <v>465</v>
      </c>
      <c r="B116" s="134" t="s">
        <v>369</v>
      </c>
      <c r="C116" s="158"/>
      <c r="D116" s="139"/>
      <c r="E116" s="136">
        <v>20</v>
      </c>
      <c r="F116" s="136"/>
      <c r="G116" s="136"/>
      <c r="H116" s="136"/>
      <c r="I116" s="139"/>
      <c r="J116" s="139"/>
      <c r="K116" s="139"/>
      <c r="L116" s="139"/>
      <c r="M116" s="139"/>
      <c r="N116" s="139">
        <f t="shared" si="65"/>
        <v>0</v>
      </c>
      <c r="O116" s="139">
        <v>7</v>
      </c>
      <c r="P116" s="139"/>
      <c r="Q116" s="139">
        <v>0</v>
      </c>
      <c r="R116" s="139">
        <v>50</v>
      </c>
      <c r="S116" s="139">
        <v>199</v>
      </c>
      <c r="T116" s="139">
        <v>30</v>
      </c>
      <c r="U116" s="139"/>
      <c r="V116" s="139">
        <v>300</v>
      </c>
      <c r="W116" s="139">
        <v>0</v>
      </c>
      <c r="X116" s="159">
        <v>0</v>
      </c>
      <c r="Y116" s="136">
        <v>20</v>
      </c>
      <c r="Z116" s="139">
        <v>0</v>
      </c>
      <c r="AA116" s="139">
        <f t="shared" si="67"/>
        <v>2</v>
      </c>
      <c r="AB116" s="160">
        <v>0.89</v>
      </c>
      <c r="AC116" s="139">
        <v>95</v>
      </c>
      <c r="AD116" s="139">
        <f>D116*0.11-AC116-AA116+V116+T116+S116+R116-N116</f>
        <v>482</v>
      </c>
      <c r="AE116" s="139">
        <f>D116*AB116-I116-J116-R116-S116-T116-V116</f>
        <v>-579</v>
      </c>
    </row>
    <row r="117" spans="1:31">
      <c r="A117" s="134" t="s">
        <v>466</v>
      </c>
      <c r="B117" s="134">
        <v>2013</v>
      </c>
      <c r="C117" s="158">
        <v>7</v>
      </c>
      <c r="D117" s="139">
        <v>8730</v>
      </c>
      <c r="E117" s="136">
        <v>4197</v>
      </c>
      <c r="F117" s="136"/>
      <c r="G117" s="136"/>
      <c r="H117" s="128">
        <f t="shared" ref="H117:H118" si="79">D117/E117</f>
        <v>2.0800571837026447</v>
      </c>
      <c r="I117" s="139">
        <v>2226.31</v>
      </c>
      <c r="J117" s="139">
        <v>62.8</v>
      </c>
      <c r="K117" s="139"/>
      <c r="L117" s="139"/>
      <c r="M117" s="139">
        <v>37.11</v>
      </c>
      <c r="N117" s="139">
        <f t="shared" si="65"/>
        <v>74.204999999999998</v>
      </c>
      <c r="O117" s="139">
        <v>0</v>
      </c>
      <c r="P117" s="139"/>
      <c r="Q117" s="139">
        <v>0</v>
      </c>
      <c r="R117" s="139">
        <v>50</v>
      </c>
      <c r="S117" s="139">
        <v>199</v>
      </c>
      <c r="T117" s="139">
        <v>30</v>
      </c>
      <c r="U117" s="139"/>
      <c r="V117" s="139">
        <v>300</v>
      </c>
      <c r="W117" s="139">
        <v>0</v>
      </c>
      <c r="X117" s="159">
        <v>0</v>
      </c>
      <c r="Y117" s="136">
        <v>4197</v>
      </c>
      <c r="Z117" s="139">
        <v>0</v>
      </c>
      <c r="AA117" s="139">
        <f t="shared" si="67"/>
        <v>419.70000000000005</v>
      </c>
      <c r="AB117" s="160">
        <v>0.87</v>
      </c>
      <c r="AC117" s="139">
        <v>95</v>
      </c>
      <c r="AD117" s="139">
        <f>D117*0.13+V117+T117+S117+R117-AA117-N117+M117</f>
        <v>1257.105</v>
      </c>
      <c r="AE117" s="139">
        <f t="shared" ref="AE117:AE118" si="80">D117*AB117-I117-J117-V117-T117-S117-R117</f>
        <v>4726.9900000000007</v>
      </c>
    </row>
    <row r="118" spans="1:31">
      <c r="A118" s="134" t="s">
        <v>467</v>
      </c>
      <c r="B118" s="134">
        <v>1122</v>
      </c>
      <c r="C118" s="158">
        <v>3</v>
      </c>
      <c r="D118" s="139">
        <v>3600</v>
      </c>
      <c r="E118" s="136">
        <v>2100</v>
      </c>
      <c r="F118" s="136"/>
      <c r="G118" s="136"/>
      <c r="H118" s="128">
        <f t="shared" si="79"/>
        <v>1.7142857142857142</v>
      </c>
      <c r="I118" s="139">
        <v>1276.54</v>
      </c>
      <c r="J118" s="139">
        <v>91.31</v>
      </c>
      <c r="K118" s="139"/>
      <c r="L118" s="139"/>
      <c r="M118" s="139">
        <v>28.48</v>
      </c>
      <c r="N118" s="139">
        <f t="shared" si="65"/>
        <v>30.6</v>
      </c>
      <c r="O118" s="139">
        <v>7</v>
      </c>
      <c r="P118" s="139"/>
      <c r="Q118" s="139">
        <v>0</v>
      </c>
      <c r="R118" s="139">
        <v>0</v>
      </c>
      <c r="S118" s="139">
        <v>0</v>
      </c>
      <c r="T118" s="139">
        <v>0</v>
      </c>
      <c r="U118" s="139"/>
      <c r="V118" s="139">
        <v>0</v>
      </c>
      <c r="W118" s="139">
        <v>0</v>
      </c>
      <c r="X118" s="159">
        <v>0</v>
      </c>
      <c r="Y118" s="136">
        <v>2100</v>
      </c>
      <c r="Z118" s="139">
        <v>0</v>
      </c>
      <c r="AA118" s="139">
        <f t="shared" si="67"/>
        <v>210</v>
      </c>
      <c r="AB118" s="160">
        <v>0.8</v>
      </c>
      <c r="AC118" s="139">
        <v>95</v>
      </c>
      <c r="AD118" s="139">
        <f>D118*0.13-AC118-AA118+V118+T118+S118+R118-N118+M118</f>
        <v>160.88</v>
      </c>
      <c r="AE118" s="139">
        <f t="shared" si="80"/>
        <v>1512.15</v>
      </c>
    </row>
    <row r="119" spans="1:31">
      <c r="A119" s="72" t="s">
        <v>89</v>
      </c>
      <c r="B119" s="72">
        <v>28</v>
      </c>
      <c r="C119" s="200">
        <f>AVERAGE(C93:C112)</f>
        <v>6</v>
      </c>
      <c r="D119" s="201">
        <f>SUM(D93:D118)</f>
        <v>115786</v>
      </c>
      <c r="E119" s="204">
        <f>AVERAGE(E93:E118)</f>
        <v>2822.1666666666665</v>
      </c>
      <c r="F119" s="202">
        <f t="shared" ref="F119:H119" si="81">AVERAGE(F94:F118)</f>
        <v>3725.1</v>
      </c>
      <c r="G119" s="202">
        <f t="shared" si="81"/>
        <v>274.5</v>
      </c>
      <c r="H119" s="201">
        <f t="shared" si="81"/>
        <v>2.0802099121676587</v>
      </c>
      <c r="I119" s="201">
        <f t="shared" ref="I119:O119" si="82">SUM(I93:I118)</f>
        <v>38703.399999999994</v>
      </c>
      <c r="J119" s="201">
        <f t="shared" si="82"/>
        <v>1801.22</v>
      </c>
      <c r="K119" s="201">
        <f t="shared" si="82"/>
        <v>0</v>
      </c>
      <c r="L119" s="201">
        <f t="shared" si="82"/>
        <v>0</v>
      </c>
      <c r="M119" s="201">
        <f t="shared" si="82"/>
        <v>2708.3300000000004</v>
      </c>
      <c r="N119" s="201">
        <f t="shared" si="82"/>
        <v>984.18100000000015</v>
      </c>
      <c r="O119" s="201">
        <f t="shared" si="82"/>
        <v>161</v>
      </c>
      <c r="P119" s="201"/>
      <c r="Q119" s="201">
        <f t="shared" ref="Q119:T119" si="83">SUM(Q93:Q118)</f>
        <v>14879.190000000002</v>
      </c>
      <c r="R119" s="201">
        <f t="shared" si="83"/>
        <v>150</v>
      </c>
      <c r="S119" s="201">
        <f t="shared" si="83"/>
        <v>597</v>
      </c>
      <c r="T119" s="201">
        <f t="shared" si="83"/>
        <v>90</v>
      </c>
      <c r="U119" s="201"/>
      <c r="V119" s="201">
        <f t="shared" ref="V119:AA119" si="84">SUM(V93:V118)</f>
        <v>900</v>
      </c>
      <c r="W119" s="201">
        <f t="shared" si="84"/>
        <v>2962.2157000000007</v>
      </c>
      <c r="X119" s="201">
        <f t="shared" si="84"/>
        <v>1.4921</v>
      </c>
      <c r="Y119" s="204">
        <f t="shared" si="84"/>
        <v>56715</v>
      </c>
      <c r="Z119" s="201">
        <f t="shared" si="84"/>
        <v>1811.3999999999992</v>
      </c>
      <c r="AA119" s="201">
        <f t="shared" si="84"/>
        <v>5692.9</v>
      </c>
      <c r="AB119" s="201"/>
      <c r="AC119" s="201">
        <f t="shared" ref="AC119:AE119" si="85">SUM(AC93:AC118)</f>
        <v>2470</v>
      </c>
      <c r="AD119" s="201">
        <f t="shared" si="85"/>
        <v>1147.2732999999971</v>
      </c>
      <c r="AE119" s="201">
        <f t="shared" si="85"/>
        <v>48447.77</v>
      </c>
    </row>
    <row r="120" spans="1:31">
      <c r="A120" s="173"/>
      <c r="B120" s="174"/>
      <c r="C120" s="175"/>
      <c r="D120" s="176"/>
      <c r="E120" s="177"/>
      <c r="F120" s="176"/>
      <c r="G120" s="176"/>
      <c r="H120" s="176"/>
      <c r="I120" s="176"/>
      <c r="J120" s="176"/>
      <c r="K120" s="176"/>
      <c r="L120" s="176"/>
      <c r="M120" s="176"/>
      <c r="N120" s="176"/>
      <c r="O120" s="176"/>
      <c r="P120" s="176"/>
      <c r="Q120" s="176"/>
      <c r="R120" s="176"/>
      <c r="S120" s="176"/>
      <c r="T120" s="176"/>
      <c r="U120" s="178"/>
      <c r="V120" s="178"/>
      <c r="W120" s="179"/>
      <c r="X120" s="176"/>
      <c r="Y120" s="176"/>
      <c r="Z120" s="176"/>
      <c r="AA120" s="180"/>
      <c r="AB120" s="181"/>
      <c r="AC120" s="176"/>
      <c r="AD120" s="176"/>
    </row>
    <row r="121" spans="1:31">
      <c r="A121" s="457" t="s">
        <v>480</v>
      </c>
      <c r="B121" s="458"/>
      <c r="C121" s="458"/>
      <c r="D121" s="458"/>
      <c r="E121" s="458"/>
      <c r="F121" s="458"/>
      <c r="G121" s="458"/>
      <c r="H121" s="458"/>
      <c r="I121" s="458"/>
      <c r="J121" s="458"/>
      <c r="K121" s="458"/>
      <c r="L121" s="458"/>
      <c r="M121" s="458"/>
      <c r="N121" s="458"/>
      <c r="O121" s="458"/>
      <c r="P121" s="458"/>
      <c r="Q121" s="458"/>
      <c r="R121" s="458"/>
      <c r="S121" s="458"/>
      <c r="T121" s="458"/>
      <c r="U121" s="458"/>
      <c r="V121" s="458"/>
      <c r="W121" s="458"/>
      <c r="X121" s="458"/>
      <c r="Y121" s="458"/>
      <c r="Z121" s="458"/>
      <c r="AA121" s="458"/>
      <c r="AB121" s="458"/>
      <c r="AC121" s="458"/>
      <c r="AD121" s="458"/>
      <c r="AE121" s="459"/>
    </row>
    <row r="122" spans="1:31">
      <c r="A122" s="95" t="s">
        <v>0</v>
      </c>
      <c r="B122" s="95" t="s">
        <v>1</v>
      </c>
      <c r="C122" s="95" t="s">
        <v>372</v>
      </c>
      <c r="D122" s="95" t="s">
        <v>2</v>
      </c>
      <c r="E122" s="95" t="s">
        <v>413</v>
      </c>
      <c r="F122" s="150" t="s">
        <v>414</v>
      </c>
      <c r="G122" s="150" t="s">
        <v>415</v>
      </c>
      <c r="H122" s="95" t="s">
        <v>416</v>
      </c>
      <c r="I122" s="95" t="s">
        <v>7</v>
      </c>
      <c r="J122" s="95" t="s">
        <v>8</v>
      </c>
      <c r="K122" s="95" t="s">
        <v>287</v>
      </c>
      <c r="L122" s="95" t="s">
        <v>288</v>
      </c>
      <c r="M122" s="95" t="s">
        <v>257</v>
      </c>
      <c r="N122" s="95" t="s">
        <v>373</v>
      </c>
      <c r="O122" s="95" t="s">
        <v>374</v>
      </c>
      <c r="P122" s="95"/>
      <c r="Q122" s="95" t="s">
        <v>375</v>
      </c>
      <c r="R122" s="95" t="s">
        <v>376</v>
      </c>
      <c r="S122" s="95" t="s">
        <v>377</v>
      </c>
      <c r="T122" s="150" t="s">
        <v>378</v>
      </c>
      <c r="U122" s="150"/>
      <c r="V122" s="150" t="s">
        <v>379</v>
      </c>
      <c r="W122" s="150" t="s">
        <v>352</v>
      </c>
      <c r="X122" s="95" t="s">
        <v>380</v>
      </c>
      <c r="Y122" s="95" t="s">
        <v>381</v>
      </c>
      <c r="Z122" s="95" t="s">
        <v>382</v>
      </c>
      <c r="AA122" s="95" t="s">
        <v>383</v>
      </c>
      <c r="AB122" s="95" t="s">
        <v>385</v>
      </c>
      <c r="AC122" s="150" t="s">
        <v>333</v>
      </c>
      <c r="AD122" s="95" t="s">
        <v>13</v>
      </c>
      <c r="AE122" s="95" t="s">
        <v>98</v>
      </c>
    </row>
    <row r="123" spans="1:31">
      <c r="A123" s="198"/>
      <c r="B123" s="185">
        <v>352368</v>
      </c>
      <c r="C123" s="112"/>
      <c r="D123" s="103"/>
      <c r="E123" s="153"/>
      <c r="F123" s="153"/>
      <c r="G123" s="102"/>
      <c r="H123" s="128"/>
      <c r="I123" s="146"/>
      <c r="J123" s="128"/>
      <c r="K123" s="103"/>
      <c r="L123" s="103"/>
      <c r="M123" s="128"/>
      <c r="N123" s="103">
        <f t="shared" ref="N123:N148" si="86">D123*0.0085</f>
        <v>0</v>
      </c>
      <c r="O123" s="103">
        <v>7</v>
      </c>
      <c r="P123" s="103"/>
      <c r="Q123" s="103">
        <v>689.44</v>
      </c>
      <c r="R123" s="103"/>
      <c r="S123" s="103">
        <v>0</v>
      </c>
      <c r="T123" s="103"/>
      <c r="U123" s="103"/>
      <c r="V123" s="103"/>
      <c r="W123" s="103">
        <f t="shared" ref="W123:W142" si="87">Y123*X123</f>
        <v>0</v>
      </c>
      <c r="X123" s="152">
        <v>7.4899999999999994E-2</v>
      </c>
      <c r="Y123" s="153"/>
      <c r="Z123" s="103">
        <v>90.57</v>
      </c>
      <c r="AA123" s="103">
        <f t="shared" ref="AA123:AA148" si="88">E123*0.1</f>
        <v>0</v>
      </c>
      <c r="AB123" s="154"/>
      <c r="AC123" s="103">
        <v>95</v>
      </c>
      <c r="AD123" s="103">
        <f>D123-I123-J123+M123-N123-O123-Q123-Z123-AA123-AC123-AE123-W123</f>
        <v>-882.01</v>
      </c>
      <c r="AE123" s="103">
        <f t="shared" ref="AE123:AE128" si="89">AB123*E123</f>
        <v>0</v>
      </c>
    </row>
    <row r="124" spans="1:31">
      <c r="A124" s="187" t="s">
        <v>429</v>
      </c>
      <c r="B124" s="185" t="s">
        <v>481</v>
      </c>
      <c r="C124" s="112">
        <v>2</v>
      </c>
      <c r="D124" s="103">
        <v>2200</v>
      </c>
      <c r="E124" s="102" t="s">
        <v>482</v>
      </c>
      <c r="F124" s="112">
        <v>1189</v>
      </c>
      <c r="G124" s="112">
        <v>270</v>
      </c>
      <c r="H124" s="128">
        <f>D124/E124</f>
        <v>1.5078821110349554</v>
      </c>
      <c r="I124" s="146">
        <f>556.03+807.67</f>
        <v>1363.6999999999998</v>
      </c>
      <c r="J124" s="128">
        <f>111.24+11.98</f>
        <v>123.22</v>
      </c>
      <c r="K124" s="103"/>
      <c r="L124" s="103">
        <v>50</v>
      </c>
      <c r="M124" s="128">
        <v>12.84</v>
      </c>
      <c r="N124" s="103">
        <f t="shared" si="86"/>
        <v>18.700000000000003</v>
      </c>
      <c r="O124" s="103">
        <v>7</v>
      </c>
      <c r="P124" s="103"/>
      <c r="Q124" s="103">
        <v>689.44</v>
      </c>
      <c r="R124" s="103"/>
      <c r="S124" s="103">
        <v>0</v>
      </c>
      <c r="T124" s="103"/>
      <c r="U124" s="103"/>
      <c r="V124" s="103"/>
      <c r="W124" s="103">
        <f t="shared" si="87"/>
        <v>113.32369999999999</v>
      </c>
      <c r="X124" s="152">
        <v>7.4899999999999994E-2</v>
      </c>
      <c r="Y124" s="153">
        <v>1513</v>
      </c>
      <c r="Z124" s="103">
        <v>90.57</v>
      </c>
      <c r="AA124" s="103">
        <f t="shared" si="88"/>
        <v>145.9</v>
      </c>
      <c r="AB124" s="154">
        <v>0.75</v>
      </c>
      <c r="AC124" s="103">
        <v>95</v>
      </c>
      <c r="AD124" s="103">
        <f t="shared" ref="AD124:AD129" si="90">D124-I124-J124-N124-O124-Q124-W124-Z124-AA124-AC124-AB124*E124</f>
        <v>-1541.1036999999999</v>
      </c>
      <c r="AE124" s="103">
        <f t="shared" si="89"/>
        <v>1094.25</v>
      </c>
    </row>
    <row r="125" spans="1:31">
      <c r="A125" s="189" t="s">
        <v>358</v>
      </c>
      <c r="B125" s="185" t="s">
        <v>483</v>
      </c>
      <c r="C125" s="112"/>
      <c r="D125" s="103">
        <v>2700</v>
      </c>
      <c r="E125" s="102"/>
      <c r="F125" s="112">
        <v>1044</v>
      </c>
      <c r="G125" s="112"/>
      <c r="H125" s="128"/>
      <c r="I125" s="146">
        <f>549.68+99.92</f>
        <v>649.59999999999991</v>
      </c>
      <c r="J125" s="117"/>
      <c r="K125" s="103"/>
      <c r="L125" s="103"/>
      <c r="M125" s="146">
        <v>74.790000000000006</v>
      </c>
      <c r="N125" s="103">
        <f t="shared" si="86"/>
        <v>22.950000000000003</v>
      </c>
      <c r="O125" s="103">
        <v>7</v>
      </c>
      <c r="P125" s="103"/>
      <c r="Q125" s="103">
        <v>689.44</v>
      </c>
      <c r="R125" s="103"/>
      <c r="S125" s="103">
        <v>0</v>
      </c>
      <c r="T125" s="103"/>
      <c r="U125" s="103"/>
      <c r="V125" s="103"/>
      <c r="W125" s="103">
        <f t="shared" si="87"/>
        <v>75.649000000000001</v>
      </c>
      <c r="X125" s="152">
        <v>7.4899999999999994E-2</v>
      </c>
      <c r="Y125" s="153">
        <v>1010</v>
      </c>
      <c r="Z125" s="103">
        <v>90.57</v>
      </c>
      <c r="AA125" s="103">
        <f t="shared" si="88"/>
        <v>0</v>
      </c>
      <c r="AB125" s="154"/>
      <c r="AC125" s="103">
        <v>95</v>
      </c>
      <c r="AD125" s="103">
        <f t="shared" si="90"/>
        <v>1069.7909999999999</v>
      </c>
      <c r="AE125" s="103">
        <f t="shared" si="89"/>
        <v>0</v>
      </c>
    </row>
    <row r="126" spans="1:31">
      <c r="A126" s="184" t="s">
        <v>484</v>
      </c>
      <c r="B126" s="185" t="s">
        <v>485</v>
      </c>
      <c r="C126" s="112">
        <v>5</v>
      </c>
      <c r="D126" s="103">
        <v>5450</v>
      </c>
      <c r="E126" s="102" t="s">
        <v>486</v>
      </c>
      <c r="F126" s="117">
        <v>2595</v>
      </c>
      <c r="G126" s="117">
        <v>224</v>
      </c>
      <c r="H126" s="128">
        <f>D126/E126</f>
        <v>1.9333096842852076</v>
      </c>
      <c r="I126" s="146">
        <f>1611.26+914.94</f>
        <v>2526.1999999999998</v>
      </c>
      <c r="J126" s="128">
        <v>772.06</v>
      </c>
      <c r="K126" s="103"/>
      <c r="L126" s="103"/>
      <c r="M126" s="146">
        <v>37.79</v>
      </c>
      <c r="N126" s="103">
        <f t="shared" si="86"/>
        <v>46.325000000000003</v>
      </c>
      <c r="O126" s="103">
        <v>7</v>
      </c>
      <c r="P126" s="103"/>
      <c r="Q126" s="103">
        <v>689.44</v>
      </c>
      <c r="R126" s="103"/>
      <c r="S126" s="103">
        <v>0</v>
      </c>
      <c r="T126" s="103"/>
      <c r="U126" s="103"/>
      <c r="V126" s="103"/>
      <c r="W126" s="103">
        <f t="shared" si="87"/>
        <v>230.24259999999998</v>
      </c>
      <c r="X126" s="152">
        <v>7.4899999999999994E-2</v>
      </c>
      <c r="Y126" s="153">
        <v>3074</v>
      </c>
      <c r="Z126" s="103">
        <v>90.57</v>
      </c>
      <c r="AA126" s="103">
        <f t="shared" si="88"/>
        <v>281.90000000000003</v>
      </c>
      <c r="AB126" s="154">
        <v>0.65</v>
      </c>
      <c r="AC126" s="103">
        <v>95</v>
      </c>
      <c r="AD126" s="103">
        <f t="shared" si="90"/>
        <v>-1121.0875999999998</v>
      </c>
      <c r="AE126" s="103">
        <f t="shared" si="89"/>
        <v>1832.3500000000001</v>
      </c>
    </row>
    <row r="127" spans="1:31">
      <c r="A127" s="198"/>
      <c r="B127" s="188" t="s">
        <v>403</v>
      </c>
      <c r="C127" s="112"/>
      <c r="D127" s="103"/>
      <c r="E127" s="102"/>
      <c r="F127" s="117"/>
      <c r="G127" s="117"/>
      <c r="H127" s="128"/>
      <c r="I127" s="146"/>
      <c r="J127" s="128"/>
      <c r="K127" s="103"/>
      <c r="L127" s="103"/>
      <c r="M127" s="146"/>
      <c r="N127" s="103">
        <f t="shared" si="86"/>
        <v>0</v>
      </c>
      <c r="O127" s="103">
        <v>7</v>
      </c>
      <c r="P127" s="103"/>
      <c r="Q127" s="103">
        <v>689.44</v>
      </c>
      <c r="R127" s="103"/>
      <c r="S127" s="103">
        <v>0</v>
      </c>
      <c r="T127" s="103"/>
      <c r="U127" s="103"/>
      <c r="V127" s="103"/>
      <c r="W127" s="103">
        <f t="shared" si="87"/>
        <v>0</v>
      </c>
      <c r="X127" s="152">
        <v>7.4899999999999994E-2</v>
      </c>
      <c r="Y127" s="153"/>
      <c r="Z127" s="103">
        <v>90.57</v>
      </c>
      <c r="AA127" s="103">
        <f t="shared" si="88"/>
        <v>0</v>
      </c>
      <c r="AB127" s="154"/>
      <c r="AC127" s="103">
        <v>95</v>
      </c>
      <c r="AD127" s="103">
        <f t="shared" si="90"/>
        <v>-882.01</v>
      </c>
      <c r="AE127" s="103">
        <f t="shared" si="89"/>
        <v>0</v>
      </c>
    </row>
    <row r="128" spans="1:31">
      <c r="A128" s="187"/>
      <c r="B128" s="185">
        <v>352375</v>
      </c>
      <c r="C128" s="112"/>
      <c r="D128" s="103"/>
      <c r="E128" s="102"/>
      <c r="F128" s="112"/>
      <c r="G128" s="112"/>
      <c r="H128" s="128"/>
      <c r="I128" s="146"/>
      <c r="J128" s="128"/>
      <c r="K128" s="103"/>
      <c r="L128" s="103"/>
      <c r="M128" s="146"/>
      <c r="N128" s="103">
        <f t="shared" si="86"/>
        <v>0</v>
      </c>
      <c r="O128" s="103">
        <v>7</v>
      </c>
      <c r="P128" s="103"/>
      <c r="Q128" s="103">
        <v>689.44</v>
      </c>
      <c r="R128" s="103"/>
      <c r="S128" s="103">
        <v>0</v>
      </c>
      <c r="T128" s="103"/>
      <c r="U128" s="103"/>
      <c r="V128" s="103"/>
      <c r="W128" s="103">
        <f t="shared" si="87"/>
        <v>0</v>
      </c>
      <c r="X128" s="152">
        <v>7.4899999999999994E-2</v>
      </c>
      <c r="Y128" s="153"/>
      <c r="Z128" s="103">
        <v>90.57</v>
      </c>
      <c r="AA128" s="103">
        <f t="shared" si="88"/>
        <v>0</v>
      </c>
      <c r="AB128" s="154"/>
      <c r="AC128" s="103">
        <v>95</v>
      </c>
      <c r="AD128" s="103">
        <f t="shared" si="90"/>
        <v>-882.01</v>
      </c>
      <c r="AE128" s="103">
        <f t="shared" si="89"/>
        <v>0</v>
      </c>
    </row>
    <row r="129" spans="1:31">
      <c r="A129" s="187"/>
      <c r="B129" s="185">
        <v>352376</v>
      </c>
      <c r="C129" s="112"/>
      <c r="D129" s="103"/>
      <c r="E129" s="102"/>
      <c r="F129" s="117"/>
      <c r="G129" s="117"/>
      <c r="H129" s="128"/>
      <c r="I129" s="146"/>
      <c r="J129" s="128"/>
      <c r="K129" s="103"/>
      <c r="L129" s="103"/>
      <c r="M129" s="146"/>
      <c r="N129" s="103">
        <f t="shared" si="86"/>
        <v>0</v>
      </c>
      <c r="O129" s="103">
        <v>7</v>
      </c>
      <c r="P129" s="103"/>
      <c r="Q129" s="103">
        <v>689.44</v>
      </c>
      <c r="R129" s="103"/>
      <c r="S129" s="103">
        <v>0</v>
      </c>
      <c r="T129" s="103"/>
      <c r="U129" s="103"/>
      <c r="V129" s="103"/>
      <c r="W129" s="103">
        <f t="shared" si="87"/>
        <v>0</v>
      </c>
      <c r="X129" s="152">
        <v>7.4899999999999994E-2</v>
      </c>
      <c r="Y129" s="153"/>
      <c r="Z129" s="103">
        <v>90.57</v>
      </c>
      <c r="AA129" s="103">
        <f t="shared" si="88"/>
        <v>0</v>
      </c>
      <c r="AB129" s="154"/>
      <c r="AC129" s="103">
        <v>95</v>
      </c>
      <c r="AD129" s="103">
        <f t="shared" si="90"/>
        <v>-882.01</v>
      </c>
      <c r="AE129" s="103">
        <f>AB129*E129+K129</f>
        <v>0</v>
      </c>
    </row>
    <row r="130" spans="1:31">
      <c r="A130" s="187"/>
      <c r="B130" s="185">
        <v>352377</v>
      </c>
      <c r="C130" s="112"/>
      <c r="D130" s="103"/>
      <c r="E130" s="102"/>
      <c r="F130" s="112"/>
      <c r="G130" s="112"/>
      <c r="H130" s="128"/>
      <c r="I130" s="203"/>
      <c r="J130" s="128"/>
      <c r="K130" s="103"/>
      <c r="L130" s="103"/>
      <c r="M130" s="146"/>
      <c r="N130" s="103">
        <f t="shared" si="86"/>
        <v>0</v>
      </c>
      <c r="O130" s="103">
        <v>7</v>
      </c>
      <c r="P130" s="103"/>
      <c r="Q130" s="103">
        <v>689.44</v>
      </c>
      <c r="R130" s="103"/>
      <c r="S130" s="103">
        <v>0</v>
      </c>
      <c r="T130" s="103"/>
      <c r="U130" s="103"/>
      <c r="V130" s="103"/>
      <c r="W130" s="103">
        <f t="shared" si="87"/>
        <v>1.7226999999999999</v>
      </c>
      <c r="X130" s="152">
        <v>7.4899999999999994E-2</v>
      </c>
      <c r="Y130" s="153">
        <v>23</v>
      </c>
      <c r="Z130" s="103">
        <v>90.57</v>
      </c>
      <c r="AA130" s="103">
        <f t="shared" si="88"/>
        <v>0</v>
      </c>
      <c r="AB130" s="154"/>
      <c r="AC130" s="103">
        <v>95</v>
      </c>
      <c r="AD130" s="103">
        <f t="shared" ref="AD130:AD131" si="91">D130-I130-J130-N130-O130-Q130-W130-Z130-AA130-AC130-AB130*E130+M130</f>
        <v>-883.73270000000002</v>
      </c>
      <c r="AE130" s="103">
        <f t="shared" ref="AE130:AE131" si="92">AB130*E130</f>
        <v>0</v>
      </c>
    </row>
    <row r="131" spans="1:31">
      <c r="A131" s="184" t="s">
        <v>425</v>
      </c>
      <c r="B131" s="185">
        <v>191276</v>
      </c>
      <c r="C131" s="112">
        <v>2</v>
      </c>
      <c r="D131" s="103">
        <v>1463</v>
      </c>
      <c r="E131" s="102" t="s">
        <v>487</v>
      </c>
      <c r="F131" s="112">
        <v>814</v>
      </c>
      <c r="G131" s="112">
        <v>32</v>
      </c>
      <c r="H131" s="128">
        <f t="shared" ref="H131:H138" si="93">D131/E131</f>
        <v>1.7293144208037825</v>
      </c>
      <c r="I131" s="146">
        <v>734.3</v>
      </c>
      <c r="J131" s="128">
        <v>285.83999999999997</v>
      </c>
      <c r="K131" s="103"/>
      <c r="L131" s="103"/>
      <c r="M131" s="146">
        <v>80.78</v>
      </c>
      <c r="N131" s="103">
        <f t="shared" si="86"/>
        <v>12.435500000000001</v>
      </c>
      <c r="O131" s="103">
        <v>7</v>
      </c>
      <c r="P131" s="103"/>
      <c r="Q131" s="103">
        <v>779.13</v>
      </c>
      <c r="R131" s="103"/>
      <c r="S131" s="103">
        <v>0</v>
      </c>
      <c r="T131" s="103"/>
      <c r="U131" s="103"/>
      <c r="V131" s="103"/>
      <c r="W131" s="103">
        <f t="shared" si="87"/>
        <v>142.94999999999999</v>
      </c>
      <c r="X131" s="152">
        <v>7.4999999999999997E-2</v>
      </c>
      <c r="Y131" s="153">
        <v>1906</v>
      </c>
      <c r="Z131" s="103">
        <v>90.57</v>
      </c>
      <c r="AA131" s="103">
        <f t="shared" si="88"/>
        <v>84.600000000000009</v>
      </c>
      <c r="AB131" s="154">
        <v>0.8</v>
      </c>
      <c r="AC131" s="103">
        <v>95</v>
      </c>
      <c r="AD131" s="103">
        <f t="shared" si="91"/>
        <v>-1364.8455000000001</v>
      </c>
      <c r="AE131" s="103">
        <f t="shared" si="92"/>
        <v>676.80000000000007</v>
      </c>
    </row>
    <row r="132" spans="1:31">
      <c r="A132" s="184" t="s">
        <v>488</v>
      </c>
      <c r="B132" s="185">
        <v>359886</v>
      </c>
      <c r="C132" s="112">
        <v>4</v>
      </c>
      <c r="D132" s="103">
        <v>3700</v>
      </c>
      <c r="E132" s="102" t="s">
        <v>489</v>
      </c>
      <c r="F132" s="112">
        <v>1665</v>
      </c>
      <c r="G132" s="112">
        <v>81</v>
      </c>
      <c r="H132" s="128">
        <f t="shared" si="93"/>
        <v>2.1191294387170676</v>
      </c>
      <c r="I132" s="146">
        <v>1386.69</v>
      </c>
      <c r="J132" s="128">
        <v>55.8</v>
      </c>
      <c r="K132" s="103"/>
      <c r="L132" s="103"/>
      <c r="M132" s="146">
        <v>140.84</v>
      </c>
      <c r="N132" s="103">
        <f t="shared" si="86"/>
        <v>31.450000000000003</v>
      </c>
      <c r="O132" s="103">
        <v>7</v>
      </c>
      <c r="P132" s="103"/>
      <c r="Q132" s="103">
        <v>689.44</v>
      </c>
      <c r="R132" s="103"/>
      <c r="S132" s="103">
        <v>0</v>
      </c>
      <c r="T132" s="103"/>
      <c r="U132" s="103"/>
      <c r="V132" s="103"/>
      <c r="W132" s="103">
        <f t="shared" si="87"/>
        <v>145.90519999999998</v>
      </c>
      <c r="X132" s="152">
        <v>7.4899999999999994E-2</v>
      </c>
      <c r="Y132" s="153">
        <v>1948</v>
      </c>
      <c r="Z132" s="103">
        <v>90.57</v>
      </c>
      <c r="AA132" s="103">
        <f t="shared" si="88"/>
        <v>174.60000000000002</v>
      </c>
      <c r="AB132" s="154">
        <v>0.45</v>
      </c>
      <c r="AC132" s="103">
        <v>95</v>
      </c>
      <c r="AD132" s="103">
        <f>D132-I132-J132-N132-O132-Q132-W132-Z132-AA132-AC132-AB132*E132</f>
        <v>237.84480000000008</v>
      </c>
      <c r="AE132" s="103">
        <f>AB132*E132+K132</f>
        <v>785.7</v>
      </c>
    </row>
    <row r="133" spans="1:31">
      <c r="A133" s="190" t="s">
        <v>431</v>
      </c>
      <c r="B133" s="185">
        <v>465180</v>
      </c>
      <c r="C133" s="112">
        <v>7</v>
      </c>
      <c r="D133" s="103">
        <v>5925</v>
      </c>
      <c r="E133" s="102" t="s">
        <v>490</v>
      </c>
      <c r="F133" s="112">
        <v>2727</v>
      </c>
      <c r="G133" s="112">
        <v>159</v>
      </c>
      <c r="H133" s="128">
        <f t="shared" si="93"/>
        <v>2.0530145530145529</v>
      </c>
      <c r="I133" s="146">
        <v>2243.56</v>
      </c>
      <c r="J133" s="128">
        <v>25</v>
      </c>
      <c r="K133" s="103"/>
      <c r="L133" s="103"/>
      <c r="M133" s="146">
        <v>272.14</v>
      </c>
      <c r="N133" s="103">
        <f t="shared" si="86"/>
        <v>50.362500000000004</v>
      </c>
      <c r="O133" s="103">
        <v>7</v>
      </c>
      <c r="P133" s="103"/>
      <c r="Q133" s="103">
        <v>789.51</v>
      </c>
      <c r="R133" s="103"/>
      <c r="S133" s="103">
        <v>0</v>
      </c>
      <c r="T133" s="103"/>
      <c r="U133" s="103"/>
      <c r="V133" s="103"/>
      <c r="W133" s="103">
        <f t="shared" si="87"/>
        <v>224.9804</v>
      </c>
      <c r="X133" s="152">
        <v>7.4300000000000005E-2</v>
      </c>
      <c r="Y133" s="153">
        <v>3028</v>
      </c>
      <c r="Z133" s="103">
        <v>90.57</v>
      </c>
      <c r="AA133" s="103">
        <f t="shared" si="88"/>
        <v>288.60000000000002</v>
      </c>
      <c r="AB133" s="154">
        <v>0.75</v>
      </c>
      <c r="AC133" s="103">
        <v>95</v>
      </c>
      <c r="AD133" s="103">
        <f>D133-I133-J133-N133-O133-Q133-W133-Z133-AA133-AC133-AB133*E133+M133</f>
        <v>218.0571000000001</v>
      </c>
      <c r="AE133" s="103">
        <f>AB133*E133</f>
        <v>2164.5</v>
      </c>
    </row>
    <row r="134" spans="1:31">
      <c r="A134" s="190" t="s">
        <v>491</v>
      </c>
      <c r="B134" s="185">
        <v>465181</v>
      </c>
      <c r="C134" s="117">
        <v>5</v>
      </c>
      <c r="D134" s="103">
        <v>6400</v>
      </c>
      <c r="E134" s="102" t="s">
        <v>492</v>
      </c>
      <c r="F134" s="112">
        <v>2988</v>
      </c>
      <c r="G134" s="112">
        <v>266</v>
      </c>
      <c r="H134" s="128">
        <f t="shared" si="93"/>
        <v>1.9668100799016595</v>
      </c>
      <c r="I134" s="146">
        <v>2907.49</v>
      </c>
      <c r="J134" s="128"/>
      <c r="K134" s="128"/>
      <c r="L134" s="128"/>
      <c r="M134" s="146">
        <v>89.9</v>
      </c>
      <c r="N134" s="103">
        <f t="shared" si="86"/>
        <v>54.400000000000006</v>
      </c>
      <c r="O134" s="103">
        <v>7</v>
      </c>
      <c r="P134" s="103"/>
      <c r="Q134" s="103">
        <v>789.51</v>
      </c>
      <c r="R134" s="103"/>
      <c r="S134" s="103">
        <v>0</v>
      </c>
      <c r="T134" s="103"/>
      <c r="U134" s="103"/>
      <c r="V134" s="103"/>
      <c r="W134" s="103">
        <f t="shared" si="87"/>
        <v>232.85620000000003</v>
      </c>
      <c r="X134" s="152">
        <v>7.4300000000000005E-2</v>
      </c>
      <c r="Y134" s="153">
        <v>3134</v>
      </c>
      <c r="Z134" s="103">
        <v>90.57</v>
      </c>
      <c r="AA134" s="103">
        <f t="shared" si="88"/>
        <v>325.40000000000003</v>
      </c>
      <c r="AB134" s="154">
        <v>0.65</v>
      </c>
      <c r="AC134" s="103">
        <v>95</v>
      </c>
      <c r="AD134" s="103">
        <f>D134-I134-J134-N134-O134-Q134-W134-Z134-AA134-AC134-AB134*E134</f>
        <v>-217.32619999999997</v>
      </c>
      <c r="AE134" s="103">
        <f t="shared" ref="AE134:AE135" si="94">AB134*E134+K134+L134</f>
        <v>2115.1</v>
      </c>
    </row>
    <row r="135" spans="1:31">
      <c r="A135" s="187" t="s">
        <v>432</v>
      </c>
      <c r="B135" s="185">
        <v>465182</v>
      </c>
      <c r="C135" s="112">
        <v>7</v>
      </c>
      <c r="D135" s="103">
        <v>10659</v>
      </c>
      <c r="E135" s="102" t="s">
        <v>493</v>
      </c>
      <c r="F135" s="112">
        <v>5351</v>
      </c>
      <c r="G135" s="112">
        <v>438</v>
      </c>
      <c r="H135" s="128">
        <f t="shared" si="93"/>
        <v>1.841250647780273</v>
      </c>
      <c r="I135" s="146">
        <v>2804.47</v>
      </c>
      <c r="J135" s="128">
        <v>312.13</v>
      </c>
      <c r="K135" s="128"/>
      <c r="L135" s="128"/>
      <c r="M135" s="146">
        <v>58.08</v>
      </c>
      <c r="N135" s="103">
        <f t="shared" si="86"/>
        <v>90.601500000000001</v>
      </c>
      <c r="O135" s="103">
        <v>7</v>
      </c>
      <c r="P135" s="103"/>
      <c r="Q135" s="103">
        <v>789.51</v>
      </c>
      <c r="R135" s="103"/>
      <c r="S135" s="103">
        <v>0</v>
      </c>
      <c r="T135" s="103"/>
      <c r="U135" s="103"/>
      <c r="V135" s="103"/>
      <c r="W135" s="103">
        <f t="shared" si="87"/>
        <v>296.08550000000002</v>
      </c>
      <c r="X135" s="152">
        <v>7.4300000000000005E-2</v>
      </c>
      <c r="Y135" s="153">
        <v>3985</v>
      </c>
      <c r="Z135" s="103">
        <v>90.57</v>
      </c>
      <c r="AA135" s="103">
        <f t="shared" si="88"/>
        <v>578.9</v>
      </c>
      <c r="AB135" s="154">
        <v>0.8</v>
      </c>
      <c r="AC135" s="103">
        <v>95</v>
      </c>
      <c r="AD135" s="103">
        <f t="shared" ref="AD135:AD142" si="95">D135-I135-J135-N135-O135-Q135-W135-Z135-AA135-AC135-AB135*E135+M135</f>
        <v>1021.6130000000013</v>
      </c>
      <c r="AE135" s="103">
        <f t="shared" si="94"/>
        <v>4631.2</v>
      </c>
    </row>
    <row r="136" spans="1:31">
      <c r="A136" s="190" t="s">
        <v>494</v>
      </c>
      <c r="B136" s="185">
        <v>465183</v>
      </c>
      <c r="C136" s="117">
        <v>7</v>
      </c>
      <c r="D136" s="103">
        <v>8100</v>
      </c>
      <c r="E136" s="102" t="s">
        <v>495</v>
      </c>
      <c r="F136" s="112">
        <v>4008</v>
      </c>
      <c r="G136" s="112">
        <v>212</v>
      </c>
      <c r="H136" s="128">
        <f t="shared" si="93"/>
        <v>1.919431279620853</v>
      </c>
      <c r="I136" s="146">
        <v>3560.16</v>
      </c>
      <c r="J136" s="128">
        <v>17.04</v>
      </c>
      <c r="K136" s="128"/>
      <c r="L136" s="128"/>
      <c r="M136" s="146">
        <v>552.85</v>
      </c>
      <c r="N136" s="103">
        <f t="shared" si="86"/>
        <v>68.850000000000009</v>
      </c>
      <c r="O136" s="103">
        <v>7</v>
      </c>
      <c r="P136" s="103"/>
      <c r="Q136" s="103">
        <v>789.51</v>
      </c>
      <c r="R136" s="103"/>
      <c r="S136" s="103">
        <v>0</v>
      </c>
      <c r="T136" s="103"/>
      <c r="U136" s="103"/>
      <c r="V136" s="103"/>
      <c r="W136" s="103">
        <f t="shared" si="87"/>
        <v>322.83350000000002</v>
      </c>
      <c r="X136" s="152">
        <v>7.4300000000000005E-2</v>
      </c>
      <c r="Y136" s="153">
        <v>4345</v>
      </c>
      <c r="Z136" s="103">
        <v>90.57</v>
      </c>
      <c r="AA136" s="103">
        <f t="shared" si="88"/>
        <v>422</v>
      </c>
      <c r="AB136" s="154">
        <v>0.8</v>
      </c>
      <c r="AC136" s="103">
        <v>95</v>
      </c>
      <c r="AD136" s="103">
        <f t="shared" si="95"/>
        <v>-96.113500000000727</v>
      </c>
      <c r="AE136" s="103">
        <f>AB136*E136+K136</f>
        <v>3376</v>
      </c>
    </row>
    <row r="137" spans="1:31">
      <c r="A137" s="190" t="s">
        <v>435</v>
      </c>
      <c r="B137" s="185">
        <v>465184</v>
      </c>
      <c r="C137" s="117">
        <v>3</v>
      </c>
      <c r="D137" s="103">
        <v>3600</v>
      </c>
      <c r="E137" s="102" t="s">
        <v>496</v>
      </c>
      <c r="F137" s="112">
        <v>1891</v>
      </c>
      <c r="G137" s="112">
        <v>102</v>
      </c>
      <c r="H137" s="128">
        <f t="shared" si="93"/>
        <v>1.8063221274460612</v>
      </c>
      <c r="I137" s="146">
        <v>729.04</v>
      </c>
      <c r="J137" s="128">
        <v>202.95</v>
      </c>
      <c r="K137" s="128"/>
      <c r="L137" s="128"/>
      <c r="M137" s="146">
        <v>18.920000000000002</v>
      </c>
      <c r="N137" s="103">
        <f t="shared" si="86"/>
        <v>30.6</v>
      </c>
      <c r="O137" s="103">
        <v>7</v>
      </c>
      <c r="P137" s="103"/>
      <c r="Q137" s="103">
        <v>789.51</v>
      </c>
      <c r="R137" s="103"/>
      <c r="S137" s="103">
        <v>0</v>
      </c>
      <c r="T137" s="103"/>
      <c r="U137" s="103"/>
      <c r="V137" s="103"/>
      <c r="W137" s="103">
        <f t="shared" si="87"/>
        <v>159.29920000000001</v>
      </c>
      <c r="X137" s="152">
        <v>7.4300000000000005E-2</v>
      </c>
      <c r="Y137" s="153">
        <v>2144</v>
      </c>
      <c r="Z137" s="103">
        <v>90.57</v>
      </c>
      <c r="AA137" s="103">
        <f t="shared" si="88"/>
        <v>199.3</v>
      </c>
      <c r="AB137" s="154">
        <v>0.8</v>
      </c>
      <c r="AC137" s="103">
        <v>95</v>
      </c>
      <c r="AD137" s="103">
        <f t="shared" si="95"/>
        <v>-278.74919999999958</v>
      </c>
      <c r="AE137" s="103">
        <f>AB137*E137</f>
        <v>1594.4</v>
      </c>
    </row>
    <row r="138" spans="1:31">
      <c r="A138" s="187" t="s">
        <v>458</v>
      </c>
      <c r="B138" s="185">
        <v>465185</v>
      </c>
      <c r="C138" s="117">
        <v>7</v>
      </c>
      <c r="D138" s="103">
        <v>5650</v>
      </c>
      <c r="E138" s="102" t="s">
        <v>497</v>
      </c>
      <c r="F138" s="112">
        <v>3550</v>
      </c>
      <c r="G138" s="112">
        <v>239</v>
      </c>
      <c r="H138" s="128">
        <f t="shared" si="93"/>
        <v>1.4911586170493534</v>
      </c>
      <c r="I138" s="146">
        <v>3600.69</v>
      </c>
      <c r="J138" s="128"/>
      <c r="K138" s="128"/>
      <c r="L138" s="128"/>
      <c r="M138" s="146">
        <v>621.25</v>
      </c>
      <c r="N138" s="103">
        <f t="shared" si="86"/>
        <v>48.025000000000006</v>
      </c>
      <c r="O138" s="103">
        <v>7</v>
      </c>
      <c r="P138" s="103"/>
      <c r="Q138" s="103">
        <v>789.51</v>
      </c>
      <c r="R138" s="103"/>
      <c r="S138" s="103">
        <v>0</v>
      </c>
      <c r="T138" s="103"/>
      <c r="U138" s="103"/>
      <c r="V138" s="103"/>
      <c r="W138" s="103">
        <f t="shared" si="87"/>
        <v>413.77670000000001</v>
      </c>
      <c r="X138" s="152">
        <v>7.4300000000000005E-2</v>
      </c>
      <c r="Y138" s="153">
        <v>5569</v>
      </c>
      <c r="Z138" s="103">
        <v>90.57</v>
      </c>
      <c r="AA138" s="103">
        <f t="shared" si="88"/>
        <v>378.90000000000003</v>
      </c>
      <c r="AB138" s="154">
        <v>0.75</v>
      </c>
      <c r="AC138" s="103">
        <v>95</v>
      </c>
      <c r="AD138" s="103">
        <f t="shared" si="95"/>
        <v>-1993.9717000000001</v>
      </c>
      <c r="AE138" s="103">
        <f t="shared" ref="AE138:AE139" si="96">AB138*E138+K138</f>
        <v>2841.75</v>
      </c>
    </row>
    <row r="139" spans="1:31">
      <c r="A139" s="187" t="s">
        <v>437</v>
      </c>
      <c r="B139" s="185">
        <v>465186</v>
      </c>
      <c r="C139" s="112"/>
      <c r="D139" s="103">
        <v>0</v>
      </c>
      <c r="E139" s="102"/>
      <c r="F139" s="112"/>
      <c r="G139" s="112"/>
      <c r="H139" s="128"/>
      <c r="I139" s="146"/>
      <c r="J139" s="128">
        <v>5.52</v>
      </c>
      <c r="K139" s="128"/>
      <c r="L139" s="128"/>
      <c r="M139" s="146"/>
      <c r="N139" s="103">
        <f t="shared" si="86"/>
        <v>0</v>
      </c>
      <c r="O139" s="103">
        <v>7</v>
      </c>
      <c r="P139" s="103"/>
      <c r="Q139" s="103">
        <v>789.51</v>
      </c>
      <c r="R139" s="103"/>
      <c r="S139" s="103">
        <v>0</v>
      </c>
      <c r="T139" s="103"/>
      <c r="U139" s="103"/>
      <c r="V139" s="103"/>
      <c r="W139" s="103">
        <f t="shared" si="87"/>
        <v>86.26230000000001</v>
      </c>
      <c r="X139" s="152">
        <v>7.4300000000000005E-2</v>
      </c>
      <c r="Y139" s="153">
        <v>1161</v>
      </c>
      <c r="Z139" s="103">
        <v>90.57</v>
      </c>
      <c r="AA139" s="103">
        <f t="shared" si="88"/>
        <v>0</v>
      </c>
      <c r="AB139" s="154">
        <v>0.7</v>
      </c>
      <c r="AC139" s="103">
        <v>95</v>
      </c>
      <c r="AD139" s="103">
        <f t="shared" si="95"/>
        <v>-1073.8623</v>
      </c>
      <c r="AE139" s="103">
        <f t="shared" si="96"/>
        <v>0</v>
      </c>
    </row>
    <row r="140" spans="1:31">
      <c r="A140" s="187" t="s">
        <v>439</v>
      </c>
      <c r="B140" s="185">
        <v>465187</v>
      </c>
      <c r="C140" s="117">
        <v>7</v>
      </c>
      <c r="D140" s="103">
        <v>9100</v>
      </c>
      <c r="E140" s="102" t="s">
        <v>498</v>
      </c>
      <c r="F140" s="112">
        <v>4237</v>
      </c>
      <c r="G140" s="112">
        <v>408</v>
      </c>
      <c r="H140" s="128">
        <f t="shared" ref="H140:H141" si="97">D140/E140</f>
        <v>1.9590958019375673</v>
      </c>
      <c r="I140" s="146">
        <v>3068.15</v>
      </c>
      <c r="J140" s="128">
        <v>66.260000000000005</v>
      </c>
      <c r="K140" s="128"/>
      <c r="L140" s="128"/>
      <c r="M140" s="146">
        <v>497.03</v>
      </c>
      <c r="N140" s="103">
        <f t="shared" si="86"/>
        <v>77.350000000000009</v>
      </c>
      <c r="O140" s="103">
        <v>7</v>
      </c>
      <c r="P140" s="103"/>
      <c r="Q140" s="103">
        <v>789.51</v>
      </c>
      <c r="R140" s="103"/>
      <c r="S140" s="103">
        <v>0</v>
      </c>
      <c r="T140" s="103"/>
      <c r="U140" s="103"/>
      <c r="V140" s="103"/>
      <c r="W140" s="103">
        <f t="shared" si="87"/>
        <v>324.83960000000002</v>
      </c>
      <c r="X140" s="152">
        <v>7.4300000000000005E-2</v>
      </c>
      <c r="Y140" s="153">
        <v>4372</v>
      </c>
      <c r="Z140" s="103">
        <v>90.57</v>
      </c>
      <c r="AA140" s="103">
        <f t="shared" si="88"/>
        <v>464.5</v>
      </c>
      <c r="AB140" s="154">
        <v>0.8</v>
      </c>
      <c r="AC140" s="103">
        <v>95</v>
      </c>
      <c r="AD140" s="103">
        <f t="shared" si="95"/>
        <v>897.85039999999958</v>
      </c>
      <c r="AE140" s="103">
        <f t="shared" ref="AE140:AE142" si="98">AB140*E140</f>
        <v>3716</v>
      </c>
    </row>
    <row r="141" spans="1:31">
      <c r="A141" s="190" t="s">
        <v>427</v>
      </c>
      <c r="B141" s="185">
        <v>465188</v>
      </c>
      <c r="C141" s="112">
        <v>5</v>
      </c>
      <c r="D141" s="103">
        <v>5300</v>
      </c>
      <c r="E141" s="102" t="s">
        <v>499</v>
      </c>
      <c r="F141" s="117">
        <v>2593</v>
      </c>
      <c r="G141" s="117">
        <v>122</v>
      </c>
      <c r="H141" s="128">
        <f t="shared" si="97"/>
        <v>1.9521178637200736</v>
      </c>
      <c r="I141" s="146">
        <v>1768.21</v>
      </c>
      <c r="J141" s="128">
        <v>23.48</v>
      </c>
      <c r="K141" s="128"/>
      <c r="L141" s="128"/>
      <c r="M141" s="146">
        <v>150.71</v>
      </c>
      <c r="N141" s="103">
        <f t="shared" si="86"/>
        <v>45.050000000000004</v>
      </c>
      <c r="O141" s="103">
        <v>7</v>
      </c>
      <c r="P141" s="103"/>
      <c r="Q141" s="103">
        <v>789.51</v>
      </c>
      <c r="R141" s="103"/>
      <c r="S141" s="103">
        <v>0</v>
      </c>
      <c r="T141" s="103"/>
      <c r="U141" s="103"/>
      <c r="V141" s="103"/>
      <c r="W141" s="103">
        <f t="shared" si="87"/>
        <v>217.99620000000002</v>
      </c>
      <c r="X141" s="152">
        <v>7.4300000000000005E-2</v>
      </c>
      <c r="Y141" s="153">
        <v>2934</v>
      </c>
      <c r="Z141" s="103">
        <v>90.57</v>
      </c>
      <c r="AA141" s="103">
        <f t="shared" si="88"/>
        <v>271.5</v>
      </c>
      <c r="AB141" s="154">
        <v>0.75</v>
      </c>
      <c r="AC141" s="103">
        <v>95</v>
      </c>
      <c r="AD141" s="103">
        <f t="shared" si="95"/>
        <v>106.1437999999998</v>
      </c>
      <c r="AE141" s="103">
        <f t="shared" si="98"/>
        <v>2036.25</v>
      </c>
    </row>
    <row r="142" spans="1:31">
      <c r="A142" s="184"/>
      <c r="B142" s="185">
        <v>465189</v>
      </c>
      <c r="C142" s="112"/>
      <c r="D142" s="103"/>
      <c r="E142" s="102"/>
      <c r="F142" s="117"/>
      <c r="G142" s="117"/>
      <c r="H142" s="128"/>
      <c r="I142" s="146"/>
      <c r="J142" s="128"/>
      <c r="K142" s="103"/>
      <c r="L142" s="103"/>
      <c r="M142" s="146"/>
      <c r="N142" s="103">
        <f t="shared" si="86"/>
        <v>0</v>
      </c>
      <c r="O142" s="103">
        <v>7</v>
      </c>
      <c r="P142" s="103"/>
      <c r="Q142" s="103">
        <v>789.51</v>
      </c>
      <c r="R142" s="103"/>
      <c r="S142" s="103">
        <v>0</v>
      </c>
      <c r="T142" s="103"/>
      <c r="U142" s="103"/>
      <c r="V142" s="103"/>
      <c r="W142" s="103">
        <f t="shared" si="87"/>
        <v>0</v>
      </c>
      <c r="X142" s="152">
        <v>7.4300000000000005E-2</v>
      </c>
      <c r="Y142" s="155"/>
      <c r="Z142" s="103">
        <v>90.57</v>
      </c>
      <c r="AA142" s="103">
        <f t="shared" si="88"/>
        <v>0</v>
      </c>
      <c r="AB142" s="154"/>
      <c r="AC142" s="103">
        <v>95</v>
      </c>
      <c r="AD142" s="103">
        <f t="shared" si="95"/>
        <v>-982.07999999999993</v>
      </c>
      <c r="AE142" s="103">
        <f t="shared" si="98"/>
        <v>0</v>
      </c>
    </row>
    <row r="143" spans="1:31">
      <c r="A143" s="134" t="s">
        <v>462</v>
      </c>
      <c r="B143" s="135" t="s">
        <v>399</v>
      </c>
      <c r="C143" s="158">
        <v>7</v>
      </c>
      <c r="D143" s="139">
        <v>5925</v>
      </c>
      <c r="E143" s="136">
        <v>2631.5</v>
      </c>
      <c r="F143" s="193"/>
      <c r="G143" s="193"/>
      <c r="H143" s="128">
        <f>D143/E143</f>
        <v>2.2515675470264109</v>
      </c>
      <c r="I143" s="139">
        <v>1426.41</v>
      </c>
      <c r="J143" s="139">
        <v>325.08999999999997</v>
      </c>
      <c r="K143" s="139"/>
      <c r="L143" s="139"/>
      <c r="M143" s="139">
        <v>116.99</v>
      </c>
      <c r="N143" s="139">
        <f t="shared" si="86"/>
        <v>50.362500000000004</v>
      </c>
      <c r="O143" s="139">
        <v>0</v>
      </c>
      <c r="P143" s="139"/>
      <c r="Q143" s="139">
        <v>0</v>
      </c>
      <c r="R143" s="139">
        <v>0</v>
      </c>
      <c r="S143" s="139">
        <v>0</v>
      </c>
      <c r="T143" s="139">
        <v>0</v>
      </c>
      <c r="U143" s="139"/>
      <c r="V143" s="139">
        <v>0</v>
      </c>
      <c r="W143" s="139">
        <v>0</v>
      </c>
      <c r="X143" s="159">
        <v>0</v>
      </c>
      <c r="Y143" s="136">
        <v>2631.5</v>
      </c>
      <c r="Z143" s="139">
        <v>0</v>
      </c>
      <c r="AA143" s="139">
        <f t="shared" si="88"/>
        <v>263.15000000000003</v>
      </c>
      <c r="AB143" s="160">
        <v>0.85</v>
      </c>
      <c r="AC143" s="139">
        <v>95</v>
      </c>
      <c r="AD143" s="139">
        <f>D143*0.15-AA143-N143</f>
        <v>575.23749999999995</v>
      </c>
      <c r="AE143" s="139">
        <f>D143*0.85-I143-J143+M143</f>
        <v>3401.74</v>
      </c>
    </row>
    <row r="144" spans="1:31">
      <c r="A144" s="134" t="s">
        <v>463</v>
      </c>
      <c r="B144" s="135" t="s">
        <v>362</v>
      </c>
      <c r="C144" s="158"/>
      <c r="D144" s="139">
        <v>0</v>
      </c>
      <c r="E144" s="136">
        <v>736</v>
      </c>
      <c r="F144" s="193"/>
      <c r="G144" s="193"/>
      <c r="H144" s="193"/>
      <c r="I144" s="139"/>
      <c r="J144" s="139">
        <v>279.7</v>
      </c>
      <c r="K144" s="139"/>
      <c r="L144" s="139"/>
      <c r="M144" s="139"/>
      <c r="N144" s="139">
        <f t="shared" si="86"/>
        <v>0</v>
      </c>
      <c r="O144" s="139">
        <v>7</v>
      </c>
      <c r="P144" s="139"/>
      <c r="Q144" s="139">
        <v>0</v>
      </c>
      <c r="R144" s="139">
        <v>50</v>
      </c>
      <c r="S144" s="139">
        <v>199</v>
      </c>
      <c r="T144" s="139">
        <v>30</v>
      </c>
      <c r="U144" s="139"/>
      <c r="V144" s="139">
        <v>300</v>
      </c>
      <c r="W144" s="139">
        <v>0</v>
      </c>
      <c r="X144" s="159">
        <v>0</v>
      </c>
      <c r="Y144" s="136">
        <v>736</v>
      </c>
      <c r="Z144" s="139">
        <v>0</v>
      </c>
      <c r="AA144" s="139">
        <f t="shared" si="88"/>
        <v>73.600000000000009</v>
      </c>
      <c r="AB144" s="160">
        <v>0.87</v>
      </c>
      <c r="AC144" s="139">
        <v>95</v>
      </c>
      <c r="AD144" s="139">
        <f>D144*0.13+V144+T144+S144+R144-AA144-N144+M144</f>
        <v>505.4</v>
      </c>
      <c r="AE144" s="139">
        <f>D144*0.87-I144-J144-R144-S144-T144-V144</f>
        <v>-858.7</v>
      </c>
    </row>
    <row r="145" spans="1:31">
      <c r="A145" s="134" t="s">
        <v>464</v>
      </c>
      <c r="B145" s="134">
        <v>1118</v>
      </c>
      <c r="C145" s="158">
        <v>4</v>
      </c>
      <c r="D145" s="139">
        <v>3800</v>
      </c>
      <c r="E145" s="136">
        <v>1851</v>
      </c>
      <c r="F145" s="136"/>
      <c r="G145" s="136"/>
      <c r="H145" s="128">
        <f>D145/E145</f>
        <v>2.0529443544030253</v>
      </c>
      <c r="I145" s="139">
        <v>995.49</v>
      </c>
      <c r="J145" s="139">
        <v>33</v>
      </c>
      <c r="K145" s="139"/>
      <c r="L145" s="139"/>
      <c r="M145" s="139">
        <v>0</v>
      </c>
      <c r="N145" s="139">
        <f t="shared" si="86"/>
        <v>32.300000000000004</v>
      </c>
      <c r="O145" s="139">
        <v>0</v>
      </c>
      <c r="P145" s="139"/>
      <c r="Q145" s="139">
        <v>0</v>
      </c>
      <c r="R145" s="139">
        <v>0</v>
      </c>
      <c r="S145" s="139">
        <v>0</v>
      </c>
      <c r="T145" s="139">
        <v>0</v>
      </c>
      <c r="U145" s="139"/>
      <c r="V145" s="139">
        <v>0</v>
      </c>
      <c r="W145" s="139">
        <v>0</v>
      </c>
      <c r="X145" s="159">
        <v>0</v>
      </c>
      <c r="Y145" s="136">
        <v>1851</v>
      </c>
      <c r="Z145" s="139">
        <v>0</v>
      </c>
      <c r="AA145" s="139">
        <f t="shared" si="88"/>
        <v>185.10000000000002</v>
      </c>
      <c r="AB145" s="160">
        <v>0.8</v>
      </c>
      <c r="AC145" s="139">
        <v>95</v>
      </c>
      <c r="AD145" s="139">
        <f>D145*0.2-AA145-N145-K145-AC145</f>
        <v>447.6</v>
      </c>
      <c r="AE145" s="139">
        <f>D145*AB145-I145-J145</f>
        <v>2011.51</v>
      </c>
    </row>
    <row r="146" spans="1:31">
      <c r="A146" s="199" t="s">
        <v>465</v>
      </c>
      <c r="B146" s="134" t="s">
        <v>369</v>
      </c>
      <c r="C146" s="158"/>
      <c r="D146" s="139"/>
      <c r="E146" s="136"/>
      <c r="F146" s="136"/>
      <c r="G146" s="136"/>
      <c r="H146" s="136"/>
      <c r="I146" s="139"/>
      <c r="J146" s="139"/>
      <c r="K146" s="139"/>
      <c r="L146" s="139"/>
      <c r="M146" s="139"/>
      <c r="N146" s="139">
        <f t="shared" si="86"/>
        <v>0</v>
      </c>
      <c r="O146" s="139">
        <v>7</v>
      </c>
      <c r="P146" s="139"/>
      <c r="Q146" s="139">
        <v>0</v>
      </c>
      <c r="R146" s="139">
        <v>50</v>
      </c>
      <c r="S146" s="139">
        <v>199</v>
      </c>
      <c r="T146" s="139">
        <v>30</v>
      </c>
      <c r="U146" s="139"/>
      <c r="V146" s="139">
        <v>300</v>
      </c>
      <c r="W146" s="139">
        <v>0</v>
      </c>
      <c r="X146" s="159">
        <v>0</v>
      </c>
      <c r="Y146" s="136"/>
      <c r="Z146" s="139">
        <v>0</v>
      </c>
      <c r="AA146" s="139">
        <f t="shared" si="88"/>
        <v>0</v>
      </c>
      <c r="AB146" s="160">
        <v>0.89</v>
      </c>
      <c r="AC146" s="139">
        <v>95</v>
      </c>
      <c r="AD146" s="139">
        <f>D146*0.11-AC146-AA146+V146+T146+S146+R146-N146</f>
        <v>484</v>
      </c>
      <c r="AE146" s="139">
        <f>D146*AB146-I146-J146-R146-S146-T146-V146</f>
        <v>-579</v>
      </c>
    </row>
    <row r="147" spans="1:31">
      <c r="A147" s="134" t="s">
        <v>466</v>
      </c>
      <c r="B147" s="134">
        <v>2013</v>
      </c>
      <c r="C147" s="158">
        <v>7</v>
      </c>
      <c r="D147" s="139">
        <v>4200</v>
      </c>
      <c r="E147" s="136">
        <v>2941</v>
      </c>
      <c r="F147" s="136"/>
      <c r="G147" s="136"/>
      <c r="H147" s="128">
        <f t="shared" ref="H147:H148" si="99">D147/E147</f>
        <v>1.4280856851411086</v>
      </c>
      <c r="I147" s="139">
        <v>1971.92</v>
      </c>
      <c r="J147" s="139">
        <v>62.8</v>
      </c>
      <c r="K147" s="139"/>
      <c r="L147" s="139"/>
      <c r="M147" s="139">
        <v>14.39</v>
      </c>
      <c r="N147" s="139">
        <f t="shared" si="86"/>
        <v>35.700000000000003</v>
      </c>
      <c r="O147" s="139">
        <v>0</v>
      </c>
      <c r="P147" s="139"/>
      <c r="Q147" s="139">
        <v>0</v>
      </c>
      <c r="R147" s="139">
        <v>50</v>
      </c>
      <c r="S147" s="139">
        <v>199</v>
      </c>
      <c r="T147" s="139">
        <v>30</v>
      </c>
      <c r="U147" s="139"/>
      <c r="V147" s="139">
        <v>300</v>
      </c>
      <c r="W147" s="139">
        <v>0</v>
      </c>
      <c r="X147" s="159">
        <v>0</v>
      </c>
      <c r="Y147" s="136">
        <v>2941</v>
      </c>
      <c r="Z147" s="139">
        <v>0</v>
      </c>
      <c r="AA147" s="139">
        <f t="shared" si="88"/>
        <v>294.10000000000002</v>
      </c>
      <c r="AB147" s="160">
        <v>0.87</v>
      </c>
      <c r="AC147" s="139">
        <v>95</v>
      </c>
      <c r="AD147" s="139">
        <f>D147*0.13+V147+T147+S147+R147-AA147-N147+M147</f>
        <v>809.58999999999992</v>
      </c>
      <c r="AE147" s="139">
        <f t="shared" ref="AE147:AE148" si="100">D147*AB147-I147-J147-V147-T147-S147-R147</f>
        <v>1040.28</v>
      </c>
    </row>
    <row r="148" spans="1:31">
      <c r="A148" s="134" t="s">
        <v>467</v>
      </c>
      <c r="B148" s="134">
        <v>1122</v>
      </c>
      <c r="C148" s="158">
        <v>6</v>
      </c>
      <c r="D148" s="139">
        <v>5245</v>
      </c>
      <c r="E148" s="136">
        <v>2727</v>
      </c>
      <c r="F148" s="136"/>
      <c r="G148" s="136"/>
      <c r="H148" s="128">
        <f t="shared" si="99"/>
        <v>1.9233590025669234</v>
      </c>
      <c r="I148" s="139">
        <v>1807.89</v>
      </c>
      <c r="J148" s="139"/>
      <c r="K148" s="139"/>
      <c r="L148" s="139"/>
      <c r="M148" s="139">
        <v>8.2799999999999994</v>
      </c>
      <c r="N148" s="139">
        <f t="shared" si="86"/>
        <v>44.582500000000003</v>
      </c>
      <c r="O148" s="139">
        <v>7</v>
      </c>
      <c r="P148" s="139"/>
      <c r="Q148" s="139">
        <v>0</v>
      </c>
      <c r="R148" s="139">
        <v>0</v>
      </c>
      <c r="S148" s="139">
        <v>0</v>
      </c>
      <c r="T148" s="139">
        <v>0</v>
      </c>
      <c r="U148" s="139"/>
      <c r="V148" s="139">
        <v>0</v>
      </c>
      <c r="W148" s="139">
        <v>0</v>
      </c>
      <c r="X148" s="159">
        <v>0</v>
      </c>
      <c r="Y148" s="136">
        <v>2727</v>
      </c>
      <c r="Z148" s="139">
        <v>0</v>
      </c>
      <c r="AA148" s="139">
        <f t="shared" si="88"/>
        <v>272.7</v>
      </c>
      <c r="AB148" s="160">
        <v>0.8</v>
      </c>
      <c r="AC148" s="139">
        <v>95</v>
      </c>
      <c r="AD148" s="139">
        <f>D148*0.13-AC148-AA148+V148+T148+S148+R148-N148+M148</f>
        <v>277.84750000000003</v>
      </c>
      <c r="AE148" s="139">
        <f t="shared" si="100"/>
        <v>2388.1099999999997</v>
      </c>
    </row>
    <row r="149" spans="1:31">
      <c r="A149" s="134" t="s">
        <v>500</v>
      </c>
      <c r="B149" s="134">
        <v>9450</v>
      </c>
      <c r="C149" s="158">
        <v>0</v>
      </c>
      <c r="D149" s="139"/>
      <c r="E149" s="136"/>
      <c r="F149" s="136"/>
      <c r="G149" s="136"/>
      <c r="H149" s="136"/>
      <c r="I149" s="139"/>
      <c r="J149" s="139">
        <v>27</v>
      </c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59"/>
      <c r="Y149" s="136"/>
      <c r="Z149" s="139"/>
      <c r="AA149" s="139"/>
      <c r="AB149" s="160"/>
      <c r="AC149" s="139"/>
      <c r="AD149" s="139"/>
      <c r="AE149" s="139"/>
    </row>
    <row r="150" spans="1:31">
      <c r="A150" s="72" t="s">
        <v>89</v>
      </c>
      <c r="B150" s="72">
        <v>28</v>
      </c>
      <c r="C150" s="202">
        <f>AVERAGE(C123:C142)</f>
        <v>5.083333333333333</v>
      </c>
      <c r="D150" s="201">
        <f>SUM(D123:D149)</f>
        <v>89417</v>
      </c>
      <c r="E150" s="204">
        <f>AVERAGE(E123:E148)</f>
        <v>2177.3000000000002</v>
      </c>
      <c r="F150" s="202">
        <f t="shared" ref="F150:H150" si="101">AVERAGE(F124:F148)</f>
        <v>2665.5384615384614</v>
      </c>
      <c r="G150" s="202">
        <f t="shared" si="101"/>
        <v>212.75</v>
      </c>
      <c r="H150" s="201">
        <f t="shared" si="101"/>
        <v>1.8709245759030546</v>
      </c>
      <c r="I150" s="201">
        <f>SUM(I123:I148)</f>
        <v>33543.97</v>
      </c>
      <c r="J150" s="201">
        <f>SUM(J123:J149)</f>
        <v>2616.89</v>
      </c>
      <c r="K150" s="201">
        <f t="shared" ref="K150:O150" si="102">SUM(K123:K148)</f>
        <v>0</v>
      </c>
      <c r="L150" s="201">
        <f t="shared" si="102"/>
        <v>50</v>
      </c>
      <c r="M150" s="201">
        <f t="shared" si="102"/>
        <v>2747.58</v>
      </c>
      <c r="N150" s="201">
        <f t="shared" si="102"/>
        <v>760.04449999999997</v>
      </c>
      <c r="O150" s="201">
        <f t="shared" si="102"/>
        <v>161</v>
      </c>
      <c r="P150" s="201"/>
      <c r="Q150" s="201">
        <f t="shared" ref="Q150:T150" si="103">SUM(Q123:Q148)</f>
        <v>14879.190000000002</v>
      </c>
      <c r="R150" s="201">
        <f t="shared" si="103"/>
        <v>150</v>
      </c>
      <c r="S150" s="201">
        <f t="shared" si="103"/>
        <v>597</v>
      </c>
      <c r="T150" s="201">
        <f t="shared" si="103"/>
        <v>90</v>
      </c>
      <c r="U150" s="201"/>
      <c r="V150" s="201">
        <f t="shared" ref="V150:AA150" si="104">SUM(V123:V148)</f>
        <v>900</v>
      </c>
      <c r="W150" s="201">
        <f t="shared" si="104"/>
        <v>2988.7228</v>
      </c>
      <c r="X150" s="201">
        <f t="shared" si="104"/>
        <v>1.4921</v>
      </c>
      <c r="Y150" s="204">
        <f t="shared" si="104"/>
        <v>51032.5</v>
      </c>
      <c r="Z150" s="201">
        <f t="shared" si="104"/>
        <v>1811.3999999999992</v>
      </c>
      <c r="AA150" s="201">
        <f t="shared" si="104"/>
        <v>4704.7500000000009</v>
      </c>
      <c r="AB150" s="201"/>
      <c r="AC150" s="201">
        <f t="shared" ref="AC150:AE150" si="105">SUM(AC123:AC148)</f>
        <v>2470</v>
      </c>
      <c r="AD150" s="201">
        <f t="shared" si="105"/>
        <v>-6429.9373000000014</v>
      </c>
      <c r="AE150" s="201">
        <f t="shared" si="105"/>
        <v>34268.239999999998</v>
      </c>
    </row>
  </sheetData>
  <mergeCells count="5">
    <mergeCell ref="A1:AE1"/>
    <mergeCell ref="A31:AE31"/>
    <mergeCell ref="A61:AE61"/>
    <mergeCell ref="A91:AE91"/>
    <mergeCell ref="A121:AE121"/>
  </mergeCells>
  <conditionalFormatting sqref="H3:H28 H33:H55 H57:H58 H63:H85 H87:H88 H93:H115 H117:H118 H123:H143 H145 H147:H148">
    <cfRule type="colorScale" priority="1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E118"/>
  <sheetViews>
    <sheetView workbookViewId="0"/>
  </sheetViews>
  <sheetFormatPr baseColWidth="10" defaultColWidth="12.6640625" defaultRowHeight="15.75" customHeight="1"/>
  <cols>
    <col min="1" max="1" width="20.5" customWidth="1"/>
    <col min="4" max="4" width="11.33203125" customWidth="1"/>
    <col min="5" max="5" width="8.33203125" customWidth="1"/>
    <col min="6" max="6" width="7.1640625" customWidth="1"/>
    <col min="7" max="7" width="6.83203125" customWidth="1"/>
    <col min="8" max="8" width="8.1640625" customWidth="1"/>
  </cols>
  <sheetData>
    <row r="1" spans="1:31">
      <c r="A1" s="457" t="s">
        <v>501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  <c r="AC1" s="458"/>
      <c r="AD1" s="458"/>
      <c r="AE1" s="459"/>
    </row>
    <row r="2" spans="1:31">
      <c r="A2" s="95" t="s">
        <v>0</v>
      </c>
      <c r="B2" s="95" t="s">
        <v>1</v>
      </c>
      <c r="C2" s="95" t="s">
        <v>372</v>
      </c>
      <c r="D2" s="95" t="s">
        <v>2</v>
      </c>
      <c r="E2" s="95" t="s">
        <v>413</v>
      </c>
      <c r="F2" s="150" t="s">
        <v>414</v>
      </c>
      <c r="G2" s="150" t="s">
        <v>415</v>
      </c>
      <c r="H2" s="95" t="s">
        <v>416</v>
      </c>
      <c r="I2" s="95" t="s">
        <v>7</v>
      </c>
      <c r="J2" s="95" t="s">
        <v>8</v>
      </c>
      <c r="K2" s="95" t="s">
        <v>287</v>
      </c>
      <c r="L2" s="95" t="s">
        <v>288</v>
      </c>
      <c r="M2" s="95" t="s">
        <v>257</v>
      </c>
      <c r="N2" s="95" t="s">
        <v>373</v>
      </c>
      <c r="O2" s="95" t="s">
        <v>374</v>
      </c>
      <c r="P2" s="95"/>
      <c r="Q2" s="95" t="s">
        <v>375</v>
      </c>
      <c r="R2" s="95" t="s">
        <v>376</v>
      </c>
      <c r="S2" s="95" t="s">
        <v>377</v>
      </c>
      <c r="T2" s="150" t="s">
        <v>378</v>
      </c>
      <c r="U2" s="150"/>
      <c r="V2" s="150" t="s">
        <v>379</v>
      </c>
      <c r="W2" s="150" t="s">
        <v>352</v>
      </c>
      <c r="X2" s="95" t="s">
        <v>380</v>
      </c>
      <c r="Y2" s="95" t="s">
        <v>381</v>
      </c>
      <c r="Z2" s="95" t="s">
        <v>382</v>
      </c>
      <c r="AA2" s="95" t="s">
        <v>383</v>
      </c>
      <c r="AB2" s="95" t="s">
        <v>385</v>
      </c>
      <c r="AC2" s="150" t="s">
        <v>333</v>
      </c>
      <c r="AD2" s="95" t="s">
        <v>13</v>
      </c>
      <c r="AE2" s="95" t="s">
        <v>98</v>
      </c>
    </row>
    <row r="3" spans="1:31">
      <c r="A3" s="198"/>
      <c r="B3" s="205">
        <v>191282</v>
      </c>
      <c r="C3" s="112"/>
      <c r="D3" s="103"/>
      <c r="E3" s="153"/>
      <c r="F3" s="153"/>
      <c r="G3" s="102"/>
      <c r="H3" s="128"/>
      <c r="I3" s="146">
        <v>801.7</v>
      </c>
      <c r="J3" s="128"/>
      <c r="K3" s="103"/>
      <c r="L3" s="103"/>
      <c r="M3" s="128"/>
      <c r="N3" s="103">
        <f t="shared" ref="N3:N28" si="0">D3*0.0085</f>
        <v>0</v>
      </c>
      <c r="O3" s="103">
        <v>7</v>
      </c>
      <c r="P3" s="103"/>
      <c r="Q3" s="103">
        <v>689.44</v>
      </c>
      <c r="R3" s="103"/>
      <c r="S3" s="103">
        <v>0</v>
      </c>
      <c r="T3" s="103"/>
      <c r="U3" s="103"/>
      <c r="V3" s="103"/>
      <c r="W3" s="103">
        <f t="shared" ref="W3:W22" si="1">Y3*X3</f>
        <v>6.8158999999999992</v>
      </c>
      <c r="X3" s="152">
        <v>7.4899999999999994E-2</v>
      </c>
      <c r="Y3" s="153">
        <v>91</v>
      </c>
      <c r="Z3" s="103">
        <v>90.57</v>
      </c>
      <c r="AA3" s="103">
        <f t="shared" ref="AA3:AA28" si="2">E3*0.1</f>
        <v>0</v>
      </c>
      <c r="AB3" s="154"/>
      <c r="AC3" s="103">
        <v>95</v>
      </c>
      <c r="AD3" s="103">
        <f>D3-I3-J3+M3-N3-O3-Q3-Z3-AA3-AC3-AE3-W3</f>
        <v>-1690.5259000000001</v>
      </c>
      <c r="AE3" s="103">
        <f t="shared" ref="AE3:AE8" si="3">AB3*E3</f>
        <v>0</v>
      </c>
    </row>
    <row r="4" spans="1:31">
      <c r="A4" s="187" t="s">
        <v>429</v>
      </c>
      <c r="B4" s="185">
        <v>191275</v>
      </c>
      <c r="C4" s="112">
        <v>7</v>
      </c>
      <c r="D4" s="103">
        <v>5450</v>
      </c>
      <c r="E4" s="102">
        <f>F4+G4</f>
        <v>2804</v>
      </c>
      <c r="F4" s="112">
        <v>1827</v>
      </c>
      <c r="G4" s="112">
        <v>977</v>
      </c>
      <c r="H4" s="128">
        <f>D4/E4</f>
        <v>1.9436519258202567</v>
      </c>
      <c r="I4" s="146">
        <v>1815.74</v>
      </c>
      <c r="J4" s="128">
        <v>181.77</v>
      </c>
      <c r="K4" s="103">
        <v>200</v>
      </c>
      <c r="L4" s="103"/>
      <c r="M4" s="128">
        <v>34.4</v>
      </c>
      <c r="N4" s="103">
        <f t="shared" si="0"/>
        <v>46.325000000000003</v>
      </c>
      <c r="O4" s="103">
        <v>7</v>
      </c>
      <c r="P4" s="103"/>
      <c r="Q4" s="103">
        <v>689.44</v>
      </c>
      <c r="R4" s="103"/>
      <c r="S4" s="103">
        <v>0</v>
      </c>
      <c r="T4" s="103"/>
      <c r="U4" s="103"/>
      <c r="V4" s="103"/>
      <c r="W4" s="103">
        <f t="shared" si="1"/>
        <v>217.43469999999999</v>
      </c>
      <c r="X4" s="152">
        <v>7.4899999999999994E-2</v>
      </c>
      <c r="Y4" s="153">
        <v>2903</v>
      </c>
      <c r="Z4" s="103">
        <v>90.57</v>
      </c>
      <c r="AA4" s="103">
        <f t="shared" si="2"/>
        <v>280.40000000000003</v>
      </c>
      <c r="AB4" s="154">
        <v>0.75</v>
      </c>
      <c r="AC4" s="103">
        <v>95</v>
      </c>
      <c r="AD4" s="103">
        <f t="shared" ref="AD4:AD9" si="4">D4-I4-J4-N4-O4-Q4-W4-Z4-AA4-AC4-AB4*E4</f>
        <v>-76.679699999999684</v>
      </c>
      <c r="AE4" s="103">
        <f t="shared" si="3"/>
        <v>2103</v>
      </c>
    </row>
    <row r="5" spans="1:31">
      <c r="A5" s="189" t="s">
        <v>358</v>
      </c>
      <c r="B5" s="185" t="s">
        <v>502</v>
      </c>
      <c r="C5" s="112"/>
      <c r="D5" s="103">
        <v>4100</v>
      </c>
      <c r="E5" s="102"/>
      <c r="F5" s="112"/>
      <c r="G5" s="112"/>
      <c r="H5" s="128"/>
      <c r="I5" s="146">
        <f>661.98+99.92</f>
        <v>761.9</v>
      </c>
      <c r="J5" s="117"/>
      <c r="K5" s="103"/>
      <c r="L5" s="103"/>
      <c r="M5" s="146">
        <v>3.45</v>
      </c>
      <c r="N5" s="103">
        <f t="shared" si="0"/>
        <v>34.85</v>
      </c>
      <c r="O5" s="103">
        <v>7</v>
      </c>
      <c r="P5" s="103"/>
      <c r="Q5" s="103">
        <v>689.44</v>
      </c>
      <c r="R5" s="103"/>
      <c r="S5" s="103">
        <v>0</v>
      </c>
      <c r="T5" s="103"/>
      <c r="U5" s="103"/>
      <c r="V5" s="103"/>
      <c r="W5" s="103">
        <f t="shared" si="1"/>
        <v>107.4066</v>
      </c>
      <c r="X5" s="152">
        <v>7.4899999999999994E-2</v>
      </c>
      <c r="Y5" s="153">
        <v>1434</v>
      </c>
      <c r="Z5" s="103">
        <v>90.57</v>
      </c>
      <c r="AA5" s="103">
        <f t="shared" si="2"/>
        <v>0</v>
      </c>
      <c r="AB5" s="154"/>
      <c r="AC5" s="103">
        <v>95</v>
      </c>
      <c r="AD5" s="103">
        <f t="shared" si="4"/>
        <v>2313.8334</v>
      </c>
      <c r="AE5" s="103">
        <f t="shared" si="3"/>
        <v>0</v>
      </c>
    </row>
    <row r="6" spans="1:31">
      <c r="A6" s="184" t="s">
        <v>484</v>
      </c>
      <c r="B6" s="185">
        <v>191277</v>
      </c>
      <c r="C6" s="112">
        <v>7</v>
      </c>
      <c r="D6" s="103">
        <v>7050</v>
      </c>
      <c r="E6" s="102">
        <f>F6+G6</f>
        <v>3774</v>
      </c>
      <c r="F6" s="117">
        <v>3479</v>
      </c>
      <c r="G6" s="117">
        <v>295</v>
      </c>
      <c r="H6" s="128">
        <f>D6/E6</f>
        <v>1.8680445151033387</v>
      </c>
      <c r="I6" s="146">
        <v>2844.73</v>
      </c>
      <c r="J6" s="128">
        <v>222.58</v>
      </c>
      <c r="K6" s="103"/>
      <c r="L6" s="103"/>
      <c r="M6" s="146">
        <v>310.08999999999997</v>
      </c>
      <c r="N6" s="103">
        <f t="shared" si="0"/>
        <v>59.925000000000004</v>
      </c>
      <c r="O6" s="103">
        <v>7</v>
      </c>
      <c r="P6" s="103"/>
      <c r="Q6" s="103">
        <v>689.44</v>
      </c>
      <c r="R6" s="103"/>
      <c r="S6" s="103">
        <v>0</v>
      </c>
      <c r="T6" s="103"/>
      <c r="U6" s="103"/>
      <c r="V6" s="103"/>
      <c r="W6" s="103">
        <f t="shared" si="1"/>
        <v>284.24549999999999</v>
      </c>
      <c r="X6" s="152">
        <v>7.4899999999999994E-2</v>
      </c>
      <c r="Y6" s="153">
        <v>3795</v>
      </c>
      <c r="Z6" s="103">
        <v>90.57</v>
      </c>
      <c r="AA6" s="103">
        <f t="shared" si="2"/>
        <v>377.40000000000003</v>
      </c>
      <c r="AB6" s="154">
        <v>0.65</v>
      </c>
      <c r="AC6" s="103">
        <v>95</v>
      </c>
      <c r="AD6" s="103">
        <f t="shared" si="4"/>
        <v>-73.990499999999884</v>
      </c>
      <c r="AE6" s="103">
        <f t="shared" si="3"/>
        <v>2453.1</v>
      </c>
    </row>
    <row r="7" spans="1:31">
      <c r="A7" s="198"/>
      <c r="B7" s="188" t="s">
        <v>503</v>
      </c>
      <c r="C7" s="112"/>
      <c r="D7" s="103"/>
      <c r="E7" s="102"/>
      <c r="F7" s="117"/>
      <c r="G7" s="117"/>
      <c r="H7" s="128"/>
      <c r="I7" s="146"/>
      <c r="J7" s="128">
        <v>29.65</v>
      </c>
      <c r="K7" s="103"/>
      <c r="L7" s="103"/>
      <c r="M7" s="146"/>
      <c r="N7" s="103">
        <f t="shared" si="0"/>
        <v>0</v>
      </c>
      <c r="O7" s="103">
        <v>7</v>
      </c>
      <c r="P7" s="103"/>
      <c r="Q7" s="103">
        <v>689.44</v>
      </c>
      <c r="R7" s="103"/>
      <c r="S7" s="103">
        <v>0</v>
      </c>
      <c r="T7" s="103"/>
      <c r="U7" s="103"/>
      <c r="V7" s="103"/>
      <c r="W7" s="103">
        <f t="shared" si="1"/>
        <v>0</v>
      </c>
      <c r="X7" s="152">
        <v>7.4899999999999994E-2</v>
      </c>
      <c r="Y7" s="153"/>
      <c r="Z7" s="103">
        <v>90.57</v>
      </c>
      <c r="AA7" s="103">
        <f t="shared" si="2"/>
        <v>0</v>
      </c>
      <c r="AB7" s="154"/>
      <c r="AC7" s="103">
        <v>95</v>
      </c>
      <c r="AD7" s="103">
        <f t="shared" si="4"/>
        <v>-911.66000000000008</v>
      </c>
      <c r="AE7" s="103">
        <f t="shared" si="3"/>
        <v>0</v>
      </c>
    </row>
    <row r="8" spans="1:31">
      <c r="A8" s="187"/>
      <c r="B8" s="205">
        <v>191278</v>
      </c>
      <c r="C8" s="112"/>
      <c r="D8" s="103"/>
      <c r="E8" s="102"/>
      <c r="F8" s="112"/>
      <c r="G8" s="112"/>
      <c r="H8" s="128"/>
      <c r="I8" s="146">
        <v>871.98</v>
      </c>
      <c r="J8" s="128"/>
      <c r="K8" s="103"/>
      <c r="L8" s="103"/>
      <c r="M8" s="146"/>
      <c r="N8" s="103">
        <f t="shared" si="0"/>
        <v>0</v>
      </c>
      <c r="O8" s="103">
        <v>7</v>
      </c>
      <c r="P8" s="103"/>
      <c r="Q8" s="103">
        <v>689.44</v>
      </c>
      <c r="R8" s="103"/>
      <c r="S8" s="103">
        <v>0</v>
      </c>
      <c r="T8" s="103"/>
      <c r="U8" s="103"/>
      <c r="V8" s="103"/>
      <c r="W8" s="103">
        <f t="shared" si="1"/>
        <v>100.4409</v>
      </c>
      <c r="X8" s="152">
        <v>7.4899999999999994E-2</v>
      </c>
      <c r="Y8" s="153">
        <v>1341</v>
      </c>
      <c r="Z8" s="103">
        <v>90.57</v>
      </c>
      <c r="AA8" s="103">
        <f t="shared" si="2"/>
        <v>0</v>
      </c>
      <c r="AB8" s="154"/>
      <c r="AC8" s="103">
        <v>95</v>
      </c>
      <c r="AD8" s="103">
        <f t="shared" si="4"/>
        <v>-1854.4309000000001</v>
      </c>
      <c r="AE8" s="103">
        <f t="shared" si="3"/>
        <v>0</v>
      </c>
    </row>
    <row r="9" spans="1:31">
      <c r="A9" s="187"/>
      <c r="B9" s="205">
        <v>191280</v>
      </c>
      <c r="C9" s="112"/>
      <c r="D9" s="103"/>
      <c r="E9" s="102"/>
      <c r="F9" s="117"/>
      <c r="G9" s="117"/>
      <c r="H9" s="128"/>
      <c r="I9" s="146">
        <v>877.4</v>
      </c>
      <c r="J9" s="128"/>
      <c r="K9" s="103"/>
      <c r="L9" s="103"/>
      <c r="M9" s="146"/>
      <c r="N9" s="103">
        <f t="shared" si="0"/>
        <v>0</v>
      </c>
      <c r="O9" s="103">
        <v>7</v>
      </c>
      <c r="P9" s="103"/>
      <c r="Q9" s="103">
        <v>689.44</v>
      </c>
      <c r="R9" s="103"/>
      <c r="S9" s="103">
        <v>0</v>
      </c>
      <c r="T9" s="103"/>
      <c r="U9" s="103"/>
      <c r="V9" s="103"/>
      <c r="W9" s="103">
        <f t="shared" si="1"/>
        <v>97.36999999999999</v>
      </c>
      <c r="X9" s="152">
        <v>7.4899999999999994E-2</v>
      </c>
      <c r="Y9" s="153">
        <v>1300</v>
      </c>
      <c r="Z9" s="103">
        <v>90.57</v>
      </c>
      <c r="AA9" s="103">
        <f t="shared" si="2"/>
        <v>0</v>
      </c>
      <c r="AB9" s="154"/>
      <c r="AC9" s="103">
        <v>95</v>
      </c>
      <c r="AD9" s="103">
        <f t="shared" si="4"/>
        <v>-1856.78</v>
      </c>
      <c r="AE9" s="103">
        <f>AB9*E9+K9</f>
        <v>0</v>
      </c>
    </row>
    <row r="10" spans="1:31">
      <c r="A10" s="187"/>
      <c r="B10" s="205">
        <v>191281</v>
      </c>
      <c r="C10" s="112"/>
      <c r="D10" s="103"/>
      <c r="E10" s="102"/>
      <c r="F10" s="112"/>
      <c r="G10" s="112"/>
      <c r="H10" s="128"/>
      <c r="I10" s="128">
        <v>857.06</v>
      </c>
      <c r="J10" s="128"/>
      <c r="K10" s="103"/>
      <c r="L10" s="103"/>
      <c r="M10" s="146"/>
      <c r="N10" s="103">
        <f t="shared" si="0"/>
        <v>0</v>
      </c>
      <c r="O10" s="103">
        <v>7</v>
      </c>
      <c r="P10" s="103"/>
      <c r="Q10" s="103">
        <v>689.44</v>
      </c>
      <c r="R10" s="103"/>
      <c r="S10" s="103">
        <v>0</v>
      </c>
      <c r="T10" s="103"/>
      <c r="U10" s="103"/>
      <c r="V10" s="103"/>
      <c r="W10" s="103">
        <f t="shared" si="1"/>
        <v>101.33969999999999</v>
      </c>
      <c r="X10" s="152">
        <v>7.4899999999999994E-2</v>
      </c>
      <c r="Y10" s="153">
        <v>1353</v>
      </c>
      <c r="Z10" s="103">
        <v>90.57</v>
      </c>
      <c r="AA10" s="103">
        <f t="shared" si="2"/>
        <v>0</v>
      </c>
      <c r="AB10" s="154"/>
      <c r="AC10" s="103">
        <v>95</v>
      </c>
      <c r="AD10" s="103">
        <f t="shared" ref="AD10:AD11" si="5">D10-I10-J10-N10-O10-Q10-W10-Z10-AA10-AC10-AB10*E10+M10</f>
        <v>-1840.4096999999999</v>
      </c>
      <c r="AE10" s="103">
        <f t="shared" ref="AE10:AE11" si="6">AB10*E10</f>
        <v>0</v>
      </c>
    </row>
    <row r="11" spans="1:31">
      <c r="A11" s="184" t="s">
        <v>425</v>
      </c>
      <c r="B11" s="185">
        <v>191276</v>
      </c>
      <c r="C11" s="112" t="s">
        <v>504</v>
      </c>
      <c r="D11" s="103"/>
      <c r="E11" s="102"/>
      <c r="F11" s="112"/>
      <c r="G11" s="112"/>
      <c r="H11" s="128"/>
      <c r="I11" s="146"/>
      <c r="J11" s="128">
        <v>56.77</v>
      </c>
      <c r="K11" s="103"/>
      <c r="L11" s="103"/>
      <c r="M11" s="146"/>
      <c r="N11" s="103">
        <f t="shared" si="0"/>
        <v>0</v>
      </c>
      <c r="O11" s="103">
        <v>7</v>
      </c>
      <c r="P11" s="103"/>
      <c r="Q11" s="103">
        <v>779.13</v>
      </c>
      <c r="R11" s="103"/>
      <c r="S11" s="103">
        <v>0</v>
      </c>
      <c r="T11" s="103"/>
      <c r="U11" s="103"/>
      <c r="V11" s="103"/>
      <c r="W11" s="103">
        <f t="shared" si="1"/>
        <v>0.52500000000000002</v>
      </c>
      <c r="X11" s="152">
        <v>7.4999999999999997E-2</v>
      </c>
      <c r="Y11" s="153">
        <v>7</v>
      </c>
      <c r="Z11" s="103">
        <v>90.57</v>
      </c>
      <c r="AA11" s="103">
        <f t="shared" si="2"/>
        <v>0</v>
      </c>
      <c r="AB11" s="206">
        <v>0.8</v>
      </c>
      <c r="AC11" s="103">
        <v>95</v>
      </c>
      <c r="AD11" s="103">
        <f t="shared" si="5"/>
        <v>-1028.9949999999999</v>
      </c>
      <c r="AE11" s="103">
        <f t="shared" si="6"/>
        <v>0</v>
      </c>
    </row>
    <row r="12" spans="1:31">
      <c r="A12" s="184" t="s">
        <v>488</v>
      </c>
      <c r="B12" s="185">
        <v>191283</v>
      </c>
      <c r="C12" s="112">
        <v>7</v>
      </c>
      <c r="D12" s="103">
        <v>2850</v>
      </c>
      <c r="E12" s="102">
        <f t="shared" ref="E12:E16" si="7">F12+G12</f>
        <v>2012</v>
      </c>
      <c r="F12" s="112">
        <v>1631</v>
      </c>
      <c r="G12" s="112">
        <v>381</v>
      </c>
      <c r="H12" s="128">
        <f t="shared" ref="H12:H23" si="8">D12/E12</f>
        <v>1.4165009940357853</v>
      </c>
      <c r="I12" s="146">
        <f>1715.51+840.53</f>
        <v>2556.04</v>
      </c>
      <c r="J12" s="128">
        <v>17.41</v>
      </c>
      <c r="K12" s="103">
        <v>100</v>
      </c>
      <c r="L12" s="103"/>
      <c r="M12" s="146">
        <v>205.97</v>
      </c>
      <c r="N12" s="103">
        <f t="shared" si="0"/>
        <v>24.225000000000001</v>
      </c>
      <c r="O12" s="103">
        <v>7</v>
      </c>
      <c r="P12" s="103"/>
      <c r="Q12" s="103">
        <v>689.44</v>
      </c>
      <c r="R12" s="103"/>
      <c r="S12" s="103">
        <v>0</v>
      </c>
      <c r="T12" s="103"/>
      <c r="U12" s="103"/>
      <c r="V12" s="103"/>
      <c r="W12" s="103">
        <f t="shared" si="1"/>
        <v>163.2071</v>
      </c>
      <c r="X12" s="152">
        <v>7.4899999999999994E-2</v>
      </c>
      <c r="Y12" s="153">
        <v>2179</v>
      </c>
      <c r="Z12" s="103">
        <v>90.57</v>
      </c>
      <c r="AA12" s="103">
        <f t="shared" si="2"/>
        <v>201.20000000000002</v>
      </c>
      <c r="AB12" s="154">
        <v>0.45</v>
      </c>
      <c r="AC12" s="103">
        <v>95</v>
      </c>
      <c r="AD12" s="103">
        <f>D12-I12-J12-N12-O12-Q12-W12-Z12-AA12-AC12-AB12*E12</f>
        <v>-1899.4920999999999</v>
      </c>
      <c r="AE12" s="103">
        <f>AB12*E12+K12</f>
        <v>1005.4</v>
      </c>
    </row>
    <row r="13" spans="1:31">
      <c r="A13" s="190" t="s">
        <v>431</v>
      </c>
      <c r="B13" s="185">
        <v>465180</v>
      </c>
      <c r="C13" s="112">
        <v>7</v>
      </c>
      <c r="D13" s="103">
        <v>5300</v>
      </c>
      <c r="E13" s="102">
        <f t="shared" si="7"/>
        <v>2901</v>
      </c>
      <c r="F13" s="112">
        <v>2814</v>
      </c>
      <c r="G13" s="112">
        <v>87</v>
      </c>
      <c r="H13" s="128">
        <f t="shared" si="8"/>
        <v>1.8269562219924165</v>
      </c>
      <c r="I13" s="146">
        <v>2042.03</v>
      </c>
      <c r="J13" s="128">
        <v>252.7</v>
      </c>
      <c r="K13" s="103">
        <v>100</v>
      </c>
      <c r="L13" s="103"/>
      <c r="M13" s="146">
        <v>373.68</v>
      </c>
      <c r="N13" s="103">
        <f t="shared" si="0"/>
        <v>45.050000000000004</v>
      </c>
      <c r="O13" s="103">
        <v>7</v>
      </c>
      <c r="P13" s="103"/>
      <c r="Q13" s="103">
        <v>789.51</v>
      </c>
      <c r="R13" s="103"/>
      <c r="S13" s="103">
        <v>0</v>
      </c>
      <c r="T13" s="103"/>
      <c r="U13" s="103"/>
      <c r="V13" s="103"/>
      <c r="W13" s="103">
        <f t="shared" si="1"/>
        <v>209.6003</v>
      </c>
      <c r="X13" s="152">
        <v>7.4300000000000005E-2</v>
      </c>
      <c r="Y13" s="153">
        <v>2821</v>
      </c>
      <c r="Z13" s="103">
        <v>90.57</v>
      </c>
      <c r="AA13" s="103">
        <f t="shared" si="2"/>
        <v>290.10000000000002</v>
      </c>
      <c r="AB13" s="154">
        <v>0.75</v>
      </c>
      <c r="AC13" s="103">
        <v>95</v>
      </c>
      <c r="AD13" s="103">
        <f>D13-I13-J13-N13-O13-Q13-W13-Z13-AA13-AC13-AB13*E13+M13</f>
        <v>-323.63030000000009</v>
      </c>
      <c r="AE13" s="103">
        <f>AB13*E13</f>
        <v>2175.75</v>
      </c>
    </row>
    <row r="14" spans="1:31">
      <c r="A14" s="190" t="s">
        <v>491</v>
      </c>
      <c r="B14" s="185">
        <v>465181</v>
      </c>
      <c r="C14" s="117">
        <v>7</v>
      </c>
      <c r="D14" s="103">
        <v>8750</v>
      </c>
      <c r="E14" s="102">
        <f t="shared" si="7"/>
        <v>4027</v>
      </c>
      <c r="F14" s="112">
        <v>3865</v>
      </c>
      <c r="G14" s="112">
        <v>162</v>
      </c>
      <c r="H14" s="128">
        <f t="shared" si="8"/>
        <v>2.1728333747206356</v>
      </c>
      <c r="I14" s="146">
        <v>2342.66</v>
      </c>
      <c r="J14" s="128">
        <v>21.13</v>
      </c>
      <c r="K14" s="128"/>
      <c r="L14" s="128"/>
      <c r="M14" s="146">
        <v>233.17</v>
      </c>
      <c r="N14" s="103">
        <f t="shared" si="0"/>
        <v>74.375</v>
      </c>
      <c r="O14" s="103">
        <v>7</v>
      </c>
      <c r="P14" s="103"/>
      <c r="Q14" s="103">
        <v>789.51</v>
      </c>
      <c r="R14" s="103"/>
      <c r="S14" s="103">
        <v>0</v>
      </c>
      <c r="T14" s="103"/>
      <c r="U14" s="103"/>
      <c r="V14" s="103"/>
      <c r="W14" s="103">
        <f t="shared" si="1"/>
        <v>320.45590000000004</v>
      </c>
      <c r="X14" s="152">
        <v>7.4300000000000005E-2</v>
      </c>
      <c r="Y14" s="153">
        <v>4313</v>
      </c>
      <c r="Z14" s="103">
        <v>90.57</v>
      </c>
      <c r="AA14" s="103">
        <f t="shared" si="2"/>
        <v>402.70000000000005</v>
      </c>
      <c r="AB14" s="154">
        <v>0.65</v>
      </c>
      <c r="AC14" s="103">
        <v>95</v>
      </c>
      <c r="AD14" s="103">
        <f>D14-I14-J14-N14-O14-Q14-W14-Z14-AA14-AC14-AB14*E14</f>
        <v>1989.0491000000002</v>
      </c>
      <c r="AE14" s="103">
        <f t="shared" ref="AE14:AE15" si="9">AB14*E14+K14+L14</f>
        <v>2617.5500000000002</v>
      </c>
    </row>
    <row r="15" spans="1:31">
      <c r="A15" s="187" t="s">
        <v>432</v>
      </c>
      <c r="B15" s="185">
        <v>465182</v>
      </c>
      <c r="C15" s="112">
        <v>5</v>
      </c>
      <c r="D15" s="103">
        <v>6000</v>
      </c>
      <c r="E15" s="102">
        <f t="shared" si="7"/>
        <v>3217</v>
      </c>
      <c r="F15" s="112">
        <v>3205</v>
      </c>
      <c r="G15" s="112">
        <v>12</v>
      </c>
      <c r="H15" s="128">
        <f t="shared" si="8"/>
        <v>1.8650917003419334</v>
      </c>
      <c r="I15" s="146">
        <v>2733.38</v>
      </c>
      <c r="J15" s="128">
        <v>174.64</v>
      </c>
      <c r="K15" s="128"/>
      <c r="L15" s="128"/>
      <c r="M15" s="146">
        <v>59.79</v>
      </c>
      <c r="N15" s="103">
        <f t="shared" si="0"/>
        <v>51.000000000000007</v>
      </c>
      <c r="O15" s="103">
        <v>7</v>
      </c>
      <c r="P15" s="103"/>
      <c r="Q15" s="103">
        <v>789.51</v>
      </c>
      <c r="R15" s="103"/>
      <c r="S15" s="103">
        <v>0</v>
      </c>
      <c r="T15" s="103"/>
      <c r="U15" s="103"/>
      <c r="V15" s="103"/>
      <c r="W15" s="103">
        <f t="shared" si="1"/>
        <v>388.06890000000004</v>
      </c>
      <c r="X15" s="152">
        <v>7.4300000000000005E-2</v>
      </c>
      <c r="Y15" s="153">
        <v>5223</v>
      </c>
      <c r="Z15" s="103">
        <v>90.57</v>
      </c>
      <c r="AA15" s="103">
        <f t="shared" si="2"/>
        <v>321.70000000000005</v>
      </c>
      <c r="AB15" s="206">
        <v>0.8</v>
      </c>
      <c r="AC15" s="103">
        <v>95</v>
      </c>
      <c r="AD15" s="103">
        <f t="shared" ref="AD15:AD22" si="10">D15-I15-J15-N15-O15-Q15-W15-Z15-AA15-AC15-AB15*E15+M15</f>
        <v>-1164.6789000000001</v>
      </c>
      <c r="AE15" s="103">
        <f t="shared" si="9"/>
        <v>2573.6000000000004</v>
      </c>
    </row>
    <row r="16" spans="1:31">
      <c r="A16" s="190" t="s">
        <v>494</v>
      </c>
      <c r="B16" s="185">
        <v>465183</v>
      </c>
      <c r="C16" s="117">
        <v>7</v>
      </c>
      <c r="D16" s="103">
        <v>10000</v>
      </c>
      <c r="E16" s="102">
        <f t="shared" si="7"/>
        <v>4952</v>
      </c>
      <c r="F16" s="112">
        <v>4842</v>
      </c>
      <c r="G16" s="112">
        <v>110</v>
      </c>
      <c r="H16" s="128">
        <f t="shared" si="8"/>
        <v>2.0193861066235863</v>
      </c>
      <c r="I16" s="146">
        <v>3079.74</v>
      </c>
      <c r="J16" s="128">
        <v>90.41</v>
      </c>
      <c r="K16" s="128"/>
      <c r="L16" s="128"/>
      <c r="M16" s="146">
        <v>319.93</v>
      </c>
      <c r="N16" s="103">
        <f t="shared" si="0"/>
        <v>85</v>
      </c>
      <c r="O16" s="103">
        <v>7</v>
      </c>
      <c r="P16" s="103"/>
      <c r="Q16" s="103">
        <v>789.51</v>
      </c>
      <c r="R16" s="103"/>
      <c r="S16" s="103">
        <v>0</v>
      </c>
      <c r="T16" s="103"/>
      <c r="U16" s="103"/>
      <c r="V16" s="103"/>
      <c r="W16" s="103">
        <f t="shared" si="1"/>
        <v>347.20390000000003</v>
      </c>
      <c r="X16" s="152">
        <v>7.4300000000000005E-2</v>
      </c>
      <c r="Y16" s="153">
        <v>4673</v>
      </c>
      <c r="Z16" s="103">
        <v>90.57</v>
      </c>
      <c r="AA16" s="103">
        <f t="shared" si="2"/>
        <v>495.20000000000005</v>
      </c>
      <c r="AB16" s="206">
        <v>0.8</v>
      </c>
      <c r="AC16" s="103">
        <v>95</v>
      </c>
      <c r="AD16" s="103">
        <f t="shared" si="10"/>
        <v>1278.6960999999999</v>
      </c>
      <c r="AE16" s="103">
        <f>AB16*E16+K16</f>
        <v>3961.6000000000004</v>
      </c>
    </row>
    <row r="17" spans="1:31">
      <c r="A17" s="190" t="s">
        <v>435</v>
      </c>
      <c r="B17" s="185">
        <v>465184</v>
      </c>
      <c r="C17" s="117">
        <v>5</v>
      </c>
      <c r="D17" s="103">
        <v>9965</v>
      </c>
      <c r="E17" s="102">
        <f>G17+F17</f>
        <v>4653</v>
      </c>
      <c r="F17" s="112">
        <v>4530</v>
      </c>
      <c r="G17" s="112">
        <v>123</v>
      </c>
      <c r="H17" s="128">
        <f t="shared" si="8"/>
        <v>2.1416290565226737</v>
      </c>
      <c r="I17" s="146">
        <v>3965.12</v>
      </c>
      <c r="J17" s="128">
        <v>83.13</v>
      </c>
      <c r="K17" s="128"/>
      <c r="L17" s="128"/>
      <c r="M17" s="146">
        <v>267.22000000000003</v>
      </c>
      <c r="N17" s="103">
        <f t="shared" si="0"/>
        <v>84.702500000000001</v>
      </c>
      <c r="O17" s="103">
        <v>7</v>
      </c>
      <c r="P17" s="103"/>
      <c r="Q17" s="103">
        <v>789.51</v>
      </c>
      <c r="R17" s="103"/>
      <c r="S17" s="103">
        <v>0</v>
      </c>
      <c r="T17" s="103"/>
      <c r="U17" s="103"/>
      <c r="V17" s="103"/>
      <c r="W17" s="103">
        <f t="shared" si="1"/>
        <v>235.97680000000003</v>
      </c>
      <c r="X17" s="152">
        <v>7.4300000000000005E-2</v>
      </c>
      <c r="Y17" s="153">
        <v>3176</v>
      </c>
      <c r="Z17" s="103">
        <v>90.57</v>
      </c>
      <c r="AA17" s="103">
        <f t="shared" si="2"/>
        <v>465.3</v>
      </c>
      <c r="AB17" s="206">
        <v>0.8</v>
      </c>
      <c r="AC17" s="103">
        <v>95</v>
      </c>
      <c r="AD17" s="103">
        <f t="shared" si="10"/>
        <v>693.51069999999913</v>
      </c>
      <c r="AE17" s="103">
        <f>AB17*E17</f>
        <v>3722.4</v>
      </c>
    </row>
    <row r="18" spans="1:31">
      <c r="A18" s="187" t="s">
        <v>458</v>
      </c>
      <c r="B18" s="185">
        <v>465185</v>
      </c>
      <c r="C18" s="117">
        <v>7</v>
      </c>
      <c r="D18" s="103">
        <v>7500</v>
      </c>
      <c r="E18" s="102">
        <f t="shared" ref="E18:E22" si="11">F18+G18</f>
        <v>4084</v>
      </c>
      <c r="F18" s="112">
        <v>4013</v>
      </c>
      <c r="G18" s="112">
        <v>71</v>
      </c>
      <c r="H18" s="128">
        <f t="shared" si="8"/>
        <v>1.8364348677766895</v>
      </c>
      <c r="I18" s="146">
        <v>2725.77</v>
      </c>
      <c r="J18" s="128">
        <v>235.32</v>
      </c>
      <c r="K18" s="128"/>
      <c r="L18" s="128"/>
      <c r="M18" s="146">
        <v>455.22</v>
      </c>
      <c r="N18" s="103">
        <f t="shared" si="0"/>
        <v>63.750000000000007</v>
      </c>
      <c r="O18" s="103">
        <v>7</v>
      </c>
      <c r="P18" s="103"/>
      <c r="Q18" s="103">
        <v>789.51</v>
      </c>
      <c r="R18" s="103"/>
      <c r="S18" s="103">
        <v>0</v>
      </c>
      <c r="T18" s="103"/>
      <c r="U18" s="103"/>
      <c r="V18" s="103"/>
      <c r="W18" s="103">
        <f t="shared" si="1"/>
        <v>305.81880000000001</v>
      </c>
      <c r="X18" s="152">
        <v>7.4300000000000005E-2</v>
      </c>
      <c r="Y18" s="153">
        <v>4116</v>
      </c>
      <c r="Z18" s="103">
        <v>90.57</v>
      </c>
      <c r="AA18" s="103">
        <f t="shared" si="2"/>
        <v>408.40000000000003</v>
      </c>
      <c r="AB18" s="206">
        <v>0.8</v>
      </c>
      <c r="AC18" s="103">
        <v>95</v>
      </c>
      <c r="AD18" s="103">
        <f t="shared" si="10"/>
        <v>-33.118800000000874</v>
      </c>
      <c r="AE18" s="103">
        <f t="shared" ref="AE18:AE19" si="12">AB18*E18+K18</f>
        <v>3267.2000000000003</v>
      </c>
    </row>
    <row r="19" spans="1:31">
      <c r="A19" s="187" t="s">
        <v>437</v>
      </c>
      <c r="B19" s="185">
        <v>465186</v>
      </c>
      <c r="C19" s="112">
        <v>7</v>
      </c>
      <c r="D19" s="103">
        <v>10150</v>
      </c>
      <c r="E19" s="102">
        <f t="shared" si="11"/>
        <v>4965</v>
      </c>
      <c r="F19" s="112">
        <v>4830</v>
      </c>
      <c r="G19" s="112">
        <v>135</v>
      </c>
      <c r="H19" s="128">
        <f t="shared" si="8"/>
        <v>2.0443101711983886</v>
      </c>
      <c r="I19" s="146">
        <v>3400.19</v>
      </c>
      <c r="J19" s="128">
        <v>25.44</v>
      </c>
      <c r="K19" s="128"/>
      <c r="L19" s="128"/>
      <c r="M19" s="146">
        <v>77.569999999999993</v>
      </c>
      <c r="N19" s="103">
        <f t="shared" si="0"/>
        <v>86.275000000000006</v>
      </c>
      <c r="O19" s="103">
        <v>7</v>
      </c>
      <c r="P19" s="103"/>
      <c r="Q19" s="103">
        <v>789.51</v>
      </c>
      <c r="R19" s="103"/>
      <c r="S19" s="103">
        <v>0</v>
      </c>
      <c r="T19" s="103"/>
      <c r="U19" s="103"/>
      <c r="V19" s="103"/>
      <c r="W19" s="103">
        <f t="shared" si="1"/>
        <v>309.23660000000001</v>
      </c>
      <c r="X19" s="152">
        <v>7.4300000000000005E-2</v>
      </c>
      <c r="Y19" s="153">
        <v>4162</v>
      </c>
      <c r="Z19" s="103">
        <v>90.57</v>
      </c>
      <c r="AA19" s="103">
        <f t="shared" si="2"/>
        <v>496.5</v>
      </c>
      <c r="AB19" s="154">
        <v>0.7</v>
      </c>
      <c r="AC19" s="103">
        <v>95</v>
      </c>
      <c r="AD19" s="103">
        <f t="shared" si="10"/>
        <v>1452.3484000000001</v>
      </c>
      <c r="AE19" s="103">
        <f t="shared" si="12"/>
        <v>3475.5</v>
      </c>
    </row>
    <row r="20" spans="1:31">
      <c r="A20" s="187" t="s">
        <v>439</v>
      </c>
      <c r="B20" s="185">
        <v>465187</v>
      </c>
      <c r="C20" s="117">
        <v>5</v>
      </c>
      <c r="D20" s="103">
        <v>7550</v>
      </c>
      <c r="E20" s="102">
        <f t="shared" si="11"/>
        <v>3731</v>
      </c>
      <c r="F20" s="112">
        <v>3487</v>
      </c>
      <c r="G20" s="112">
        <v>244</v>
      </c>
      <c r="H20" s="128">
        <f t="shared" si="8"/>
        <v>2.0235861699276332</v>
      </c>
      <c r="I20" s="146">
        <v>2325.79</v>
      </c>
      <c r="J20" s="128">
        <v>11.04</v>
      </c>
      <c r="K20" s="128"/>
      <c r="L20" s="128"/>
      <c r="M20" s="146">
        <v>280.06</v>
      </c>
      <c r="N20" s="103">
        <f t="shared" si="0"/>
        <v>64.175000000000011</v>
      </c>
      <c r="O20" s="103">
        <v>7</v>
      </c>
      <c r="P20" s="103"/>
      <c r="Q20" s="103">
        <v>789.51</v>
      </c>
      <c r="R20" s="103"/>
      <c r="S20" s="103">
        <v>0</v>
      </c>
      <c r="T20" s="103"/>
      <c r="U20" s="103"/>
      <c r="V20" s="103"/>
      <c r="W20" s="103">
        <f t="shared" si="1"/>
        <v>258.41540000000003</v>
      </c>
      <c r="X20" s="152">
        <v>7.4300000000000005E-2</v>
      </c>
      <c r="Y20" s="153">
        <v>3478</v>
      </c>
      <c r="Z20" s="103">
        <v>90.57</v>
      </c>
      <c r="AA20" s="103">
        <f t="shared" si="2"/>
        <v>373.1</v>
      </c>
      <c r="AB20" s="206">
        <v>0.8</v>
      </c>
      <c r="AC20" s="103">
        <v>95</v>
      </c>
      <c r="AD20" s="103">
        <f t="shared" si="10"/>
        <v>830.6595999999995</v>
      </c>
      <c r="AE20" s="103">
        <f t="shared" ref="AE20:AE22" si="13">AB20*E20</f>
        <v>2984.8</v>
      </c>
    </row>
    <row r="21" spans="1:31">
      <c r="A21" s="190" t="s">
        <v>427</v>
      </c>
      <c r="B21" s="185">
        <v>465188</v>
      </c>
      <c r="C21" s="112">
        <v>7</v>
      </c>
      <c r="D21" s="103">
        <v>4950</v>
      </c>
      <c r="E21" s="102">
        <f t="shared" si="11"/>
        <v>2197</v>
      </c>
      <c r="F21" s="117">
        <v>2196</v>
      </c>
      <c r="G21" s="117">
        <v>1</v>
      </c>
      <c r="H21" s="128">
        <f t="shared" si="8"/>
        <v>2.2530723714155667</v>
      </c>
      <c r="I21" s="146">
        <v>1966.34</v>
      </c>
      <c r="J21" s="128">
        <v>44.75</v>
      </c>
      <c r="K21" s="128">
        <v>400</v>
      </c>
      <c r="L21" s="128">
        <v>100</v>
      </c>
      <c r="M21" s="146">
        <v>128.22</v>
      </c>
      <c r="N21" s="103">
        <f t="shared" si="0"/>
        <v>42.075000000000003</v>
      </c>
      <c r="O21" s="103">
        <v>7</v>
      </c>
      <c r="P21" s="103"/>
      <c r="Q21" s="103">
        <v>789.51</v>
      </c>
      <c r="R21" s="103"/>
      <c r="S21" s="103">
        <v>0</v>
      </c>
      <c r="T21" s="103"/>
      <c r="U21" s="103"/>
      <c r="V21" s="103"/>
      <c r="W21" s="103">
        <f t="shared" si="1"/>
        <v>164.64880000000002</v>
      </c>
      <c r="X21" s="152">
        <v>7.4300000000000005E-2</v>
      </c>
      <c r="Y21" s="153">
        <v>2216</v>
      </c>
      <c r="Z21" s="103">
        <v>90.57</v>
      </c>
      <c r="AA21" s="103">
        <f t="shared" si="2"/>
        <v>219.70000000000002</v>
      </c>
      <c r="AB21" s="154">
        <v>0.75</v>
      </c>
      <c r="AC21" s="103">
        <v>95</v>
      </c>
      <c r="AD21" s="103">
        <f t="shared" si="10"/>
        <v>10.876199999999898</v>
      </c>
      <c r="AE21" s="103">
        <f t="shared" si="13"/>
        <v>1647.75</v>
      </c>
    </row>
    <row r="22" spans="1:31">
      <c r="A22" s="184" t="s">
        <v>505</v>
      </c>
      <c r="B22" s="185">
        <v>465189</v>
      </c>
      <c r="C22" s="112">
        <v>5</v>
      </c>
      <c r="D22" s="103">
        <v>2880</v>
      </c>
      <c r="E22" s="102">
        <f t="shared" si="11"/>
        <v>1831</v>
      </c>
      <c r="F22" s="117">
        <v>1581</v>
      </c>
      <c r="G22" s="117">
        <v>250</v>
      </c>
      <c r="H22" s="128">
        <f t="shared" si="8"/>
        <v>1.5729109776078645</v>
      </c>
      <c r="I22" s="146">
        <v>1908.12</v>
      </c>
      <c r="J22" s="128">
        <v>72.75</v>
      </c>
      <c r="K22" s="103">
        <v>200</v>
      </c>
      <c r="L22" s="103"/>
      <c r="M22" s="146">
        <v>114.76</v>
      </c>
      <c r="N22" s="103">
        <f t="shared" si="0"/>
        <v>24.48</v>
      </c>
      <c r="O22" s="103">
        <v>7</v>
      </c>
      <c r="P22" s="103"/>
      <c r="Q22" s="103">
        <v>789.51</v>
      </c>
      <c r="R22" s="103"/>
      <c r="S22" s="103">
        <v>0</v>
      </c>
      <c r="T22" s="103"/>
      <c r="U22" s="103"/>
      <c r="V22" s="103"/>
      <c r="W22" s="103">
        <f t="shared" si="1"/>
        <v>129.28200000000001</v>
      </c>
      <c r="X22" s="152">
        <v>7.4300000000000005E-2</v>
      </c>
      <c r="Y22" s="155">
        <v>1740</v>
      </c>
      <c r="Z22" s="103">
        <v>90.57</v>
      </c>
      <c r="AA22" s="103">
        <f t="shared" si="2"/>
        <v>183.10000000000002</v>
      </c>
      <c r="AB22" s="154">
        <v>0.65</v>
      </c>
      <c r="AC22" s="103">
        <v>95</v>
      </c>
      <c r="AD22" s="103">
        <f t="shared" si="10"/>
        <v>-1495.202</v>
      </c>
      <c r="AE22" s="103">
        <f t="shared" si="13"/>
        <v>1190.1500000000001</v>
      </c>
    </row>
    <row r="23" spans="1:31">
      <c r="A23" s="134" t="s">
        <v>462</v>
      </c>
      <c r="B23" s="135" t="s">
        <v>399</v>
      </c>
      <c r="C23" s="158">
        <v>7</v>
      </c>
      <c r="D23" s="139">
        <v>5400</v>
      </c>
      <c r="E23" s="136">
        <f t="shared" ref="E23:E28" si="14">Y23</f>
        <v>3440</v>
      </c>
      <c r="F23" s="136"/>
      <c r="G23" s="136"/>
      <c r="H23" s="128">
        <f t="shared" si="8"/>
        <v>1.569767441860465</v>
      </c>
      <c r="I23" s="139">
        <f>676.56+1111.12</f>
        <v>1787.6799999999998</v>
      </c>
      <c r="J23" s="139">
        <v>182.86</v>
      </c>
      <c r="K23" s="139"/>
      <c r="L23" s="139"/>
      <c r="M23" s="139">
        <f>73.39+32.22</f>
        <v>105.61</v>
      </c>
      <c r="N23" s="139">
        <f t="shared" si="0"/>
        <v>45.900000000000006</v>
      </c>
      <c r="O23" s="139">
        <v>0</v>
      </c>
      <c r="P23" s="139"/>
      <c r="Q23" s="139">
        <v>0</v>
      </c>
      <c r="R23" s="139">
        <v>0</v>
      </c>
      <c r="S23" s="139">
        <v>0</v>
      </c>
      <c r="T23" s="139">
        <v>0</v>
      </c>
      <c r="U23" s="139"/>
      <c r="V23" s="139">
        <v>0</v>
      </c>
      <c r="W23" s="139">
        <v>0</v>
      </c>
      <c r="X23" s="159">
        <v>0</v>
      </c>
      <c r="Y23" s="136">
        <f>745+1353+1342</f>
        <v>3440</v>
      </c>
      <c r="Z23" s="139">
        <v>0</v>
      </c>
      <c r="AA23" s="139">
        <f t="shared" si="2"/>
        <v>344</v>
      </c>
      <c r="AB23" s="160">
        <v>0.85</v>
      </c>
      <c r="AC23" s="139">
        <v>95</v>
      </c>
      <c r="AD23" s="139">
        <f>D23*0.15-AA23-N23</f>
        <v>420.1</v>
      </c>
      <c r="AE23" s="139">
        <f>D23*0.85-I23-J23+M23</f>
        <v>2725.07</v>
      </c>
    </row>
    <row r="24" spans="1:31">
      <c r="A24" s="199" t="s">
        <v>463</v>
      </c>
      <c r="B24" s="135" t="s">
        <v>362</v>
      </c>
      <c r="C24" s="158"/>
      <c r="D24" s="139"/>
      <c r="E24" s="136">
        <f t="shared" si="14"/>
        <v>0</v>
      </c>
      <c r="F24" s="136"/>
      <c r="G24" s="136"/>
      <c r="H24" s="168"/>
      <c r="I24" s="139"/>
      <c r="J24" s="139">
        <v>41.14</v>
      </c>
      <c r="K24" s="139"/>
      <c r="L24" s="139"/>
      <c r="M24" s="139"/>
      <c r="N24" s="139">
        <f t="shared" si="0"/>
        <v>0</v>
      </c>
      <c r="O24" s="139">
        <v>7</v>
      </c>
      <c r="P24" s="139"/>
      <c r="Q24" s="139">
        <v>0</v>
      </c>
      <c r="R24" s="139">
        <v>50</v>
      </c>
      <c r="S24" s="139">
        <v>199</v>
      </c>
      <c r="T24" s="139">
        <v>30</v>
      </c>
      <c r="U24" s="139"/>
      <c r="V24" s="139">
        <v>300</v>
      </c>
      <c r="W24" s="139">
        <v>0</v>
      </c>
      <c r="X24" s="159">
        <v>0</v>
      </c>
      <c r="Y24" s="136"/>
      <c r="Z24" s="139">
        <v>0</v>
      </c>
      <c r="AA24" s="139">
        <f t="shared" si="2"/>
        <v>0</v>
      </c>
      <c r="AB24" s="160">
        <v>0.87</v>
      </c>
      <c r="AC24" s="139">
        <v>95</v>
      </c>
      <c r="AD24" s="139">
        <f>D24*0.13+V24+T24+S24+R24-AA24-N24+M24</f>
        <v>579</v>
      </c>
      <c r="AE24" s="139">
        <f>D24*0.87-I24-J24-R24-S24-T24-V24</f>
        <v>-620.14</v>
      </c>
    </row>
    <row r="25" spans="1:31">
      <c r="A25" s="199" t="s">
        <v>464</v>
      </c>
      <c r="B25" s="134">
        <v>1118</v>
      </c>
      <c r="C25" s="158"/>
      <c r="D25" s="139"/>
      <c r="E25" s="136">
        <f t="shared" si="14"/>
        <v>36</v>
      </c>
      <c r="F25" s="136"/>
      <c r="G25" s="136"/>
      <c r="H25" s="128">
        <f t="shared" ref="H25:H28" si="15">D25/E25</f>
        <v>0</v>
      </c>
      <c r="I25" s="139"/>
      <c r="J25" s="139"/>
      <c r="K25" s="139"/>
      <c r="L25" s="139"/>
      <c r="M25" s="139"/>
      <c r="N25" s="139">
        <f t="shared" si="0"/>
        <v>0</v>
      </c>
      <c r="O25" s="139">
        <v>0</v>
      </c>
      <c r="P25" s="139"/>
      <c r="Q25" s="139">
        <v>0</v>
      </c>
      <c r="R25" s="139">
        <v>0</v>
      </c>
      <c r="S25" s="139">
        <v>0</v>
      </c>
      <c r="T25" s="139">
        <v>0</v>
      </c>
      <c r="U25" s="139"/>
      <c r="V25" s="139">
        <v>0</v>
      </c>
      <c r="W25" s="139">
        <v>0</v>
      </c>
      <c r="X25" s="159">
        <v>0</v>
      </c>
      <c r="Y25" s="136">
        <v>36</v>
      </c>
      <c r="Z25" s="139">
        <v>0</v>
      </c>
      <c r="AA25" s="139">
        <f t="shared" si="2"/>
        <v>3.6</v>
      </c>
      <c r="AB25" s="160">
        <v>0.8</v>
      </c>
      <c r="AC25" s="139">
        <v>95</v>
      </c>
      <c r="AD25" s="139">
        <f>D25*0.2-AA25-N25-K25-AC25</f>
        <v>-98.6</v>
      </c>
      <c r="AE25" s="139">
        <f>D25*AB25-I25-J25</f>
        <v>0</v>
      </c>
    </row>
    <row r="26" spans="1:31">
      <c r="A26" s="134" t="s">
        <v>465</v>
      </c>
      <c r="B26" s="134" t="s">
        <v>369</v>
      </c>
      <c r="C26" s="158">
        <v>4</v>
      </c>
      <c r="D26" s="139">
        <v>5600</v>
      </c>
      <c r="E26" s="136">
        <f t="shared" si="14"/>
        <v>2666</v>
      </c>
      <c r="F26" s="136"/>
      <c r="G26" s="136"/>
      <c r="H26" s="128">
        <f t="shared" si="15"/>
        <v>2.1005251312828208</v>
      </c>
      <c r="I26" s="139">
        <v>1903.24</v>
      </c>
      <c r="J26" s="139">
        <v>23.39</v>
      </c>
      <c r="K26" s="139"/>
      <c r="L26" s="139"/>
      <c r="M26" s="139">
        <v>38.549999999999997</v>
      </c>
      <c r="N26" s="139">
        <f t="shared" si="0"/>
        <v>47.6</v>
      </c>
      <c r="O26" s="139">
        <v>7</v>
      </c>
      <c r="P26" s="139"/>
      <c r="Q26" s="139">
        <v>0</v>
      </c>
      <c r="R26" s="139">
        <v>50</v>
      </c>
      <c r="S26" s="139">
        <v>199</v>
      </c>
      <c r="T26" s="139">
        <v>30</v>
      </c>
      <c r="U26" s="139"/>
      <c r="V26" s="139">
        <v>300</v>
      </c>
      <c r="W26" s="139">
        <v>0</v>
      </c>
      <c r="X26" s="159">
        <v>0</v>
      </c>
      <c r="Y26" s="136">
        <v>2666</v>
      </c>
      <c r="Z26" s="139">
        <v>0</v>
      </c>
      <c r="AA26" s="139">
        <f t="shared" si="2"/>
        <v>266.60000000000002</v>
      </c>
      <c r="AB26" s="160">
        <v>0.89</v>
      </c>
      <c r="AC26" s="139">
        <v>95</v>
      </c>
      <c r="AD26" s="139">
        <f>D26*0.11-AC26-AA26+V26+T26+S26+R26-N26</f>
        <v>785.8</v>
      </c>
      <c r="AE26" s="139">
        <f>D26*AB26-I26-J26-R26-S26-T26-V26</f>
        <v>2478.3700000000003</v>
      </c>
    </row>
    <row r="27" spans="1:31">
      <c r="A27" s="134" t="s">
        <v>466</v>
      </c>
      <c r="B27" s="134">
        <v>2013</v>
      </c>
      <c r="C27" s="158">
        <v>5</v>
      </c>
      <c r="D27" s="139">
        <v>4990</v>
      </c>
      <c r="E27" s="136">
        <f t="shared" si="14"/>
        <v>2985</v>
      </c>
      <c r="F27" s="136"/>
      <c r="G27" s="136"/>
      <c r="H27" s="128">
        <f t="shared" si="15"/>
        <v>1.6716917922948074</v>
      </c>
      <c r="I27" s="139">
        <v>1997.55</v>
      </c>
      <c r="J27" s="139">
        <v>5.36</v>
      </c>
      <c r="K27" s="139"/>
      <c r="L27" s="139"/>
      <c r="M27" s="139">
        <v>10.17</v>
      </c>
      <c r="N27" s="139">
        <f t="shared" si="0"/>
        <v>42.415000000000006</v>
      </c>
      <c r="O27" s="139">
        <v>0</v>
      </c>
      <c r="P27" s="139"/>
      <c r="Q27" s="139">
        <v>0</v>
      </c>
      <c r="R27" s="139">
        <v>50</v>
      </c>
      <c r="S27" s="139">
        <v>199</v>
      </c>
      <c r="T27" s="139">
        <v>30</v>
      </c>
      <c r="U27" s="139"/>
      <c r="V27" s="139">
        <v>300</v>
      </c>
      <c r="W27" s="139">
        <v>0</v>
      </c>
      <c r="X27" s="159">
        <v>0</v>
      </c>
      <c r="Y27" s="136">
        <v>2985</v>
      </c>
      <c r="Z27" s="139">
        <v>0</v>
      </c>
      <c r="AA27" s="139">
        <f t="shared" si="2"/>
        <v>298.5</v>
      </c>
      <c r="AB27" s="160">
        <v>0.87</v>
      </c>
      <c r="AC27" s="139">
        <v>95</v>
      </c>
      <c r="AD27" s="139">
        <f>D27*0.13+V27+T27+S27+R27-AA27-N27+M27</f>
        <v>896.95500000000004</v>
      </c>
      <c r="AE27" s="139">
        <f t="shared" ref="AE27:AE28" si="16">D27*AB27-I27-J27-V27-T27-S27-R27</f>
        <v>1759.3899999999999</v>
      </c>
    </row>
    <row r="28" spans="1:31">
      <c r="A28" s="199" t="s">
        <v>467</v>
      </c>
      <c r="B28" s="134">
        <v>1122</v>
      </c>
      <c r="C28" s="158"/>
      <c r="D28" s="139"/>
      <c r="E28" s="136">
        <f t="shared" si="14"/>
        <v>259</v>
      </c>
      <c r="F28" s="136"/>
      <c r="G28" s="136"/>
      <c r="H28" s="128">
        <f t="shared" si="15"/>
        <v>0</v>
      </c>
      <c r="I28" s="139"/>
      <c r="J28" s="139">
        <v>11.76</v>
      </c>
      <c r="K28" s="139"/>
      <c r="L28" s="139"/>
      <c r="M28" s="139"/>
      <c r="N28" s="139">
        <f t="shared" si="0"/>
        <v>0</v>
      </c>
      <c r="O28" s="139">
        <v>7</v>
      </c>
      <c r="P28" s="139"/>
      <c r="Q28" s="139">
        <v>0</v>
      </c>
      <c r="R28" s="139">
        <v>0</v>
      </c>
      <c r="S28" s="139">
        <v>0</v>
      </c>
      <c r="T28" s="139">
        <v>0</v>
      </c>
      <c r="U28" s="139"/>
      <c r="V28" s="139">
        <v>0</v>
      </c>
      <c r="W28" s="139">
        <v>0</v>
      </c>
      <c r="X28" s="159">
        <v>0</v>
      </c>
      <c r="Y28" s="136">
        <v>259</v>
      </c>
      <c r="Z28" s="139">
        <v>0</v>
      </c>
      <c r="AA28" s="139">
        <f t="shared" si="2"/>
        <v>25.900000000000002</v>
      </c>
      <c r="AB28" s="160">
        <v>0.8</v>
      </c>
      <c r="AC28" s="139">
        <v>95</v>
      </c>
      <c r="AD28" s="139">
        <f>D28*0.13-AC28-AA28+V28+T28+S28+R28-N28+M28</f>
        <v>-120.9</v>
      </c>
      <c r="AE28" s="139">
        <f t="shared" si="16"/>
        <v>-11.76</v>
      </c>
    </row>
    <row r="29" spans="1:31">
      <c r="A29" s="72" t="s">
        <v>89</v>
      </c>
      <c r="B29" s="72">
        <v>28</v>
      </c>
      <c r="C29" s="202">
        <f>AVERAGE(C3:C22)</f>
        <v>6.384615384615385</v>
      </c>
      <c r="D29" s="201">
        <f>SUM(D3:D28)</f>
        <v>108485</v>
      </c>
      <c r="E29" s="204">
        <f>AVERAGE(E3:E28)</f>
        <v>2870.2105263157896</v>
      </c>
      <c r="F29" s="202">
        <f t="shared" ref="F29:H29" si="17">AVERAGE(F4:F28)</f>
        <v>3253.8461538461538</v>
      </c>
      <c r="G29" s="202">
        <f t="shared" si="17"/>
        <v>219.07692307692307</v>
      </c>
      <c r="H29" s="201">
        <f t="shared" si="17"/>
        <v>1.684799601029159</v>
      </c>
      <c r="I29" s="201">
        <f t="shared" ref="I29:O29" si="18">SUM(I3:I28)</f>
        <v>43564.159999999996</v>
      </c>
      <c r="J29" s="201">
        <f t="shared" si="18"/>
        <v>1784</v>
      </c>
      <c r="K29" s="201">
        <f t="shared" si="18"/>
        <v>1000</v>
      </c>
      <c r="L29" s="201">
        <f t="shared" si="18"/>
        <v>100</v>
      </c>
      <c r="M29" s="201">
        <f t="shared" si="18"/>
        <v>3017.8600000000006</v>
      </c>
      <c r="N29" s="201">
        <f t="shared" si="18"/>
        <v>922.12249999999995</v>
      </c>
      <c r="O29" s="201">
        <f t="shared" si="18"/>
        <v>161</v>
      </c>
      <c r="P29" s="201"/>
      <c r="Q29" s="201">
        <f t="shared" ref="Q29:T29" si="19">SUM(Q3:Q28)</f>
        <v>14879.190000000002</v>
      </c>
      <c r="R29" s="201">
        <f t="shared" si="19"/>
        <v>150</v>
      </c>
      <c r="S29" s="201">
        <f t="shared" si="19"/>
        <v>597</v>
      </c>
      <c r="T29" s="201">
        <f t="shared" si="19"/>
        <v>90</v>
      </c>
      <c r="U29" s="201"/>
      <c r="V29" s="201">
        <f t="shared" ref="V29:AA29" si="20">SUM(V3:V28)</f>
        <v>900</v>
      </c>
      <c r="W29" s="201">
        <f t="shared" si="20"/>
        <v>3747.4928000000004</v>
      </c>
      <c r="X29" s="201">
        <f t="shared" si="20"/>
        <v>1.4921</v>
      </c>
      <c r="Y29" s="204">
        <f t="shared" si="20"/>
        <v>59707</v>
      </c>
      <c r="Z29" s="201">
        <f t="shared" si="20"/>
        <v>1811.3999999999992</v>
      </c>
      <c r="AA29" s="201">
        <f t="shared" si="20"/>
        <v>5453.4000000000015</v>
      </c>
      <c r="AB29" s="201"/>
      <c r="AC29" s="201">
        <f t="shared" ref="AC29:AE29" si="21">SUM(AC3:AC28)</f>
        <v>2470</v>
      </c>
      <c r="AD29" s="201">
        <f t="shared" si="21"/>
        <v>-3218.2653000000041</v>
      </c>
      <c r="AE29" s="201">
        <f t="shared" si="21"/>
        <v>39508.730000000003</v>
      </c>
    </row>
    <row r="30" spans="1:31">
      <c r="A30" s="173"/>
      <c r="B30" s="174"/>
      <c r="C30" s="175"/>
      <c r="D30" s="176"/>
      <c r="E30" s="177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8"/>
      <c r="V30" s="178"/>
      <c r="W30" s="179"/>
      <c r="X30" s="176"/>
      <c r="Y30" s="176"/>
      <c r="Z30" s="176"/>
      <c r="AA30" s="180"/>
      <c r="AB30" s="181"/>
      <c r="AC30" s="176"/>
      <c r="AD30" s="176"/>
    </row>
    <row r="31" spans="1:31">
      <c r="A31" s="457" t="s">
        <v>506</v>
      </c>
      <c r="B31" s="458"/>
      <c r="C31" s="458"/>
      <c r="D31" s="458"/>
      <c r="E31" s="458"/>
      <c r="F31" s="458"/>
      <c r="G31" s="458"/>
      <c r="H31" s="458"/>
      <c r="I31" s="458"/>
      <c r="J31" s="458"/>
      <c r="K31" s="458"/>
      <c r="L31" s="458"/>
      <c r="M31" s="458"/>
      <c r="N31" s="458"/>
      <c r="O31" s="458"/>
      <c r="P31" s="458"/>
      <c r="Q31" s="458"/>
      <c r="R31" s="458"/>
      <c r="S31" s="458"/>
      <c r="T31" s="458"/>
      <c r="U31" s="458"/>
      <c r="V31" s="458"/>
      <c r="W31" s="458"/>
      <c r="X31" s="458"/>
      <c r="Y31" s="458"/>
      <c r="Z31" s="458"/>
      <c r="AA31" s="458"/>
      <c r="AB31" s="458"/>
      <c r="AC31" s="458"/>
      <c r="AD31" s="458"/>
      <c r="AE31" s="459"/>
    </row>
    <row r="32" spans="1:31">
      <c r="A32" s="95" t="s">
        <v>0</v>
      </c>
      <c r="B32" s="95" t="s">
        <v>1</v>
      </c>
      <c r="C32" s="95" t="s">
        <v>372</v>
      </c>
      <c r="D32" s="95" t="s">
        <v>2</v>
      </c>
      <c r="E32" s="95" t="s">
        <v>413</v>
      </c>
      <c r="F32" s="150" t="s">
        <v>414</v>
      </c>
      <c r="G32" s="150" t="s">
        <v>415</v>
      </c>
      <c r="H32" s="95" t="s">
        <v>416</v>
      </c>
      <c r="I32" s="95" t="s">
        <v>7</v>
      </c>
      <c r="J32" s="95" t="s">
        <v>8</v>
      </c>
      <c r="K32" s="95" t="s">
        <v>287</v>
      </c>
      <c r="L32" s="95" t="s">
        <v>288</v>
      </c>
      <c r="M32" s="95" t="s">
        <v>257</v>
      </c>
      <c r="N32" s="95" t="s">
        <v>373</v>
      </c>
      <c r="O32" s="95" t="s">
        <v>374</v>
      </c>
      <c r="P32" s="95"/>
      <c r="Q32" s="95" t="s">
        <v>375</v>
      </c>
      <c r="R32" s="95" t="s">
        <v>376</v>
      </c>
      <c r="S32" s="95" t="s">
        <v>377</v>
      </c>
      <c r="T32" s="150" t="s">
        <v>378</v>
      </c>
      <c r="U32" s="150"/>
      <c r="V32" s="150" t="s">
        <v>379</v>
      </c>
      <c r="W32" s="150" t="s">
        <v>352</v>
      </c>
      <c r="X32" s="95" t="s">
        <v>380</v>
      </c>
      <c r="Y32" s="95" t="s">
        <v>381</v>
      </c>
      <c r="Z32" s="95" t="s">
        <v>382</v>
      </c>
      <c r="AA32" s="95" t="s">
        <v>383</v>
      </c>
      <c r="AB32" s="95" t="s">
        <v>385</v>
      </c>
      <c r="AC32" s="150" t="s">
        <v>333</v>
      </c>
      <c r="AD32" s="95" t="s">
        <v>13</v>
      </c>
      <c r="AE32" s="95" t="s">
        <v>98</v>
      </c>
    </row>
    <row r="33" spans="1:31">
      <c r="A33" s="198"/>
      <c r="B33" s="205">
        <v>191279</v>
      </c>
      <c r="C33" s="112"/>
      <c r="D33" s="103"/>
      <c r="E33" s="153"/>
      <c r="F33" s="153"/>
      <c r="G33" s="102"/>
      <c r="H33" s="128"/>
      <c r="I33" s="146"/>
      <c r="J33" s="128"/>
      <c r="K33" s="103"/>
      <c r="L33" s="103"/>
      <c r="M33" s="128"/>
      <c r="N33" s="103">
        <f t="shared" ref="N33:N58" si="22">D33*0.0085</f>
        <v>0</v>
      </c>
      <c r="O33" s="103">
        <v>7</v>
      </c>
      <c r="P33" s="207"/>
      <c r="Q33" s="207">
        <v>779.13</v>
      </c>
      <c r="R33" s="103"/>
      <c r="S33" s="103">
        <v>0</v>
      </c>
      <c r="T33" s="103"/>
      <c r="U33" s="103"/>
      <c r="V33" s="103"/>
      <c r="W33" s="103">
        <f t="shared" ref="W33:W52" si="23">Y33*X33</f>
        <v>96.770799999999994</v>
      </c>
      <c r="X33" s="152">
        <v>7.4899999999999994E-2</v>
      </c>
      <c r="Y33" s="153">
        <v>1292</v>
      </c>
      <c r="Z33" s="103">
        <v>90.57</v>
      </c>
      <c r="AA33" s="103">
        <f t="shared" ref="AA33:AA58" si="24">E33*0.1</f>
        <v>0</v>
      </c>
      <c r="AB33" s="154"/>
      <c r="AC33" s="103">
        <v>95</v>
      </c>
      <c r="AD33" s="103">
        <f>D33-I33-J33+M33-N33-O33-Q33-Z33-AA33-AC33-AE33-W33</f>
        <v>-1068.4708000000001</v>
      </c>
      <c r="AE33" s="103">
        <f t="shared" ref="AE33:AE38" si="25">AB33*E33</f>
        <v>0</v>
      </c>
    </row>
    <row r="34" spans="1:31">
      <c r="A34" s="187" t="s">
        <v>429</v>
      </c>
      <c r="B34" s="185">
        <v>191275</v>
      </c>
      <c r="C34" s="112">
        <v>7</v>
      </c>
      <c r="D34" s="103">
        <v>12298</v>
      </c>
      <c r="E34" s="102">
        <f>F34+G34</f>
        <v>5955</v>
      </c>
      <c r="F34" s="112">
        <v>5812</v>
      </c>
      <c r="G34" s="112">
        <v>143</v>
      </c>
      <c r="H34" s="128">
        <f>D34/E34</f>
        <v>2.0651553316540721</v>
      </c>
      <c r="I34" s="146">
        <v>4173.54</v>
      </c>
      <c r="J34" s="128">
        <v>77.010000000000005</v>
      </c>
      <c r="K34" s="103"/>
      <c r="L34" s="103"/>
      <c r="M34" s="128">
        <v>79.11</v>
      </c>
      <c r="N34" s="103">
        <f t="shared" si="22"/>
        <v>104.533</v>
      </c>
      <c r="O34" s="103">
        <v>7</v>
      </c>
      <c r="P34" s="207"/>
      <c r="Q34" s="207">
        <v>779.13</v>
      </c>
      <c r="R34" s="103"/>
      <c r="S34" s="103">
        <v>0</v>
      </c>
      <c r="T34" s="103"/>
      <c r="U34" s="103"/>
      <c r="V34" s="103"/>
      <c r="W34" s="103">
        <f t="shared" si="23"/>
        <v>500.78139999999996</v>
      </c>
      <c r="X34" s="152">
        <v>7.4899999999999994E-2</v>
      </c>
      <c r="Y34" s="153">
        <v>6686</v>
      </c>
      <c r="Z34" s="103">
        <v>90.57</v>
      </c>
      <c r="AA34" s="103">
        <f t="shared" si="24"/>
        <v>595.5</v>
      </c>
      <c r="AB34" s="154">
        <v>0.75</v>
      </c>
      <c r="AC34" s="103">
        <v>95</v>
      </c>
      <c r="AD34" s="103">
        <f t="shared" ref="AD34:AD35" si="26">D34-I34-J34-N34-O34-Q34-W34-Z34-AA34-AC34-AB34*E34</f>
        <v>1408.6855999999998</v>
      </c>
      <c r="AE34" s="103">
        <f t="shared" si="25"/>
        <v>4466.25</v>
      </c>
    </row>
    <row r="35" spans="1:31">
      <c r="A35" s="189" t="s">
        <v>358</v>
      </c>
      <c r="B35" s="185">
        <v>191282</v>
      </c>
      <c r="C35" s="112"/>
      <c r="D35" s="103">
        <v>4075</v>
      </c>
      <c r="E35" s="102"/>
      <c r="F35" s="112"/>
      <c r="G35" s="112"/>
      <c r="H35" s="128"/>
      <c r="I35" s="146">
        <v>995.95</v>
      </c>
      <c r="J35" s="117">
        <v>44.61</v>
      </c>
      <c r="K35" s="103"/>
      <c r="L35" s="103"/>
      <c r="M35" s="146">
        <v>72.209999999999994</v>
      </c>
      <c r="N35" s="103">
        <f t="shared" si="22"/>
        <v>34.637500000000003</v>
      </c>
      <c r="O35" s="103">
        <v>7</v>
      </c>
      <c r="P35" s="207"/>
      <c r="Q35" s="207">
        <v>779.13</v>
      </c>
      <c r="R35" s="103"/>
      <c r="S35" s="103">
        <v>0</v>
      </c>
      <c r="T35" s="103"/>
      <c r="U35" s="103"/>
      <c r="V35" s="103"/>
      <c r="W35" s="103">
        <f t="shared" si="23"/>
        <v>261.85039999999998</v>
      </c>
      <c r="X35" s="152">
        <v>7.4899999999999994E-2</v>
      </c>
      <c r="Y35" s="153">
        <v>3496</v>
      </c>
      <c r="Z35" s="103">
        <v>90.57</v>
      </c>
      <c r="AA35" s="103">
        <f t="shared" si="24"/>
        <v>0</v>
      </c>
      <c r="AB35" s="154"/>
      <c r="AC35" s="103">
        <v>95</v>
      </c>
      <c r="AD35" s="103">
        <f t="shared" si="26"/>
        <v>1766.2521000000002</v>
      </c>
      <c r="AE35" s="103">
        <f t="shared" si="25"/>
        <v>0</v>
      </c>
    </row>
    <row r="36" spans="1:31">
      <c r="A36" s="184" t="s">
        <v>484</v>
      </c>
      <c r="B36" s="185">
        <v>191277</v>
      </c>
      <c r="C36" s="112">
        <v>7</v>
      </c>
      <c r="D36" s="103">
        <v>5050</v>
      </c>
      <c r="E36" s="102">
        <f>F36+G36</f>
        <v>2572</v>
      </c>
      <c r="F36" s="117">
        <v>2467</v>
      </c>
      <c r="G36" s="117">
        <v>105</v>
      </c>
      <c r="H36" s="128">
        <f>D36/E36</f>
        <v>1.963452566096423</v>
      </c>
      <c r="I36" s="146">
        <f>2334.26</f>
        <v>2334.2600000000002</v>
      </c>
      <c r="J36" s="128">
        <v>264.58999999999997</v>
      </c>
      <c r="K36" s="103">
        <v>100</v>
      </c>
      <c r="L36" s="103"/>
      <c r="M36" s="146">
        <v>218.39</v>
      </c>
      <c r="N36" s="103">
        <f t="shared" si="22"/>
        <v>42.925000000000004</v>
      </c>
      <c r="O36" s="103">
        <v>7</v>
      </c>
      <c r="P36" s="207"/>
      <c r="Q36" s="207">
        <v>779.13</v>
      </c>
      <c r="R36" s="103"/>
      <c r="S36" s="103">
        <v>0</v>
      </c>
      <c r="T36" s="103"/>
      <c r="U36" s="103"/>
      <c r="V36" s="103"/>
      <c r="W36" s="103">
        <f t="shared" si="23"/>
        <v>0</v>
      </c>
      <c r="X36" s="152">
        <v>7.4899999999999994E-2</v>
      </c>
      <c r="Y36" s="153"/>
      <c r="Z36" s="103">
        <v>90.57</v>
      </c>
      <c r="AA36" s="103">
        <f t="shared" si="24"/>
        <v>257.2</v>
      </c>
      <c r="AB36" s="154">
        <v>0.65</v>
      </c>
      <c r="AC36" s="103">
        <v>95</v>
      </c>
      <c r="AD36" s="103">
        <f>D36-I36-J36-N36-O36-Q36-W36-Z36-AA36-AC36-AB36*E36-K36</f>
        <v>-592.47500000000059</v>
      </c>
      <c r="AE36" s="103">
        <f t="shared" si="25"/>
        <v>1671.8</v>
      </c>
    </row>
    <row r="37" spans="1:31">
      <c r="A37" s="198" t="s">
        <v>386</v>
      </c>
      <c r="B37" s="188" t="s">
        <v>507</v>
      </c>
      <c r="C37" s="112"/>
      <c r="D37" s="103"/>
      <c r="E37" s="102"/>
      <c r="F37" s="117"/>
      <c r="G37" s="117"/>
      <c r="H37" s="128"/>
      <c r="I37" s="146">
        <v>784.68</v>
      </c>
      <c r="J37" s="128">
        <v>89.19</v>
      </c>
      <c r="K37" s="103"/>
      <c r="L37" s="103"/>
      <c r="M37" s="146">
        <v>147.19</v>
      </c>
      <c r="N37" s="103">
        <f t="shared" si="22"/>
        <v>0</v>
      </c>
      <c r="O37" s="103">
        <v>7</v>
      </c>
      <c r="P37" s="103"/>
      <c r="Q37" s="103">
        <v>779.13</v>
      </c>
      <c r="R37" s="103"/>
      <c r="S37" s="103">
        <v>0</v>
      </c>
      <c r="T37" s="103"/>
      <c r="U37" s="103"/>
      <c r="V37" s="103"/>
      <c r="W37" s="103">
        <f t="shared" si="23"/>
        <v>102.9126</v>
      </c>
      <c r="X37" s="152">
        <v>7.4899999999999994E-2</v>
      </c>
      <c r="Y37" s="153">
        <v>1374</v>
      </c>
      <c r="Z37" s="103">
        <v>90.57</v>
      </c>
      <c r="AA37" s="103">
        <f t="shared" si="24"/>
        <v>0</v>
      </c>
      <c r="AB37" s="154"/>
      <c r="AC37" s="103">
        <v>95</v>
      </c>
      <c r="AD37" s="103">
        <f t="shared" ref="AD37:AD39" si="27">D37-I37-J37-N37-O37-Q37-W37-Z37-AA37-AC37-AB37*E37</f>
        <v>-1948.4826</v>
      </c>
      <c r="AE37" s="103">
        <f t="shared" si="25"/>
        <v>0</v>
      </c>
    </row>
    <row r="38" spans="1:31">
      <c r="A38" s="187" t="s">
        <v>508</v>
      </c>
      <c r="B38" s="208">
        <v>191274</v>
      </c>
      <c r="C38" s="112">
        <v>4</v>
      </c>
      <c r="D38" s="103">
        <v>4100</v>
      </c>
      <c r="E38" s="102">
        <f>F38+G38</f>
        <v>2423</v>
      </c>
      <c r="F38" s="112">
        <v>2380</v>
      </c>
      <c r="G38" s="112">
        <v>43</v>
      </c>
      <c r="H38" s="128">
        <f>D38/E38</f>
        <v>1.6921172100701609</v>
      </c>
      <c r="I38" s="146">
        <v>1680</v>
      </c>
      <c r="J38" s="128">
        <v>226.8</v>
      </c>
      <c r="K38" s="103"/>
      <c r="L38" s="103"/>
      <c r="M38" s="146">
        <v>163.37</v>
      </c>
      <c r="N38" s="103">
        <f t="shared" si="22"/>
        <v>34.85</v>
      </c>
      <c r="O38" s="103">
        <v>7</v>
      </c>
      <c r="P38" s="207"/>
      <c r="Q38" s="207">
        <v>779.13</v>
      </c>
      <c r="R38" s="103"/>
      <c r="S38" s="103">
        <v>0</v>
      </c>
      <c r="T38" s="103"/>
      <c r="U38" s="103"/>
      <c r="V38" s="103"/>
      <c r="W38" s="103">
        <f t="shared" si="23"/>
        <v>238.40669999999997</v>
      </c>
      <c r="X38" s="152">
        <v>7.4899999999999994E-2</v>
      </c>
      <c r="Y38" s="153">
        <v>3183</v>
      </c>
      <c r="Z38" s="103">
        <v>90.57</v>
      </c>
      <c r="AA38" s="103">
        <f t="shared" si="24"/>
        <v>242.3</v>
      </c>
      <c r="AB38" s="154">
        <v>0.75</v>
      </c>
      <c r="AC38" s="103">
        <v>95</v>
      </c>
      <c r="AD38" s="103">
        <f t="shared" si="27"/>
        <v>-1111.3067000000001</v>
      </c>
      <c r="AE38" s="103">
        <f t="shared" si="25"/>
        <v>1817.25</v>
      </c>
    </row>
    <row r="39" spans="1:31">
      <c r="A39" s="187"/>
      <c r="B39" s="205">
        <v>191280</v>
      </c>
      <c r="C39" s="112"/>
      <c r="D39" s="103"/>
      <c r="E39" s="102"/>
      <c r="F39" s="117"/>
      <c r="G39" s="117"/>
      <c r="H39" s="128"/>
      <c r="I39" s="146"/>
      <c r="J39" s="128"/>
      <c r="K39" s="103"/>
      <c r="L39" s="103"/>
      <c r="M39" s="146"/>
      <c r="N39" s="103">
        <f t="shared" si="22"/>
        <v>0</v>
      </c>
      <c r="O39" s="103">
        <v>7</v>
      </c>
      <c r="P39" s="207"/>
      <c r="Q39" s="207">
        <v>779.13</v>
      </c>
      <c r="R39" s="103"/>
      <c r="S39" s="103">
        <v>0</v>
      </c>
      <c r="T39" s="103"/>
      <c r="U39" s="103"/>
      <c r="V39" s="103"/>
      <c r="W39" s="103">
        <f t="shared" si="23"/>
        <v>0</v>
      </c>
      <c r="X39" s="152">
        <v>7.4899999999999994E-2</v>
      </c>
      <c r="Y39" s="153"/>
      <c r="Z39" s="103">
        <v>90.57</v>
      </c>
      <c r="AA39" s="103">
        <f t="shared" si="24"/>
        <v>0</v>
      </c>
      <c r="AB39" s="154"/>
      <c r="AC39" s="103">
        <v>95</v>
      </c>
      <c r="AD39" s="103">
        <f t="shared" si="27"/>
        <v>-971.7</v>
      </c>
      <c r="AE39" s="103">
        <f>AB39*E39+K39</f>
        <v>0</v>
      </c>
    </row>
    <row r="40" spans="1:31">
      <c r="A40" s="187" t="s">
        <v>509</v>
      </c>
      <c r="B40" s="208">
        <v>191281</v>
      </c>
      <c r="C40" s="112">
        <v>4</v>
      </c>
      <c r="D40" s="103">
        <v>2025</v>
      </c>
      <c r="E40" s="102">
        <f t="shared" ref="E40:E44" si="28">F40+G40</f>
        <v>1299</v>
      </c>
      <c r="F40" s="112">
        <v>1232</v>
      </c>
      <c r="G40" s="112">
        <v>67</v>
      </c>
      <c r="H40" s="128">
        <f t="shared" ref="H40:H44" si="29">D40/E40</f>
        <v>1.5588914549653579</v>
      </c>
      <c r="I40" s="128">
        <v>769.63</v>
      </c>
      <c r="J40" s="128">
        <v>3.2</v>
      </c>
      <c r="K40" s="103"/>
      <c r="L40" s="103"/>
      <c r="M40" s="146">
        <v>153.58000000000001</v>
      </c>
      <c r="N40" s="103">
        <f t="shared" si="22"/>
        <v>17.212500000000002</v>
      </c>
      <c r="O40" s="103">
        <v>7</v>
      </c>
      <c r="P40" s="207"/>
      <c r="Q40" s="207">
        <v>779.13</v>
      </c>
      <c r="R40" s="103"/>
      <c r="S40" s="103">
        <v>0</v>
      </c>
      <c r="T40" s="103"/>
      <c r="U40" s="103"/>
      <c r="V40" s="103"/>
      <c r="W40" s="103">
        <f t="shared" si="23"/>
        <v>117.06869999999999</v>
      </c>
      <c r="X40" s="152">
        <v>7.4899999999999994E-2</v>
      </c>
      <c r="Y40" s="153">
        <v>1563</v>
      </c>
      <c r="Z40" s="103">
        <v>90.57</v>
      </c>
      <c r="AA40" s="103">
        <f t="shared" si="24"/>
        <v>129.9</v>
      </c>
      <c r="AB40" s="154">
        <v>0.65</v>
      </c>
      <c r="AC40" s="103">
        <v>95</v>
      </c>
      <c r="AD40" s="103">
        <f t="shared" ref="AD40:AD41" si="30">D40-I40-J40-N40-O40-Q40-W40-Z40-AA40-AC40-AB40*E40+M40</f>
        <v>-674.48120000000017</v>
      </c>
      <c r="AE40" s="103">
        <f t="shared" ref="AE40:AE41" si="31">AB40*E40</f>
        <v>844.35</v>
      </c>
    </row>
    <row r="41" spans="1:31">
      <c r="A41" s="184" t="s">
        <v>425</v>
      </c>
      <c r="B41" s="185">
        <v>191276</v>
      </c>
      <c r="C41" s="112">
        <v>7</v>
      </c>
      <c r="D41" s="103">
        <v>9950</v>
      </c>
      <c r="E41" s="102">
        <f t="shared" si="28"/>
        <v>5365</v>
      </c>
      <c r="F41" s="112">
        <v>5165</v>
      </c>
      <c r="G41" s="112">
        <v>200</v>
      </c>
      <c r="H41" s="128">
        <f t="shared" si="29"/>
        <v>1.8546132339235788</v>
      </c>
      <c r="I41" s="146">
        <v>3912.84</v>
      </c>
      <c r="J41" s="128">
        <v>62.7</v>
      </c>
      <c r="K41" s="103"/>
      <c r="L41" s="103"/>
      <c r="M41" s="146">
        <v>573.85</v>
      </c>
      <c r="N41" s="103">
        <f t="shared" si="22"/>
        <v>84.575000000000003</v>
      </c>
      <c r="O41" s="103">
        <v>7</v>
      </c>
      <c r="P41" s="103"/>
      <c r="Q41" s="103">
        <v>779.13</v>
      </c>
      <c r="R41" s="103"/>
      <c r="S41" s="103">
        <v>0</v>
      </c>
      <c r="T41" s="103"/>
      <c r="U41" s="103"/>
      <c r="V41" s="103"/>
      <c r="W41" s="103">
        <f t="shared" si="23"/>
        <v>421.72499999999997</v>
      </c>
      <c r="X41" s="152">
        <v>7.4999999999999997E-2</v>
      </c>
      <c r="Y41" s="153">
        <v>5623</v>
      </c>
      <c r="Z41" s="103">
        <v>90.57</v>
      </c>
      <c r="AA41" s="103">
        <f t="shared" si="24"/>
        <v>536.5</v>
      </c>
      <c r="AB41" s="206">
        <v>0.8</v>
      </c>
      <c r="AC41" s="103">
        <v>95</v>
      </c>
      <c r="AD41" s="103">
        <f t="shared" si="30"/>
        <v>241.81000000000006</v>
      </c>
      <c r="AE41" s="103">
        <f t="shared" si="31"/>
        <v>4292</v>
      </c>
    </row>
    <row r="42" spans="1:31">
      <c r="A42" s="184" t="s">
        <v>488</v>
      </c>
      <c r="B42" s="185">
        <v>191283</v>
      </c>
      <c r="C42" s="112">
        <v>7</v>
      </c>
      <c r="D42" s="103">
        <v>6550</v>
      </c>
      <c r="E42" s="102">
        <f t="shared" si="28"/>
        <v>3600</v>
      </c>
      <c r="F42" s="112">
        <v>3513</v>
      </c>
      <c r="G42" s="112">
        <v>87</v>
      </c>
      <c r="H42" s="128">
        <f t="shared" si="29"/>
        <v>1.8194444444444444</v>
      </c>
      <c r="I42" s="146">
        <v>2760.72</v>
      </c>
      <c r="J42" s="128">
        <v>70.5</v>
      </c>
      <c r="K42" s="103"/>
      <c r="L42" s="103"/>
      <c r="M42" s="146">
        <v>239.72</v>
      </c>
      <c r="N42" s="103">
        <f t="shared" si="22"/>
        <v>55.675000000000004</v>
      </c>
      <c r="O42" s="103">
        <v>7</v>
      </c>
      <c r="P42" s="103"/>
      <c r="Q42" s="103">
        <v>779.13</v>
      </c>
      <c r="R42" s="103"/>
      <c r="S42" s="103">
        <v>0</v>
      </c>
      <c r="T42" s="103"/>
      <c r="U42" s="103"/>
      <c r="V42" s="103"/>
      <c r="W42" s="103">
        <f t="shared" si="23"/>
        <v>284.62</v>
      </c>
      <c r="X42" s="152">
        <v>7.4899999999999994E-2</v>
      </c>
      <c r="Y42" s="153">
        <v>3800</v>
      </c>
      <c r="Z42" s="103">
        <v>90.57</v>
      </c>
      <c r="AA42" s="103">
        <f t="shared" si="24"/>
        <v>360</v>
      </c>
      <c r="AB42" s="154">
        <v>0.45</v>
      </c>
      <c r="AC42" s="103">
        <v>95</v>
      </c>
      <c r="AD42" s="103">
        <f>D42-I42-J42-N42-O42-Q42-W42-Z42-AA42-AC42-AB42*E42</f>
        <v>426.78499999999985</v>
      </c>
      <c r="AE42" s="103">
        <f>AB42*E42+K42</f>
        <v>1620</v>
      </c>
    </row>
    <row r="43" spans="1:31">
      <c r="A43" s="190" t="s">
        <v>431</v>
      </c>
      <c r="B43" s="185">
        <v>465180</v>
      </c>
      <c r="C43" s="112">
        <v>7</v>
      </c>
      <c r="D43" s="103">
        <v>5225</v>
      </c>
      <c r="E43" s="102">
        <f t="shared" si="28"/>
        <v>2791</v>
      </c>
      <c r="F43" s="112">
        <v>2568</v>
      </c>
      <c r="G43" s="112">
        <v>223</v>
      </c>
      <c r="H43" s="128">
        <f t="shared" si="29"/>
        <v>1.8720888570404872</v>
      </c>
      <c r="I43" s="146">
        <v>2098.86</v>
      </c>
      <c r="J43" s="128">
        <v>66.56</v>
      </c>
      <c r="K43" s="103"/>
      <c r="L43" s="103"/>
      <c r="M43" s="146">
        <v>252.77</v>
      </c>
      <c r="N43" s="103">
        <f t="shared" si="22"/>
        <v>44.412500000000001</v>
      </c>
      <c r="O43" s="103">
        <v>7</v>
      </c>
      <c r="P43" s="103"/>
      <c r="Q43" s="103">
        <v>789.51</v>
      </c>
      <c r="R43" s="103"/>
      <c r="S43" s="103">
        <v>0</v>
      </c>
      <c r="T43" s="103"/>
      <c r="U43" s="103"/>
      <c r="V43" s="103"/>
      <c r="W43" s="103">
        <f t="shared" si="23"/>
        <v>206.10820000000001</v>
      </c>
      <c r="X43" s="152">
        <v>7.4300000000000005E-2</v>
      </c>
      <c r="Y43" s="153">
        <v>2774</v>
      </c>
      <c r="Z43" s="103">
        <v>90.57</v>
      </c>
      <c r="AA43" s="103">
        <f t="shared" si="24"/>
        <v>279.10000000000002</v>
      </c>
      <c r="AB43" s="154">
        <v>0.75</v>
      </c>
      <c r="AC43" s="103">
        <v>95</v>
      </c>
      <c r="AD43" s="103">
        <f>D43-I43-J43-N43-O43-Q43-W43-Z43-AA43-AC43-AB43*E43+M43</f>
        <v>-292.60069999999996</v>
      </c>
      <c r="AE43" s="103">
        <f>AB43*E43</f>
        <v>2093.25</v>
      </c>
    </row>
    <row r="44" spans="1:31">
      <c r="A44" s="190" t="s">
        <v>491</v>
      </c>
      <c r="B44" s="185" t="s">
        <v>510</v>
      </c>
      <c r="C44" s="117">
        <v>7</v>
      </c>
      <c r="D44" s="103">
        <v>8525</v>
      </c>
      <c r="E44" s="102">
        <f t="shared" si="28"/>
        <v>3982</v>
      </c>
      <c r="F44" s="112">
        <v>3760</v>
      </c>
      <c r="G44" s="112">
        <v>222</v>
      </c>
      <c r="H44" s="128">
        <f t="shared" si="29"/>
        <v>2.1408839779005526</v>
      </c>
      <c r="I44" s="146">
        <v>2444.33</v>
      </c>
      <c r="J44" s="128">
        <v>13.85</v>
      </c>
      <c r="K44" s="128"/>
      <c r="L44" s="128"/>
      <c r="M44" s="146">
        <v>179.03</v>
      </c>
      <c r="N44" s="103">
        <f t="shared" si="22"/>
        <v>72.462500000000006</v>
      </c>
      <c r="O44" s="103">
        <v>7</v>
      </c>
      <c r="P44" s="103"/>
      <c r="Q44" s="103">
        <v>789.51</v>
      </c>
      <c r="R44" s="103"/>
      <c r="S44" s="103">
        <v>0</v>
      </c>
      <c r="T44" s="103"/>
      <c r="U44" s="103"/>
      <c r="V44" s="103"/>
      <c r="W44" s="103">
        <f t="shared" si="23"/>
        <v>304.40710000000001</v>
      </c>
      <c r="X44" s="152">
        <v>7.4300000000000005E-2</v>
      </c>
      <c r="Y44" s="153">
        <v>4097</v>
      </c>
      <c r="Z44" s="103">
        <v>90.57</v>
      </c>
      <c r="AA44" s="103">
        <f t="shared" si="24"/>
        <v>398.20000000000005</v>
      </c>
      <c r="AB44" s="154">
        <v>0.65</v>
      </c>
      <c r="AC44" s="103">
        <v>95</v>
      </c>
      <c r="AD44" s="103">
        <f>D44-I44-J44-N44-O44-Q44-W44-Z44-AA44-AC44-AB44*E44</f>
        <v>1721.3703999999998</v>
      </c>
      <c r="AE44" s="103">
        <f t="shared" ref="AE44:AE45" si="32">AB44*E44+K44+L44</f>
        <v>2588.3000000000002</v>
      </c>
    </row>
    <row r="45" spans="1:31">
      <c r="A45" s="187" t="s">
        <v>432</v>
      </c>
      <c r="B45" s="185">
        <v>465182</v>
      </c>
      <c r="C45" s="112" t="s">
        <v>504</v>
      </c>
      <c r="D45" s="103">
        <v>0</v>
      </c>
      <c r="E45" s="102"/>
      <c r="F45" s="112"/>
      <c r="G45" s="112"/>
      <c r="H45" s="128"/>
      <c r="I45" s="146"/>
      <c r="J45" s="128">
        <v>34.85</v>
      </c>
      <c r="K45" s="128"/>
      <c r="L45" s="128"/>
      <c r="M45" s="146"/>
      <c r="N45" s="103">
        <f t="shared" si="22"/>
        <v>0</v>
      </c>
      <c r="O45" s="103">
        <v>7</v>
      </c>
      <c r="P45" s="103"/>
      <c r="Q45" s="103">
        <v>789.51</v>
      </c>
      <c r="R45" s="103"/>
      <c r="S45" s="103">
        <v>0</v>
      </c>
      <c r="T45" s="103"/>
      <c r="U45" s="103"/>
      <c r="V45" s="103"/>
      <c r="W45" s="103">
        <f t="shared" si="23"/>
        <v>0</v>
      </c>
      <c r="X45" s="152">
        <v>7.4300000000000005E-2</v>
      </c>
      <c r="Y45" s="153"/>
      <c r="Z45" s="103">
        <v>90.57</v>
      </c>
      <c r="AA45" s="103">
        <f t="shared" si="24"/>
        <v>0</v>
      </c>
      <c r="AB45" s="206">
        <v>0.8</v>
      </c>
      <c r="AC45" s="103">
        <v>95</v>
      </c>
      <c r="AD45" s="103">
        <f t="shared" ref="AD45:AD52" si="33">D45-I45-J45-N45-O45-Q45-W45-Z45-AA45-AC45-AB45*E45+M45</f>
        <v>-1016.9300000000001</v>
      </c>
      <c r="AE45" s="103">
        <f t="shared" si="32"/>
        <v>0</v>
      </c>
    </row>
    <row r="46" spans="1:31">
      <c r="A46" s="190" t="s">
        <v>494</v>
      </c>
      <c r="B46" s="185">
        <v>465183</v>
      </c>
      <c r="C46" s="117">
        <v>7</v>
      </c>
      <c r="D46" s="103">
        <v>4500</v>
      </c>
      <c r="E46" s="102">
        <f t="shared" ref="E46:E52" si="34">F46+G46</f>
        <v>2632</v>
      </c>
      <c r="F46" s="112">
        <v>2542</v>
      </c>
      <c r="G46" s="112">
        <v>90</v>
      </c>
      <c r="H46" s="128">
        <f t="shared" ref="H46:H53" si="35">D46/E46</f>
        <v>1.709726443768997</v>
      </c>
      <c r="I46" s="146">
        <v>2317.39</v>
      </c>
      <c r="J46" s="128">
        <v>23.55</v>
      </c>
      <c r="K46" s="128">
        <v>100</v>
      </c>
      <c r="L46" s="128"/>
      <c r="M46" s="146">
        <v>267.23</v>
      </c>
      <c r="N46" s="103">
        <f t="shared" si="22"/>
        <v>38.25</v>
      </c>
      <c r="O46" s="103">
        <v>7</v>
      </c>
      <c r="P46" s="103"/>
      <c r="Q46" s="103">
        <v>789.51</v>
      </c>
      <c r="R46" s="103"/>
      <c r="S46" s="103">
        <v>0</v>
      </c>
      <c r="T46" s="103"/>
      <c r="U46" s="103"/>
      <c r="V46" s="103"/>
      <c r="W46" s="103">
        <f t="shared" si="23"/>
        <v>258.41540000000003</v>
      </c>
      <c r="X46" s="152">
        <v>7.4300000000000005E-2</v>
      </c>
      <c r="Y46" s="153">
        <v>3478</v>
      </c>
      <c r="Z46" s="103">
        <v>90.57</v>
      </c>
      <c r="AA46" s="103">
        <f t="shared" si="24"/>
        <v>263.2</v>
      </c>
      <c r="AB46" s="209">
        <v>0.75</v>
      </c>
      <c r="AC46" s="103">
        <v>95</v>
      </c>
      <c r="AD46" s="103">
        <f t="shared" si="33"/>
        <v>-1089.6554000000001</v>
      </c>
      <c r="AE46" s="103">
        <f>AB46*E46+K46</f>
        <v>2074</v>
      </c>
    </row>
    <row r="47" spans="1:31">
      <c r="A47" s="190" t="s">
        <v>435</v>
      </c>
      <c r="B47" s="185">
        <v>465184</v>
      </c>
      <c r="C47" s="117">
        <v>5</v>
      </c>
      <c r="D47" s="103">
        <v>5273</v>
      </c>
      <c r="E47" s="102">
        <f t="shared" si="34"/>
        <v>2931</v>
      </c>
      <c r="F47" s="112">
        <v>2612</v>
      </c>
      <c r="G47" s="112">
        <v>319</v>
      </c>
      <c r="H47" s="128">
        <f t="shared" si="35"/>
        <v>1.7990446946434664</v>
      </c>
      <c r="I47" s="146">
        <v>2050.61</v>
      </c>
      <c r="J47" s="128">
        <v>40.409999999999997</v>
      </c>
      <c r="K47" s="128"/>
      <c r="L47" s="128"/>
      <c r="M47" s="146">
        <v>48.09</v>
      </c>
      <c r="N47" s="103">
        <f t="shared" si="22"/>
        <v>44.820500000000003</v>
      </c>
      <c r="O47" s="103">
        <v>7</v>
      </c>
      <c r="P47" s="103"/>
      <c r="Q47" s="103">
        <v>789.51</v>
      </c>
      <c r="R47" s="103"/>
      <c r="S47" s="103">
        <v>0</v>
      </c>
      <c r="T47" s="103"/>
      <c r="U47" s="103"/>
      <c r="V47" s="103"/>
      <c r="W47" s="103">
        <f t="shared" si="23"/>
        <v>232.85620000000003</v>
      </c>
      <c r="X47" s="152">
        <v>7.4300000000000005E-2</v>
      </c>
      <c r="Y47" s="153">
        <v>3134</v>
      </c>
      <c r="Z47" s="103">
        <v>90.57</v>
      </c>
      <c r="AA47" s="103">
        <f t="shared" si="24"/>
        <v>293.10000000000002</v>
      </c>
      <c r="AB47" s="206">
        <v>0.8</v>
      </c>
      <c r="AC47" s="103">
        <v>95</v>
      </c>
      <c r="AD47" s="103">
        <f t="shared" si="33"/>
        <v>-667.58669999999995</v>
      </c>
      <c r="AE47" s="103">
        <f>AB47*E47</f>
        <v>2344.8000000000002</v>
      </c>
    </row>
    <row r="48" spans="1:31">
      <c r="A48" s="187" t="s">
        <v>458</v>
      </c>
      <c r="B48" s="185">
        <v>465185</v>
      </c>
      <c r="C48" s="117">
        <v>4</v>
      </c>
      <c r="D48" s="103">
        <v>4088</v>
      </c>
      <c r="E48" s="102">
        <f t="shared" si="34"/>
        <v>1530</v>
      </c>
      <c r="F48" s="112">
        <v>1522</v>
      </c>
      <c r="G48" s="112">
        <v>8</v>
      </c>
      <c r="H48" s="128">
        <f t="shared" si="35"/>
        <v>2.6718954248366011</v>
      </c>
      <c r="I48" s="146">
        <v>647.35</v>
      </c>
      <c r="J48" s="128">
        <v>253.73</v>
      </c>
      <c r="K48" s="128">
        <v>100</v>
      </c>
      <c r="L48" s="128">
        <v>73</v>
      </c>
      <c r="M48" s="146">
        <v>150.82</v>
      </c>
      <c r="N48" s="103">
        <f t="shared" si="22"/>
        <v>34.748000000000005</v>
      </c>
      <c r="O48" s="103">
        <v>7</v>
      </c>
      <c r="P48" s="103"/>
      <c r="Q48" s="103">
        <v>789.51</v>
      </c>
      <c r="R48" s="103"/>
      <c r="S48" s="103">
        <v>0</v>
      </c>
      <c r="T48" s="103"/>
      <c r="U48" s="103"/>
      <c r="V48" s="103"/>
      <c r="W48" s="103">
        <f t="shared" si="23"/>
        <v>75.860300000000009</v>
      </c>
      <c r="X48" s="152">
        <v>7.4300000000000005E-2</v>
      </c>
      <c r="Y48" s="153">
        <v>1021</v>
      </c>
      <c r="Z48" s="103">
        <v>90.57</v>
      </c>
      <c r="AA48" s="103">
        <f t="shared" si="24"/>
        <v>153</v>
      </c>
      <c r="AB48" s="206">
        <v>0.8</v>
      </c>
      <c r="AC48" s="103">
        <v>95</v>
      </c>
      <c r="AD48" s="103">
        <f t="shared" si="33"/>
        <v>868.05170000000021</v>
      </c>
      <c r="AE48" s="103">
        <f t="shared" ref="AE48:AE49" si="36">AB48*E48+K48</f>
        <v>1324</v>
      </c>
    </row>
    <row r="49" spans="1:31">
      <c r="A49" s="187" t="s">
        <v>437</v>
      </c>
      <c r="B49" s="185">
        <v>465186</v>
      </c>
      <c r="C49" s="112">
        <v>6</v>
      </c>
      <c r="D49" s="103">
        <v>1850</v>
      </c>
      <c r="E49" s="102">
        <f t="shared" si="34"/>
        <v>1416</v>
      </c>
      <c r="F49" s="112">
        <v>1192</v>
      </c>
      <c r="G49" s="112">
        <v>224</v>
      </c>
      <c r="H49" s="128">
        <f t="shared" si="35"/>
        <v>1.3064971751412429</v>
      </c>
      <c r="I49" s="146">
        <v>1276.83</v>
      </c>
      <c r="J49" s="128">
        <v>690.32</v>
      </c>
      <c r="K49" s="128">
        <v>200</v>
      </c>
      <c r="L49" s="128"/>
      <c r="M49" s="146">
        <v>28.79</v>
      </c>
      <c r="N49" s="103">
        <f t="shared" si="22"/>
        <v>15.725000000000001</v>
      </c>
      <c r="O49" s="103">
        <v>7</v>
      </c>
      <c r="P49" s="103"/>
      <c r="Q49" s="103">
        <v>789.51</v>
      </c>
      <c r="R49" s="103"/>
      <c r="S49" s="103">
        <v>0</v>
      </c>
      <c r="T49" s="103"/>
      <c r="U49" s="103"/>
      <c r="V49" s="103"/>
      <c r="W49" s="103">
        <f t="shared" si="23"/>
        <v>113.53040000000001</v>
      </c>
      <c r="X49" s="152">
        <v>7.4300000000000005E-2</v>
      </c>
      <c r="Y49" s="153">
        <v>1528</v>
      </c>
      <c r="Z49" s="103">
        <v>90.57</v>
      </c>
      <c r="AA49" s="103">
        <f t="shared" si="24"/>
        <v>141.6</v>
      </c>
      <c r="AB49" s="154">
        <v>0.7</v>
      </c>
      <c r="AC49" s="103">
        <v>95</v>
      </c>
      <c r="AD49" s="103">
        <f t="shared" si="33"/>
        <v>-2332.4953999999998</v>
      </c>
      <c r="AE49" s="103">
        <f t="shared" si="36"/>
        <v>1191.1999999999998</v>
      </c>
    </row>
    <row r="50" spans="1:31">
      <c r="A50" s="187" t="s">
        <v>439</v>
      </c>
      <c r="B50" s="185">
        <v>465187</v>
      </c>
      <c r="C50" s="117">
        <v>7</v>
      </c>
      <c r="D50" s="103">
        <v>6030</v>
      </c>
      <c r="E50" s="102">
        <f t="shared" si="34"/>
        <v>2952</v>
      </c>
      <c r="F50" s="112">
        <v>2684</v>
      </c>
      <c r="G50" s="112">
        <v>268</v>
      </c>
      <c r="H50" s="128">
        <f t="shared" si="35"/>
        <v>2.0426829268292681</v>
      </c>
      <c r="I50" s="146">
        <v>1304.93</v>
      </c>
      <c r="J50" s="128">
        <v>238.01</v>
      </c>
      <c r="K50" s="128">
        <v>100</v>
      </c>
      <c r="L50" s="128"/>
      <c r="M50" s="146">
        <v>33.9</v>
      </c>
      <c r="N50" s="103">
        <f t="shared" si="22"/>
        <v>51.255000000000003</v>
      </c>
      <c r="O50" s="103">
        <v>7</v>
      </c>
      <c r="P50" s="103"/>
      <c r="Q50" s="103">
        <v>789.51</v>
      </c>
      <c r="R50" s="103"/>
      <c r="S50" s="103">
        <v>0</v>
      </c>
      <c r="T50" s="103"/>
      <c r="U50" s="103"/>
      <c r="V50" s="103"/>
      <c r="W50" s="103">
        <f t="shared" si="23"/>
        <v>224.90610000000001</v>
      </c>
      <c r="X50" s="152">
        <v>7.4300000000000005E-2</v>
      </c>
      <c r="Y50" s="153">
        <v>3027</v>
      </c>
      <c r="Z50" s="103">
        <v>90.57</v>
      </c>
      <c r="AA50" s="103">
        <f t="shared" si="24"/>
        <v>295.2</v>
      </c>
      <c r="AB50" s="206">
        <v>0.8</v>
      </c>
      <c r="AC50" s="103">
        <v>95</v>
      </c>
      <c r="AD50" s="103">
        <f t="shared" si="33"/>
        <v>605.9188999999991</v>
      </c>
      <c r="AE50" s="103">
        <f t="shared" ref="AE50:AE52" si="37">AB50*E50</f>
        <v>2361.6</v>
      </c>
    </row>
    <row r="51" spans="1:31">
      <c r="A51" s="190" t="s">
        <v>427</v>
      </c>
      <c r="B51" s="185">
        <v>465188</v>
      </c>
      <c r="C51" s="112">
        <v>7</v>
      </c>
      <c r="D51" s="103">
        <v>3625</v>
      </c>
      <c r="E51" s="102">
        <f t="shared" si="34"/>
        <v>1909</v>
      </c>
      <c r="F51" s="117">
        <v>1540</v>
      </c>
      <c r="G51" s="117">
        <v>369</v>
      </c>
      <c r="H51" s="128">
        <f t="shared" si="35"/>
        <v>1.8988999476165531</v>
      </c>
      <c r="I51" s="146">
        <v>790</v>
      </c>
      <c r="J51" s="128">
        <v>476.85</v>
      </c>
      <c r="K51" s="128">
        <v>200</v>
      </c>
      <c r="L51" s="128"/>
      <c r="M51" s="146">
        <v>52.16</v>
      </c>
      <c r="N51" s="103">
        <f t="shared" si="22"/>
        <v>30.812500000000004</v>
      </c>
      <c r="O51" s="103">
        <v>7</v>
      </c>
      <c r="P51" s="103"/>
      <c r="Q51" s="103">
        <v>789.51</v>
      </c>
      <c r="R51" s="103"/>
      <c r="S51" s="103">
        <v>0</v>
      </c>
      <c r="T51" s="103"/>
      <c r="U51" s="103"/>
      <c r="V51" s="103"/>
      <c r="W51" s="103">
        <f t="shared" si="23"/>
        <v>127.6474</v>
      </c>
      <c r="X51" s="152">
        <v>7.4300000000000005E-2</v>
      </c>
      <c r="Y51" s="153">
        <v>1718</v>
      </c>
      <c r="Z51" s="103">
        <v>90.57</v>
      </c>
      <c r="AA51" s="103">
        <f t="shared" si="24"/>
        <v>190.9</v>
      </c>
      <c r="AB51" s="154">
        <v>0.75</v>
      </c>
      <c r="AC51" s="103">
        <v>95</v>
      </c>
      <c r="AD51" s="103">
        <f t="shared" si="33"/>
        <v>-352.87990000000002</v>
      </c>
      <c r="AE51" s="103">
        <f t="shared" si="37"/>
        <v>1431.75</v>
      </c>
    </row>
    <row r="52" spans="1:31">
      <c r="A52" s="184" t="s">
        <v>505</v>
      </c>
      <c r="B52" s="185">
        <v>465189</v>
      </c>
      <c r="C52" s="112">
        <v>7</v>
      </c>
      <c r="D52" s="103">
        <v>11073</v>
      </c>
      <c r="E52" s="102">
        <f t="shared" si="34"/>
        <v>5723</v>
      </c>
      <c r="F52" s="117">
        <v>5522</v>
      </c>
      <c r="G52" s="117">
        <v>201</v>
      </c>
      <c r="H52" s="128">
        <f t="shared" si="35"/>
        <v>1.9348243928009785</v>
      </c>
      <c r="I52" s="146">
        <v>3397.85</v>
      </c>
      <c r="J52" s="128">
        <v>210.83</v>
      </c>
      <c r="K52" s="103"/>
      <c r="L52" s="103"/>
      <c r="M52" s="146">
        <v>74.010000000000005</v>
      </c>
      <c r="N52" s="103">
        <f t="shared" si="22"/>
        <v>94.120500000000007</v>
      </c>
      <c r="O52" s="103">
        <v>7</v>
      </c>
      <c r="P52" s="103"/>
      <c r="Q52" s="103">
        <v>789.51</v>
      </c>
      <c r="R52" s="103"/>
      <c r="S52" s="103">
        <v>0</v>
      </c>
      <c r="T52" s="103"/>
      <c r="U52" s="103"/>
      <c r="V52" s="103"/>
      <c r="W52" s="103">
        <f t="shared" si="23"/>
        <v>363.02980000000002</v>
      </c>
      <c r="X52" s="152">
        <v>7.4300000000000005E-2</v>
      </c>
      <c r="Y52" s="155">
        <v>4886</v>
      </c>
      <c r="Z52" s="103">
        <v>90.57</v>
      </c>
      <c r="AA52" s="103">
        <f t="shared" si="24"/>
        <v>572.30000000000007</v>
      </c>
      <c r="AB52" s="154">
        <v>0.65</v>
      </c>
      <c r="AC52" s="103">
        <v>95</v>
      </c>
      <c r="AD52" s="103">
        <f t="shared" si="33"/>
        <v>1806.8496999999991</v>
      </c>
      <c r="AE52" s="103">
        <f t="shared" si="37"/>
        <v>3719.9500000000003</v>
      </c>
    </row>
    <row r="53" spans="1:31">
      <c r="A53" s="134" t="s">
        <v>462</v>
      </c>
      <c r="B53" s="135" t="s">
        <v>399</v>
      </c>
      <c r="C53" s="158">
        <v>5</v>
      </c>
      <c r="D53" s="139">
        <v>4330</v>
      </c>
      <c r="E53" s="136">
        <v>1323</v>
      </c>
      <c r="F53" s="136"/>
      <c r="G53" s="136"/>
      <c r="H53" s="128">
        <f t="shared" si="35"/>
        <v>3.2728647014361298</v>
      </c>
      <c r="I53" s="139">
        <v>801.29</v>
      </c>
      <c r="J53" s="139">
        <v>101.25</v>
      </c>
      <c r="K53" s="139"/>
      <c r="L53" s="139"/>
      <c r="M53" s="139">
        <v>20.170000000000002</v>
      </c>
      <c r="N53" s="139">
        <f t="shared" si="22"/>
        <v>36.805</v>
      </c>
      <c r="O53" s="139">
        <v>0</v>
      </c>
      <c r="P53" s="139"/>
      <c r="Q53" s="139">
        <v>0</v>
      </c>
      <c r="R53" s="139">
        <v>0</v>
      </c>
      <c r="S53" s="139">
        <v>0</v>
      </c>
      <c r="T53" s="139">
        <v>0</v>
      </c>
      <c r="U53" s="139"/>
      <c r="V53" s="139">
        <v>0</v>
      </c>
      <c r="W53" s="139">
        <v>0</v>
      </c>
      <c r="X53" s="159">
        <v>0</v>
      </c>
      <c r="Y53" s="136">
        <v>1323</v>
      </c>
      <c r="Z53" s="139">
        <v>0</v>
      </c>
      <c r="AA53" s="139">
        <f t="shared" si="24"/>
        <v>132.30000000000001</v>
      </c>
      <c r="AB53" s="160">
        <v>0.85</v>
      </c>
      <c r="AC53" s="139">
        <v>95</v>
      </c>
      <c r="AD53" s="139">
        <f>D53*0.15-AA53-N53</f>
        <v>480.39500000000004</v>
      </c>
      <c r="AE53" s="139">
        <f>D53*0.85-I53-J53+M53</f>
        <v>2798.13</v>
      </c>
    </row>
    <row r="54" spans="1:31">
      <c r="A54" s="199" t="s">
        <v>463</v>
      </c>
      <c r="B54" s="135" t="s">
        <v>362</v>
      </c>
      <c r="C54" s="210" t="s">
        <v>504</v>
      </c>
      <c r="D54" s="139">
        <v>0</v>
      </c>
      <c r="E54" s="136"/>
      <c r="F54" s="136"/>
      <c r="G54" s="136"/>
      <c r="H54" s="139"/>
      <c r="I54" s="139"/>
      <c r="J54" s="139"/>
      <c r="K54" s="139"/>
      <c r="L54" s="139"/>
      <c r="M54" s="139"/>
      <c r="N54" s="139">
        <f t="shared" si="22"/>
        <v>0</v>
      </c>
      <c r="O54" s="139">
        <v>7</v>
      </c>
      <c r="P54" s="139"/>
      <c r="Q54" s="139">
        <v>0</v>
      </c>
      <c r="R54" s="139">
        <v>50</v>
      </c>
      <c r="S54" s="139">
        <v>199</v>
      </c>
      <c r="T54" s="139">
        <v>30</v>
      </c>
      <c r="U54" s="139"/>
      <c r="V54" s="139">
        <v>300</v>
      </c>
      <c r="W54" s="139">
        <v>0</v>
      </c>
      <c r="X54" s="159">
        <v>0</v>
      </c>
      <c r="Y54" s="136"/>
      <c r="Z54" s="139">
        <v>0</v>
      </c>
      <c r="AA54" s="139">
        <f t="shared" si="24"/>
        <v>0</v>
      </c>
      <c r="AB54" s="160">
        <v>0.87</v>
      </c>
      <c r="AC54" s="139">
        <v>95</v>
      </c>
      <c r="AD54" s="139">
        <f>D54*0.13+V54+T54+S54+R54-AA54-N54+M54</f>
        <v>579</v>
      </c>
      <c r="AE54" s="139">
        <f>D54*0.87-I54-J54-R54-S54-T54-V54</f>
        <v>-579</v>
      </c>
    </row>
    <row r="55" spans="1:31">
      <c r="A55" s="199" t="s">
        <v>464</v>
      </c>
      <c r="B55" s="134">
        <v>1118</v>
      </c>
      <c r="C55" s="210" t="s">
        <v>504</v>
      </c>
      <c r="D55" s="139">
        <v>0</v>
      </c>
      <c r="E55" s="136"/>
      <c r="F55" s="136"/>
      <c r="G55" s="136"/>
      <c r="H55" s="139"/>
      <c r="I55" s="139"/>
      <c r="J55" s="139"/>
      <c r="K55" s="139"/>
      <c r="L55" s="139"/>
      <c r="M55" s="139"/>
      <c r="N55" s="139">
        <f t="shared" si="22"/>
        <v>0</v>
      </c>
      <c r="O55" s="139">
        <v>0</v>
      </c>
      <c r="P55" s="139"/>
      <c r="Q55" s="139">
        <v>0</v>
      </c>
      <c r="R55" s="139">
        <v>0</v>
      </c>
      <c r="S55" s="139">
        <v>0</v>
      </c>
      <c r="T55" s="139">
        <v>0</v>
      </c>
      <c r="U55" s="139"/>
      <c r="V55" s="139">
        <v>0</v>
      </c>
      <c r="W55" s="139">
        <v>0</v>
      </c>
      <c r="X55" s="159">
        <v>0</v>
      </c>
      <c r="Y55" s="136"/>
      <c r="Z55" s="139">
        <v>0</v>
      </c>
      <c r="AA55" s="139">
        <f t="shared" si="24"/>
        <v>0</v>
      </c>
      <c r="AB55" s="160">
        <v>0.8</v>
      </c>
      <c r="AC55" s="139">
        <v>95</v>
      </c>
      <c r="AD55" s="139">
        <f>D55*0.2-AA55-N55-K55-AC55</f>
        <v>-95</v>
      </c>
      <c r="AE55" s="139">
        <f>D55*AB55-I55-J55</f>
        <v>0</v>
      </c>
    </row>
    <row r="56" spans="1:31">
      <c r="A56" s="134" t="s">
        <v>465</v>
      </c>
      <c r="B56" s="134" t="s">
        <v>369</v>
      </c>
      <c r="C56" s="158">
        <v>5</v>
      </c>
      <c r="D56" s="139">
        <v>4600</v>
      </c>
      <c r="E56" s="136">
        <v>2856</v>
      </c>
      <c r="F56" s="136"/>
      <c r="G56" s="136"/>
      <c r="H56" s="128">
        <f t="shared" ref="H56:H58" si="38">D56/E56</f>
        <v>1.6106442577030813</v>
      </c>
      <c r="I56" s="139">
        <v>1766.03</v>
      </c>
      <c r="J56" s="139"/>
      <c r="K56" s="139"/>
      <c r="L56" s="139"/>
      <c r="M56" s="139">
        <v>65.53</v>
      </c>
      <c r="N56" s="139">
        <f t="shared" si="22"/>
        <v>39.1</v>
      </c>
      <c r="O56" s="139">
        <v>7</v>
      </c>
      <c r="P56" s="139"/>
      <c r="Q56" s="139">
        <v>0</v>
      </c>
      <c r="R56" s="139">
        <v>50</v>
      </c>
      <c r="S56" s="139">
        <v>199</v>
      </c>
      <c r="T56" s="139">
        <v>30</v>
      </c>
      <c r="U56" s="139"/>
      <c r="V56" s="139">
        <v>300</v>
      </c>
      <c r="W56" s="139">
        <v>0</v>
      </c>
      <c r="X56" s="159">
        <v>0</v>
      </c>
      <c r="Y56" s="136">
        <v>2856</v>
      </c>
      <c r="Z56" s="139">
        <v>0</v>
      </c>
      <c r="AA56" s="139">
        <f t="shared" si="24"/>
        <v>285.60000000000002</v>
      </c>
      <c r="AB56" s="160">
        <v>0.89</v>
      </c>
      <c r="AC56" s="139">
        <v>95</v>
      </c>
      <c r="AD56" s="139">
        <f>D56*0.11-AC56-AA56+V56+T56+S56+R56-N56</f>
        <v>665.3</v>
      </c>
      <c r="AE56" s="139">
        <f>D56*AB56-I56-J56-R56-S56-T56-V56</f>
        <v>1748.9700000000003</v>
      </c>
    </row>
    <row r="57" spans="1:31">
      <c r="A57" s="134" t="s">
        <v>466</v>
      </c>
      <c r="B57" s="134">
        <v>2013</v>
      </c>
      <c r="C57" s="158">
        <v>7</v>
      </c>
      <c r="D57" s="139">
        <v>4000</v>
      </c>
      <c r="E57" s="136">
        <v>2528</v>
      </c>
      <c r="F57" s="136"/>
      <c r="G57" s="136"/>
      <c r="H57" s="128">
        <f t="shared" si="38"/>
        <v>1.5822784810126582</v>
      </c>
      <c r="I57" s="139">
        <v>1387.75</v>
      </c>
      <c r="J57" s="139">
        <v>28.66</v>
      </c>
      <c r="K57" s="139"/>
      <c r="L57" s="139"/>
      <c r="M57" s="139">
        <v>25.04</v>
      </c>
      <c r="N57" s="139">
        <f t="shared" si="22"/>
        <v>34</v>
      </c>
      <c r="O57" s="139">
        <v>0</v>
      </c>
      <c r="P57" s="139"/>
      <c r="Q57" s="139">
        <v>0</v>
      </c>
      <c r="R57" s="139">
        <v>50</v>
      </c>
      <c r="S57" s="139">
        <v>199</v>
      </c>
      <c r="T57" s="139">
        <v>30</v>
      </c>
      <c r="U57" s="139"/>
      <c r="V57" s="139">
        <v>300</v>
      </c>
      <c r="W57" s="139">
        <v>0</v>
      </c>
      <c r="X57" s="159">
        <v>0</v>
      </c>
      <c r="Y57" s="136">
        <v>2528</v>
      </c>
      <c r="Z57" s="139">
        <v>0</v>
      </c>
      <c r="AA57" s="139">
        <f t="shared" si="24"/>
        <v>252.8</v>
      </c>
      <c r="AB57" s="160">
        <v>0.87</v>
      </c>
      <c r="AC57" s="139">
        <v>95</v>
      </c>
      <c r="AD57" s="139">
        <f>D57*0.13+V57+T57+S57+R57-AA57-N57+M57</f>
        <v>837.24</v>
      </c>
      <c r="AE57" s="139">
        <f t="shared" ref="AE57:AE58" si="39">D57*AB57-I57-J57-V57-T57-S57-R57</f>
        <v>1484.5900000000001</v>
      </c>
    </row>
    <row r="58" spans="1:31">
      <c r="A58" s="134" t="s">
        <v>467</v>
      </c>
      <c r="B58" s="134">
        <v>1122</v>
      </c>
      <c r="C58" s="158">
        <v>3</v>
      </c>
      <c r="D58" s="139">
        <v>1400</v>
      </c>
      <c r="E58" s="136">
        <v>1203</v>
      </c>
      <c r="F58" s="136"/>
      <c r="G58" s="136"/>
      <c r="H58" s="128">
        <f t="shared" si="38"/>
        <v>1.1637572734829593</v>
      </c>
      <c r="I58" s="139">
        <v>821.64</v>
      </c>
      <c r="J58" s="139">
        <v>47.49</v>
      </c>
      <c r="K58" s="139"/>
      <c r="L58" s="139"/>
      <c r="M58" s="139">
        <v>130.49</v>
      </c>
      <c r="N58" s="139">
        <f t="shared" si="22"/>
        <v>11.9</v>
      </c>
      <c r="O58" s="139">
        <v>7</v>
      </c>
      <c r="P58" s="139"/>
      <c r="Q58" s="139">
        <v>0</v>
      </c>
      <c r="R58" s="139">
        <v>0</v>
      </c>
      <c r="S58" s="139">
        <v>0</v>
      </c>
      <c r="T58" s="139">
        <v>0</v>
      </c>
      <c r="U58" s="139"/>
      <c r="V58" s="139">
        <v>0</v>
      </c>
      <c r="W58" s="139">
        <v>0</v>
      </c>
      <c r="X58" s="159">
        <v>0</v>
      </c>
      <c r="Y58" s="136">
        <v>1203</v>
      </c>
      <c r="Z58" s="139">
        <v>0</v>
      </c>
      <c r="AA58" s="139">
        <f t="shared" si="24"/>
        <v>120.30000000000001</v>
      </c>
      <c r="AB58" s="160">
        <v>0.8</v>
      </c>
      <c r="AC58" s="139">
        <v>95</v>
      </c>
      <c r="AD58" s="139">
        <f>D58*0.13-AC58-AA58+V58+T58+S58+R58-N58+M58</f>
        <v>85.289999999999992</v>
      </c>
      <c r="AE58" s="139">
        <f t="shared" si="39"/>
        <v>250.87</v>
      </c>
    </row>
    <row r="59" spans="1:31">
      <c r="A59" s="72" t="s">
        <v>89</v>
      </c>
      <c r="B59" s="72">
        <v>28</v>
      </c>
      <c r="C59" s="202">
        <f>AVERAGE(C33:C52)</f>
        <v>6.2</v>
      </c>
      <c r="D59" s="201">
        <f>SUM(D33:D58)</f>
        <v>108567</v>
      </c>
      <c r="E59" s="204">
        <f>AVERAGE(E33:E58)</f>
        <v>2894.2105263157896</v>
      </c>
      <c r="F59" s="202">
        <f t="shared" ref="F59:H59" si="40">AVERAGE(F34:F58)</f>
        <v>2967.4</v>
      </c>
      <c r="G59" s="202">
        <f t="shared" si="40"/>
        <v>171.26666666666668</v>
      </c>
      <c r="H59" s="201">
        <f t="shared" si="40"/>
        <v>1.8926190944930006</v>
      </c>
      <c r="I59" s="201">
        <f t="shared" ref="I59:O59" si="41">SUM(I33:I58)</f>
        <v>38516.479999999996</v>
      </c>
      <c r="J59" s="201">
        <f t="shared" si="41"/>
        <v>3064.9599999999996</v>
      </c>
      <c r="K59" s="201">
        <f t="shared" si="41"/>
        <v>800</v>
      </c>
      <c r="L59" s="201">
        <f t="shared" si="41"/>
        <v>73</v>
      </c>
      <c r="M59" s="201">
        <f t="shared" si="41"/>
        <v>2975.4500000000007</v>
      </c>
      <c r="N59" s="201">
        <f t="shared" si="41"/>
        <v>922.81950000000006</v>
      </c>
      <c r="O59" s="201">
        <f t="shared" si="41"/>
        <v>161</v>
      </c>
      <c r="P59" s="201"/>
      <c r="Q59" s="201">
        <f t="shared" ref="Q59:T59" si="42">SUM(Q33:Q58)</f>
        <v>15686.400000000001</v>
      </c>
      <c r="R59" s="201">
        <f t="shared" si="42"/>
        <v>150</v>
      </c>
      <c r="S59" s="201">
        <f t="shared" si="42"/>
        <v>597</v>
      </c>
      <c r="T59" s="201">
        <f t="shared" si="42"/>
        <v>90</v>
      </c>
      <c r="U59" s="201"/>
      <c r="V59" s="201">
        <f t="shared" ref="V59:AA59" si="43">SUM(V33:V58)</f>
        <v>900</v>
      </c>
      <c r="W59" s="201">
        <f t="shared" si="43"/>
        <v>3930.8964999999998</v>
      </c>
      <c r="X59" s="201">
        <f t="shared" si="43"/>
        <v>1.4921</v>
      </c>
      <c r="Y59" s="204">
        <f t="shared" si="43"/>
        <v>60590</v>
      </c>
      <c r="Z59" s="201">
        <f t="shared" si="43"/>
        <v>1811.3999999999992</v>
      </c>
      <c r="AA59" s="201">
        <f t="shared" si="43"/>
        <v>5499</v>
      </c>
      <c r="AB59" s="201"/>
      <c r="AC59" s="201">
        <f t="shared" ref="AC59:AE59" si="44">SUM(AC33:AC58)</f>
        <v>2470</v>
      </c>
      <c r="AD59" s="201">
        <f t="shared" si="44"/>
        <v>-721.11600000000317</v>
      </c>
      <c r="AE59" s="201">
        <f t="shared" si="44"/>
        <v>39544.060000000005</v>
      </c>
    </row>
    <row r="60" spans="1:31">
      <c r="A60" s="173"/>
      <c r="B60" s="174"/>
      <c r="C60" s="175"/>
      <c r="D60" s="176"/>
      <c r="E60" s="177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8"/>
      <c r="V60" s="178"/>
      <c r="W60" s="179"/>
      <c r="X60" s="176"/>
      <c r="Y60" s="176"/>
      <c r="Z60" s="176"/>
      <c r="AA60" s="180"/>
      <c r="AB60" s="181"/>
      <c r="AC60" s="176"/>
      <c r="AD60" s="176"/>
    </row>
    <row r="61" spans="1:31">
      <c r="A61" s="457" t="s">
        <v>511</v>
      </c>
      <c r="B61" s="458"/>
      <c r="C61" s="458"/>
      <c r="D61" s="458"/>
      <c r="E61" s="458"/>
      <c r="F61" s="458"/>
      <c r="G61" s="458"/>
      <c r="H61" s="458"/>
      <c r="I61" s="458"/>
      <c r="J61" s="458"/>
      <c r="K61" s="458"/>
      <c r="L61" s="458"/>
      <c r="M61" s="458"/>
      <c r="N61" s="458"/>
      <c r="O61" s="458"/>
      <c r="P61" s="458"/>
      <c r="Q61" s="458"/>
      <c r="R61" s="458"/>
      <c r="S61" s="458"/>
      <c r="T61" s="458"/>
      <c r="U61" s="458"/>
      <c r="V61" s="458"/>
      <c r="W61" s="458"/>
      <c r="X61" s="458"/>
      <c r="Y61" s="458"/>
      <c r="Z61" s="458"/>
      <c r="AA61" s="458"/>
      <c r="AB61" s="458"/>
      <c r="AC61" s="458"/>
      <c r="AD61" s="458"/>
      <c r="AE61" s="459"/>
    </row>
    <row r="62" spans="1:31">
      <c r="A62" s="95" t="s">
        <v>0</v>
      </c>
      <c r="B62" s="95" t="s">
        <v>1</v>
      </c>
      <c r="C62" s="95" t="s">
        <v>372</v>
      </c>
      <c r="D62" s="95" t="s">
        <v>2</v>
      </c>
      <c r="E62" s="95" t="s">
        <v>413</v>
      </c>
      <c r="F62" s="150" t="s">
        <v>414</v>
      </c>
      <c r="G62" s="150" t="s">
        <v>415</v>
      </c>
      <c r="H62" s="95" t="s">
        <v>416</v>
      </c>
      <c r="I62" s="95" t="s">
        <v>7</v>
      </c>
      <c r="J62" s="95" t="s">
        <v>8</v>
      </c>
      <c r="K62" s="95" t="s">
        <v>287</v>
      </c>
      <c r="L62" s="95" t="s">
        <v>288</v>
      </c>
      <c r="M62" s="95" t="s">
        <v>257</v>
      </c>
      <c r="N62" s="95" t="s">
        <v>373</v>
      </c>
      <c r="O62" s="95" t="s">
        <v>374</v>
      </c>
      <c r="P62" s="95"/>
      <c r="Q62" s="95" t="s">
        <v>375</v>
      </c>
      <c r="R62" s="95" t="s">
        <v>376</v>
      </c>
      <c r="S62" s="95" t="s">
        <v>377</v>
      </c>
      <c r="T62" s="150" t="s">
        <v>378</v>
      </c>
      <c r="U62" s="150"/>
      <c r="V62" s="150" t="s">
        <v>379</v>
      </c>
      <c r="W62" s="150" t="s">
        <v>352</v>
      </c>
      <c r="X62" s="95" t="s">
        <v>380</v>
      </c>
      <c r="Y62" s="95" t="s">
        <v>381</v>
      </c>
      <c r="Z62" s="95" t="s">
        <v>382</v>
      </c>
      <c r="AA62" s="95" t="s">
        <v>383</v>
      </c>
      <c r="AB62" s="95" t="s">
        <v>385</v>
      </c>
      <c r="AC62" s="150" t="s">
        <v>333</v>
      </c>
      <c r="AD62" s="95" t="s">
        <v>13</v>
      </c>
      <c r="AE62" s="95" t="s">
        <v>98</v>
      </c>
    </row>
    <row r="63" spans="1:31">
      <c r="A63" s="198"/>
      <c r="B63" s="205">
        <v>191279</v>
      </c>
      <c r="C63" s="112"/>
      <c r="D63" s="103"/>
      <c r="E63" s="153"/>
      <c r="F63" s="153"/>
      <c r="G63" s="102"/>
      <c r="H63" s="128"/>
      <c r="I63" s="146"/>
      <c r="J63" s="128"/>
      <c r="K63" s="103"/>
      <c r="L63" s="103"/>
      <c r="M63" s="128"/>
      <c r="N63" s="103">
        <f t="shared" ref="N63:N88" si="45">D63*0.0085</f>
        <v>0</v>
      </c>
      <c r="O63" s="103">
        <v>7</v>
      </c>
      <c r="P63" s="207"/>
      <c r="Q63" s="207">
        <v>779.13</v>
      </c>
      <c r="R63" s="103"/>
      <c r="S63" s="103">
        <v>0</v>
      </c>
      <c r="T63" s="103"/>
      <c r="U63" s="103"/>
      <c r="V63" s="103"/>
      <c r="W63" s="103">
        <f t="shared" ref="W63:W82" si="46">Y63*X63</f>
        <v>3.375</v>
      </c>
      <c r="X63" s="152">
        <v>7.4999999999999997E-2</v>
      </c>
      <c r="Y63" s="153">
        <v>45</v>
      </c>
      <c r="Z63" s="103">
        <v>90.57</v>
      </c>
      <c r="AA63" s="103">
        <f t="shared" ref="AA63:AA88" si="47">E63*0.1</f>
        <v>0</v>
      </c>
      <c r="AB63" s="154"/>
      <c r="AC63" s="103">
        <v>95</v>
      </c>
      <c r="AD63" s="103">
        <f>D63-I63-J63+M63-N63-O63-Q63-Z63-AA63-AC63-AE63-W63</f>
        <v>-975.07500000000005</v>
      </c>
      <c r="AE63" s="103">
        <f t="shared" ref="AE63:AE68" si="48">AB63*E63</f>
        <v>0</v>
      </c>
    </row>
    <row r="64" spans="1:31">
      <c r="A64" s="187" t="s">
        <v>429</v>
      </c>
      <c r="B64" s="185">
        <v>191275</v>
      </c>
      <c r="C64" s="112">
        <v>7</v>
      </c>
      <c r="D64" s="103">
        <v>8423</v>
      </c>
      <c r="E64" s="102">
        <f>F64+G64</f>
        <v>4636</v>
      </c>
      <c r="F64" s="112">
        <v>4263</v>
      </c>
      <c r="G64" s="112">
        <v>373</v>
      </c>
      <c r="H64" s="128">
        <f>D64/E64</f>
        <v>1.8168679896462467</v>
      </c>
      <c r="I64" s="146">
        <v>3234.61</v>
      </c>
      <c r="J64" s="128">
        <v>322.10000000000002</v>
      </c>
      <c r="K64" s="103"/>
      <c r="L64" s="103"/>
      <c r="M64" s="128">
        <v>62.9</v>
      </c>
      <c r="N64" s="103">
        <f t="shared" si="45"/>
        <v>71.595500000000001</v>
      </c>
      <c r="O64" s="103">
        <v>7</v>
      </c>
      <c r="P64" s="207"/>
      <c r="Q64" s="207">
        <v>779.13</v>
      </c>
      <c r="R64" s="103"/>
      <c r="S64" s="103">
        <v>0</v>
      </c>
      <c r="T64" s="103"/>
      <c r="U64" s="103"/>
      <c r="V64" s="103"/>
      <c r="W64" s="103">
        <f t="shared" si="46"/>
        <v>313.95</v>
      </c>
      <c r="X64" s="152">
        <v>7.4999999999999997E-2</v>
      </c>
      <c r="Y64" s="153">
        <v>4186</v>
      </c>
      <c r="Z64" s="103">
        <v>90.57</v>
      </c>
      <c r="AA64" s="103">
        <f t="shared" si="47"/>
        <v>463.6</v>
      </c>
      <c r="AB64" s="154">
        <v>0.75</v>
      </c>
      <c r="AC64" s="103">
        <v>95</v>
      </c>
      <c r="AD64" s="103">
        <f t="shared" ref="AD64:AD65" si="49">D64-I64-J64-N64-O64-Q64-W64-Z64-AA64-AC64-AB64*E64</f>
        <v>-431.5555000000013</v>
      </c>
      <c r="AE64" s="103">
        <f t="shared" si="48"/>
        <v>3477</v>
      </c>
    </row>
    <row r="65" spans="1:31">
      <c r="A65" s="189"/>
      <c r="B65" s="185">
        <v>191282</v>
      </c>
      <c r="C65" s="112"/>
      <c r="D65" s="103"/>
      <c r="E65" s="102"/>
      <c r="F65" s="112"/>
      <c r="G65" s="112"/>
      <c r="H65" s="128"/>
      <c r="I65" s="146"/>
      <c r="J65" s="128">
        <v>22.9</v>
      </c>
      <c r="K65" s="103"/>
      <c r="L65" s="103"/>
      <c r="M65" s="146"/>
      <c r="N65" s="103">
        <f t="shared" si="45"/>
        <v>0</v>
      </c>
      <c r="O65" s="103">
        <v>7</v>
      </c>
      <c r="P65" s="207"/>
      <c r="Q65" s="207">
        <v>779.13</v>
      </c>
      <c r="R65" s="103"/>
      <c r="S65" s="103">
        <v>0</v>
      </c>
      <c r="T65" s="103"/>
      <c r="U65" s="103"/>
      <c r="V65" s="103"/>
      <c r="W65" s="103">
        <f t="shared" si="46"/>
        <v>1.425</v>
      </c>
      <c r="X65" s="152">
        <v>7.4999999999999997E-2</v>
      </c>
      <c r="Y65" s="153">
        <v>19</v>
      </c>
      <c r="Z65" s="103">
        <v>90.57</v>
      </c>
      <c r="AA65" s="103">
        <f t="shared" si="47"/>
        <v>0</v>
      </c>
      <c r="AB65" s="154"/>
      <c r="AC65" s="103">
        <v>95</v>
      </c>
      <c r="AD65" s="103">
        <f t="shared" si="49"/>
        <v>-996.02499999999986</v>
      </c>
      <c r="AE65" s="103">
        <f t="shared" si="48"/>
        <v>0</v>
      </c>
    </row>
    <row r="66" spans="1:31">
      <c r="A66" s="184" t="s">
        <v>484</v>
      </c>
      <c r="B66" s="185">
        <v>191277</v>
      </c>
      <c r="C66" s="112">
        <v>3</v>
      </c>
      <c r="D66" s="103">
        <v>2500</v>
      </c>
      <c r="E66" s="102">
        <f>F66+G66</f>
        <v>1528</v>
      </c>
      <c r="F66" s="117">
        <v>1489</v>
      </c>
      <c r="G66" s="117">
        <v>39</v>
      </c>
      <c r="H66" s="128">
        <f>D66/E66</f>
        <v>1.6361256544502618</v>
      </c>
      <c r="I66" s="146">
        <v>582.1</v>
      </c>
      <c r="J66" s="128">
        <v>121.03</v>
      </c>
      <c r="K66" s="103"/>
      <c r="L66" s="103"/>
      <c r="M66" s="146">
        <v>77.040000000000006</v>
      </c>
      <c r="N66" s="103">
        <f t="shared" si="45"/>
        <v>21.25</v>
      </c>
      <c r="O66" s="103">
        <v>7</v>
      </c>
      <c r="P66" s="207"/>
      <c r="Q66" s="207">
        <v>779.13</v>
      </c>
      <c r="R66" s="103"/>
      <c r="S66" s="103">
        <v>0</v>
      </c>
      <c r="T66" s="103"/>
      <c r="U66" s="103"/>
      <c r="V66" s="103"/>
      <c r="W66" s="103">
        <f t="shared" si="46"/>
        <v>106.125</v>
      </c>
      <c r="X66" s="152">
        <v>7.4999999999999997E-2</v>
      </c>
      <c r="Y66" s="153">
        <v>1415</v>
      </c>
      <c r="Z66" s="103">
        <v>90.57</v>
      </c>
      <c r="AA66" s="103">
        <f t="shared" si="47"/>
        <v>152.80000000000001</v>
      </c>
      <c r="AB66" s="154">
        <v>0.65</v>
      </c>
      <c r="AC66" s="103">
        <v>95</v>
      </c>
      <c r="AD66" s="103">
        <f>D66-I66-J66-N66-O66-Q66-W66-Z66-AA66-AC66-AB66*E66-K66</f>
        <v>-448.20499999999993</v>
      </c>
      <c r="AE66" s="103">
        <f t="shared" si="48"/>
        <v>993.2</v>
      </c>
    </row>
    <row r="67" spans="1:31">
      <c r="A67" s="198"/>
      <c r="B67" s="188" t="s">
        <v>507</v>
      </c>
      <c r="C67" s="112"/>
      <c r="D67" s="103"/>
      <c r="E67" s="102"/>
      <c r="F67" s="117"/>
      <c r="G67" s="117"/>
      <c r="H67" s="128"/>
      <c r="I67" s="146"/>
      <c r="J67" s="128"/>
      <c r="K67" s="103"/>
      <c r="L67" s="103"/>
      <c r="M67" s="146"/>
      <c r="N67" s="103">
        <f t="shared" si="45"/>
        <v>0</v>
      </c>
      <c r="O67" s="103">
        <v>7</v>
      </c>
      <c r="P67" s="103"/>
      <c r="Q67" s="103">
        <v>779.13</v>
      </c>
      <c r="R67" s="103"/>
      <c r="S67" s="103">
        <v>0</v>
      </c>
      <c r="T67" s="103"/>
      <c r="U67" s="103"/>
      <c r="V67" s="103"/>
      <c r="W67" s="103">
        <f t="shared" si="46"/>
        <v>0</v>
      </c>
      <c r="X67" s="152">
        <v>7.4999999999999997E-2</v>
      </c>
      <c r="Y67" s="153"/>
      <c r="Z67" s="103">
        <v>90.57</v>
      </c>
      <c r="AA67" s="103">
        <f t="shared" si="47"/>
        <v>0</v>
      </c>
      <c r="AB67" s="154"/>
      <c r="AC67" s="103">
        <v>95</v>
      </c>
      <c r="AD67" s="103">
        <f t="shared" ref="AD67:AD69" si="50">D67-I67-J67-N67-O67-Q67-W67-Z67-AA67-AC67-AB67*E67</f>
        <v>-971.7</v>
      </c>
      <c r="AE67" s="103">
        <f t="shared" si="48"/>
        <v>0</v>
      </c>
    </row>
    <row r="68" spans="1:31">
      <c r="A68" s="187" t="s">
        <v>508</v>
      </c>
      <c r="B68" s="208">
        <v>191274</v>
      </c>
      <c r="C68" s="112">
        <v>7</v>
      </c>
      <c r="D68" s="103">
        <v>13325</v>
      </c>
      <c r="E68" s="102" t="s">
        <v>512</v>
      </c>
      <c r="F68" s="117">
        <v>5933</v>
      </c>
      <c r="G68" s="117">
        <v>196</v>
      </c>
      <c r="H68" s="128">
        <f>D68/E68</f>
        <v>2.1737357259380099</v>
      </c>
      <c r="I68" s="146">
        <v>4127.41</v>
      </c>
      <c r="J68" s="128">
        <v>113.47</v>
      </c>
      <c r="K68" s="103"/>
      <c r="L68" s="103"/>
      <c r="M68" s="146">
        <v>595.91</v>
      </c>
      <c r="N68" s="103">
        <f t="shared" si="45"/>
        <v>113.2625</v>
      </c>
      <c r="O68" s="103">
        <v>7</v>
      </c>
      <c r="P68" s="207"/>
      <c r="Q68" s="207">
        <v>779.13</v>
      </c>
      <c r="R68" s="103"/>
      <c r="S68" s="103">
        <v>0</v>
      </c>
      <c r="T68" s="103"/>
      <c r="U68" s="103"/>
      <c r="V68" s="103"/>
      <c r="W68" s="103">
        <f t="shared" si="46"/>
        <v>465.9</v>
      </c>
      <c r="X68" s="152">
        <v>7.4999999999999997E-2</v>
      </c>
      <c r="Y68" s="153">
        <v>6212</v>
      </c>
      <c r="Z68" s="103">
        <v>90.57</v>
      </c>
      <c r="AA68" s="103">
        <f t="shared" si="47"/>
        <v>613</v>
      </c>
      <c r="AB68" s="154">
        <v>0.75</v>
      </c>
      <c r="AC68" s="103">
        <v>95</v>
      </c>
      <c r="AD68" s="103">
        <f t="shared" si="50"/>
        <v>2322.7575000000006</v>
      </c>
      <c r="AE68" s="103">
        <f t="shared" si="48"/>
        <v>4597.5</v>
      </c>
    </row>
    <row r="69" spans="1:31">
      <c r="A69" s="187"/>
      <c r="B69" s="205">
        <v>191280</v>
      </c>
      <c r="C69" s="112"/>
      <c r="D69" s="103"/>
      <c r="E69" s="102"/>
      <c r="F69" s="117"/>
      <c r="G69" s="117"/>
      <c r="H69" s="128"/>
      <c r="I69" s="146"/>
      <c r="J69" s="128"/>
      <c r="K69" s="103"/>
      <c r="L69" s="103"/>
      <c r="M69" s="146"/>
      <c r="N69" s="103">
        <f t="shared" si="45"/>
        <v>0</v>
      </c>
      <c r="O69" s="103">
        <v>7</v>
      </c>
      <c r="P69" s="207"/>
      <c r="Q69" s="207">
        <v>779.13</v>
      </c>
      <c r="R69" s="103"/>
      <c r="S69" s="103">
        <v>0</v>
      </c>
      <c r="T69" s="103"/>
      <c r="U69" s="103"/>
      <c r="V69" s="103"/>
      <c r="W69" s="103">
        <f t="shared" si="46"/>
        <v>0</v>
      </c>
      <c r="X69" s="152">
        <v>7.4999999999999997E-2</v>
      </c>
      <c r="Y69" s="153"/>
      <c r="Z69" s="103">
        <v>90.57</v>
      </c>
      <c r="AA69" s="103">
        <f t="shared" si="47"/>
        <v>0</v>
      </c>
      <c r="AB69" s="154"/>
      <c r="AC69" s="103">
        <v>95</v>
      </c>
      <c r="AD69" s="103">
        <f t="shared" si="50"/>
        <v>-971.7</v>
      </c>
      <c r="AE69" s="103">
        <f>AB69*E69+K69</f>
        <v>0</v>
      </c>
    </row>
    <row r="70" spans="1:31">
      <c r="A70" s="187" t="s">
        <v>509</v>
      </c>
      <c r="B70" s="208">
        <v>191281</v>
      </c>
      <c r="C70" s="112">
        <v>7</v>
      </c>
      <c r="D70" s="103">
        <v>4900</v>
      </c>
      <c r="E70" s="102">
        <f t="shared" ref="E70:E82" si="51">F70+G70</f>
        <v>2526</v>
      </c>
      <c r="F70" s="112">
        <v>2220</v>
      </c>
      <c r="G70" s="112">
        <v>306</v>
      </c>
      <c r="H70" s="128">
        <f t="shared" ref="H70:H85" si="52">D70/E70</f>
        <v>1.9398258115597784</v>
      </c>
      <c r="I70" s="128">
        <v>1921.75</v>
      </c>
      <c r="J70" s="128">
        <v>270.74</v>
      </c>
      <c r="K70" s="103">
        <v>100</v>
      </c>
      <c r="L70" s="103"/>
      <c r="M70" s="146">
        <v>195.59</v>
      </c>
      <c r="N70" s="103">
        <f t="shared" si="45"/>
        <v>41.650000000000006</v>
      </c>
      <c r="O70" s="103">
        <v>7</v>
      </c>
      <c r="P70" s="207"/>
      <c r="Q70" s="207">
        <v>779.13</v>
      </c>
      <c r="R70" s="103"/>
      <c r="S70" s="103">
        <v>0</v>
      </c>
      <c r="T70" s="103"/>
      <c r="U70" s="103"/>
      <c r="V70" s="103"/>
      <c r="W70" s="103">
        <f t="shared" si="46"/>
        <v>213.6</v>
      </c>
      <c r="X70" s="152">
        <v>7.4999999999999997E-2</v>
      </c>
      <c r="Y70" s="153">
        <v>2848</v>
      </c>
      <c r="Z70" s="103">
        <v>90.57</v>
      </c>
      <c r="AA70" s="103">
        <f t="shared" si="47"/>
        <v>252.60000000000002</v>
      </c>
      <c r="AB70" s="154">
        <v>0.65</v>
      </c>
      <c r="AC70" s="103">
        <v>95</v>
      </c>
      <c r="AD70" s="103">
        <f t="shared" ref="AD70:AD71" si="53">D70-I70-J70-N70-O70-Q70-W70-Z70-AA70-AC70-AB70*E70+M70</f>
        <v>-218.35000000000005</v>
      </c>
      <c r="AE70" s="103">
        <f t="shared" ref="AE70:AE71" si="54">AB70*E70</f>
        <v>1641.9</v>
      </c>
    </row>
    <row r="71" spans="1:31">
      <c r="A71" s="184" t="s">
        <v>425</v>
      </c>
      <c r="B71" s="185">
        <v>191276</v>
      </c>
      <c r="C71" s="112">
        <v>7</v>
      </c>
      <c r="D71" s="103">
        <v>7800</v>
      </c>
      <c r="E71" s="102">
        <f t="shared" si="51"/>
        <v>4526</v>
      </c>
      <c r="F71" s="112">
        <v>4339</v>
      </c>
      <c r="G71" s="112">
        <v>187</v>
      </c>
      <c r="H71" s="128">
        <f t="shared" si="52"/>
        <v>1.7233760494918251</v>
      </c>
      <c r="I71" s="146">
        <v>2861.27</v>
      </c>
      <c r="J71" s="128">
        <v>452.97</v>
      </c>
      <c r="K71" s="103"/>
      <c r="L71" s="103"/>
      <c r="M71" s="146">
        <v>358.91</v>
      </c>
      <c r="N71" s="103">
        <f t="shared" si="45"/>
        <v>66.300000000000011</v>
      </c>
      <c r="O71" s="103">
        <v>7</v>
      </c>
      <c r="P71" s="103"/>
      <c r="Q71" s="103">
        <v>779.13</v>
      </c>
      <c r="R71" s="103"/>
      <c r="S71" s="103">
        <v>0</v>
      </c>
      <c r="T71" s="103"/>
      <c r="U71" s="103"/>
      <c r="V71" s="103"/>
      <c r="W71" s="103">
        <f t="shared" si="46"/>
        <v>362.625</v>
      </c>
      <c r="X71" s="152">
        <v>7.4999999999999997E-2</v>
      </c>
      <c r="Y71" s="153">
        <v>4835</v>
      </c>
      <c r="Z71" s="103">
        <v>90.57</v>
      </c>
      <c r="AA71" s="103">
        <f t="shared" si="47"/>
        <v>452.6</v>
      </c>
      <c r="AB71" s="206">
        <v>0.8</v>
      </c>
      <c r="AC71" s="103">
        <v>95</v>
      </c>
      <c r="AD71" s="103">
        <f t="shared" si="53"/>
        <v>-629.35500000000116</v>
      </c>
      <c r="AE71" s="103">
        <f t="shared" si="54"/>
        <v>3620.8</v>
      </c>
    </row>
    <row r="72" spans="1:31">
      <c r="A72" s="184" t="s">
        <v>488</v>
      </c>
      <c r="B72" s="185">
        <v>191283</v>
      </c>
      <c r="C72" s="112">
        <v>7</v>
      </c>
      <c r="D72" s="103">
        <v>5950</v>
      </c>
      <c r="E72" s="102">
        <f t="shared" si="51"/>
        <v>3298</v>
      </c>
      <c r="F72" s="112">
        <v>3109</v>
      </c>
      <c r="G72" s="112">
        <v>189</v>
      </c>
      <c r="H72" s="128">
        <f t="shared" si="52"/>
        <v>1.8041237113402062</v>
      </c>
      <c r="I72" s="146">
        <v>2293.31</v>
      </c>
      <c r="J72" s="128"/>
      <c r="K72" s="103"/>
      <c r="L72" s="103"/>
      <c r="M72" s="146">
        <v>201.57</v>
      </c>
      <c r="N72" s="103">
        <f t="shared" si="45"/>
        <v>50.575000000000003</v>
      </c>
      <c r="O72" s="103">
        <v>7</v>
      </c>
      <c r="P72" s="103"/>
      <c r="Q72" s="103">
        <v>779.13</v>
      </c>
      <c r="R72" s="103"/>
      <c r="S72" s="103">
        <v>0</v>
      </c>
      <c r="T72" s="103"/>
      <c r="U72" s="103"/>
      <c r="V72" s="103"/>
      <c r="W72" s="103">
        <f t="shared" si="46"/>
        <v>265.5</v>
      </c>
      <c r="X72" s="152">
        <v>7.4999999999999997E-2</v>
      </c>
      <c r="Y72" s="153">
        <v>3540</v>
      </c>
      <c r="Z72" s="103">
        <v>90.57</v>
      </c>
      <c r="AA72" s="103">
        <f t="shared" si="47"/>
        <v>329.8</v>
      </c>
      <c r="AB72" s="154">
        <v>0.55000000000000004</v>
      </c>
      <c r="AC72" s="103">
        <v>95</v>
      </c>
      <c r="AD72" s="103">
        <f>D72-I72-J72-N72-O72-Q72-W72-Z72-AA72-AC72-AB72*E72</f>
        <v>225.21499999999969</v>
      </c>
      <c r="AE72" s="103">
        <f>AB72*E72+K72</f>
        <v>1813.9</v>
      </c>
    </row>
    <row r="73" spans="1:31">
      <c r="A73" s="190" t="s">
        <v>431</v>
      </c>
      <c r="B73" s="185">
        <v>465180</v>
      </c>
      <c r="C73" s="112">
        <v>5</v>
      </c>
      <c r="D73" s="103">
        <v>3375</v>
      </c>
      <c r="E73" s="102">
        <f t="shared" si="51"/>
        <v>1680</v>
      </c>
      <c r="F73" s="112">
        <v>1602</v>
      </c>
      <c r="G73" s="112">
        <v>78</v>
      </c>
      <c r="H73" s="128">
        <f t="shared" si="52"/>
        <v>2.0089285714285716</v>
      </c>
      <c r="I73" s="146">
        <v>689.4</v>
      </c>
      <c r="J73" s="128">
        <v>75.900000000000006</v>
      </c>
      <c r="K73" s="103"/>
      <c r="L73" s="103"/>
      <c r="M73" s="146">
        <v>81.41</v>
      </c>
      <c r="N73" s="103">
        <f t="shared" si="45"/>
        <v>28.687500000000004</v>
      </c>
      <c r="O73" s="103">
        <v>7</v>
      </c>
      <c r="P73" s="103"/>
      <c r="Q73" s="103">
        <v>789.51</v>
      </c>
      <c r="R73" s="103"/>
      <c r="S73" s="103">
        <v>0</v>
      </c>
      <c r="T73" s="103"/>
      <c r="U73" s="103"/>
      <c r="V73" s="103"/>
      <c r="W73" s="103">
        <f t="shared" si="46"/>
        <v>135.21199999999999</v>
      </c>
      <c r="X73" s="152">
        <v>7.6999999999999999E-2</v>
      </c>
      <c r="Y73" s="153">
        <v>1756</v>
      </c>
      <c r="Z73" s="103">
        <v>90.57</v>
      </c>
      <c r="AA73" s="103">
        <f t="shared" si="47"/>
        <v>168</v>
      </c>
      <c r="AB73" s="154">
        <v>0.75</v>
      </c>
      <c r="AC73" s="103">
        <v>95</v>
      </c>
      <c r="AD73" s="103">
        <f>D73-I73-J73-N73-O73-Q73-W73-Z73-AA73-AC73-AB73*E73+M73</f>
        <v>117.1304999999999</v>
      </c>
      <c r="AE73" s="103">
        <f>AB73*E73</f>
        <v>1260</v>
      </c>
    </row>
    <row r="74" spans="1:31">
      <c r="A74" s="190" t="s">
        <v>491</v>
      </c>
      <c r="B74" s="185" t="s">
        <v>510</v>
      </c>
      <c r="C74" s="117">
        <v>7</v>
      </c>
      <c r="D74" s="103">
        <v>7600</v>
      </c>
      <c r="E74" s="102">
        <f t="shared" si="51"/>
        <v>3659</v>
      </c>
      <c r="F74" s="112">
        <v>3299</v>
      </c>
      <c r="G74" s="112">
        <v>360</v>
      </c>
      <c r="H74" s="128">
        <f t="shared" si="52"/>
        <v>2.0770702377698824</v>
      </c>
      <c r="I74" s="146">
        <v>2062.91</v>
      </c>
      <c r="J74" s="128">
        <v>172.56</v>
      </c>
      <c r="K74" s="128"/>
      <c r="L74" s="128"/>
      <c r="M74" s="146">
        <v>37.18</v>
      </c>
      <c r="N74" s="103">
        <f t="shared" si="45"/>
        <v>64.600000000000009</v>
      </c>
      <c r="O74" s="103">
        <v>7</v>
      </c>
      <c r="P74" s="103"/>
      <c r="Q74" s="103">
        <v>789.51</v>
      </c>
      <c r="R74" s="103"/>
      <c r="S74" s="103">
        <v>0</v>
      </c>
      <c r="T74" s="103"/>
      <c r="U74" s="103"/>
      <c r="V74" s="103"/>
      <c r="W74" s="103">
        <f t="shared" si="46"/>
        <v>277.50799999999998</v>
      </c>
      <c r="X74" s="152">
        <v>7.6999999999999999E-2</v>
      </c>
      <c r="Y74" s="153">
        <v>3604</v>
      </c>
      <c r="Z74" s="103">
        <v>90.57</v>
      </c>
      <c r="AA74" s="103">
        <f t="shared" si="47"/>
        <v>365.90000000000003</v>
      </c>
      <c r="AB74" s="154">
        <v>0.65</v>
      </c>
      <c r="AC74" s="103">
        <v>95</v>
      </c>
      <c r="AD74" s="103">
        <f>D74-I74-J74-N74-O74-Q74-W74-Z74-AA74-AC74-AB74*E74</f>
        <v>1296.0919999999996</v>
      </c>
      <c r="AE74" s="103">
        <f t="shared" ref="AE74:AE75" si="55">AB74*E74+K74+L74</f>
        <v>2378.35</v>
      </c>
    </row>
    <row r="75" spans="1:31">
      <c r="A75" s="187" t="s">
        <v>432</v>
      </c>
      <c r="B75" s="185">
        <v>465182</v>
      </c>
      <c r="C75" s="112">
        <v>7</v>
      </c>
      <c r="D75" s="103">
        <v>7400</v>
      </c>
      <c r="E75" s="102">
        <f t="shared" si="51"/>
        <v>3965</v>
      </c>
      <c r="F75" s="112">
        <v>3665</v>
      </c>
      <c r="G75" s="112">
        <v>300</v>
      </c>
      <c r="H75" s="128">
        <f t="shared" si="52"/>
        <v>1.8663303909205549</v>
      </c>
      <c r="I75" s="146">
        <v>3205.14</v>
      </c>
      <c r="J75" s="128">
        <v>40.21</v>
      </c>
      <c r="K75" s="128">
        <v>100</v>
      </c>
      <c r="L75" s="128"/>
      <c r="M75" s="146">
        <v>63.56</v>
      </c>
      <c r="N75" s="103">
        <f t="shared" si="45"/>
        <v>62.900000000000006</v>
      </c>
      <c r="O75" s="103">
        <v>7</v>
      </c>
      <c r="P75" s="103"/>
      <c r="Q75" s="103">
        <v>789.51</v>
      </c>
      <c r="R75" s="103"/>
      <c r="S75" s="103">
        <v>0</v>
      </c>
      <c r="T75" s="103"/>
      <c r="U75" s="103"/>
      <c r="V75" s="103"/>
      <c r="W75" s="103">
        <f t="shared" si="46"/>
        <v>309.07799999999997</v>
      </c>
      <c r="X75" s="152">
        <v>7.6999999999999999E-2</v>
      </c>
      <c r="Y75" s="153">
        <v>4014</v>
      </c>
      <c r="Z75" s="103">
        <v>90.57</v>
      </c>
      <c r="AA75" s="103">
        <f t="shared" si="47"/>
        <v>396.5</v>
      </c>
      <c r="AB75" s="206">
        <v>0.8</v>
      </c>
      <c r="AC75" s="103">
        <v>95</v>
      </c>
      <c r="AD75" s="103">
        <f>D75-I75-J75-N75-O75-Q75-W75-Z75-AA75-AC75-AB75*E75+M75-K75</f>
        <v>-804.3479999999995</v>
      </c>
      <c r="AE75" s="103">
        <f t="shared" si="55"/>
        <v>3272</v>
      </c>
    </row>
    <row r="76" spans="1:31">
      <c r="A76" s="190" t="s">
        <v>494</v>
      </c>
      <c r="B76" s="185">
        <v>465183</v>
      </c>
      <c r="C76" s="117">
        <v>5</v>
      </c>
      <c r="D76" s="103">
        <v>7750</v>
      </c>
      <c r="E76" s="102">
        <f t="shared" si="51"/>
        <v>3439</v>
      </c>
      <c r="F76" s="112">
        <v>3079</v>
      </c>
      <c r="G76" s="112">
        <v>360</v>
      </c>
      <c r="H76" s="128">
        <f t="shared" si="52"/>
        <v>2.2535620820005815</v>
      </c>
      <c r="I76" s="146">
        <v>1856.24</v>
      </c>
      <c r="J76" s="128">
        <v>325.51</v>
      </c>
      <c r="K76" s="128"/>
      <c r="L76" s="128"/>
      <c r="M76" s="146">
        <v>352.88</v>
      </c>
      <c r="N76" s="103">
        <f t="shared" si="45"/>
        <v>65.875</v>
      </c>
      <c r="O76" s="103">
        <v>7</v>
      </c>
      <c r="P76" s="103"/>
      <c r="Q76" s="103">
        <v>789.51</v>
      </c>
      <c r="R76" s="103"/>
      <c r="S76" s="103">
        <v>0</v>
      </c>
      <c r="T76" s="103"/>
      <c r="U76" s="103"/>
      <c r="V76" s="103"/>
      <c r="W76" s="103">
        <f t="shared" si="46"/>
        <v>208.51599999999999</v>
      </c>
      <c r="X76" s="152">
        <v>7.6999999999999999E-2</v>
      </c>
      <c r="Y76" s="153">
        <v>2708</v>
      </c>
      <c r="Z76" s="103">
        <v>90.57</v>
      </c>
      <c r="AA76" s="103">
        <f t="shared" si="47"/>
        <v>343.90000000000003</v>
      </c>
      <c r="AB76" s="209">
        <v>0.75</v>
      </c>
      <c r="AC76" s="103">
        <v>95</v>
      </c>
      <c r="AD76" s="103">
        <f t="shared" ref="AD76:AD82" si="56">D76-I76-J76-N76-O76-Q76-W76-Z76-AA76-AC76-AB76*E76+M76</f>
        <v>1741.5090000000005</v>
      </c>
      <c r="AE76" s="103">
        <f>AB76*E76+K76</f>
        <v>2579.25</v>
      </c>
    </row>
    <row r="77" spans="1:31">
      <c r="A77" s="190" t="s">
        <v>435</v>
      </c>
      <c r="B77" s="185">
        <v>465184</v>
      </c>
      <c r="C77" s="117">
        <v>7</v>
      </c>
      <c r="D77" s="103">
        <v>11173</v>
      </c>
      <c r="E77" s="102">
        <f t="shared" si="51"/>
        <v>4896</v>
      </c>
      <c r="F77" s="112">
        <v>4722</v>
      </c>
      <c r="G77" s="112">
        <v>174</v>
      </c>
      <c r="H77" s="128">
        <f t="shared" si="52"/>
        <v>2.2820669934640523</v>
      </c>
      <c r="I77" s="146">
        <v>2765.01</v>
      </c>
      <c r="J77" s="128">
        <v>62.43</v>
      </c>
      <c r="K77" s="128"/>
      <c r="L77" s="128"/>
      <c r="M77" s="146">
        <v>59.39</v>
      </c>
      <c r="N77" s="103">
        <f t="shared" si="45"/>
        <v>94.970500000000001</v>
      </c>
      <c r="O77" s="103">
        <v>7</v>
      </c>
      <c r="P77" s="103"/>
      <c r="Q77" s="103">
        <v>789.51</v>
      </c>
      <c r="R77" s="103"/>
      <c r="S77" s="103">
        <v>0</v>
      </c>
      <c r="T77" s="103"/>
      <c r="U77" s="103"/>
      <c r="V77" s="103"/>
      <c r="W77" s="103">
        <f t="shared" si="46"/>
        <v>353.584</v>
      </c>
      <c r="X77" s="152">
        <v>7.6999999999999999E-2</v>
      </c>
      <c r="Y77" s="153">
        <v>4592</v>
      </c>
      <c r="Z77" s="103">
        <v>90.57</v>
      </c>
      <c r="AA77" s="103">
        <f t="shared" si="47"/>
        <v>489.6</v>
      </c>
      <c r="AB77" s="206">
        <v>0.8</v>
      </c>
      <c r="AC77" s="103">
        <v>95</v>
      </c>
      <c r="AD77" s="103">
        <f t="shared" si="56"/>
        <v>2567.9154999999996</v>
      </c>
      <c r="AE77" s="103">
        <f>AB77*E77</f>
        <v>3916.8</v>
      </c>
    </row>
    <row r="78" spans="1:31">
      <c r="A78" s="187" t="s">
        <v>458</v>
      </c>
      <c r="B78" s="185">
        <v>465185</v>
      </c>
      <c r="C78" s="117">
        <v>4</v>
      </c>
      <c r="D78" s="103">
        <v>3300</v>
      </c>
      <c r="E78" s="102">
        <f t="shared" si="51"/>
        <v>2219</v>
      </c>
      <c r="F78" s="112">
        <v>2058</v>
      </c>
      <c r="G78" s="112">
        <v>161</v>
      </c>
      <c r="H78" s="128">
        <f t="shared" si="52"/>
        <v>1.4871563767462821</v>
      </c>
      <c r="I78" s="146">
        <v>1768.27</v>
      </c>
      <c r="J78" s="128">
        <v>53.93</v>
      </c>
      <c r="K78" s="128"/>
      <c r="L78" s="128"/>
      <c r="M78" s="146">
        <v>245.9</v>
      </c>
      <c r="N78" s="103">
        <f t="shared" si="45"/>
        <v>28.05</v>
      </c>
      <c r="O78" s="103">
        <v>7</v>
      </c>
      <c r="P78" s="103"/>
      <c r="Q78" s="103">
        <v>789.51</v>
      </c>
      <c r="R78" s="103"/>
      <c r="S78" s="103">
        <v>0</v>
      </c>
      <c r="T78" s="103"/>
      <c r="U78" s="103"/>
      <c r="V78" s="103"/>
      <c r="W78" s="103">
        <f t="shared" si="46"/>
        <v>205.35900000000001</v>
      </c>
      <c r="X78" s="152">
        <v>7.6999999999999999E-2</v>
      </c>
      <c r="Y78" s="153">
        <v>2667</v>
      </c>
      <c r="Z78" s="103">
        <v>90.57</v>
      </c>
      <c r="AA78" s="103">
        <f t="shared" si="47"/>
        <v>221.9</v>
      </c>
      <c r="AB78" s="206">
        <v>0.8</v>
      </c>
      <c r="AC78" s="103">
        <v>95</v>
      </c>
      <c r="AD78" s="103">
        <f t="shared" si="56"/>
        <v>-1488.8889999999999</v>
      </c>
      <c r="AE78" s="103">
        <f t="shared" ref="AE78:AE79" si="57">AB78*E78+K78</f>
        <v>1775.2</v>
      </c>
    </row>
    <row r="79" spans="1:31">
      <c r="A79" s="187" t="s">
        <v>437</v>
      </c>
      <c r="B79" s="185">
        <v>465186</v>
      </c>
      <c r="C79" s="112">
        <v>7</v>
      </c>
      <c r="D79" s="103">
        <v>6100</v>
      </c>
      <c r="E79" s="102">
        <f t="shared" si="51"/>
        <v>3647</v>
      </c>
      <c r="F79" s="112">
        <v>3390</v>
      </c>
      <c r="G79" s="112">
        <v>257</v>
      </c>
      <c r="H79" s="128">
        <f t="shared" si="52"/>
        <v>1.672607622703592</v>
      </c>
      <c r="I79" s="146">
        <v>2753.18</v>
      </c>
      <c r="J79" s="128">
        <v>26.55</v>
      </c>
      <c r="K79" s="128"/>
      <c r="L79" s="128"/>
      <c r="M79" s="146">
        <v>61.82</v>
      </c>
      <c r="N79" s="103">
        <f t="shared" si="45"/>
        <v>51.85</v>
      </c>
      <c r="O79" s="103">
        <v>7</v>
      </c>
      <c r="P79" s="103"/>
      <c r="Q79" s="103">
        <v>789.51</v>
      </c>
      <c r="R79" s="103"/>
      <c r="S79" s="103">
        <v>0</v>
      </c>
      <c r="T79" s="103"/>
      <c r="U79" s="103"/>
      <c r="V79" s="103"/>
      <c r="W79" s="103">
        <f t="shared" si="46"/>
        <v>282.35899999999998</v>
      </c>
      <c r="X79" s="152">
        <v>7.6999999999999999E-2</v>
      </c>
      <c r="Y79" s="153">
        <v>3667</v>
      </c>
      <c r="Z79" s="103">
        <v>90.57</v>
      </c>
      <c r="AA79" s="103">
        <f t="shared" si="47"/>
        <v>364.70000000000005</v>
      </c>
      <c r="AB79" s="154">
        <v>0.7</v>
      </c>
      <c r="AC79" s="103">
        <v>95</v>
      </c>
      <c r="AD79" s="103">
        <f t="shared" si="56"/>
        <v>-851.79899999999986</v>
      </c>
      <c r="AE79" s="103">
        <f t="shared" si="57"/>
        <v>2552.8999999999996</v>
      </c>
    </row>
    <row r="80" spans="1:31">
      <c r="A80" s="187" t="s">
        <v>439</v>
      </c>
      <c r="B80" s="185">
        <v>465187</v>
      </c>
      <c r="C80" s="117">
        <v>7</v>
      </c>
      <c r="D80" s="103">
        <v>10223</v>
      </c>
      <c r="E80" s="102">
        <f t="shared" si="51"/>
        <v>5162</v>
      </c>
      <c r="F80" s="112">
        <v>5025</v>
      </c>
      <c r="G80" s="112">
        <v>137</v>
      </c>
      <c r="H80" s="128">
        <f t="shared" si="52"/>
        <v>1.9804339403332041</v>
      </c>
      <c r="I80" s="146">
        <v>3676.46</v>
      </c>
      <c r="J80" s="128">
        <v>480.3</v>
      </c>
      <c r="K80" s="128"/>
      <c r="L80" s="128"/>
      <c r="M80" s="146">
        <v>357.26</v>
      </c>
      <c r="N80" s="103">
        <f t="shared" si="45"/>
        <v>86.895500000000013</v>
      </c>
      <c r="O80" s="103">
        <v>7</v>
      </c>
      <c r="P80" s="103"/>
      <c r="Q80" s="103">
        <v>789.51</v>
      </c>
      <c r="R80" s="103"/>
      <c r="S80" s="103">
        <v>0</v>
      </c>
      <c r="T80" s="103"/>
      <c r="U80" s="103"/>
      <c r="V80" s="103"/>
      <c r="W80" s="103">
        <f t="shared" si="46"/>
        <v>406.637</v>
      </c>
      <c r="X80" s="152">
        <v>7.6999999999999999E-2</v>
      </c>
      <c r="Y80" s="153">
        <v>5281</v>
      </c>
      <c r="Z80" s="103">
        <v>90.57</v>
      </c>
      <c r="AA80" s="103">
        <f t="shared" si="47"/>
        <v>516.20000000000005</v>
      </c>
      <c r="AB80" s="206">
        <v>0.8</v>
      </c>
      <c r="AC80" s="103">
        <v>95</v>
      </c>
      <c r="AD80" s="103">
        <f t="shared" si="56"/>
        <v>302.08750000000032</v>
      </c>
      <c r="AE80" s="103">
        <f t="shared" ref="AE80:AE82" si="58">AB80*E80</f>
        <v>4129.6000000000004</v>
      </c>
    </row>
    <row r="81" spans="1:31">
      <c r="A81" s="190" t="s">
        <v>427</v>
      </c>
      <c r="B81" s="185">
        <v>465188</v>
      </c>
      <c r="C81" s="112">
        <v>7</v>
      </c>
      <c r="D81" s="103">
        <v>7045</v>
      </c>
      <c r="E81" s="102">
        <f t="shared" si="51"/>
        <v>3355</v>
      </c>
      <c r="F81" s="117">
        <v>3247</v>
      </c>
      <c r="G81" s="117">
        <v>108</v>
      </c>
      <c r="H81" s="128">
        <f t="shared" si="52"/>
        <v>2.0998509687034277</v>
      </c>
      <c r="I81" s="146">
        <v>2653.67</v>
      </c>
      <c r="J81" s="128">
        <v>70.510000000000005</v>
      </c>
      <c r="K81" s="128"/>
      <c r="L81" s="128"/>
      <c r="M81" s="146">
        <v>298.77999999999997</v>
      </c>
      <c r="N81" s="103">
        <f t="shared" si="45"/>
        <v>59.882500000000007</v>
      </c>
      <c r="O81" s="103">
        <v>7</v>
      </c>
      <c r="P81" s="103"/>
      <c r="Q81" s="103">
        <v>789.51</v>
      </c>
      <c r="R81" s="103"/>
      <c r="S81" s="103">
        <v>0</v>
      </c>
      <c r="T81" s="103"/>
      <c r="U81" s="103"/>
      <c r="V81" s="103"/>
      <c r="W81" s="103">
        <f t="shared" si="46"/>
        <v>264.95699999999999</v>
      </c>
      <c r="X81" s="152">
        <v>7.6999999999999999E-2</v>
      </c>
      <c r="Y81" s="153">
        <v>3441</v>
      </c>
      <c r="Z81" s="103">
        <v>90.57</v>
      </c>
      <c r="AA81" s="103">
        <f t="shared" si="47"/>
        <v>335.5</v>
      </c>
      <c r="AB81" s="154">
        <v>0.75</v>
      </c>
      <c r="AC81" s="103">
        <v>95</v>
      </c>
      <c r="AD81" s="103">
        <f t="shared" si="56"/>
        <v>460.93049999999971</v>
      </c>
      <c r="AE81" s="103">
        <f t="shared" si="58"/>
        <v>2516.25</v>
      </c>
    </row>
    <row r="82" spans="1:31">
      <c r="A82" s="184" t="s">
        <v>505</v>
      </c>
      <c r="B82" s="185">
        <v>465189</v>
      </c>
      <c r="C82" s="112">
        <v>7</v>
      </c>
      <c r="D82" s="103">
        <v>7873</v>
      </c>
      <c r="E82" s="102">
        <f t="shared" si="51"/>
        <v>4020</v>
      </c>
      <c r="F82" s="117">
        <v>3754</v>
      </c>
      <c r="G82" s="117">
        <v>266</v>
      </c>
      <c r="H82" s="128">
        <f t="shared" si="52"/>
        <v>1.9584577114427861</v>
      </c>
      <c r="I82" s="146">
        <v>2673.04</v>
      </c>
      <c r="J82" s="128">
        <v>3.68</v>
      </c>
      <c r="K82" s="103"/>
      <c r="L82" s="103"/>
      <c r="M82" s="146">
        <v>50.37</v>
      </c>
      <c r="N82" s="103">
        <f t="shared" si="45"/>
        <v>66.920500000000004</v>
      </c>
      <c r="O82" s="103">
        <v>7</v>
      </c>
      <c r="P82" s="103"/>
      <c r="Q82" s="103">
        <v>789.51</v>
      </c>
      <c r="R82" s="103"/>
      <c r="S82" s="103">
        <v>0</v>
      </c>
      <c r="T82" s="103"/>
      <c r="U82" s="103"/>
      <c r="V82" s="103"/>
      <c r="W82" s="103">
        <f t="shared" si="46"/>
        <v>333.02499999999998</v>
      </c>
      <c r="X82" s="152">
        <v>7.6999999999999999E-2</v>
      </c>
      <c r="Y82" s="155">
        <v>4325</v>
      </c>
      <c r="Z82" s="103">
        <v>90.57</v>
      </c>
      <c r="AA82" s="103">
        <f t="shared" si="47"/>
        <v>402</v>
      </c>
      <c r="AB82" s="154">
        <v>0.65</v>
      </c>
      <c r="AC82" s="103">
        <v>95</v>
      </c>
      <c r="AD82" s="103">
        <f t="shared" si="56"/>
        <v>849.6244999999991</v>
      </c>
      <c r="AE82" s="103">
        <f t="shared" si="58"/>
        <v>2613</v>
      </c>
    </row>
    <row r="83" spans="1:31">
      <c r="A83" s="134" t="s">
        <v>462</v>
      </c>
      <c r="B83" s="135" t="s">
        <v>399</v>
      </c>
      <c r="C83" s="158">
        <v>3</v>
      </c>
      <c r="D83" s="139">
        <v>2300</v>
      </c>
      <c r="E83" s="136">
        <f t="shared" ref="E83:E88" si="59">Y83</f>
        <v>1624</v>
      </c>
      <c r="F83" s="136"/>
      <c r="G83" s="136"/>
      <c r="H83" s="128">
        <f t="shared" si="52"/>
        <v>1.416256157635468</v>
      </c>
      <c r="I83" s="139">
        <v>627.79</v>
      </c>
      <c r="J83" s="139">
        <v>24.75</v>
      </c>
      <c r="K83" s="139"/>
      <c r="L83" s="139"/>
      <c r="M83" s="139">
        <v>0</v>
      </c>
      <c r="N83" s="139">
        <f t="shared" si="45"/>
        <v>19.55</v>
      </c>
      <c r="O83" s="139">
        <v>0</v>
      </c>
      <c r="P83" s="139"/>
      <c r="Q83" s="139">
        <v>0</v>
      </c>
      <c r="R83" s="139">
        <v>0</v>
      </c>
      <c r="S83" s="139">
        <v>0</v>
      </c>
      <c r="T83" s="139">
        <v>0</v>
      </c>
      <c r="U83" s="139"/>
      <c r="V83" s="139">
        <v>0</v>
      </c>
      <c r="W83" s="139">
        <v>0</v>
      </c>
      <c r="X83" s="159">
        <v>0</v>
      </c>
      <c r="Y83" s="136">
        <v>1624</v>
      </c>
      <c r="Z83" s="139">
        <v>0</v>
      </c>
      <c r="AA83" s="139">
        <f t="shared" si="47"/>
        <v>162.4</v>
      </c>
      <c r="AB83" s="160">
        <v>0.85</v>
      </c>
      <c r="AC83" s="139">
        <v>95</v>
      </c>
      <c r="AD83" s="139">
        <f>D83*0.15-AA83-N83</f>
        <v>163.04999999999998</v>
      </c>
      <c r="AE83" s="139">
        <f>D83*0.85-I83-J83+M83</f>
        <v>1302.46</v>
      </c>
    </row>
    <row r="84" spans="1:31">
      <c r="A84" s="134" t="s">
        <v>463</v>
      </c>
      <c r="B84" s="135" t="s">
        <v>362</v>
      </c>
      <c r="C84" s="158">
        <v>2</v>
      </c>
      <c r="D84" s="139">
        <v>1025</v>
      </c>
      <c r="E84" s="136">
        <f t="shared" si="59"/>
        <v>829</v>
      </c>
      <c r="F84" s="136"/>
      <c r="G84" s="136"/>
      <c r="H84" s="128">
        <f t="shared" si="52"/>
        <v>1.2364294330518697</v>
      </c>
      <c r="I84" s="139">
        <v>456</v>
      </c>
      <c r="J84" s="139">
        <v>26.4</v>
      </c>
      <c r="K84" s="139"/>
      <c r="L84" s="139"/>
      <c r="M84" s="139">
        <v>2.34</v>
      </c>
      <c r="N84" s="139">
        <f t="shared" si="45"/>
        <v>8.7125000000000004</v>
      </c>
      <c r="O84" s="139">
        <v>7</v>
      </c>
      <c r="P84" s="139"/>
      <c r="Q84" s="139">
        <v>0</v>
      </c>
      <c r="R84" s="139">
        <v>50</v>
      </c>
      <c r="S84" s="139">
        <v>199</v>
      </c>
      <c r="T84" s="139">
        <v>30</v>
      </c>
      <c r="U84" s="139"/>
      <c r="V84" s="139">
        <v>300</v>
      </c>
      <c r="W84" s="139">
        <v>0</v>
      </c>
      <c r="X84" s="159">
        <v>0</v>
      </c>
      <c r="Y84" s="136">
        <v>829</v>
      </c>
      <c r="Z84" s="139">
        <v>0</v>
      </c>
      <c r="AA84" s="139">
        <f t="shared" si="47"/>
        <v>82.9</v>
      </c>
      <c r="AB84" s="160">
        <v>0.87</v>
      </c>
      <c r="AC84" s="139">
        <v>95</v>
      </c>
      <c r="AD84" s="139">
        <f>D84*0.13+V84+T84+S84+R84-AA84-N84+M84</f>
        <v>622.97750000000008</v>
      </c>
      <c r="AE84" s="139">
        <f>D84*0.87-I84-J84-R84-S84-T84-V84</f>
        <v>-169.64999999999998</v>
      </c>
    </row>
    <row r="85" spans="1:31">
      <c r="A85" s="134" t="s">
        <v>464</v>
      </c>
      <c r="B85" s="134">
        <v>1118</v>
      </c>
      <c r="C85" s="158">
        <v>6</v>
      </c>
      <c r="D85" s="139">
        <v>8000</v>
      </c>
      <c r="E85" s="136">
        <f t="shared" si="59"/>
        <v>4281</v>
      </c>
      <c r="F85" s="136"/>
      <c r="G85" s="136"/>
      <c r="H85" s="128">
        <f t="shared" si="52"/>
        <v>1.868722261153936</v>
      </c>
      <c r="I85" s="139">
        <v>2445.0300000000002</v>
      </c>
      <c r="J85" s="139">
        <v>16</v>
      </c>
      <c r="K85" s="139"/>
      <c r="L85" s="139"/>
      <c r="M85" s="139">
        <v>8.5399999999999991</v>
      </c>
      <c r="N85" s="139">
        <f t="shared" si="45"/>
        <v>68</v>
      </c>
      <c r="O85" s="139">
        <v>0</v>
      </c>
      <c r="P85" s="139"/>
      <c r="Q85" s="139">
        <v>0</v>
      </c>
      <c r="R85" s="139">
        <v>0</v>
      </c>
      <c r="S85" s="139">
        <v>0</v>
      </c>
      <c r="T85" s="139">
        <v>0</v>
      </c>
      <c r="U85" s="139"/>
      <c r="V85" s="139">
        <v>0</v>
      </c>
      <c r="W85" s="139">
        <v>0</v>
      </c>
      <c r="X85" s="159">
        <v>0</v>
      </c>
      <c r="Y85" s="136">
        <v>4281</v>
      </c>
      <c r="Z85" s="139">
        <v>0</v>
      </c>
      <c r="AA85" s="139">
        <f t="shared" si="47"/>
        <v>428.1</v>
      </c>
      <c r="AB85" s="160">
        <v>0.8</v>
      </c>
      <c r="AC85" s="139">
        <v>95</v>
      </c>
      <c r="AD85" s="139">
        <f>D85*0.2-AA85-N85-K85-AC85</f>
        <v>1008.9000000000001</v>
      </c>
      <c r="AE85" s="139">
        <f>D85*AB85-I85-J85</f>
        <v>3938.97</v>
      </c>
    </row>
    <row r="86" spans="1:31">
      <c r="A86" s="199" t="s">
        <v>465</v>
      </c>
      <c r="B86" s="134" t="s">
        <v>369</v>
      </c>
      <c r="C86" s="158"/>
      <c r="D86" s="139">
        <v>0</v>
      </c>
      <c r="E86" s="136">
        <f t="shared" si="59"/>
        <v>168</v>
      </c>
      <c r="F86" s="136"/>
      <c r="G86" s="136"/>
      <c r="H86" s="139"/>
      <c r="I86" s="139"/>
      <c r="J86" s="139"/>
      <c r="K86" s="139"/>
      <c r="L86" s="139"/>
      <c r="M86" s="139"/>
      <c r="N86" s="139">
        <f t="shared" si="45"/>
        <v>0</v>
      </c>
      <c r="O86" s="139">
        <v>7</v>
      </c>
      <c r="P86" s="139"/>
      <c r="Q86" s="139">
        <v>0</v>
      </c>
      <c r="R86" s="139">
        <v>50</v>
      </c>
      <c r="S86" s="139">
        <v>199</v>
      </c>
      <c r="T86" s="139">
        <v>30</v>
      </c>
      <c r="U86" s="139"/>
      <c r="V86" s="139">
        <v>300</v>
      </c>
      <c r="W86" s="139">
        <v>0</v>
      </c>
      <c r="X86" s="159">
        <v>0</v>
      </c>
      <c r="Y86" s="136">
        <v>168</v>
      </c>
      <c r="Z86" s="139">
        <v>0</v>
      </c>
      <c r="AA86" s="139">
        <f t="shared" si="47"/>
        <v>16.8</v>
      </c>
      <c r="AB86" s="160">
        <v>0.89</v>
      </c>
      <c r="AC86" s="139">
        <v>95</v>
      </c>
      <c r="AD86" s="139">
        <f>D86*0.11-AC86-AA86+V86+T86+S86+R86-N86</f>
        <v>467.2</v>
      </c>
      <c r="AE86" s="139">
        <f>D86*AB86-I86-J86-R86-S86-T86-V86</f>
        <v>-579</v>
      </c>
    </row>
    <row r="87" spans="1:31">
      <c r="A87" s="134" t="s">
        <v>466</v>
      </c>
      <c r="B87" s="134">
        <v>2013</v>
      </c>
      <c r="C87" s="158">
        <v>3</v>
      </c>
      <c r="D87" s="139">
        <v>2700</v>
      </c>
      <c r="E87" s="136">
        <f t="shared" si="59"/>
        <v>1559</v>
      </c>
      <c r="F87" s="136"/>
      <c r="G87" s="136"/>
      <c r="H87" s="128">
        <f t="shared" ref="H87:H88" si="60">D87/E87</f>
        <v>1.7318794098781269</v>
      </c>
      <c r="I87" s="139">
        <v>951.62</v>
      </c>
      <c r="J87" s="139">
        <v>4.82</v>
      </c>
      <c r="K87" s="139"/>
      <c r="L87" s="139"/>
      <c r="M87" s="139">
        <v>105.5</v>
      </c>
      <c r="N87" s="139">
        <f t="shared" si="45"/>
        <v>22.950000000000003</v>
      </c>
      <c r="O87" s="139">
        <v>0</v>
      </c>
      <c r="P87" s="139"/>
      <c r="Q87" s="139">
        <v>0</v>
      </c>
      <c r="R87" s="139">
        <v>50</v>
      </c>
      <c r="S87" s="139">
        <v>199</v>
      </c>
      <c r="T87" s="139">
        <v>30</v>
      </c>
      <c r="U87" s="139"/>
      <c r="V87" s="139">
        <v>300</v>
      </c>
      <c r="W87" s="139">
        <v>0</v>
      </c>
      <c r="X87" s="159">
        <v>0</v>
      </c>
      <c r="Y87" s="136">
        <v>1559</v>
      </c>
      <c r="Z87" s="139">
        <v>0</v>
      </c>
      <c r="AA87" s="139">
        <f t="shared" si="47"/>
        <v>155.9</v>
      </c>
      <c r="AB87" s="160">
        <v>0.87</v>
      </c>
      <c r="AC87" s="139">
        <v>95</v>
      </c>
      <c r="AD87" s="139">
        <f>D87*0.13+V87+T87+S87+R87-AA87-N87+M87</f>
        <v>856.65</v>
      </c>
      <c r="AE87" s="139">
        <f t="shared" ref="AE87:AE88" si="61">D87*AB87-I87-J87-V87-T87-S87-R87</f>
        <v>813.56000000000017</v>
      </c>
    </row>
    <row r="88" spans="1:31">
      <c r="A88" s="134" t="s">
        <v>467</v>
      </c>
      <c r="B88" s="134">
        <v>1122</v>
      </c>
      <c r="C88" s="158">
        <v>7</v>
      </c>
      <c r="D88" s="139">
        <v>6200</v>
      </c>
      <c r="E88" s="136">
        <f t="shared" si="59"/>
        <v>2753</v>
      </c>
      <c r="F88" s="136"/>
      <c r="G88" s="136"/>
      <c r="H88" s="128">
        <f t="shared" si="60"/>
        <v>2.2520886305848165</v>
      </c>
      <c r="I88" s="139">
        <v>1886.31</v>
      </c>
      <c r="J88" s="139">
        <v>7</v>
      </c>
      <c r="K88" s="139"/>
      <c r="L88" s="139"/>
      <c r="M88" s="139"/>
      <c r="N88" s="139">
        <f t="shared" si="45"/>
        <v>52.7</v>
      </c>
      <c r="O88" s="139">
        <v>7</v>
      </c>
      <c r="P88" s="139"/>
      <c r="Q88" s="139">
        <v>0</v>
      </c>
      <c r="R88" s="139">
        <v>0</v>
      </c>
      <c r="S88" s="139">
        <v>0</v>
      </c>
      <c r="T88" s="139">
        <v>0</v>
      </c>
      <c r="U88" s="139"/>
      <c r="V88" s="139">
        <v>0</v>
      </c>
      <c r="W88" s="139">
        <v>0</v>
      </c>
      <c r="X88" s="159">
        <v>0</v>
      </c>
      <c r="Y88" s="136">
        <v>2753</v>
      </c>
      <c r="Z88" s="139">
        <v>0</v>
      </c>
      <c r="AA88" s="139">
        <f t="shared" si="47"/>
        <v>275.3</v>
      </c>
      <c r="AB88" s="160">
        <v>0.8</v>
      </c>
      <c r="AC88" s="139">
        <v>95</v>
      </c>
      <c r="AD88" s="139">
        <f>D88*0.13-AC88-AA88+V88+T88+S88+R88-N88+M88</f>
        <v>383</v>
      </c>
      <c r="AE88" s="139">
        <f t="shared" si="61"/>
        <v>3066.69</v>
      </c>
    </row>
    <row r="89" spans="1:31">
      <c r="A89" s="72" t="s">
        <v>89</v>
      </c>
      <c r="B89" s="72">
        <v>28</v>
      </c>
      <c r="C89" s="202">
        <f>AVERAGE(C63:C82)</f>
        <v>6.3125</v>
      </c>
      <c r="D89" s="201">
        <f>SUM(D63:D88)</f>
        <v>134962</v>
      </c>
      <c r="E89" s="204">
        <f>AVERAGE(E63:E88)</f>
        <v>3036.6666666666665</v>
      </c>
      <c r="F89" s="202">
        <f t="shared" ref="F89:H89" si="62">AVERAGE(F64:F88)</f>
        <v>3449.625</v>
      </c>
      <c r="G89" s="202">
        <f t="shared" si="62"/>
        <v>218.1875</v>
      </c>
      <c r="H89" s="201">
        <f t="shared" si="62"/>
        <v>1.8707569395354036</v>
      </c>
      <c r="I89" s="201">
        <f t="shared" ref="I89:O89" si="63">SUM(I63:I88)</f>
        <v>45490.520000000004</v>
      </c>
      <c r="J89" s="201">
        <f t="shared" si="63"/>
        <v>2693.7600000000007</v>
      </c>
      <c r="K89" s="201">
        <f t="shared" si="63"/>
        <v>200</v>
      </c>
      <c r="L89" s="201">
        <f t="shared" si="63"/>
        <v>0</v>
      </c>
      <c r="M89" s="201">
        <f t="shared" si="63"/>
        <v>3216.8499999999995</v>
      </c>
      <c r="N89" s="201">
        <f t="shared" si="63"/>
        <v>1147.1770000000001</v>
      </c>
      <c r="O89" s="201">
        <f t="shared" si="63"/>
        <v>161</v>
      </c>
      <c r="P89" s="201"/>
      <c r="Q89" s="201">
        <f t="shared" ref="Q89:T89" si="64">SUM(Q63:Q88)</f>
        <v>15686.400000000001</v>
      </c>
      <c r="R89" s="201">
        <f t="shared" si="64"/>
        <v>150</v>
      </c>
      <c r="S89" s="201">
        <f t="shared" si="64"/>
        <v>597</v>
      </c>
      <c r="T89" s="201">
        <f t="shared" si="64"/>
        <v>90</v>
      </c>
      <c r="U89" s="201"/>
      <c r="V89" s="201">
        <f t="shared" ref="V89:AA89" si="65">SUM(V63:V88)</f>
        <v>900</v>
      </c>
      <c r="W89" s="201">
        <f t="shared" si="65"/>
        <v>4508.7349999999997</v>
      </c>
      <c r="X89" s="201">
        <f t="shared" si="65"/>
        <v>1.5199999999999996</v>
      </c>
      <c r="Y89" s="204">
        <f t="shared" si="65"/>
        <v>70369</v>
      </c>
      <c r="Z89" s="201">
        <f t="shared" si="65"/>
        <v>1811.3999999999992</v>
      </c>
      <c r="AA89" s="201">
        <f t="shared" si="65"/>
        <v>6989.9999999999991</v>
      </c>
      <c r="AB89" s="201"/>
      <c r="AC89" s="201">
        <f t="shared" ref="AC89:AE89" si="66">SUM(AC63:AC88)</f>
        <v>2470</v>
      </c>
      <c r="AD89" s="201">
        <f t="shared" si="66"/>
        <v>4598.0379999999977</v>
      </c>
      <c r="AE89" s="201">
        <f t="shared" si="66"/>
        <v>51510.68</v>
      </c>
    </row>
    <row r="90" spans="1:31">
      <c r="A90" s="173"/>
      <c r="B90" s="174"/>
      <c r="C90" s="175"/>
      <c r="D90" s="176"/>
      <c r="E90" s="177"/>
      <c r="F90" s="176"/>
      <c r="G90" s="176"/>
      <c r="H90" s="176"/>
      <c r="I90" s="176"/>
      <c r="J90" s="176"/>
      <c r="K90" s="176"/>
      <c r="L90" s="176"/>
      <c r="M90" s="176"/>
      <c r="N90" s="176"/>
      <c r="O90" s="176"/>
      <c r="P90" s="176"/>
      <c r="Q90" s="176"/>
      <c r="R90" s="176"/>
      <c r="S90" s="176"/>
      <c r="T90" s="176"/>
      <c r="U90" s="178"/>
      <c r="V90" s="178"/>
      <c r="W90" s="179"/>
      <c r="X90" s="176"/>
      <c r="Y90" s="176"/>
      <c r="Z90" s="176"/>
      <c r="AA90" s="180"/>
      <c r="AB90" s="181"/>
      <c r="AC90" s="176"/>
      <c r="AD90" s="176"/>
    </row>
    <row r="91" spans="1:31">
      <c r="A91" s="457" t="s">
        <v>513</v>
      </c>
      <c r="B91" s="458"/>
      <c r="C91" s="458"/>
      <c r="D91" s="458"/>
      <c r="E91" s="458"/>
      <c r="F91" s="458"/>
      <c r="G91" s="458"/>
      <c r="H91" s="458"/>
      <c r="I91" s="458"/>
      <c r="J91" s="458"/>
      <c r="K91" s="458"/>
      <c r="L91" s="458"/>
      <c r="M91" s="458"/>
      <c r="N91" s="458"/>
      <c r="O91" s="458"/>
      <c r="P91" s="458"/>
      <c r="Q91" s="458"/>
      <c r="R91" s="458"/>
      <c r="S91" s="458"/>
      <c r="T91" s="458"/>
      <c r="U91" s="458"/>
      <c r="V91" s="458"/>
      <c r="W91" s="458"/>
      <c r="X91" s="458"/>
      <c r="Y91" s="458"/>
      <c r="Z91" s="458"/>
      <c r="AA91" s="458"/>
      <c r="AB91" s="458"/>
      <c r="AC91" s="458"/>
      <c r="AD91" s="458"/>
      <c r="AE91" s="459"/>
    </row>
    <row r="92" spans="1:31">
      <c r="A92" s="95" t="s">
        <v>0</v>
      </c>
      <c r="B92" s="95" t="s">
        <v>1</v>
      </c>
      <c r="C92" s="95" t="s">
        <v>372</v>
      </c>
      <c r="D92" s="95" t="s">
        <v>2</v>
      </c>
      <c r="E92" s="95" t="s">
        <v>413</v>
      </c>
      <c r="F92" s="150" t="s">
        <v>414</v>
      </c>
      <c r="G92" s="150" t="s">
        <v>415</v>
      </c>
      <c r="H92" s="95" t="s">
        <v>416</v>
      </c>
      <c r="I92" s="95" t="s">
        <v>7</v>
      </c>
      <c r="J92" s="95" t="s">
        <v>8</v>
      </c>
      <c r="K92" s="95" t="s">
        <v>287</v>
      </c>
      <c r="L92" s="95" t="s">
        <v>288</v>
      </c>
      <c r="M92" s="95" t="s">
        <v>257</v>
      </c>
      <c r="N92" s="95" t="s">
        <v>373</v>
      </c>
      <c r="O92" s="95" t="s">
        <v>374</v>
      </c>
      <c r="P92" s="95"/>
      <c r="Q92" s="95" t="s">
        <v>375</v>
      </c>
      <c r="R92" s="95" t="s">
        <v>376</v>
      </c>
      <c r="S92" s="95" t="s">
        <v>377</v>
      </c>
      <c r="T92" s="150" t="s">
        <v>378</v>
      </c>
      <c r="U92" s="150"/>
      <c r="V92" s="150" t="s">
        <v>379</v>
      </c>
      <c r="W92" s="150" t="s">
        <v>352</v>
      </c>
      <c r="X92" s="95" t="s">
        <v>380</v>
      </c>
      <c r="Y92" s="95" t="s">
        <v>381</v>
      </c>
      <c r="Z92" s="95" t="s">
        <v>382</v>
      </c>
      <c r="AA92" s="95" t="s">
        <v>383</v>
      </c>
      <c r="AB92" s="95" t="s">
        <v>385</v>
      </c>
      <c r="AC92" s="150" t="s">
        <v>333</v>
      </c>
      <c r="AD92" s="95" t="s">
        <v>13</v>
      </c>
      <c r="AE92" s="95" t="s">
        <v>98</v>
      </c>
    </row>
    <row r="93" spans="1:31">
      <c r="A93" s="198"/>
      <c r="B93" s="205">
        <v>191279</v>
      </c>
      <c r="C93" s="112"/>
      <c r="D93" s="103"/>
      <c r="E93" s="102"/>
      <c r="F93" s="153"/>
      <c r="G93" s="102"/>
      <c r="H93" s="128"/>
      <c r="I93" s="146"/>
      <c r="J93" s="128"/>
      <c r="K93" s="103"/>
      <c r="L93" s="103"/>
      <c r="M93" s="128"/>
      <c r="N93" s="103">
        <f t="shared" ref="N93:N117" si="67">D93*0.0085</f>
        <v>0</v>
      </c>
      <c r="O93" s="103">
        <v>7</v>
      </c>
      <c r="P93" s="207"/>
      <c r="Q93" s="207">
        <v>779.13</v>
      </c>
      <c r="R93" s="103"/>
      <c r="S93" s="103">
        <v>0</v>
      </c>
      <c r="T93" s="103"/>
      <c r="U93" s="103"/>
      <c r="V93" s="103"/>
      <c r="W93" s="103">
        <f t="shared" ref="W93:W112" si="68">Y93*X93</f>
        <v>1.575</v>
      </c>
      <c r="X93" s="152">
        <v>7.4999999999999997E-2</v>
      </c>
      <c r="Y93" s="153">
        <v>21</v>
      </c>
      <c r="Z93" s="103">
        <v>90.57</v>
      </c>
      <c r="AA93" s="103">
        <f t="shared" ref="AA93:AA117" si="69">E93*0.1</f>
        <v>0</v>
      </c>
      <c r="AB93" s="154"/>
      <c r="AC93" s="103">
        <v>95</v>
      </c>
      <c r="AD93" s="103">
        <f>D93-I93-J93+M93-N93-O93-Q93-Z93-AA93-AC93-AE93-W93</f>
        <v>-973.27500000000009</v>
      </c>
      <c r="AE93" s="103">
        <f t="shared" ref="AE93:AE98" si="70">AB93*E93</f>
        <v>0</v>
      </c>
    </row>
    <row r="94" spans="1:31">
      <c r="A94" s="187" t="s">
        <v>429</v>
      </c>
      <c r="B94" s="185">
        <v>191275</v>
      </c>
      <c r="C94" s="112">
        <v>3</v>
      </c>
      <c r="D94" s="103">
        <v>3873</v>
      </c>
      <c r="E94" s="102">
        <f>F94+G94</f>
        <v>1941</v>
      </c>
      <c r="F94" s="112">
        <v>1878</v>
      </c>
      <c r="G94" s="112">
        <v>63</v>
      </c>
      <c r="H94" s="128">
        <f>D94/E94</f>
        <v>1.9953632148377125</v>
      </c>
      <c r="I94" s="146">
        <v>900.08</v>
      </c>
      <c r="J94" s="128">
        <v>3.68</v>
      </c>
      <c r="K94" s="103"/>
      <c r="L94" s="103"/>
      <c r="M94" s="128">
        <v>20.68</v>
      </c>
      <c r="N94" s="103">
        <f t="shared" si="67"/>
        <v>32.920500000000004</v>
      </c>
      <c r="O94" s="103">
        <v>7</v>
      </c>
      <c r="P94" s="207"/>
      <c r="Q94" s="207">
        <v>779.13</v>
      </c>
      <c r="R94" s="103"/>
      <c r="S94" s="103">
        <v>0</v>
      </c>
      <c r="T94" s="103"/>
      <c r="U94" s="103"/>
      <c r="V94" s="103"/>
      <c r="W94" s="103">
        <f t="shared" si="68"/>
        <v>147.9</v>
      </c>
      <c r="X94" s="152">
        <v>7.4999999999999997E-2</v>
      </c>
      <c r="Y94" s="153">
        <v>1972</v>
      </c>
      <c r="Z94" s="103">
        <v>90.57</v>
      </c>
      <c r="AA94" s="103">
        <f t="shared" si="69"/>
        <v>194.10000000000002</v>
      </c>
      <c r="AB94" s="154">
        <v>0.8</v>
      </c>
      <c r="AC94" s="103">
        <v>95</v>
      </c>
      <c r="AD94" s="103">
        <f t="shared" ref="AD94:AD95" si="71">D94-I94-J94-N94-O94-Q94-W94-Z94-AA94-AC94-AB94*E94</f>
        <v>69.819499999999607</v>
      </c>
      <c r="AE94" s="103">
        <f t="shared" si="70"/>
        <v>1552.8000000000002</v>
      </c>
    </row>
    <row r="95" spans="1:31">
      <c r="A95" s="211" t="s">
        <v>514</v>
      </c>
      <c r="B95" s="185">
        <v>191282</v>
      </c>
      <c r="C95" s="112"/>
      <c r="D95" s="103"/>
      <c r="E95" s="102"/>
      <c r="F95" s="112"/>
      <c r="G95" s="112"/>
      <c r="H95" s="128"/>
      <c r="I95" s="146"/>
      <c r="J95" s="128">
        <v>6.2</v>
      </c>
      <c r="K95" s="103"/>
      <c r="L95" s="103"/>
      <c r="M95" s="146"/>
      <c r="N95" s="103">
        <f t="shared" si="67"/>
        <v>0</v>
      </c>
      <c r="O95" s="103">
        <v>7</v>
      </c>
      <c r="P95" s="207"/>
      <c r="Q95" s="207">
        <v>779.13</v>
      </c>
      <c r="R95" s="103"/>
      <c r="S95" s="103">
        <v>0</v>
      </c>
      <c r="T95" s="103"/>
      <c r="U95" s="103"/>
      <c r="V95" s="103"/>
      <c r="W95" s="103">
        <f t="shared" si="68"/>
        <v>2.1749999999999998</v>
      </c>
      <c r="X95" s="152">
        <v>7.4999999999999997E-2</v>
      </c>
      <c r="Y95" s="153">
        <v>29</v>
      </c>
      <c r="Z95" s="103">
        <v>90.57</v>
      </c>
      <c r="AA95" s="103">
        <f t="shared" si="69"/>
        <v>0</v>
      </c>
      <c r="AB95" s="154"/>
      <c r="AC95" s="103">
        <v>95</v>
      </c>
      <c r="AD95" s="103">
        <f t="shared" si="71"/>
        <v>-980.07500000000005</v>
      </c>
      <c r="AE95" s="103">
        <f t="shared" si="70"/>
        <v>0</v>
      </c>
    </row>
    <row r="96" spans="1:31">
      <c r="A96" s="184" t="s">
        <v>515</v>
      </c>
      <c r="B96" s="185">
        <v>191277</v>
      </c>
      <c r="C96" s="112">
        <v>2</v>
      </c>
      <c r="D96" s="103">
        <v>2700</v>
      </c>
      <c r="E96" s="102">
        <f>F96+G96</f>
        <v>1400</v>
      </c>
      <c r="F96" s="117">
        <v>1281</v>
      </c>
      <c r="G96" s="117">
        <v>119</v>
      </c>
      <c r="H96" s="128">
        <f>D96/E96</f>
        <v>1.9285714285714286</v>
      </c>
      <c r="I96" s="146">
        <v>1172.67</v>
      </c>
      <c r="J96" s="128">
        <v>163.44</v>
      </c>
      <c r="K96" s="103"/>
      <c r="L96" s="103"/>
      <c r="M96" s="146">
        <v>135.59</v>
      </c>
      <c r="N96" s="103">
        <f t="shared" si="67"/>
        <v>22.950000000000003</v>
      </c>
      <c r="O96" s="103">
        <v>7</v>
      </c>
      <c r="P96" s="207"/>
      <c r="Q96" s="207">
        <v>779.13</v>
      </c>
      <c r="R96" s="103"/>
      <c r="S96" s="103">
        <v>0</v>
      </c>
      <c r="T96" s="103"/>
      <c r="U96" s="103"/>
      <c r="V96" s="103"/>
      <c r="W96" s="103">
        <f t="shared" si="68"/>
        <v>126.82499999999999</v>
      </c>
      <c r="X96" s="152">
        <v>7.4999999999999997E-2</v>
      </c>
      <c r="Y96" s="153">
        <v>1691</v>
      </c>
      <c r="Z96" s="103">
        <v>90.57</v>
      </c>
      <c r="AA96" s="103">
        <f t="shared" si="69"/>
        <v>140</v>
      </c>
      <c r="AB96" s="154">
        <v>0.65</v>
      </c>
      <c r="AC96" s="103">
        <v>95</v>
      </c>
      <c r="AD96" s="103">
        <f>D96-I96-J96-N96-O96-Q96-W96-Z96-AA96-AC96-AB96*E96-K96</f>
        <v>-807.58500000000015</v>
      </c>
      <c r="AE96" s="103">
        <f t="shared" si="70"/>
        <v>910</v>
      </c>
    </row>
    <row r="97" spans="1:31">
      <c r="A97" s="198"/>
      <c r="B97" s="188" t="s">
        <v>507</v>
      </c>
      <c r="C97" s="112"/>
      <c r="D97" s="103"/>
      <c r="E97" s="102"/>
      <c r="F97" s="117"/>
      <c r="G97" s="117"/>
      <c r="H97" s="128"/>
      <c r="I97" s="146"/>
      <c r="J97" s="128"/>
      <c r="K97" s="103"/>
      <c r="L97" s="103"/>
      <c r="M97" s="146"/>
      <c r="N97" s="103">
        <f t="shared" si="67"/>
        <v>0</v>
      </c>
      <c r="O97" s="103">
        <v>7</v>
      </c>
      <c r="P97" s="103"/>
      <c r="Q97" s="103">
        <v>779.13</v>
      </c>
      <c r="R97" s="103"/>
      <c r="S97" s="103">
        <v>0</v>
      </c>
      <c r="T97" s="103"/>
      <c r="U97" s="103"/>
      <c r="V97" s="103"/>
      <c r="W97" s="103">
        <f t="shared" si="68"/>
        <v>0</v>
      </c>
      <c r="X97" s="152">
        <v>7.4999999999999997E-2</v>
      </c>
      <c r="Y97" s="153"/>
      <c r="Z97" s="103">
        <v>90.57</v>
      </c>
      <c r="AA97" s="103">
        <f t="shared" si="69"/>
        <v>0</v>
      </c>
      <c r="AB97" s="154"/>
      <c r="AC97" s="103">
        <v>95</v>
      </c>
      <c r="AD97" s="103">
        <f t="shared" ref="AD97:AD99" si="72">D97-I97-J97-N97-O97-Q97-W97-Z97-AA97-AC97-AB97*E97</f>
        <v>-971.7</v>
      </c>
      <c r="AE97" s="103">
        <f t="shared" si="70"/>
        <v>0</v>
      </c>
    </row>
    <row r="98" spans="1:31">
      <c r="A98" s="187" t="s">
        <v>508</v>
      </c>
      <c r="B98" s="208">
        <v>191274</v>
      </c>
      <c r="C98" s="112">
        <v>7</v>
      </c>
      <c r="D98" s="103">
        <v>10561</v>
      </c>
      <c r="E98" s="102">
        <f t="shared" ref="E98:E102" si="73">F98+G98</f>
        <v>5393</v>
      </c>
      <c r="F98" s="117">
        <v>5292</v>
      </c>
      <c r="G98" s="117">
        <v>101</v>
      </c>
      <c r="H98" s="128">
        <f t="shared" ref="H98:H102" si="74">D98/E98</f>
        <v>1.9582792508807714</v>
      </c>
      <c r="I98" s="146">
        <v>3098.94</v>
      </c>
      <c r="J98" s="128">
        <v>579.46</v>
      </c>
      <c r="K98" s="103"/>
      <c r="L98" s="103"/>
      <c r="M98" s="146">
        <v>481.53</v>
      </c>
      <c r="N98" s="103">
        <f t="shared" si="67"/>
        <v>89.768500000000003</v>
      </c>
      <c r="O98" s="103">
        <v>7</v>
      </c>
      <c r="P98" s="207"/>
      <c r="Q98" s="207">
        <v>779.13</v>
      </c>
      <c r="R98" s="103"/>
      <c r="S98" s="103">
        <v>0</v>
      </c>
      <c r="T98" s="103"/>
      <c r="U98" s="103"/>
      <c r="V98" s="103"/>
      <c r="W98" s="103">
        <f t="shared" si="68"/>
        <v>427.05</v>
      </c>
      <c r="X98" s="152">
        <v>7.4999999999999997E-2</v>
      </c>
      <c r="Y98" s="153">
        <v>5694</v>
      </c>
      <c r="Z98" s="103">
        <v>90.57</v>
      </c>
      <c r="AA98" s="103">
        <f t="shared" si="69"/>
        <v>539.30000000000007</v>
      </c>
      <c r="AB98" s="154">
        <v>0.8</v>
      </c>
      <c r="AC98" s="103">
        <v>95</v>
      </c>
      <c r="AD98" s="103">
        <f t="shared" si="72"/>
        <v>540.3814999999986</v>
      </c>
      <c r="AE98" s="103">
        <f t="shared" si="70"/>
        <v>4314.4000000000005</v>
      </c>
    </row>
    <row r="99" spans="1:31">
      <c r="A99" s="187" t="s">
        <v>516</v>
      </c>
      <c r="B99" s="208">
        <v>191280</v>
      </c>
      <c r="C99" s="112">
        <v>4</v>
      </c>
      <c r="D99" s="103">
        <v>3350</v>
      </c>
      <c r="E99" s="102">
        <f t="shared" si="73"/>
        <v>1879</v>
      </c>
      <c r="F99" s="117">
        <v>1787</v>
      </c>
      <c r="G99" s="117">
        <v>92</v>
      </c>
      <c r="H99" s="128">
        <f t="shared" si="74"/>
        <v>1.7828632251197445</v>
      </c>
      <c r="I99" s="146">
        <v>1069.68</v>
      </c>
      <c r="J99" s="128">
        <v>39.770000000000003</v>
      </c>
      <c r="K99" s="103"/>
      <c r="L99" s="103"/>
      <c r="M99" s="146">
        <v>111.91</v>
      </c>
      <c r="N99" s="103">
        <f t="shared" si="67"/>
        <v>28.475000000000001</v>
      </c>
      <c r="O99" s="103">
        <v>7</v>
      </c>
      <c r="P99" s="207"/>
      <c r="Q99" s="207">
        <v>779.13</v>
      </c>
      <c r="R99" s="103"/>
      <c r="S99" s="103">
        <v>0</v>
      </c>
      <c r="T99" s="103"/>
      <c r="U99" s="103"/>
      <c r="V99" s="103"/>
      <c r="W99" s="103">
        <f t="shared" si="68"/>
        <v>148.79999999999998</v>
      </c>
      <c r="X99" s="152">
        <v>7.4999999999999997E-2</v>
      </c>
      <c r="Y99" s="153">
        <v>1984</v>
      </c>
      <c r="Z99" s="103">
        <v>90.57</v>
      </c>
      <c r="AA99" s="103">
        <f t="shared" si="69"/>
        <v>187.9</v>
      </c>
      <c r="AB99" s="154">
        <v>0.65</v>
      </c>
      <c r="AC99" s="103">
        <v>95</v>
      </c>
      <c r="AD99" s="103">
        <f t="shared" si="72"/>
        <v>-317.6750000000003</v>
      </c>
      <c r="AE99" s="103">
        <f>AB99*E99+K99</f>
        <v>1221.3500000000001</v>
      </c>
    </row>
    <row r="100" spans="1:31">
      <c r="A100" s="187" t="s">
        <v>509</v>
      </c>
      <c r="B100" s="208">
        <v>191281</v>
      </c>
      <c r="C100" s="112">
        <v>5</v>
      </c>
      <c r="D100" s="103">
        <v>6600</v>
      </c>
      <c r="E100" s="102">
        <f t="shared" si="73"/>
        <v>3429</v>
      </c>
      <c r="F100" s="112">
        <v>3283</v>
      </c>
      <c r="G100" s="112">
        <v>146</v>
      </c>
      <c r="H100" s="128">
        <f t="shared" si="74"/>
        <v>1.9247594050743657</v>
      </c>
      <c r="I100" s="128">
        <v>2455.0500000000002</v>
      </c>
      <c r="J100" s="128">
        <v>437.35</v>
      </c>
      <c r="K100" s="103"/>
      <c r="L100" s="103"/>
      <c r="M100" s="146">
        <v>336.62</v>
      </c>
      <c r="N100" s="103">
        <f t="shared" si="67"/>
        <v>56.1</v>
      </c>
      <c r="O100" s="103">
        <v>7</v>
      </c>
      <c r="P100" s="207"/>
      <c r="Q100" s="207">
        <v>779.13</v>
      </c>
      <c r="R100" s="103"/>
      <c r="S100" s="103">
        <v>0</v>
      </c>
      <c r="T100" s="103"/>
      <c r="U100" s="103"/>
      <c r="V100" s="103"/>
      <c r="W100" s="103">
        <f t="shared" si="68"/>
        <v>236.92499999999998</v>
      </c>
      <c r="X100" s="152">
        <v>7.4999999999999997E-2</v>
      </c>
      <c r="Y100" s="153">
        <v>3159</v>
      </c>
      <c r="Z100" s="103">
        <v>90.57</v>
      </c>
      <c r="AA100" s="103">
        <f t="shared" si="69"/>
        <v>342.90000000000003</v>
      </c>
      <c r="AB100" s="154">
        <v>0.65</v>
      </c>
      <c r="AC100" s="103">
        <v>95</v>
      </c>
      <c r="AD100" s="103">
        <f>D100-I100-J100-N100-O100-Q100-W100-Z100-AA100-AC100-AB100*E100+M100</f>
        <v>207.74499999999955</v>
      </c>
      <c r="AE100" s="103">
        <f t="shared" ref="AE100:AE101" si="75">AB100*E100</f>
        <v>2228.85</v>
      </c>
    </row>
    <row r="101" spans="1:31">
      <c r="A101" s="184" t="s">
        <v>425</v>
      </c>
      <c r="B101" s="185">
        <v>191276</v>
      </c>
      <c r="C101" s="112">
        <v>7</v>
      </c>
      <c r="D101" s="103">
        <v>7200</v>
      </c>
      <c r="E101" s="102">
        <f t="shared" si="73"/>
        <v>3792</v>
      </c>
      <c r="F101" s="112">
        <v>3663</v>
      </c>
      <c r="G101" s="112">
        <v>129</v>
      </c>
      <c r="H101" s="128">
        <f t="shared" si="74"/>
        <v>1.8987341772151898</v>
      </c>
      <c r="I101" s="146">
        <v>2510.4699999999998</v>
      </c>
      <c r="J101" s="128">
        <v>176.81</v>
      </c>
      <c r="K101" s="103"/>
      <c r="L101" s="103"/>
      <c r="M101" s="146">
        <v>344.48</v>
      </c>
      <c r="N101" s="103">
        <f t="shared" si="67"/>
        <v>61.2</v>
      </c>
      <c r="O101" s="103">
        <v>7</v>
      </c>
      <c r="P101" s="103"/>
      <c r="Q101" s="103">
        <v>779.13</v>
      </c>
      <c r="R101" s="103"/>
      <c r="S101" s="103">
        <v>0</v>
      </c>
      <c r="T101" s="103"/>
      <c r="U101" s="103"/>
      <c r="V101" s="103"/>
      <c r="W101" s="103">
        <f t="shared" si="68"/>
        <v>290.92500000000001</v>
      </c>
      <c r="X101" s="152">
        <v>7.4999999999999997E-2</v>
      </c>
      <c r="Y101" s="153">
        <v>3879</v>
      </c>
      <c r="Z101" s="103">
        <v>90.57</v>
      </c>
      <c r="AA101" s="103">
        <f t="shared" si="69"/>
        <v>379.20000000000005</v>
      </c>
      <c r="AB101" s="154">
        <v>0.65</v>
      </c>
      <c r="AC101" s="103">
        <v>95</v>
      </c>
      <c r="AD101" s="103">
        <f>D101-I101-J101-N101-O101-Q101-W101-Z101-AA101-AC101-AB101*E101+M101-K101</f>
        <v>689.37499999999955</v>
      </c>
      <c r="AE101" s="103">
        <f t="shared" si="75"/>
        <v>2464.8000000000002</v>
      </c>
    </row>
    <row r="102" spans="1:31">
      <c r="A102" s="184" t="s">
        <v>488</v>
      </c>
      <c r="B102" s="185">
        <v>191283</v>
      </c>
      <c r="C102" s="112">
        <v>7</v>
      </c>
      <c r="D102" s="103">
        <v>7920</v>
      </c>
      <c r="E102" s="102">
        <f t="shared" si="73"/>
        <v>4136</v>
      </c>
      <c r="F102" s="112">
        <v>3747</v>
      </c>
      <c r="G102" s="112">
        <v>389</v>
      </c>
      <c r="H102" s="128">
        <f t="shared" si="74"/>
        <v>1.9148936170212767</v>
      </c>
      <c r="I102" s="146">
        <v>2398.66</v>
      </c>
      <c r="J102" s="128">
        <v>587.54</v>
      </c>
      <c r="K102" s="103"/>
      <c r="L102" s="103"/>
      <c r="M102" s="146">
        <v>279.43</v>
      </c>
      <c r="N102" s="103">
        <f t="shared" si="67"/>
        <v>67.320000000000007</v>
      </c>
      <c r="O102" s="103">
        <v>7</v>
      </c>
      <c r="P102" s="103"/>
      <c r="Q102" s="103">
        <v>779.13</v>
      </c>
      <c r="R102" s="103"/>
      <c r="S102" s="103">
        <v>0</v>
      </c>
      <c r="T102" s="103"/>
      <c r="U102" s="103"/>
      <c r="V102" s="103"/>
      <c r="W102" s="103">
        <f t="shared" si="68"/>
        <v>266.39999999999998</v>
      </c>
      <c r="X102" s="152">
        <v>7.4999999999999997E-2</v>
      </c>
      <c r="Y102" s="153">
        <v>3552</v>
      </c>
      <c r="Z102" s="103">
        <v>90.57</v>
      </c>
      <c r="AA102" s="103">
        <f t="shared" si="69"/>
        <v>413.6</v>
      </c>
      <c r="AB102" s="154">
        <v>0.55000000000000004</v>
      </c>
      <c r="AC102" s="103">
        <v>95</v>
      </c>
      <c r="AD102" s="103">
        <f>D102-I102-J102-N102-O102-Q102-W102-Z102-AA102-AC102-AB102*E102</f>
        <v>939.98</v>
      </c>
      <c r="AE102" s="103">
        <f>AB102*E102+K102</f>
        <v>2274.8000000000002</v>
      </c>
    </row>
    <row r="103" spans="1:31">
      <c r="A103" s="197" t="s">
        <v>431</v>
      </c>
      <c r="B103" s="185">
        <v>465180</v>
      </c>
      <c r="C103" s="112"/>
      <c r="D103" s="103"/>
      <c r="E103" s="102"/>
      <c r="F103" s="112"/>
      <c r="G103" s="112"/>
      <c r="H103" s="128"/>
      <c r="I103" s="146">
        <v>470.75</v>
      </c>
      <c r="J103" s="128"/>
      <c r="K103" s="103"/>
      <c r="L103" s="103"/>
      <c r="M103" s="146">
        <v>86.82</v>
      </c>
      <c r="N103" s="103">
        <f t="shared" si="67"/>
        <v>0</v>
      </c>
      <c r="O103" s="103">
        <v>7</v>
      </c>
      <c r="P103" s="103"/>
      <c r="Q103" s="103">
        <v>789.51</v>
      </c>
      <c r="R103" s="103"/>
      <c r="S103" s="103">
        <v>0</v>
      </c>
      <c r="T103" s="103"/>
      <c r="U103" s="103"/>
      <c r="V103" s="103"/>
      <c r="W103" s="103">
        <f t="shared" si="68"/>
        <v>0.46199999999999997</v>
      </c>
      <c r="X103" s="152">
        <v>7.6999999999999999E-2</v>
      </c>
      <c r="Y103" s="153">
        <v>6</v>
      </c>
      <c r="Z103" s="103">
        <v>90.57</v>
      </c>
      <c r="AA103" s="103">
        <f t="shared" si="69"/>
        <v>0</v>
      </c>
      <c r="AB103" s="154">
        <v>0.65</v>
      </c>
      <c r="AC103" s="103">
        <v>95</v>
      </c>
      <c r="AD103" s="103">
        <f>D103-I103-J103-N103-O103-Q103-W103-Z103-AA103-AC103-AB103*E103+M103</f>
        <v>-1366.472</v>
      </c>
      <c r="AE103" s="103">
        <f>AB103*E103</f>
        <v>0</v>
      </c>
    </row>
    <row r="104" spans="1:31">
      <c r="A104" s="190" t="s">
        <v>491</v>
      </c>
      <c r="B104" s="185" t="s">
        <v>510</v>
      </c>
      <c r="C104" s="117">
        <v>6</v>
      </c>
      <c r="D104" s="103">
        <v>5250</v>
      </c>
      <c r="E104" s="102">
        <f t="shared" ref="E104:E105" si="76">F104+G104</f>
        <v>2587</v>
      </c>
      <c r="F104" s="112">
        <v>2288</v>
      </c>
      <c r="G104" s="112">
        <v>299</v>
      </c>
      <c r="H104" s="128">
        <f t="shared" ref="H104:H105" si="77">D104/E104</f>
        <v>2.0293776575183609</v>
      </c>
      <c r="I104" s="146">
        <v>1381.45</v>
      </c>
      <c r="J104" s="128">
        <v>530.52</v>
      </c>
      <c r="K104" s="128"/>
      <c r="L104" s="128"/>
      <c r="M104" s="146">
        <v>148.19</v>
      </c>
      <c r="N104" s="103">
        <f t="shared" si="67"/>
        <v>44.625</v>
      </c>
      <c r="O104" s="103">
        <v>7</v>
      </c>
      <c r="P104" s="103"/>
      <c r="Q104" s="103">
        <v>789.51</v>
      </c>
      <c r="R104" s="103"/>
      <c r="S104" s="103">
        <v>0</v>
      </c>
      <c r="T104" s="103"/>
      <c r="U104" s="103"/>
      <c r="V104" s="103"/>
      <c r="W104" s="103">
        <f t="shared" si="68"/>
        <v>183.41399999999999</v>
      </c>
      <c r="X104" s="152">
        <v>7.6999999999999999E-2</v>
      </c>
      <c r="Y104" s="153">
        <v>2382</v>
      </c>
      <c r="Z104" s="103">
        <v>90.57</v>
      </c>
      <c r="AA104" s="103">
        <f t="shared" si="69"/>
        <v>258.7</v>
      </c>
      <c r="AB104" s="154">
        <v>0.65</v>
      </c>
      <c r="AC104" s="103">
        <v>95</v>
      </c>
      <c r="AD104" s="103">
        <f>D104-I104-J104-N104-O104-Q104-W104-Z104-AA104-AC104-AB104*E104</f>
        <v>187.66100000000051</v>
      </c>
      <c r="AE104" s="103">
        <f t="shared" ref="AE104:AE105" si="78">AB104*E104+K104+L104</f>
        <v>1681.55</v>
      </c>
    </row>
    <row r="105" spans="1:31">
      <c r="A105" s="187" t="s">
        <v>432</v>
      </c>
      <c r="B105" s="185">
        <v>465182</v>
      </c>
      <c r="C105" s="112">
        <v>7</v>
      </c>
      <c r="D105" s="103">
        <v>5525</v>
      </c>
      <c r="E105" s="102">
        <f t="shared" si="76"/>
        <v>2910</v>
      </c>
      <c r="F105" s="112">
        <v>2782</v>
      </c>
      <c r="G105" s="112">
        <v>128</v>
      </c>
      <c r="H105" s="128">
        <f t="shared" si="77"/>
        <v>1.8986254295532645</v>
      </c>
      <c r="I105" s="146">
        <v>1507.06</v>
      </c>
      <c r="J105" s="128">
        <v>243.33</v>
      </c>
      <c r="K105" s="128">
        <v>100</v>
      </c>
      <c r="L105" s="128">
        <v>100</v>
      </c>
      <c r="M105" s="146">
        <v>36.200000000000003</v>
      </c>
      <c r="N105" s="103">
        <f t="shared" si="67"/>
        <v>46.962500000000006</v>
      </c>
      <c r="O105" s="103">
        <v>7</v>
      </c>
      <c r="P105" s="103"/>
      <c r="Q105" s="103">
        <v>789.51</v>
      </c>
      <c r="R105" s="103"/>
      <c r="S105" s="103">
        <v>0</v>
      </c>
      <c r="T105" s="103"/>
      <c r="U105" s="103"/>
      <c r="V105" s="103"/>
      <c r="W105" s="103">
        <f t="shared" si="68"/>
        <v>230.76900000000001</v>
      </c>
      <c r="X105" s="152">
        <v>7.6999999999999999E-2</v>
      </c>
      <c r="Y105" s="153">
        <v>2997</v>
      </c>
      <c r="Z105" s="103">
        <v>90.57</v>
      </c>
      <c r="AA105" s="103">
        <f t="shared" si="69"/>
        <v>291</v>
      </c>
      <c r="AB105" s="154">
        <v>0.65</v>
      </c>
      <c r="AC105" s="103">
        <v>95</v>
      </c>
      <c r="AD105" s="103">
        <f>D105-I105-J105-N105-O105-Q105-W105-Z105-AA105-AC105-AB105*E105+M105-K105</f>
        <v>268.49849999999941</v>
      </c>
      <c r="AE105" s="103">
        <f t="shared" si="78"/>
        <v>2091.5</v>
      </c>
    </row>
    <row r="106" spans="1:31">
      <c r="A106" s="197" t="s">
        <v>494</v>
      </c>
      <c r="B106" s="185">
        <v>465183</v>
      </c>
      <c r="C106" s="117"/>
      <c r="D106" s="103"/>
      <c r="E106" s="102"/>
      <c r="F106" s="112"/>
      <c r="G106" s="112"/>
      <c r="H106" s="128"/>
      <c r="I106" s="146"/>
      <c r="J106" s="128"/>
      <c r="K106" s="128"/>
      <c r="L106" s="128"/>
      <c r="M106" s="146"/>
      <c r="N106" s="103">
        <f t="shared" si="67"/>
        <v>0</v>
      </c>
      <c r="O106" s="103">
        <v>7</v>
      </c>
      <c r="P106" s="103"/>
      <c r="Q106" s="103">
        <v>789.51</v>
      </c>
      <c r="R106" s="103"/>
      <c r="S106" s="103">
        <v>0</v>
      </c>
      <c r="T106" s="103"/>
      <c r="U106" s="103"/>
      <c r="V106" s="103"/>
      <c r="W106" s="103">
        <f t="shared" si="68"/>
        <v>0</v>
      </c>
      <c r="X106" s="152">
        <v>7.6999999999999999E-2</v>
      </c>
      <c r="Y106" s="153"/>
      <c r="Z106" s="103">
        <v>90.57</v>
      </c>
      <c r="AA106" s="103">
        <f t="shared" si="69"/>
        <v>0</v>
      </c>
      <c r="AB106" s="209">
        <v>0.7</v>
      </c>
      <c r="AC106" s="103">
        <v>95</v>
      </c>
      <c r="AD106" s="103">
        <f t="shared" ref="AD106:AD112" si="79">D106-I106-J106-N106-O106-Q106-W106-Z106-AA106-AC106-AB106*E106+M106</f>
        <v>-982.07999999999993</v>
      </c>
      <c r="AE106" s="103">
        <f>AB106*E106+K106</f>
        <v>0</v>
      </c>
    </row>
    <row r="107" spans="1:31">
      <c r="A107" s="190" t="s">
        <v>435</v>
      </c>
      <c r="B107" s="185">
        <v>465184</v>
      </c>
      <c r="C107" s="117">
        <v>7</v>
      </c>
      <c r="D107" s="103">
        <v>10773</v>
      </c>
      <c r="E107" s="102">
        <f t="shared" ref="E107:E108" si="80">F107+G107</f>
        <v>5050</v>
      </c>
      <c r="F107" s="112">
        <v>4911</v>
      </c>
      <c r="G107" s="112">
        <v>139</v>
      </c>
      <c r="H107" s="128">
        <f t="shared" ref="H107:H108" si="81">D107/E107</f>
        <v>2.1332673267326734</v>
      </c>
      <c r="I107" s="146">
        <v>3460.14</v>
      </c>
      <c r="J107" s="128">
        <v>24.68</v>
      </c>
      <c r="K107" s="128"/>
      <c r="L107" s="128"/>
      <c r="M107" s="146">
        <v>323.20999999999998</v>
      </c>
      <c r="N107" s="103">
        <f t="shared" si="67"/>
        <v>91.57050000000001</v>
      </c>
      <c r="O107" s="103">
        <v>7</v>
      </c>
      <c r="P107" s="103"/>
      <c r="Q107" s="103">
        <v>789.51</v>
      </c>
      <c r="R107" s="103"/>
      <c r="S107" s="103">
        <v>0</v>
      </c>
      <c r="T107" s="103"/>
      <c r="U107" s="103"/>
      <c r="V107" s="103"/>
      <c r="W107" s="103">
        <f t="shared" si="68"/>
        <v>390.005</v>
      </c>
      <c r="X107" s="152">
        <v>7.6999999999999999E-2</v>
      </c>
      <c r="Y107" s="153">
        <v>5065</v>
      </c>
      <c r="Z107" s="103">
        <v>90.57</v>
      </c>
      <c r="AA107" s="103">
        <f t="shared" si="69"/>
        <v>505</v>
      </c>
      <c r="AB107" s="154">
        <v>0.65</v>
      </c>
      <c r="AC107" s="103">
        <v>95</v>
      </c>
      <c r="AD107" s="103">
        <f t="shared" si="79"/>
        <v>2360.2345000000005</v>
      </c>
      <c r="AE107" s="103">
        <f>AB107*E107</f>
        <v>3282.5</v>
      </c>
    </row>
    <row r="108" spans="1:31">
      <c r="A108" s="187" t="s">
        <v>458</v>
      </c>
      <c r="B108" s="185">
        <v>465185</v>
      </c>
      <c r="C108" s="117">
        <v>7</v>
      </c>
      <c r="D108" s="103">
        <v>8340</v>
      </c>
      <c r="E108" s="102">
        <f t="shared" si="80"/>
        <v>4441</v>
      </c>
      <c r="F108" s="112">
        <v>4248</v>
      </c>
      <c r="G108" s="112">
        <v>193</v>
      </c>
      <c r="H108" s="128">
        <f t="shared" si="81"/>
        <v>1.8779554154469713</v>
      </c>
      <c r="I108" s="146">
        <v>2373.87</v>
      </c>
      <c r="J108" s="128">
        <v>186.94</v>
      </c>
      <c r="K108" s="128"/>
      <c r="L108" s="128"/>
      <c r="M108" s="146">
        <v>320.89999999999998</v>
      </c>
      <c r="N108" s="103">
        <f t="shared" si="67"/>
        <v>70.89</v>
      </c>
      <c r="O108" s="103">
        <v>7</v>
      </c>
      <c r="P108" s="103"/>
      <c r="Q108" s="103">
        <v>789.51</v>
      </c>
      <c r="R108" s="103"/>
      <c r="S108" s="103">
        <v>0</v>
      </c>
      <c r="T108" s="103"/>
      <c r="U108" s="103"/>
      <c r="V108" s="103"/>
      <c r="W108" s="103">
        <f t="shared" si="68"/>
        <v>342.26499999999999</v>
      </c>
      <c r="X108" s="152">
        <v>7.6999999999999999E-2</v>
      </c>
      <c r="Y108" s="153">
        <v>4445</v>
      </c>
      <c r="Z108" s="103">
        <v>90.57</v>
      </c>
      <c r="AA108" s="103">
        <f t="shared" si="69"/>
        <v>444.1</v>
      </c>
      <c r="AB108" s="212">
        <v>0.7</v>
      </c>
      <c r="AC108" s="103">
        <v>95</v>
      </c>
      <c r="AD108" s="103">
        <f t="shared" si="79"/>
        <v>1152.0550000000003</v>
      </c>
      <c r="AE108" s="103">
        <f t="shared" ref="AE108:AE109" si="82">AB108*E108+K108</f>
        <v>3108.7</v>
      </c>
    </row>
    <row r="109" spans="1:31">
      <c r="A109" s="197"/>
      <c r="B109" s="185">
        <v>465186</v>
      </c>
      <c r="C109" s="112"/>
      <c r="D109" s="103"/>
      <c r="E109" s="102"/>
      <c r="F109" s="112"/>
      <c r="G109" s="112"/>
      <c r="H109" s="128"/>
      <c r="I109" s="146"/>
      <c r="J109" s="128">
        <v>50.8</v>
      </c>
      <c r="K109" s="128"/>
      <c r="L109" s="128"/>
      <c r="M109" s="146"/>
      <c r="N109" s="103">
        <f t="shared" si="67"/>
        <v>0</v>
      </c>
      <c r="O109" s="103">
        <v>7</v>
      </c>
      <c r="P109" s="103"/>
      <c r="Q109" s="103">
        <v>789.51</v>
      </c>
      <c r="R109" s="103"/>
      <c r="S109" s="103">
        <v>0</v>
      </c>
      <c r="T109" s="103"/>
      <c r="U109" s="103"/>
      <c r="V109" s="103"/>
      <c r="W109" s="103">
        <f t="shared" si="68"/>
        <v>9.548</v>
      </c>
      <c r="X109" s="152">
        <v>7.6999999999999999E-2</v>
      </c>
      <c r="Y109" s="153">
        <v>124</v>
      </c>
      <c r="Z109" s="103">
        <v>90.57</v>
      </c>
      <c r="AA109" s="103">
        <f t="shared" si="69"/>
        <v>0</v>
      </c>
      <c r="AB109" s="154">
        <v>0.5</v>
      </c>
      <c r="AC109" s="103">
        <v>95</v>
      </c>
      <c r="AD109" s="103">
        <f t="shared" si="79"/>
        <v>-1042.4279999999999</v>
      </c>
      <c r="AE109" s="103">
        <f t="shared" si="82"/>
        <v>0</v>
      </c>
    </row>
    <row r="110" spans="1:31">
      <c r="A110" s="187" t="s">
        <v>439</v>
      </c>
      <c r="B110" s="185">
        <v>465187</v>
      </c>
      <c r="C110" s="117">
        <v>7</v>
      </c>
      <c r="D110" s="103">
        <v>2400</v>
      </c>
      <c r="E110" s="102">
        <f t="shared" ref="E110:E112" si="83">F110+G110</f>
        <v>1049</v>
      </c>
      <c r="F110" s="112">
        <v>1001</v>
      </c>
      <c r="G110" s="112">
        <v>48</v>
      </c>
      <c r="H110" s="128">
        <f t="shared" ref="H110:H116" si="84">D110/E110</f>
        <v>2.2878932316491896</v>
      </c>
      <c r="I110" s="146">
        <v>758.26</v>
      </c>
      <c r="J110" s="128">
        <v>29.98</v>
      </c>
      <c r="K110" s="128"/>
      <c r="L110" s="128"/>
      <c r="M110" s="146">
        <v>18.66</v>
      </c>
      <c r="N110" s="103">
        <f t="shared" si="67"/>
        <v>20.400000000000002</v>
      </c>
      <c r="O110" s="103">
        <v>7</v>
      </c>
      <c r="P110" s="103"/>
      <c r="Q110" s="103">
        <v>789.51</v>
      </c>
      <c r="R110" s="103"/>
      <c r="S110" s="103">
        <v>0</v>
      </c>
      <c r="T110" s="103"/>
      <c r="U110" s="103"/>
      <c r="V110" s="103"/>
      <c r="W110" s="103">
        <f t="shared" si="68"/>
        <v>91.090999999999994</v>
      </c>
      <c r="X110" s="152">
        <v>7.6999999999999999E-2</v>
      </c>
      <c r="Y110" s="153">
        <v>1183</v>
      </c>
      <c r="Z110" s="103">
        <v>90.57</v>
      </c>
      <c r="AA110" s="103">
        <f t="shared" si="69"/>
        <v>104.9</v>
      </c>
      <c r="AB110" s="212">
        <v>0.7</v>
      </c>
      <c r="AC110" s="103">
        <v>95</v>
      </c>
      <c r="AD110" s="103">
        <f t="shared" si="79"/>
        <v>-302.35100000000006</v>
      </c>
      <c r="AE110" s="103">
        <f t="shared" ref="AE110:AE112" si="85">AB110*E110</f>
        <v>734.3</v>
      </c>
    </row>
    <row r="111" spans="1:31">
      <c r="A111" s="190" t="s">
        <v>427</v>
      </c>
      <c r="B111" s="185">
        <v>465188</v>
      </c>
      <c r="C111" s="112">
        <v>7</v>
      </c>
      <c r="D111" s="103">
        <v>7950</v>
      </c>
      <c r="E111" s="102">
        <f t="shared" si="83"/>
        <v>4074</v>
      </c>
      <c r="F111" s="117">
        <v>3657</v>
      </c>
      <c r="G111" s="117">
        <v>417</v>
      </c>
      <c r="H111" s="128">
        <f t="shared" si="84"/>
        <v>1.9513991163475699</v>
      </c>
      <c r="I111" s="146">
        <v>3126.28</v>
      </c>
      <c r="J111" s="128">
        <v>26.78</v>
      </c>
      <c r="K111" s="128"/>
      <c r="L111" s="128"/>
      <c r="M111" s="146">
        <v>382.66</v>
      </c>
      <c r="N111" s="103">
        <f t="shared" si="67"/>
        <v>67.575000000000003</v>
      </c>
      <c r="O111" s="103">
        <v>7</v>
      </c>
      <c r="P111" s="103"/>
      <c r="Q111" s="103">
        <v>789.51</v>
      </c>
      <c r="R111" s="103"/>
      <c r="S111" s="103">
        <v>0</v>
      </c>
      <c r="T111" s="103"/>
      <c r="U111" s="103"/>
      <c r="V111" s="103"/>
      <c r="W111" s="103">
        <f t="shared" si="68"/>
        <v>349.27199999999999</v>
      </c>
      <c r="X111" s="152">
        <v>7.6999999999999999E-2</v>
      </c>
      <c r="Y111" s="153">
        <v>4536</v>
      </c>
      <c r="Z111" s="103">
        <v>90.57</v>
      </c>
      <c r="AA111" s="103">
        <f t="shared" si="69"/>
        <v>407.40000000000003</v>
      </c>
      <c r="AB111" s="154">
        <v>0.65</v>
      </c>
      <c r="AC111" s="103">
        <v>95</v>
      </c>
      <c r="AD111" s="103">
        <f t="shared" si="79"/>
        <v>725.17299999999955</v>
      </c>
      <c r="AE111" s="103">
        <f t="shared" si="85"/>
        <v>2648.1</v>
      </c>
    </row>
    <row r="112" spans="1:31">
      <c r="A112" s="184" t="s">
        <v>505</v>
      </c>
      <c r="B112" s="185">
        <v>465189</v>
      </c>
      <c r="C112" s="112">
        <v>7</v>
      </c>
      <c r="D112" s="103">
        <v>11995</v>
      </c>
      <c r="E112" s="102">
        <f t="shared" si="83"/>
        <v>5485</v>
      </c>
      <c r="F112" s="117">
        <v>5422</v>
      </c>
      <c r="G112" s="117">
        <v>63</v>
      </c>
      <c r="H112" s="128">
        <f t="shared" si="84"/>
        <v>2.1868732907930721</v>
      </c>
      <c r="I112" s="146">
        <v>3780.31</v>
      </c>
      <c r="J112" s="128">
        <v>14.72</v>
      </c>
      <c r="K112" s="103"/>
      <c r="L112" s="103"/>
      <c r="M112" s="146">
        <v>233.4</v>
      </c>
      <c r="N112" s="103">
        <f t="shared" si="67"/>
        <v>101.95750000000001</v>
      </c>
      <c r="O112" s="103">
        <v>7</v>
      </c>
      <c r="P112" s="103"/>
      <c r="Q112" s="103">
        <v>789.51</v>
      </c>
      <c r="R112" s="103"/>
      <c r="S112" s="103">
        <v>0</v>
      </c>
      <c r="T112" s="103"/>
      <c r="U112" s="103"/>
      <c r="V112" s="103"/>
      <c r="W112" s="103">
        <f t="shared" si="68"/>
        <v>444.44400000000002</v>
      </c>
      <c r="X112" s="152">
        <v>7.6999999999999999E-2</v>
      </c>
      <c r="Y112" s="155">
        <v>5772</v>
      </c>
      <c r="Z112" s="103">
        <v>90.57</v>
      </c>
      <c r="AA112" s="103">
        <f t="shared" si="69"/>
        <v>548.5</v>
      </c>
      <c r="AB112" s="154">
        <v>0.65</v>
      </c>
      <c r="AC112" s="103">
        <v>95</v>
      </c>
      <c r="AD112" s="103">
        <f t="shared" si="79"/>
        <v>2791.1385000000005</v>
      </c>
      <c r="AE112" s="103">
        <f t="shared" si="85"/>
        <v>3565.25</v>
      </c>
    </row>
    <row r="113" spans="1:31">
      <c r="A113" s="134" t="s">
        <v>462</v>
      </c>
      <c r="B113" s="135" t="s">
        <v>399</v>
      </c>
      <c r="C113" s="158">
        <v>5</v>
      </c>
      <c r="D113" s="139">
        <v>5350</v>
      </c>
      <c r="E113" s="136">
        <f t="shared" ref="E113:E116" si="86">Y113</f>
        <v>3512</v>
      </c>
      <c r="F113" s="136"/>
      <c r="G113" s="136"/>
      <c r="H113" s="128">
        <f t="shared" si="84"/>
        <v>1.5233485193621867</v>
      </c>
      <c r="I113" s="139">
        <v>1642.75</v>
      </c>
      <c r="J113" s="139">
        <v>174.16</v>
      </c>
      <c r="K113" s="139"/>
      <c r="L113" s="139"/>
      <c r="M113" s="139">
        <v>148.87</v>
      </c>
      <c r="N113" s="139">
        <f t="shared" si="67"/>
        <v>45.475000000000001</v>
      </c>
      <c r="O113" s="139">
        <v>0</v>
      </c>
      <c r="P113" s="139"/>
      <c r="Q113" s="139">
        <v>0</v>
      </c>
      <c r="R113" s="139">
        <v>0</v>
      </c>
      <c r="S113" s="139">
        <v>0</v>
      </c>
      <c r="T113" s="139">
        <v>0</v>
      </c>
      <c r="U113" s="139"/>
      <c r="V113" s="139">
        <v>0</v>
      </c>
      <c r="W113" s="139">
        <v>0</v>
      </c>
      <c r="X113" s="159">
        <v>0</v>
      </c>
      <c r="Y113" s="136">
        <v>3512</v>
      </c>
      <c r="Z113" s="139">
        <v>0</v>
      </c>
      <c r="AA113" s="139">
        <f t="shared" si="69"/>
        <v>351.20000000000005</v>
      </c>
      <c r="AB113" s="160">
        <v>0.85</v>
      </c>
      <c r="AC113" s="139">
        <v>95</v>
      </c>
      <c r="AD113" s="139">
        <f>D113*0.15-AA113-N113</f>
        <v>405.82499999999993</v>
      </c>
      <c r="AE113" s="139">
        <f>D113*0.85-I113-J113+M113</f>
        <v>2879.46</v>
      </c>
    </row>
    <row r="114" spans="1:31">
      <c r="A114" s="134" t="s">
        <v>463</v>
      </c>
      <c r="B114" s="135" t="s">
        <v>362</v>
      </c>
      <c r="C114" s="158">
        <v>7</v>
      </c>
      <c r="D114" s="139">
        <v>7550</v>
      </c>
      <c r="E114" s="136">
        <f t="shared" si="86"/>
        <v>4519</v>
      </c>
      <c r="F114" s="136"/>
      <c r="G114" s="136"/>
      <c r="H114" s="128">
        <f t="shared" si="84"/>
        <v>1.6707236114184554</v>
      </c>
      <c r="I114" s="139">
        <v>2560.83</v>
      </c>
      <c r="J114" s="139">
        <v>142.36000000000001</v>
      </c>
      <c r="K114" s="139"/>
      <c r="L114" s="139"/>
      <c r="M114" s="139">
        <v>127.34</v>
      </c>
      <c r="N114" s="139">
        <f t="shared" si="67"/>
        <v>64.175000000000011</v>
      </c>
      <c r="O114" s="139">
        <v>7</v>
      </c>
      <c r="P114" s="139"/>
      <c r="Q114" s="139">
        <v>0</v>
      </c>
      <c r="R114" s="139">
        <v>50</v>
      </c>
      <c r="S114" s="139">
        <v>199</v>
      </c>
      <c r="T114" s="139">
        <v>30</v>
      </c>
      <c r="U114" s="139"/>
      <c r="V114" s="139">
        <v>300</v>
      </c>
      <c r="W114" s="139">
        <v>0</v>
      </c>
      <c r="X114" s="159">
        <v>0</v>
      </c>
      <c r="Y114" s="136">
        <v>4519</v>
      </c>
      <c r="Z114" s="139">
        <v>0</v>
      </c>
      <c r="AA114" s="139">
        <f t="shared" si="69"/>
        <v>451.90000000000003</v>
      </c>
      <c r="AB114" s="160">
        <v>0.87</v>
      </c>
      <c r="AC114" s="139">
        <v>95</v>
      </c>
      <c r="AD114" s="139">
        <f>D114*0.13+V114+T114+S114+R114-AA114-N114+M114</f>
        <v>1171.7649999999999</v>
      </c>
      <c r="AE114" s="139">
        <f>D114*0.87-I114-J114-R114-S114-T114-V114</f>
        <v>3286.31</v>
      </c>
    </row>
    <row r="115" spans="1:31">
      <c r="A115" s="134" t="s">
        <v>464</v>
      </c>
      <c r="B115" s="134">
        <v>1118</v>
      </c>
      <c r="C115" s="158">
        <v>4</v>
      </c>
      <c r="D115" s="139">
        <v>3650</v>
      </c>
      <c r="E115" s="136">
        <f t="shared" si="86"/>
        <v>3463</v>
      </c>
      <c r="F115" s="136"/>
      <c r="G115" s="136"/>
      <c r="H115" s="128">
        <f t="shared" si="84"/>
        <v>1.0539994224660698</v>
      </c>
      <c r="I115" s="139">
        <v>1285</v>
      </c>
      <c r="J115" s="139"/>
      <c r="K115" s="139"/>
      <c r="L115" s="139"/>
      <c r="M115" s="139">
        <v>0</v>
      </c>
      <c r="N115" s="139">
        <f t="shared" si="67"/>
        <v>31.025000000000002</v>
      </c>
      <c r="O115" s="139">
        <v>0</v>
      </c>
      <c r="P115" s="139"/>
      <c r="Q115" s="139">
        <v>0</v>
      </c>
      <c r="R115" s="139">
        <v>0</v>
      </c>
      <c r="S115" s="139">
        <v>0</v>
      </c>
      <c r="T115" s="139">
        <v>0</v>
      </c>
      <c r="U115" s="139"/>
      <c r="V115" s="139">
        <v>0</v>
      </c>
      <c r="W115" s="139">
        <v>0</v>
      </c>
      <c r="X115" s="159">
        <v>0</v>
      </c>
      <c r="Y115" s="136">
        <v>3463</v>
      </c>
      <c r="Z115" s="139">
        <v>0</v>
      </c>
      <c r="AA115" s="139">
        <f t="shared" si="69"/>
        <v>346.3</v>
      </c>
      <c r="AB115" s="160">
        <v>0.8</v>
      </c>
      <c r="AC115" s="139">
        <v>95</v>
      </c>
      <c r="AD115" s="139">
        <f>D115*0.2-AA115-N115-K115-AC115</f>
        <v>257.67500000000001</v>
      </c>
      <c r="AE115" s="139">
        <f>D115*AB115-I115-J115</f>
        <v>1635</v>
      </c>
    </row>
    <row r="116" spans="1:31">
      <c r="A116" s="134" t="s">
        <v>466</v>
      </c>
      <c r="B116" s="134">
        <v>2013</v>
      </c>
      <c r="C116" s="158">
        <v>5</v>
      </c>
      <c r="D116" s="139">
        <v>5354</v>
      </c>
      <c r="E116" s="136">
        <f t="shared" si="86"/>
        <v>3453</v>
      </c>
      <c r="F116" s="136"/>
      <c r="G116" s="136"/>
      <c r="H116" s="128">
        <f t="shared" si="84"/>
        <v>1.5505357660005792</v>
      </c>
      <c r="I116" s="139">
        <f>2327.09+250</f>
        <v>2577.09</v>
      </c>
      <c r="J116" s="139">
        <v>300.14999999999998</v>
      </c>
      <c r="K116" s="139"/>
      <c r="L116" s="139"/>
      <c r="M116" s="139">
        <v>152.36000000000001</v>
      </c>
      <c r="N116" s="139">
        <f t="shared" si="67"/>
        <v>45.509</v>
      </c>
      <c r="O116" s="139">
        <v>0</v>
      </c>
      <c r="P116" s="139"/>
      <c r="Q116" s="139">
        <v>0</v>
      </c>
      <c r="R116" s="139">
        <v>50</v>
      </c>
      <c r="S116" s="139">
        <v>199</v>
      </c>
      <c r="T116" s="139">
        <v>30</v>
      </c>
      <c r="U116" s="139"/>
      <c r="V116" s="139">
        <v>300</v>
      </c>
      <c r="W116" s="139">
        <v>0</v>
      </c>
      <c r="X116" s="159">
        <v>0</v>
      </c>
      <c r="Y116" s="136">
        <v>3453</v>
      </c>
      <c r="Z116" s="139">
        <v>0</v>
      </c>
      <c r="AA116" s="139">
        <f t="shared" si="69"/>
        <v>345.3</v>
      </c>
      <c r="AB116" s="160">
        <v>0.87</v>
      </c>
      <c r="AC116" s="139">
        <v>95</v>
      </c>
      <c r="AD116" s="139">
        <f>D116*0.13+V116+T116+S116+R116-AA116-N116+M116</f>
        <v>1036.5709999999999</v>
      </c>
      <c r="AE116" s="139">
        <f t="shared" ref="AE116:AE117" si="87">D116*AB116-I116-J116-V116-T116-S116-R116</f>
        <v>1201.7399999999993</v>
      </c>
    </row>
    <row r="117" spans="1:31">
      <c r="A117" s="134" t="s">
        <v>467</v>
      </c>
      <c r="B117" s="134">
        <v>1122</v>
      </c>
      <c r="C117" s="158"/>
      <c r="D117" s="139"/>
      <c r="E117" s="136"/>
      <c r="F117" s="136"/>
      <c r="G117" s="136"/>
      <c r="H117" s="139"/>
      <c r="I117" s="139"/>
      <c r="J117" s="139">
        <v>68.97</v>
      </c>
      <c r="K117" s="139"/>
      <c r="L117" s="139"/>
      <c r="M117" s="139"/>
      <c r="N117" s="139">
        <f t="shared" si="67"/>
        <v>0</v>
      </c>
      <c r="O117" s="139">
        <v>7</v>
      </c>
      <c r="P117" s="139"/>
      <c r="Q117" s="139">
        <v>0</v>
      </c>
      <c r="R117" s="139">
        <v>50</v>
      </c>
      <c r="S117" s="139">
        <v>199</v>
      </c>
      <c r="T117" s="139">
        <v>30</v>
      </c>
      <c r="U117" s="139"/>
      <c r="V117" s="139">
        <v>300</v>
      </c>
      <c r="W117" s="139">
        <v>0</v>
      </c>
      <c r="X117" s="159">
        <v>0</v>
      </c>
      <c r="Y117" s="136">
        <v>134</v>
      </c>
      <c r="Z117" s="139">
        <v>0</v>
      </c>
      <c r="AA117" s="139">
        <f t="shared" si="69"/>
        <v>0</v>
      </c>
      <c r="AB117" s="160">
        <v>0.8</v>
      </c>
      <c r="AC117" s="139">
        <v>95</v>
      </c>
      <c r="AD117" s="139">
        <f>D117*0.13-AC117-AA117+V117+T117+S117+R117-N117+M117</f>
        <v>484</v>
      </c>
      <c r="AE117" s="139">
        <f t="shared" si="87"/>
        <v>-647.97</v>
      </c>
    </row>
    <row r="118" spans="1:31">
      <c r="A118" s="72" t="s">
        <v>89</v>
      </c>
      <c r="B118" s="72">
        <v>28</v>
      </c>
      <c r="C118" s="202">
        <f>AVERAGE(C93:C112)</f>
        <v>5.9285714285714288</v>
      </c>
      <c r="D118" s="201">
        <f>SUM(D93:D117)</f>
        <v>116341</v>
      </c>
      <c r="E118" s="202">
        <f>AVERAGE(E93:E117)</f>
        <v>3472.9444444444443</v>
      </c>
      <c r="F118" s="202">
        <f t="shared" ref="F118:H118" si="88">AVERAGE(F94:F117)</f>
        <v>3231.4285714285716</v>
      </c>
      <c r="G118" s="202">
        <f t="shared" si="88"/>
        <v>166.14285714285714</v>
      </c>
      <c r="H118" s="201">
        <f t="shared" si="88"/>
        <v>1.8648590614449378</v>
      </c>
      <c r="I118" s="201">
        <f t="shared" ref="I118:O118" si="89">SUM(I93:I117)</f>
        <v>38529.339999999997</v>
      </c>
      <c r="J118" s="201">
        <f t="shared" si="89"/>
        <v>3787.64</v>
      </c>
      <c r="K118" s="201">
        <f t="shared" si="89"/>
        <v>100</v>
      </c>
      <c r="L118" s="201">
        <f t="shared" si="89"/>
        <v>100</v>
      </c>
      <c r="M118" s="201">
        <f t="shared" si="89"/>
        <v>3688.85</v>
      </c>
      <c r="N118" s="201">
        <f t="shared" si="89"/>
        <v>988.89850000000013</v>
      </c>
      <c r="O118" s="201">
        <f t="shared" si="89"/>
        <v>154</v>
      </c>
      <c r="P118" s="201"/>
      <c r="Q118" s="201">
        <f t="shared" ref="Q118:T118" si="90">SUM(Q93:Q117)</f>
        <v>15686.400000000001</v>
      </c>
      <c r="R118" s="201">
        <f t="shared" si="90"/>
        <v>150</v>
      </c>
      <c r="S118" s="201">
        <f t="shared" si="90"/>
        <v>597</v>
      </c>
      <c r="T118" s="201">
        <f t="shared" si="90"/>
        <v>90</v>
      </c>
      <c r="U118" s="201"/>
      <c r="V118" s="201">
        <f t="shared" ref="V118:AA118" si="91">SUM(V93:V117)</f>
        <v>900</v>
      </c>
      <c r="W118" s="201">
        <f t="shared" si="91"/>
        <v>3689.8449999999993</v>
      </c>
      <c r="X118" s="201">
        <f t="shared" si="91"/>
        <v>1.5199999999999996</v>
      </c>
      <c r="Y118" s="204">
        <f t="shared" si="91"/>
        <v>63572</v>
      </c>
      <c r="Z118" s="201">
        <f t="shared" si="91"/>
        <v>1811.3999999999992</v>
      </c>
      <c r="AA118" s="201">
        <f t="shared" si="91"/>
        <v>6251.3</v>
      </c>
      <c r="AB118" s="201"/>
      <c r="AC118" s="201">
        <f t="shared" ref="AC118:AE118" si="92">SUM(AC93:AC117)</f>
        <v>2375</v>
      </c>
      <c r="AD118" s="201">
        <f t="shared" si="92"/>
        <v>5544.2564999999977</v>
      </c>
      <c r="AE118" s="201">
        <f t="shared" si="92"/>
        <v>40433.439999999995</v>
      </c>
    </row>
  </sheetData>
  <mergeCells count="4">
    <mergeCell ref="A1:AE1"/>
    <mergeCell ref="A31:AE31"/>
    <mergeCell ref="A61:AE61"/>
    <mergeCell ref="A91:AE91"/>
  </mergeCells>
  <conditionalFormatting sqref="H3:H28 H33:H53 H56:H58 H63:H85 H87:H88 H93:H116">
    <cfRule type="colorScale" priority="1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F145"/>
  <sheetViews>
    <sheetView workbookViewId="0"/>
  </sheetViews>
  <sheetFormatPr baseColWidth="10" defaultColWidth="12.6640625" defaultRowHeight="15.75" customHeight="1"/>
  <cols>
    <col min="1" max="1" width="22.1640625" customWidth="1"/>
    <col min="2" max="2" width="7.6640625" customWidth="1"/>
    <col min="3" max="3" width="5.1640625" customWidth="1"/>
    <col min="4" max="4" width="9" customWidth="1"/>
    <col min="5" max="5" width="6.1640625" customWidth="1"/>
    <col min="6" max="6" width="6.83203125" customWidth="1"/>
    <col min="7" max="7" width="6.1640625" customWidth="1"/>
    <col min="8" max="8" width="5.33203125" customWidth="1"/>
    <col min="9" max="9" width="8.6640625" customWidth="1"/>
    <col min="10" max="10" width="6.83203125" customWidth="1"/>
    <col min="11" max="11" width="8.1640625" customWidth="1"/>
    <col min="12" max="12" width="7.6640625" customWidth="1"/>
    <col min="13" max="13" width="8.1640625" customWidth="1"/>
    <col min="14" max="14" width="8.5" customWidth="1"/>
    <col min="15" max="15" width="6.33203125" customWidth="1"/>
    <col min="16" max="16" width="6.6640625" customWidth="1"/>
    <col min="17" max="17" width="8.1640625" customWidth="1"/>
    <col min="18" max="18" width="7.1640625" customWidth="1"/>
    <col min="19" max="19" width="8.1640625" customWidth="1"/>
    <col min="20" max="20" width="7.1640625" customWidth="1"/>
    <col min="21" max="21" width="8.6640625" customWidth="1"/>
    <col min="22" max="22" width="7.1640625" customWidth="1"/>
    <col min="23" max="23" width="9" customWidth="1"/>
    <col min="24" max="24" width="7.1640625" customWidth="1"/>
    <col min="25" max="25" width="9.5" customWidth="1"/>
    <col min="26" max="26" width="5.6640625" customWidth="1"/>
    <col min="27" max="27" width="6.1640625" customWidth="1"/>
    <col min="28" max="28" width="7.5" customWidth="1"/>
    <col min="29" max="29" width="4.5" customWidth="1"/>
    <col min="30" max="30" width="8.33203125" customWidth="1"/>
    <col min="31" max="31" width="9.33203125" customWidth="1"/>
    <col min="32" max="32" width="8.6640625" customWidth="1"/>
  </cols>
  <sheetData>
    <row r="1" spans="1:31">
      <c r="A1" s="457" t="s">
        <v>517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  <c r="AC1" s="458"/>
      <c r="AD1" s="458"/>
      <c r="AE1" s="459"/>
    </row>
    <row r="2" spans="1:31">
      <c r="A2" s="95" t="s">
        <v>0</v>
      </c>
      <c r="B2" s="95" t="s">
        <v>1</v>
      </c>
      <c r="C2" s="95" t="s">
        <v>372</v>
      </c>
      <c r="D2" s="95" t="s">
        <v>2</v>
      </c>
      <c r="E2" s="95" t="s">
        <v>413</v>
      </c>
      <c r="F2" s="150" t="s">
        <v>414</v>
      </c>
      <c r="G2" s="150" t="s">
        <v>415</v>
      </c>
      <c r="H2" s="95" t="s">
        <v>416</v>
      </c>
      <c r="I2" s="95" t="s">
        <v>7</v>
      </c>
      <c r="J2" s="95" t="s">
        <v>8</v>
      </c>
      <c r="K2" s="95" t="s">
        <v>287</v>
      </c>
      <c r="L2" s="95" t="s">
        <v>288</v>
      </c>
      <c r="M2" s="95" t="s">
        <v>257</v>
      </c>
      <c r="N2" s="95" t="s">
        <v>373</v>
      </c>
      <c r="O2" s="95" t="s">
        <v>374</v>
      </c>
      <c r="P2" s="95"/>
      <c r="Q2" s="95" t="s">
        <v>375</v>
      </c>
      <c r="R2" s="95" t="s">
        <v>376</v>
      </c>
      <c r="S2" s="95" t="s">
        <v>377</v>
      </c>
      <c r="T2" s="150" t="s">
        <v>378</v>
      </c>
      <c r="U2" s="150"/>
      <c r="V2" s="150" t="s">
        <v>379</v>
      </c>
      <c r="W2" s="150" t="s">
        <v>352</v>
      </c>
      <c r="X2" s="95" t="s">
        <v>380</v>
      </c>
      <c r="Y2" s="95" t="s">
        <v>381</v>
      </c>
      <c r="Z2" s="95" t="s">
        <v>382</v>
      </c>
      <c r="AA2" s="95" t="s">
        <v>383</v>
      </c>
      <c r="AB2" s="95" t="s">
        <v>385</v>
      </c>
      <c r="AC2" s="150" t="s">
        <v>333</v>
      </c>
      <c r="AD2" s="95" t="s">
        <v>13</v>
      </c>
      <c r="AE2" s="95" t="s">
        <v>98</v>
      </c>
    </row>
    <row r="3" spans="1:31">
      <c r="A3" s="198"/>
      <c r="B3" s="205">
        <v>191279</v>
      </c>
      <c r="C3" s="112"/>
      <c r="D3" s="103"/>
      <c r="E3" s="102">
        <f t="shared" ref="E3:E22" si="0">SUM(F3:G3)</f>
        <v>0</v>
      </c>
      <c r="F3" s="153"/>
      <c r="G3" s="102"/>
      <c r="H3" s="128"/>
      <c r="I3" s="146"/>
      <c r="J3" s="128"/>
      <c r="K3" s="103"/>
      <c r="L3" s="103"/>
      <c r="M3" s="128"/>
      <c r="N3" s="103">
        <f t="shared" ref="N3:N26" si="1">D3*0.0085</f>
        <v>0</v>
      </c>
      <c r="O3" s="103">
        <v>7</v>
      </c>
      <c r="P3" s="207"/>
      <c r="Q3" s="207">
        <v>779.13</v>
      </c>
      <c r="R3" s="103"/>
      <c r="S3" s="103">
        <v>0</v>
      </c>
      <c r="T3" s="103"/>
      <c r="U3" s="103"/>
      <c r="V3" s="103"/>
      <c r="W3" s="103">
        <f t="shared" ref="W3:W22" si="2">Y3*X3</f>
        <v>1.575</v>
      </c>
      <c r="X3" s="152">
        <v>7.4999999999999997E-2</v>
      </c>
      <c r="Y3" s="153">
        <v>21</v>
      </c>
      <c r="Z3" s="103">
        <v>90.57</v>
      </c>
      <c r="AA3" s="103">
        <f t="shared" ref="AA3:AA27" si="3">E3*0.1</f>
        <v>0</v>
      </c>
      <c r="AB3" s="154"/>
      <c r="AC3" s="103">
        <v>95</v>
      </c>
      <c r="AD3" s="103">
        <f>D3-I3-J3+M3-N3-O3-Q3-Z3-AA3-AC3-AE3-W3</f>
        <v>-973.27500000000009</v>
      </c>
      <c r="AE3" s="103">
        <f t="shared" ref="AE3:AE8" si="4">AB3*E3</f>
        <v>0</v>
      </c>
    </row>
    <row r="4" spans="1:31">
      <c r="A4" s="187" t="s">
        <v>429</v>
      </c>
      <c r="B4" s="185">
        <v>191275</v>
      </c>
      <c r="C4" s="112">
        <v>7</v>
      </c>
      <c r="D4" s="103">
        <v>11768</v>
      </c>
      <c r="E4" s="102">
        <f t="shared" si="0"/>
        <v>5650</v>
      </c>
      <c r="F4" s="112">
        <v>5485</v>
      </c>
      <c r="G4" s="112">
        <v>165</v>
      </c>
      <c r="H4" s="128">
        <f>D4/E4</f>
        <v>2.0828318584070797</v>
      </c>
      <c r="I4" s="146">
        <v>3666.44</v>
      </c>
      <c r="J4" s="128">
        <v>247.14</v>
      </c>
      <c r="K4" s="103"/>
      <c r="L4" s="103"/>
      <c r="M4" s="128">
        <v>125.57</v>
      </c>
      <c r="N4" s="103">
        <f t="shared" si="1"/>
        <v>100.02800000000001</v>
      </c>
      <c r="O4" s="103">
        <v>7</v>
      </c>
      <c r="P4" s="207"/>
      <c r="Q4" s="207">
        <v>779.13</v>
      </c>
      <c r="R4" s="103"/>
      <c r="S4" s="103">
        <v>0</v>
      </c>
      <c r="T4" s="103"/>
      <c r="U4" s="103"/>
      <c r="V4" s="103"/>
      <c r="W4" s="103">
        <f t="shared" si="2"/>
        <v>441.59999999999997</v>
      </c>
      <c r="X4" s="152">
        <v>7.4999999999999997E-2</v>
      </c>
      <c r="Y4" s="153">
        <v>5888</v>
      </c>
      <c r="Z4" s="103">
        <v>90.57</v>
      </c>
      <c r="AA4" s="103">
        <f t="shared" si="3"/>
        <v>565</v>
      </c>
      <c r="AB4" s="154">
        <v>0.7</v>
      </c>
      <c r="AC4" s="103">
        <v>95</v>
      </c>
      <c r="AD4" s="103">
        <f t="shared" ref="AD4:AD5" si="5">D4-I4-J4-N4-O4-Q4-W4-Z4-AA4-AC4-AB4*E4</f>
        <v>1821.0919999999992</v>
      </c>
      <c r="AE4" s="103">
        <f t="shared" si="4"/>
        <v>3954.9999999999995</v>
      </c>
    </row>
    <row r="5" spans="1:31">
      <c r="A5" s="211"/>
      <c r="B5" s="185">
        <v>191282</v>
      </c>
      <c r="C5" s="112"/>
      <c r="D5" s="103"/>
      <c r="E5" s="102">
        <f t="shared" si="0"/>
        <v>0</v>
      </c>
      <c r="F5" s="112"/>
      <c r="G5" s="112"/>
      <c r="H5" s="128"/>
      <c r="I5" s="146"/>
      <c r="J5" s="128"/>
      <c r="K5" s="103"/>
      <c r="L5" s="103"/>
      <c r="M5" s="146"/>
      <c r="N5" s="103">
        <f t="shared" si="1"/>
        <v>0</v>
      </c>
      <c r="O5" s="103">
        <v>7</v>
      </c>
      <c r="P5" s="207"/>
      <c r="Q5" s="207">
        <v>779.13</v>
      </c>
      <c r="R5" s="103"/>
      <c r="S5" s="103">
        <v>0</v>
      </c>
      <c r="T5" s="103"/>
      <c r="U5" s="103"/>
      <c r="V5" s="103"/>
      <c r="W5" s="103">
        <f t="shared" si="2"/>
        <v>0</v>
      </c>
      <c r="X5" s="152">
        <v>7.4999999999999997E-2</v>
      </c>
      <c r="Y5" s="153"/>
      <c r="Z5" s="103">
        <v>90.57</v>
      </c>
      <c r="AA5" s="103">
        <f t="shared" si="3"/>
        <v>0</v>
      </c>
      <c r="AB5" s="154"/>
      <c r="AC5" s="103">
        <v>95</v>
      </c>
      <c r="AD5" s="103">
        <f t="shared" si="5"/>
        <v>-971.7</v>
      </c>
      <c r="AE5" s="103">
        <f t="shared" si="4"/>
        <v>0</v>
      </c>
    </row>
    <row r="6" spans="1:31">
      <c r="A6" s="184" t="s">
        <v>515</v>
      </c>
      <c r="B6" s="185">
        <v>191277</v>
      </c>
      <c r="C6" s="112">
        <v>7</v>
      </c>
      <c r="D6" s="103">
        <v>6803</v>
      </c>
      <c r="E6" s="102">
        <f t="shared" si="0"/>
        <v>3473</v>
      </c>
      <c r="F6" s="117">
        <v>3112</v>
      </c>
      <c r="G6" s="117">
        <v>361</v>
      </c>
      <c r="H6" s="128">
        <f>D6/E6</f>
        <v>1.9588252231500145</v>
      </c>
      <c r="I6" s="146">
        <v>2511.36</v>
      </c>
      <c r="J6" s="128">
        <v>70.53</v>
      </c>
      <c r="K6" s="103"/>
      <c r="L6" s="103"/>
      <c r="M6" s="146">
        <v>203.72</v>
      </c>
      <c r="N6" s="103">
        <f t="shared" si="1"/>
        <v>57.825500000000005</v>
      </c>
      <c r="O6" s="103">
        <v>7</v>
      </c>
      <c r="P6" s="207"/>
      <c r="Q6" s="207">
        <v>779.13</v>
      </c>
      <c r="R6" s="103"/>
      <c r="S6" s="103">
        <v>0</v>
      </c>
      <c r="T6" s="103"/>
      <c r="U6" s="103"/>
      <c r="V6" s="103"/>
      <c r="W6" s="103">
        <f t="shared" si="2"/>
        <v>304.2</v>
      </c>
      <c r="X6" s="152">
        <v>7.4999999999999997E-2</v>
      </c>
      <c r="Y6" s="153">
        <v>4056</v>
      </c>
      <c r="Z6" s="103">
        <v>90.57</v>
      </c>
      <c r="AA6" s="103">
        <f t="shared" si="3"/>
        <v>347.3</v>
      </c>
      <c r="AB6" s="154">
        <v>0.65</v>
      </c>
      <c r="AC6" s="103">
        <v>95</v>
      </c>
      <c r="AD6" s="103">
        <f>D6-I6-J6-N6-O6-Q6-W6-Z6-AA6-AC6-AB6*E6-K6</f>
        <v>282.63449999999921</v>
      </c>
      <c r="AE6" s="103">
        <f t="shared" si="4"/>
        <v>2257.4500000000003</v>
      </c>
    </row>
    <row r="7" spans="1:31">
      <c r="A7" s="198"/>
      <c r="B7" s="188" t="s">
        <v>507</v>
      </c>
      <c r="C7" s="112"/>
      <c r="D7" s="103"/>
      <c r="E7" s="102">
        <f t="shared" si="0"/>
        <v>0</v>
      </c>
      <c r="F7" s="117"/>
      <c r="G7" s="117"/>
      <c r="H7" s="128"/>
      <c r="I7" s="146"/>
      <c r="J7" s="128"/>
      <c r="K7" s="103"/>
      <c r="L7" s="103"/>
      <c r="M7" s="146"/>
      <c r="N7" s="103">
        <f t="shared" si="1"/>
        <v>0</v>
      </c>
      <c r="O7" s="103">
        <v>7</v>
      </c>
      <c r="P7" s="103"/>
      <c r="Q7" s="103">
        <v>779.13</v>
      </c>
      <c r="R7" s="103"/>
      <c r="S7" s="103">
        <v>0</v>
      </c>
      <c r="T7" s="103"/>
      <c r="U7" s="103"/>
      <c r="V7" s="103"/>
      <c r="W7" s="103">
        <f t="shared" si="2"/>
        <v>0</v>
      </c>
      <c r="X7" s="152">
        <v>7.4999999999999997E-2</v>
      </c>
      <c r="Y7" s="153"/>
      <c r="Z7" s="103">
        <v>90.57</v>
      </c>
      <c r="AA7" s="103">
        <f t="shared" si="3"/>
        <v>0</v>
      </c>
      <c r="AB7" s="154"/>
      <c r="AC7" s="103">
        <v>95</v>
      </c>
      <c r="AD7" s="103">
        <f t="shared" ref="AD7:AD9" si="6">D7-I7-J7-N7-O7-Q7-W7-Z7-AA7-AC7-AB7*E7</f>
        <v>-971.7</v>
      </c>
      <c r="AE7" s="103">
        <f t="shared" si="4"/>
        <v>0</v>
      </c>
    </row>
    <row r="8" spans="1:31">
      <c r="A8" s="187" t="s">
        <v>508</v>
      </c>
      <c r="B8" s="208">
        <v>191274</v>
      </c>
      <c r="C8" s="112">
        <v>7</v>
      </c>
      <c r="D8" s="103">
        <v>12971</v>
      </c>
      <c r="E8" s="102">
        <f t="shared" si="0"/>
        <v>6957</v>
      </c>
      <c r="F8" s="117">
        <v>6402</v>
      </c>
      <c r="G8" s="117">
        <v>555</v>
      </c>
      <c r="H8" s="128">
        <f t="shared" ref="H8:H27" si="7">D8/E8</f>
        <v>1.8644530688515164</v>
      </c>
      <c r="I8" s="146">
        <v>4017.36</v>
      </c>
      <c r="J8" s="128">
        <v>539.84</v>
      </c>
      <c r="K8" s="103"/>
      <c r="L8" s="103"/>
      <c r="M8" s="146">
        <v>688.33</v>
      </c>
      <c r="N8" s="103">
        <f t="shared" si="1"/>
        <v>110.2535</v>
      </c>
      <c r="O8" s="103">
        <v>7</v>
      </c>
      <c r="P8" s="207"/>
      <c r="Q8" s="207">
        <v>779.13</v>
      </c>
      <c r="R8" s="103"/>
      <c r="S8" s="103">
        <v>0</v>
      </c>
      <c r="T8" s="103"/>
      <c r="U8" s="103"/>
      <c r="V8" s="103"/>
      <c r="W8" s="103">
        <f t="shared" si="2"/>
        <v>462.375</v>
      </c>
      <c r="X8" s="152">
        <v>7.4999999999999997E-2</v>
      </c>
      <c r="Y8" s="153">
        <v>6165</v>
      </c>
      <c r="Z8" s="103">
        <v>90.57</v>
      </c>
      <c r="AA8" s="103">
        <f t="shared" si="3"/>
        <v>695.7</v>
      </c>
      <c r="AB8" s="154">
        <v>0.8</v>
      </c>
      <c r="AC8" s="103">
        <v>95</v>
      </c>
      <c r="AD8" s="103">
        <f t="shared" si="6"/>
        <v>608.17149999999856</v>
      </c>
      <c r="AE8" s="103">
        <f t="shared" si="4"/>
        <v>5565.6</v>
      </c>
    </row>
    <row r="9" spans="1:31">
      <c r="A9" s="187" t="s">
        <v>518</v>
      </c>
      <c r="B9" s="208">
        <v>191280</v>
      </c>
      <c r="C9" s="112">
        <v>2</v>
      </c>
      <c r="D9" s="103">
        <v>3400</v>
      </c>
      <c r="E9" s="102">
        <f t="shared" si="0"/>
        <v>1128</v>
      </c>
      <c r="F9" s="117">
        <v>1096</v>
      </c>
      <c r="G9" s="117">
        <v>32</v>
      </c>
      <c r="H9" s="128">
        <f t="shared" si="7"/>
        <v>3.0141843971631204</v>
      </c>
      <c r="I9" s="146">
        <v>1160.97</v>
      </c>
      <c r="J9" s="128">
        <v>291.54000000000002</v>
      </c>
      <c r="K9" s="103"/>
      <c r="L9" s="103"/>
      <c r="M9" s="146">
        <v>255.19</v>
      </c>
      <c r="N9" s="103">
        <f t="shared" si="1"/>
        <v>28.900000000000002</v>
      </c>
      <c r="O9" s="103">
        <v>7</v>
      </c>
      <c r="P9" s="207"/>
      <c r="Q9" s="207">
        <v>779.13</v>
      </c>
      <c r="R9" s="103"/>
      <c r="S9" s="103">
        <v>0</v>
      </c>
      <c r="T9" s="103"/>
      <c r="U9" s="103"/>
      <c r="V9" s="103"/>
      <c r="W9" s="103">
        <f t="shared" si="2"/>
        <v>89.174999999999997</v>
      </c>
      <c r="X9" s="152">
        <v>7.4999999999999997E-2</v>
      </c>
      <c r="Y9" s="153">
        <v>1189</v>
      </c>
      <c r="Z9" s="103">
        <v>90.57</v>
      </c>
      <c r="AA9" s="103">
        <f t="shared" si="3"/>
        <v>112.80000000000001</v>
      </c>
      <c r="AB9" s="154">
        <v>0.65</v>
      </c>
      <c r="AC9" s="103">
        <v>95</v>
      </c>
      <c r="AD9" s="103">
        <f t="shared" si="6"/>
        <v>11.714999999999691</v>
      </c>
      <c r="AE9" s="103">
        <f>AB9*E9+K9</f>
        <v>733.2</v>
      </c>
    </row>
    <row r="10" spans="1:31">
      <c r="A10" s="187" t="s">
        <v>509</v>
      </c>
      <c r="B10" s="208">
        <v>191281</v>
      </c>
      <c r="C10" s="112">
        <v>7</v>
      </c>
      <c r="D10" s="103">
        <v>6188</v>
      </c>
      <c r="E10" s="102">
        <f t="shared" si="0"/>
        <v>3421</v>
      </c>
      <c r="F10" s="112">
        <v>3257</v>
      </c>
      <c r="G10" s="112">
        <v>164</v>
      </c>
      <c r="H10" s="128">
        <f t="shared" si="7"/>
        <v>1.8088278281204326</v>
      </c>
      <c r="I10" s="128">
        <v>2217.1799999999998</v>
      </c>
      <c r="J10" s="128"/>
      <c r="K10" s="103"/>
      <c r="L10" s="103"/>
      <c r="M10" s="146">
        <v>195.68</v>
      </c>
      <c r="N10" s="103">
        <f t="shared" si="1"/>
        <v>52.598000000000006</v>
      </c>
      <c r="O10" s="103">
        <v>7</v>
      </c>
      <c r="P10" s="207"/>
      <c r="Q10" s="207">
        <v>779.13</v>
      </c>
      <c r="R10" s="103"/>
      <c r="S10" s="103">
        <v>0</v>
      </c>
      <c r="T10" s="103"/>
      <c r="U10" s="103"/>
      <c r="V10" s="103"/>
      <c r="W10" s="103">
        <f t="shared" si="2"/>
        <v>302.84999999999997</v>
      </c>
      <c r="X10" s="152">
        <v>7.4999999999999997E-2</v>
      </c>
      <c r="Y10" s="153">
        <v>4038</v>
      </c>
      <c r="Z10" s="103">
        <v>90.57</v>
      </c>
      <c r="AA10" s="103">
        <f t="shared" si="3"/>
        <v>342.1</v>
      </c>
      <c r="AB10" s="154">
        <v>0.65</v>
      </c>
      <c r="AC10" s="103">
        <v>95</v>
      </c>
      <c r="AD10" s="103">
        <f>D10-I10-J10-N10-O10-Q10-W10-Z10-AA10-AC10-AB10*E10+M10</f>
        <v>273.60200000000003</v>
      </c>
      <c r="AE10" s="103">
        <f t="shared" ref="AE10:AE11" si="8">AB10*E10</f>
        <v>2223.65</v>
      </c>
    </row>
    <row r="11" spans="1:31">
      <c r="A11" s="184" t="s">
        <v>425</v>
      </c>
      <c r="B11" s="185">
        <v>191276</v>
      </c>
      <c r="C11" s="112">
        <v>7</v>
      </c>
      <c r="D11" s="103">
        <v>8900</v>
      </c>
      <c r="E11" s="102">
        <f t="shared" si="0"/>
        <v>4898</v>
      </c>
      <c r="F11" s="112">
        <v>4528</v>
      </c>
      <c r="G11" s="112">
        <v>370</v>
      </c>
      <c r="H11" s="128">
        <f t="shared" si="7"/>
        <v>1.8170681910984074</v>
      </c>
      <c r="I11" s="146">
        <v>3586.7</v>
      </c>
      <c r="J11" s="128">
        <v>259.45999999999998</v>
      </c>
      <c r="K11" s="103"/>
      <c r="L11" s="103"/>
      <c r="M11" s="146">
        <v>353.69</v>
      </c>
      <c r="N11" s="103">
        <f t="shared" si="1"/>
        <v>75.650000000000006</v>
      </c>
      <c r="O11" s="103">
        <v>7</v>
      </c>
      <c r="P11" s="103"/>
      <c r="Q11" s="103">
        <v>779.13</v>
      </c>
      <c r="R11" s="103"/>
      <c r="S11" s="103">
        <v>0</v>
      </c>
      <c r="T11" s="103"/>
      <c r="U11" s="103"/>
      <c r="V11" s="103"/>
      <c r="W11" s="103">
        <f t="shared" si="2"/>
        <v>383.55</v>
      </c>
      <c r="X11" s="152">
        <v>7.4999999999999997E-2</v>
      </c>
      <c r="Y11" s="153">
        <v>5114</v>
      </c>
      <c r="Z11" s="103">
        <v>90.57</v>
      </c>
      <c r="AA11" s="103">
        <f t="shared" si="3"/>
        <v>489.8</v>
      </c>
      <c r="AB11" s="154">
        <v>0.65</v>
      </c>
      <c r="AC11" s="103">
        <v>95</v>
      </c>
      <c r="AD11" s="103">
        <f>D11-I11-J11-N11-O11-Q11-W11-Z11-AA11-AC11-AB11*E11+M11-K11</f>
        <v>303.1299999999996</v>
      </c>
      <c r="AE11" s="103">
        <f t="shared" si="8"/>
        <v>3183.7000000000003</v>
      </c>
    </row>
    <row r="12" spans="1:31">
      <c r="A12" s="184" t="s">
        <v>488</v>
      </c>
      <c r="B12" s="185">
        <v>191283</v>
      </c>
      <c r="C12" s="112">
        <v>7</v>
      </c>
      <c r="D12" s="103">
        <v>3682</v>
      </c>
      <c r="E12" s="102">
        <f t="shared" si="0"/>
        <v>2373</v>
      </c>
      <c r="F12" s="112">
        <v>2145</v>
      </c>
      <c r="G12" s="112">
        <v>228</v>
      </c>
      <c r="H12" s="128">
        <f t="shared" si="7"/>
        <v>1.5516224188790559</v>
      </c>
      <c r="I12" s="146">
        <v>1554.74</v>
      </c>
      <c r="J12" s="128">
        <v>217.9</v>
      </c>
      <c r="K12" s="103"/>
      <c r="L12" s="103"/>
      <c r="M12" s="146">
        <v>270.25</v>
      </c>
      <c r="N12" s="103">
        <f t="shared" si="1"/>
        <v>31.297000000000001</v>
      </c>
      <c r="O12" s="103">
        <v>7</v>
      </c>
      <c r="P12" s="103"/>
      <c r="Q12" s="103">
        <v>779.13</v>
      </c>
      <c r="R12" s="103"/>
      <c r="S12" s="103">
        <v>0</v>
      </c>
      <c r="T12" s="103"/>
      <c r="U12" s="103"/>
      <c r="V12" s="103"/>
      <c r="W12" s="103">
        <f t="shared" si="2"/>
        <v>225.75</v>
      </c>
      <c r="X12" s="152">
        <v>7.4999999999999997E-2</v>
      </c>
      <c r="Y12" s="153">
        <v>3010</v>
      </c>
      <c r="Z12" s="103">
        <v>90.57</v>
      </c>
      <c r="AA12" s="103">
        <f t="shared" si="3"/>
        <v>237.3</v>
      </c>
      <c r="AB12" s="154">
        <v>0.55000000000000004</v>
      </c>
      <c r="AC12" s="103">
        <v>95</v>
      </c>
      <c r="AD12" s="103">
        <f>D12-I12-J12-N12-O12-Q12-W12-Z12-AA12-AC12-AB12*E12</f>
        <v>-861.83699999999999</v>
      </c>
      <c r="AE12" s="103">
        <f>AB12*E12+K12</f>
        <v>1305.1500000000001</v>
      </c>
    </row>
    <row r="13" spans="1:31">
      <c r="A13" s="190" t="s">
        <v>431</v>
      </c>
      <c r="B13" s="185">
        <v>465180</v>
      </c>
      <c r="C13" s="112">
        <v>7</v>
      </c>
      <c r="D13" s="103">
        <v>5200</v>
      </c>
      <c r="E13" s="102">
        <f t="shared" si="0"/>
        <v>2593</v>
      </c>
      <c r="F13" s="112">
        <v>2460</v>
      </c>
      <c r="G13" s="112">
        <v>133</v>
      </c>
      <c r="H13" s="128">
        <f t="shared" si="7"/>
        <v>2.0053991515618974</v>
      </c>
      <c r="I13" s="146">
        <v>1780.29</v>
      </c>
      <c r="J13" s="128">
        <v>68</v>
      </c>
      <c r="K13" s="103"/>
      <c r="L13" s="103"/>
      <c r="M13" s="146">
        <v>275.32</v>
      </c>
      <c r="N13" s="103">
        <f t="shared" si="1"/>
        <v>44.2</v>
      </c>
      <c r="O13" s="103">
        <v>7</v>
      </c>
      <c r="P13" s="103"/>
      <c r="Q13" s="103">
        <v>789.51</v>
      </c>
      <c r="R13" s="103"/>
      <c r="S13" s="103">
        <v>0</v>
      </c>
      <c r="T13" s="103"/>
      <c r="U13" s="103"/>
      <c r="V13" s="103"/>
      <c r="W13" s="103">
        <f t="shared" si="2"/>
        <v>247.24699999999999</v>
      </c>
      <c r="X13" s="152">
        <v>7.6999999999999999E-2</v>
      </c>
      <c r="Y13" s="153">
        <v>3211</v>
      </c>
      <c r="Z13" s="103">
        <v>90.57</v>
      </c>
      <c r="AA13" s="103">
        <f t="shared" si="3"/>
        <v>259.3</v>
      </c>
      <c r="AB13" s="154">
        <v>0.65</v>
      </c>
      <c r="AC13" s="103">
        <v>95</v>
      </c>
      <c r="AD13" s="103">
        <f>D13-I13-J13-N13-O13-Q13-W13-Z13-AA13-AC13-AB13*E13+M13</f>
        <v>408.75299999999999</v>
      </c>
      <c r="AE13" s="103">
        <f>AB13*E13</f>
        <v>1685.45</v>
      </c>
    </row>
    <row r="14" spans="1:31">
      <c r="A14" s="190" t="s">
        <v>491</v>
      </c>
      <c r="B14" s="185" t="s">
        <v>510</v>
      </c>
      <c r="C14" s="117">
        <v>5</v>
      </c>
      <c r="D14" s="103">
        <v>5050</v>
      </c>
      <c r="E14" s="102">
        <f t="shared" si="0"/>
        <v>2669</v>
      </c>
      <c r="F14" s="112">
        <v>2404</v>
      </c>
      <c r="G14" s="112">
        <v>265</v>
      </c>
      <c r="H14" s="128">
        <f t="shared" si="7"/>
        <v>1.8920944173847882</v>
      </c>
      <c r="I14" s="146">
        <v>1991.76</v>
      </c>
      <c r="J14" s="128">
        <v>212.38</v>
      </c>
      <c r="K14" s="128"/>
      <c r="L14" s="128"/>
      <c r="M14" s="146">
        <v>327.47000000000003</v>
      </c>
      <c r="N14" s="103">
        <f t="shared" si="1"/>
        <v>42.925000000000004</v>
      </c>
      <c r="O14" s="103">
        <v>7</v>
      </c>
      <c r="P14" s="103"/>
      <c r="Q14" s="103">
        <v>789.51</v>
      </c>
      <c r="R14" s="103"/>
      <c r="S14" s="103">
        <v>0</v>
      </c>
      <c r="T14" s="103"/>
      <c r="U14" s="103"/>
      <c r="V14" s="103"/>
      <c r="W14" s="103">
        <f t="shared" si="2"/>
        <v>223.916</v>
      </c>
      <c r="X14" s="152">
        <v>7.6999999999999999E-2</v>
      </c>
      <c r="Y14" s="153">
        <v>2908</v>
      </c>
      <c r="Z14" s="103">
        <v>90.57</v>
      </c>
      <c r="AA14" s="103">
        <f t="shared" si="3"/>
        <v>266.90000000000003</v>
      </c>
      <c r="AB14" s="154">
        <v>0.65</v>
      </c>
      <c r="AC14" s="103">
        <v>95</v>
      </c>
      <c r="AD14" s="103">
        <f>D14-I14-J14-N14-O14-Q14-W14-Z14-AA14-AC14-AB14*E14</f>
        <v>-404.8110000000006</v>
      </c>
      <c r="AE14" s="103">
        <f t="shared" ref="AE14:AE15" si="9">AB14*E14+K14+L14</f>
        <v>1734.8500000000001</v>
      </c>
    </row>
    <row r="15" spans="1:31">
      <c r="A15" s="187" t="s">
        <v>432</v>
      </c>
      <c r="B15" s="185">
        <v>465182</v>
      </c>
      <c r="C15" s="112">
        <v>7</v>
      </c>
      <c r="D15" s="103">
        <v>9300</v>
      </c>
      <c r="E15" s="102">
        <f t="shared" si="0"/>
        <v>5024</v>
      </c>
      <c r="F15" s="112">
        <v>4890</v>
      </c>
      <c r="G15" s="112">
        <v>134</v>
      </c>
      <c r="H15" s="128">
        <f t="shared" si="7"/>
        <v>1.8511146496815287</v>
      </c>
      <c r="I15" s="146">
        <v>3149.16</v>
      </c>
      <c r="J15" s="128">
        <v>200.45</v>
      </c>
      <c r="K15" s="128"/>
      <c r="L15" s="128"/>
      <c r="M15" s="146">
        <v>215.11</v>
      </c>
      <c r="N15" s="103">
        <f t="shared" si="1"/>
        <v>79.050000000000011</v>
      </c>
      <c r="O15" s="103">
        <v>7</v>
      </c>
      <c r="P15" s="103"/>
      <c r="Q15" s="103">
        <v>789.51</v>
      </c>
      <c r="R15" s="103"/>
      <c r="S15" s="103">
        <v>0</v>
      </c>
      <c r="T15" s="103"/>
      <c r="U15" s="103"/>
      <c r="V15" s="103"/>
      <c r="W15" s="103">
        <f t="shared" si="2"/>
        <v>397.85899999999998</v>
      </c>
      <c r="X15" s="152">
        <v>7.6999999999999999E-2</v>
      </c>
      <c r="Y15" s="153">
        <v>5167</v>
      </c>
      <c r="Z15" s="103">
        <v>90.57</v>
      </c>
      <c r="AA15" s="103">
        <f t="shared" si="3"/>
        <v>502.40000000000003</v>
      </c>
      <c r="AB15" s="154">
        <v>0.65</v>
      </c>
      <c r="AC15" s="103">
        <v>95</v>
      </c>
      <c r="AD15" s="103">
        <f>D15-I15-J15-N15-O15-Q15-W15-Z15-AA15-AC15-AB15*E15+M15-K15</f>
        <v>938.51099999999985</v>
      </c>
      <c r="AE15" s="103">
        <f t="shared" si="9"/>
        <v>3265.6</v>
      </c>
    </row>
    <row r="16" spans="1:31">
      <c r="A16" s="190" t="s">
        <v>494</v>
      </c>
      <c r="B16" s="185">
        <v>465183</v>
      </c>
      <c r="C16" s="117">
        <v>7</v>
      </c>
      <c r="D16" s="103">
        <v>6185</v>
      </c>
      <c r="E16" s="102">
        <f t="shared" si="0"/>
        <v>3301</v>
      </c>
      <c r="F16" s="112">
        <v>2819</v>
      </c>
      <c r="G16" s="112">
        <v>482</v>
      </c>
      <c r="H16" s="128">
        <f t="shared" si="7"/>
        <v>1.8736746440472585</v>
      </c>
      <c r="I16" s="146">
        <v>2254.21</v>
      </c>
      <c r="J16" s="128">
        <v>132.13</v>
      </c>
      <c r="K16" s="128"/>
      <c r="L16" s="128"/>
      <c r="M16" s="146">
        <v>489.71</v>
      </c>
      <c r="N16" s="103">
        <f t="shared" si="1"/>
        <v>52.572500000000005</v>
      </c>
      <c r="O16" s="103">
        <v>7</v>
      </c>
      <c r="P16" s="103"/>
      <c r="Q16" s="103">
        <v>789.51</v>
      </c>
      <c r="R16" s="103"/>
      <c r="S16" s="103">
        <v>0</v>
      </c>
      <c r="T16" s="103"/>
      <c r="U16" s="103"/>
      <c r="V16" s="103"/>
      <c r="W16" s="103">
        <f t="shared" si="2"/>
        <v>299.45299999999997</v>
      </c>
      <c r="X16" s="152">
        <v>7.6999999999999999E-2</v>
      </c>
      <c r="Y16" s="153">
        <v>3889</v>
      </c>
      <c r="Z16" s="103">
        <v>90.57</v>
      </c>
      <c r="AA16" s="103">
        <f t="shared" si="3"/>
        <v>330.1</v>
      </c>
      <c r="AB16" s="209">
        <v>0.7</v>
      </c>
      <c r="AC16" s="103">
        <v>95</v>
      </c>
      <c r="AD16" s="103">
        <f t="shared" ref="AD16:AD22" si="10">D16-I16-J16-N16-O16-Q16-W16-Z16-AA16-AC16-AB16*E16+M16</f>
        <v>313.46449999999953</v>
      </c>
      <c r="AE16" s="103">
        <f>AB16*E16+K16</f>
        <v>2310.6999999999998</v>
      </c>
    </row>
    <row r="17" spans="1:32">
      <c r="A17" s="190" t="s">
        <v>435</v>
      </c>
      <c r="B17" s="185">
        <v>465184</v>
      </c>
      <c r="C17" s="117">
        <v>5</v>
      </c>
      <c r="D17" s="103">
        <v>5813</v>
      </c>
      <c r="E17" s="102">
        <f t="shared" si="0"/>
        <v>2720</v>
      </c>
      <c r="F17" s="112">
        <v>2521</v>
      </c>
      <c r="G17" s="112">
        <v>199</v>
      </c>
      <c r="H17" s="128">
        <f t="shared" si="7"/>
        <v>2.1371323529411765</v>
      </c>
      <c r="I17" s="146">
        <v>1834.91</v>
      </c>
      <c r="J17" s="128">
        <v>177.06</v>
      </c>
      <c r="K17" s="128"/>
      <c r="L17" s="128"/>
      <c r="M17" s="146">
        <v>258.10000000000002</v>
      </c>
      <c r="N17" s="103">
        <f t="shared" si="1"/>
        <v>49.410500000000006</v>
      </c>
      <c r="O17" s="103">
        <v>7</v>
      </c>
      <c r="P17" s="103"/>
      <c r="Q17" s="103">
        <v>789.51</v>
      </c>
      <c r="R17" s="103"/>
      <c r="S17" s="103">
        <v>0</v>
      </c>
      <c r="T17" s="103"/>
      <c r="U17" s="103"/>
      <c r="V17" s="103"/>
      <c r="W17" s="103">
        <f t="shared" si="2"/>
        <v>224.14699999999999</v>
      </c>
      <c r="X17" s="152">
        <v>7.6999999999999999E-2</v>
      </c>
      <c r="Y17" s="153">
        <v>2911</v>
      </c>
      <c r="Z17" s="103">
        <v>90.57</v>
      </c>
      <c r="AA17" s="103">
        <f t="shared" si="3"/>
        <v>272</v>
      </c>
      <c r="AB17" s="154">
        <v>0.65</v>
      </c>
      <c r="AC17" s="103">
        <v>95</v>
      </c>
      <c r="AD17" s="103">
        <f t="shared" si="10"/>
        <v>763.4925000000004</v>
      </c>
      <c r="AE17" s="103">
        <f>AB17*E17</f>
        <v>1768</v>
      </c>
    </row>
    <row r="18" spans="1:32">
      <c r="A18" s="187" t="s">
        <v>458</v>
      </c>
      <c r="B18" s="185">
        <v>465185</v>
      </c>
      <c r="C18" s="117">
        <v>7</v>
      </c>
      <c r="D18" s="103">
        <v>6250</v>
      </c>
      <c r="E18" s="102">
        <f t="shared" si="0"/>
        <v>3531</v>
      </c>
      <c r="F18" s="112">
        <v>3375</v>
      </c>
      <c r="G18" s="112">
        <v>156</v>
      </c>
      <c r="H18" s="128">
        <f t="shared" si="7"/>
        <v>1.7700368167657887</v>
      </c>
      <c r="I18" s="146">
        <v>2710.08</v>
      </c>
      <c r="J18" s="128">
        <v>53.09</v>
      </c>
      <c r="K18" s="128"/>
      <c r="L18" s="128"/>
      <c r="M18" s="146">
        <v>635</v>
      </c>
      <c r="N18" s="103">
        <f t="shared" si="1"/>
        <v>53.125000000000007</v>
      </c>
      <c r="O18" s="103">
        <v>7</v>
      </c>
      <c r="P18" s="103"/>
      <c r="Q18" s="103">
        <v>789.51</v>
      </c>
      <c r="R18" s="103"/>
      <c r="S18" s="103">
        <v>0</v>
      </c>
      <c r="T18" s="103"/>
      <c r="U18" s="103"/>
      <c r="V18" s="103"/>
      <c r="W18" s="103">
        <f t="shared" si="2"/>
        <v>286.82499999999999</v>
      </c>
      <c r="X18" s="152">
        <v>7.6999999999999999E-2</v>
      </c>
      <c r="Y18" s="153">
        <v>3725</v>
      </c>
      <c r="Z18" s="103">
        <v>90.57</v>
      </c>
      <c r="AA18" s="103">
        <f t="shared" si="3"/>
        <v>353.1</v>
      </c>
      <c r="AB18" s="212">
        <v>0.7</v>
      </c>
      <c r="AC18" s="103">
        <v>95</v>
      </c>
      <c r="AD18" s="103">
        <f t="shared" si="10"/>
        <v>-25</v>
      </c>
      <c r="AE18" s="103">
        <f t="shared" ref="AE18:AE19" si="11">AB18*E18+K18</f>
        <v>2471.6999999999998</v>
      </c>
    </row>
    <row r="19" spans="1:32">
      <c r="A19" s="190" t="s">
        <v>519</v>
      </c>
      <c r="B19" s="185">
        <v>465186</v>
      </c>
      <c r="C19" s="112">
        <v>4</v>
      </c>
      <c r="D19" s="103">
        <v>2200</v>
      </c>
      <c r="E19" s="102">
        <f t="shared" si="0"/>
        <v>1468</v>
      </c>
      <c r="F19" s="112">
        <v>1018</v>
      </c>
      <c r="G19" s="112">
        <v>450</v>
      </c>
      <c r="H19" s="128">
        <f t="shared" si="7"/>
        <v>1.4986376021798364</v>
      </c>
      <c r="I19" s="146">
        <v>1064.47</v>
      </c>
      <c r="J19" s="128">
        <v>143</v>
      </c>
      <c r="K19" s="128"/>
      <c r="L19" s="128"/>
      <c r="M19" s="146">
        <v>26.6</v>
      </c>
      <c r="N19" s="103">
        <f t="shared" si="1"/>
        <v>18.700000000000003</v>
      </c>
      <c r="O19" s="103">
        <v>7</v>
      </c>
      <c r="P19" s="103"/>
      <c r="Q19" s="103">
        <v>789.51</v>
      </c>
      <c r="R19" s="103"/>
      <c r="S19" s="103">
        <v>0</v>
      </c>
      <c r="T19" s="103"/>
      <c r="U19" s="103"/>
      <c r="V19" s="103"/>
      <c r="W19" s="103">
        <f t="shared" si="2"/>
        <v>131.36199999999999</v>
      </c>
      <c r="X19" s="152">
        <v>7.6999999999999999E-2</v>
      </c>
      <c r="Y19" s="153">
        <v>1706</v>
      </c>
      <c r="Z19" s="103">
        <v>90.57</v>
      </c>
      <c r="AA19" s="103">
        <f t="shared" si="3"/>
        <v>146.80000000000001</v>
      </c>
      <c r="AB19" s="154">
        <v>0.5</v>
      </c>
      <c r="AC19" s="103">
        <v>95</v>
      </c>
      <c r="AD19" s="103">
        <f t="shared" si="10"/>
        <v>-993.81200000000001</v>
      </c>
      <c r="AE19" s="103">
        <f t="shared" si="11"/>
        <v>734</v>
      </c>
    </row>
    <row r="20" spans="1:32">
      <c r="A20" s="187" t="s">
        <v>439</v>
      </c>
      <c r="B20" s="185">
        <v>465187</v>
      </c>
      <c r="C20" s="117">
        <v>3</v>
      </c>
      <c r="D20" s="103">
        <v>2600</v>
      </c>
      <c r="E20" s="102">
        <f t="shared" si="0"/>
        <v>1440</v>
      </c>
      <c r="F20" s="112">
        <v>1313</v>
      </c>
      <c r="G20" s="112">
        <v>127</v>
      </c>
      <c r="H20" s="128">
        <f t="shared" si="7"/>
        <v>1.8055555555555556</v>
      </c>
      <c r="I20" s="146">
        <v>741.21</v>
      </c>
      <c r="J20" s="128">
        <v>3.46</v>
      </c>
      <c r="K20" s="128"/>
      <c r="L20" s="128"/>
      <c r="M20" s="146">
        <v>135.84</v>
      </c>
      <c r="N20" s="103">
        <f t="shared" si="1"/>
        <v>22.1</v>
      </c>
      <c r="O20" s="103">
        <v>7</v>
      </c>
      <c r="P20" s="103"/>
      <c r="Q20" s="103">
        <v>789.51</v>
      </c>
      <c r="R20" s="103"/>
      <c r="S20" s="103">
        <v>0</v>
      </c>
      <c r="T20" s="103"/>
      <c r="U20" s="103"/>
      <c r="V20" s="103"/>
      <c r="W20" s="103">
        <f t="shared" si="2"/>
        <v>108.185</v>
      </c>
      <c r="X20" s="152">
        <v>7.6999999999999999E-2</v>
      </c>
      <c r="Y20" s="153">
        <v>1405</v>
      </c>
      <c r="Z20" s="103">
        <v>90.57</v>
      </c>
      <c r="AA20" s="103">
        <f t="shared" si="3"/>
        <v>144</v>
      </c>
      <c r="AB20" s="212">
        <v>0.7</v>
      </c>
      <c r="AC20" s="103">
        <v>95</v>
      </c>
      <c r="AD20" s="103">
        <f t="shared" si="10"/>
        <v>-273.19499999999971</v>
      </c>
      <c r="AE20" s="103">
        <f t="shared" ref="AE20:AE22" si="12">AB20*E20</f>
        <v>1007.9999999999999</v>
      </c>
    </row>
    <row r="21" spans="1:32">
      <c r="A21" s="190" t="s">
        <v>427</v>
      </c>
      <c r="B21" s="185">
        <v>465188</v>
      </c>
      <c r="C21" s="112">
        <v>7</v>
      </c>
      <c r="D21" s="103">
        <v>5946</v>
      </c>
      <c r="E21" s="102">
        <f t="shared" si="0"/>
        <v>3266</v>
      </c>
      <c r="F21" s="117">
        <v>3217</v>
      </c>
      <c r="G21" s="117">
        <v>49</v>
      </c>
      <c r="H21" s="128">
        <f t="shared" si="7"/>
        <v>1.8205756276791183</v>
      </c>
      <c r="I21" s="146">
        <v>1842.48</v>
      </c>
      <c r="J21" s="128">
        <v>122.07</v>
      </c>
      <c r="K21" s="128"/>
      <c r="L21" s="128"/>
      <c r="M21" s="146">
        <v>201.41</v>
      </c>
      <c r="N21" s="103">
        <f t="shared" si="1"/>
        <v>50.541000000000004</v>
      </c>
      <c r="O21" s="103">
        <v>7</v>
      </c>
      <c r="P21" s="103"/>
      <c r="Q21" s="103">
        <v>789.51</v>
      </c>
      <c r="R21" s="103"/>
      <c r="S21" s="103">
        <v>0</v>
      </c>
      <c r="T21" s="103"/>
      <c r="U21" s="103"/>
      <c r="V21" s="103"/>
      <c r="W21" s="103">
        <f t="shared" si="2"/>
        <v>264.649</v>
      </c>
      <c r="X21" s="152">
        <v>7.6999999999999999E-2</v>
      </c>
      <c r="Y21" s="153">
        <v>3437</v>
      </c>
      <c r="Z21" s="103">
        <v>90.57</v>
      </c>
      <c r="AA21" s="103">
        <f t="shared" si="3"/>
        <v>326.60000000000002</v>
      </c>
      <c r="AB21" s="154">
        <v>0.65</v>
      </c>
      <c r="AC21" s="103">
        <v>95</v>
      </c>
      <c r="AD21" s="103">
        <f t="shared" si="10"/>
        <v>436.09000000000026</v>
      </c>
      <c r="AE21" s="103">
        <f t="shared" si="12"/>
        <v>2122.9</v>
      </c>
    </row>
    <row r="22" spans="1:32">
      <c r="A22" s="184" t="s">
        <v>505</v>
      </c>
      <c r="B22" s="185">
        <v>465189</v>
      </c>
      <c r="C22" s="112">
        <v>7</v>
      </c>
      <c r="D22" s="103">
        <v>10300</v>
      </c>
      <c r="E22" s="102">
        <f t="shared" si="0"/>
        <v>5023</v>
      </c>
      <c r="F22" s="117">
        <v>4816</v>
      </c>
      <c r="G22" s="117">
        <v>207</v>
      </c>
      <c r="H22" s="128">
        <f t="shared" si="7"/>
        <v>2.0505673900059724</v>
      </c>
      <c r="I22" s="146">
        <v>2962.49</v>
      </c>
      <c r="J22" s="128">
        <v>276.94</v>
      </c>
      <c r="K22" s="103"/>
      <c r="L22" s="103"/>
      <c r="M22" s="146">
        <v>64.19</v>
      </c>
      <c r="N22" s="103">
        <f t="shared" si="1"/>
        <v>87.550000000000011</v>
      </c>
      <c r="O22" s="103">
        <v>7</v>
      </c>
      <c r="P22" s="103"/>
      <c r="Q22" s="103">
        <v>789.51</v>
      </c>
      <c r="R22" s="103"/>
      <c r="S22" s="103">
        <v>0</v>
      </c>
      <c r="T22" s="103"/>
      <c r="U22" s="103"/>
      <c r="V22" s="103"/>
      <c r="W22" s="103">
        <f t="shared" si="2"/>
        <v>389.23500000000001</v>
      </c>
      <c r="X22" s="152">
        <v>7.6999999999999999E-2</v>
      </c>
      <c r="Y22" s="155">
        <v>5055</v>
      </c>
      <c r="Z22" s="103">
        <v>90.57</v>
      </c>
      <c r="AA22" s="103">
        <f t="shared" si="3"/>
        <v>502.3</v>
      </c>
      <c r="AB22" s="154">
        <v>0.65</v>
      </c>
      <c r="AC22" s="103">
        <v>95</v>
      </c>
      <c r="AD22" s="103">
        <f t="shared" si="10"/>
        <v>1898.6450000000004</v>
      </c>
      <c r="AE22" s="103">
        <f t="shared" si="12"/>
        <v>3264.9500000000003</v>
      </c>
    </row>
    <row r="23" spans="1:32">
      <c r="A23" s="134" t="s">
        <v>462</v>
      </c>
      <c r="B23" s="135" t="s">
        <v>399</v>
      </c>
      <c r="C23" s="158">
        <v>7</v>
      </c>
      <c r="D23" s="139">
        <v>7048</v>
      </c>
      <c r="E23" s="136">
        <v>2555</v>
      </c>
      <c r="F23" s="136"/>
      <c r="G23" s="136"/>
      <c r="H23" s="128">
        <f t="shared" si="7"/>
        <v>2.7585127201565558</v>
      </c>
      <c r="I23" s="139">
        <v>1240.46</v>
      </c>
      <c r="J23" s="139">
        <v>168.49</v>
      </c>
      <c r="K23" s="139"/>
      <c r="L23" s="139"/>
      <c r="M23" s="139">
        <v>150.15</v>
      </c>
      <c r="N23" s="139">
        <f t="shared" si="1"/>
        <v>59.908000000000001</v>
      </c>
      <c r="O23" s="139">
        <v>0</v>
      </c>
      <c r="P23" s="139"/>
      <c r="Q23" s="139">
        <v>0</v>
      </c>
      <c r="R23" s="139">
        <v>0</v>
      </c>
      <c r="S23" s="139">
        <v>0</v>
      </c>
      <c r="T23" s="139">
        <v>0</v>
      </c>
      <c r="U23" s="139"/>
      <c r="V23" s="139">
        <v>0</v>
      </c>
      <c r="W23" s="139">
        <v>0</v>
      </c>
      <c r="X23" s="159">
        <v>0</v>
      </c>
      <c r="Y23" s="136">
        <v>2555</v>
      </c>
      <c r="Z23" s="139">
        <v>0</v>
      </c>
      <c r="AA23" s="139">
        <f t="shared" si="3"/>
        <v>255.5</v>
      </c>
      <c r="AB23" s="160">
        <v>0.85</v>
      </c>
      <c r="AC23" s="139">
        <v>95</v>
      </c>
      <c r="AD23" s="139">
        <f>D23*0.15-AA23-N23</f>
        <v>741.79200000000003</v>
      </c>
      <c r="AE23" s="139">
        <f>D23*0.85-I23-J23+M23</f>
        <v>4732</v>
      </c>
    </row>
    <row r="24" spans="1:32">
      <c r="A24" s="134" t="s">
        <v>463</v>
      </c>
      <c r="B24" s="135" t="s">
        <v>362</v>
      </c>
      <c r="C24" s="158">
        <v>7</v>
      </c>
      <c r="D24" s="139">
        <v>8397</v>
      </c>
      <c r="E24" s="136">
        <v>2890</v>
      </c>
      <c r="F24" s="136"/>
      <c r="G24" s="136"/>
      <c r="H24" s="128">
        <f t="shared" si="7"/>
        <v>2.9055363321799308</v>
      </c>
      <c r="I24" s="139">
        <v>1581.77</v>
      </c>
      <c r="J24" s="139">
        <v>54.33</v>
      </c>
      <c r="K24" s="139"/>
      <c r="L24" s="139"/>
      <c r="M24" s="139">
        <v>33.76</v>
      </c>
      <c r="N24" s="139">
        <f t="shared" si="1"/>
        <v>71.374500000000012</v>
      </c>
      <c r="O24" s="139">
        <v>7</v>
      </c>
      <c r="P24" s="139"/>
      <c r="Q24" s="139">
        <v>0</v>
      </c>
      <c r="R24" s="139">
        <v>50</v>
      </c>
      <c r="S24" s="139">
        <v>199</v>
      </c>
      <c r="T24" s="139">
        <v>30</v>
      </c>
      <c r="U24" s="139"/>
      <c r="V24" s="139">
        <v>300</v>
      </c>
      <c r="W24" s="139">
        <v>0</v>
      </c>
      <c r="X24" s="159">
        <v>0</v>
      </c>
      <c r="Y24" s="136">
        <v>2890</v>
      </c>
      <c r="Z24" s="139">
        <v>0</v>
      </c>
      <c r="AA24" s="139">
        <f t="shared" si="3"/>
        <v>289</v>
      </c>
      <c r="AB24" s="160">
        <v>0.87</v>
      </c>
      <c r="AC24" s="139">
        <v>95</v>
      </c>
      <c r="AD24" s="139">
        <f>D24*0.13+V24+T24+S24+R24-AA24-N24+M24</f>
        <v>1343.9955000000002</v>
      </c>
      <c r="AE24" s="139">
        <f>D24*0.87-I24-J24-R24-S24-T24-V24</f>
        <v>5090.2900000000009</v>
      </c>
    </row>
    <row r="25" spans="1:32">
      <c r="A25" s="134" t="s">
        <v>464</v>
      </c>
      <c r="B25" s="134">
        <v>1118</v>
      </c>
      <c r="C25" s="158">
        <v>5</v>
      </c>
      <c r="D25" s="139">
        <v>4150</v>
      </c>
      <c r="E25" s="136">
        <v>2450</v>
      </c>
      <c r="F25" s="136"/>
      <c r="G25" s="136"/>
      <c r="H25" s="128">
        <f t="shared" si="7"/>
        <v>1.6938775510204083</v>
      </c>
      <c r="I25" s="139">
        <v>1195</v>
      </c>
      <c r="J25" s="139"/>
      <c r="K25" s="139"/>
      <c r="L25" s="139"/>
      <c r="M25" s="139">
        <v>0</v>
      </c>
      <c r="N25" s="139">
        <f t="shared" si="1"/>
        <v>35.275000000000006</v>
      </c>
      <c r="O25" s="139">
        <v>0</v>
      </c>
      <c r="P25" s="139"/>
      <c r="Q25" s="139">
        <v>0</v>
      </c>
      <c r="R25" s="139">
        <v>0</v>
      </c>
      <c r="S25" s="139">
        <v>0</v>
      </c>
      <c r="T25" s="139">
        <v>0</v>
      </c>
      <c r="U25" s="139"/>
      <c r="V25" s="139">
        <v>0</v>
      </c>
      <c r="W25" s="139">
        <v>0</v>
      </c>
      <c r="X25" s="159">
        <v>0</v>
      </c>
      <c r="Y25" s="136">
        <v>2450</v>
      </c>
      <c r="Z25" s="139">
        <v>0</v>
      </c>
      <c r="AA25" s="139">
        <f t="shared" si="3"/>
        <v>245</v>
      </c>
      <c r="AB25" s="160">
        <v>0.8</v>
      </c>
      <c r="AC25" s="139">
        <v>95</v>
      </c>
      <c r="AD25" s="139">
        <f>D25*0.2-AA25-N25-K25-AC25</f>
        <v>454.72500000000002</v>
      </c>
      <c r="AE25" s="139">
        <f>D25*AB25-I25-J25</f>
        <v>2125</v>
      </c>
    </row>
    <row r="26" spans="1:32">
      <c r="A26" s="134" t="s">
        <v>467</v>
      </c>
      <c r="B26" s="134">
        <v>1122</v>
      </c>
      <c r="C26" s="158">
        <v>6</v>
      </c>
      <c r="D26" s="139">
        <v>2950</v>
      </c>
      <c r="E26" s="136">
        <v>2070</v>
      </c>
      <c r="F26" s="136"/>
      <c r="G26" s="136"/>
      <c r="H26" s="128">
        <f t="shared" si="7"/>
        <v>1.4251207729468598</v>
      </c>
      <c r="I26" s="139">
        <v>1974.78</v>
      </c>
      <c r="J26" s="139">
        <v>42.92</v>
      </c>
      <c r="K26" s="139"/>
      <c r="L26" s="139"/>
      <c r="M26" s="139">
        <v>150.15</v>
      </c>
      <c r="N26" s="139">
        <f t="shared" si="1"/>
        <v>25.075000000000003</v>
      </c>
      <c r="O26" s="139">
        <v>7</v>
      </c>
      <c r="P26" s="139"/>
      <c r="Q26" s="139">
        <v>0</v>
      </c>
      <c r="R26" s="139">
        <v>50</v>
      </c>
      <c r="S26" s="139">
        <v>199</v>
      </c>
      <c r="T26" s="139">
        <v>30</v>
      </c>
      <c r="U26" s="139"/>
      <c r="V26" s="139">
        <v>300</v>
      </c>
      <c r="W26" s="139">
        <v>0</v>
      </c>
      <c r="X26" s="159">
        <v>0</v>
      </c>
      <c r="Y26" s="136">
        <v>2070</v>
      </c>
      <c r="Z26" s="139">
        <v>0</v>
      </c>
      <c r="AA26" s="139">
        <f t="shared" si="3"/>
        <v>207</v>
      </c>
      <c r="AB26" s="160">
        <v>0.8</v>
      </c>
      <c r="AC26" s="139">
        <v>95</v>
      </c>
      <c r="AD26" s="139">
        <f>D26*0.13-AC26-AA26+V26+T26+S26+R26-N26+M26</f>
        <v>785.57499999999993</v>
      </c>
      <c r="AE26" s="139">
        <f>D26*AB26-I26-J26-V26-T26-S26-R26</f>
        <v>-236.7</v>
      </c>
    </row>
    <row r="27" spans="1:32">
      <c r="A27" s="134" t="s">
        <v>520</v>
      </c>
      <c r="B27" s="134">
        <v>1650</v>
      </c>
      <c r="C27" s="158">
        <v>7</v>
      </c>
      <c r="D27" s="139">
        <v>4545</v>
      </c>
      <c r="E27" s="136">
        <v>1974</v>
      </c>
      <c r="F27" s="136"/>
      <c r="G27" s="136"/>
      <c r="H27" s="128">
        <f t="shared" si="7"/>
        <v>2.3024316109422491</v>
      </c>
      <c r="I27" s="139">
        <v>1760.07</v>
      </c>
      <c r="J27" s="139"/>
      <c r="K27" s="139"/>
      <c r="L27" s="139"/>
      <c r="M27" s="139">
        <v>29.96</v>
      </c>
      <c r="N27" s="139"/>
      <c r="O27" s="139"/>
      <c r="P27" s="139"/>
      <c r="Q27" s="139">
        <v>0</v>
      </c>
      <c r="R27" s="139">
        <v>50</v>
      </c>
      <c r="S27" s="139">
        <v>0</v>
      </c>
      <c r="T27" s="139">
        <v>30</v>
      </c>
      <c r="U27" s="139"/>
      <c r="V27" s="139">
        <v>300</v>
      </c>
      <c r="W27" s="139">
        <v>0</v>
      </c>
      <c r="X27" s="159">
        <v>0</v>
      </c>
      <c r="Y27" s="136">
        <v>1974</v>
      </c>
      <c r="Z27" s="139">
        <v>0</v>
      </c>
      <c r="AA27" s="139">
        <f t="shared" si="3"/>
        <v>197.4</v>
      </c>
      <c r="AB27" s="160">
        <v>0.87</v>
      </c>
      <c r="AC27" s="139">
        <v>95</v>
      </c>
      <c r="AD27" s="139">
        <f>D27*0.13+V27+T27+S27+R27-AA27-N27+M27</f>
        <v>803.41000000000008</v>
      </c>
      <c r="AE27" s="139">
        <f>D27*0.87-I27-J27-R27-S27-T27-V27</f>
        <v>1814.08</v>
      </c>
    </row>
    <row r="28" spans="1:32">
      <c r="A28" s="72" t="s">
        <v>89</v>
      </c>
      <c r="B28" s="72">
        <v>25</v>
      </c>
      <c r="C28" s="202">
        <f>AVERAGE(C3:C22)</f>
        <v>6.0588235294117645</v>
      </c>
      <c r="D28" s="201">
        <f t="shared" ref="D28:G28" si="13">SUM(D3:D27)</f>
        <v>139646</v>
      </c>
      <c r="E28" s="201">
        <f t="shared" si="13"/>
        <v>70874</v>
      </c>
      <c r="F28" s="201">
        <f t="shared" si="13"/>
        <v>54858</v>
      </c>
      <c r="G28" s="201">
        <f t="shared" si="13"/>
        <v>4077</v>
      </c>
      <c r="H28" s="201">
        <f>AVERAGE(H3:H27)</f>
        <v>1.9949127354872067</v>
      </c>
      <c r="I28" s="201">
        <f t="shared" ref="I28:AA28" si="14">SUM(I3:I27)</f>
        <v>46797.889999999992</v>
      </c>
      <c r="J28" s="201">
        <f t="shared" si="14"/>
        <v>3280.7300000000005</v>
      </c>
      <c r="K28" s="201">
        <f t="shared" si="14"/>
        <v>0</v>
      </c>
      <c r="L28" s="201">
        <f t="shared" si="14"/>
        <v>0</v>
      </c>
      <c r="M28" s="201">
        <f t="shared" si="14"/>
        <v>5085.2</v>
      </c>
      <c r="N28" s="201">
        <f t="shared" si="14"/>
        <v>1148.3585000000003</v>
      </c>
      <c r="O28" s="201">
        <f t="shared" si="14"/>
        <v>154</v>
      </c>
      <c r="P28" s="201">
        <f t="shared" si="14"/>
        <v>0</v>
      </c>
      <c r="Q28" s="201">
        <f t="shared" si="14"/>
        <v>15686.400000000001</v>
      </c>
      <c r="R28" s="201">
        <f t="shared" si="14"/>
        <v>150</v>
      </c>
      <c r="S28" s="201">
        <f t="shared" si="14"/>
        <v>398</v>
      </c>
      <c r="T28" s="201">
        <f t="shared" si="14"/>
        <v>90</v>
      </c>
      <c r="U28" s="201">
        <f t="shared" si="14"/>
        <v>0</v>
      </c>
      <c r="V28" s="201">
        <f t="shared" si="14"/>
        <v>900</v>
      </c>
      <c r="W28" s="201">
        <f t="shared" si="14"/>
        <v>4783.9529999999995</v>
      </c>
      <c r="X28" s="201">
        <f t="shared" si="14"/>
        <v>1.5199999999999996</v>
      </c>
      <c r="Y28" s="201">
        <f t="shared" si="14"/>
        <v>74834</v>
      </c>
      <c r="Z28" s="201">
        <f t="shared" si="14"/>
        <v>1811.3999999999992</v>
      </c>
      <c r="AA28" s="201">
        <f t="shared" si="14"/>
        <v>7087.4000000000015</v>
      </c>
      <c r="AB28" s="201"/>
      <c r="AC28" s="201">
        <f t="shared" ref="AC28:AE28" si="15">SUM(AC3:AC27)</f>
        <v>2375</v>
      </c>
      <c r="AD28" s="201">
        <f t="shared" si="15"/>
        <v>6713.4684999999963</v>
      </c>
      <c r="AE28" s="201">
        <f t="shared" si="15"/>
        <v>53114.570000000007</v>
      </c>
    </row>
    <row r="29" spans="1:32">
      <c r="A29" s="173"/>
      <c r="B29" s="174"/>
      <c r="C29" s="175"/>
      <c r="D29" s="176"/>
      <c r="E29" s="177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8"/>
      <c r="V29" s="178"/>
      <c r="W29" s="179"/>
      <c r="X29" s="176"/>
      <c r="Y29" s="176"/>
      <c r="Z29" s="176"/>
      <c r="AA29" s="180"/>
      <c r="AB29" s="181"/>
      <c r="AC29" s="176"/>
      <c r="AD29" s="176"/>
    </row>
    <row r="30" spans="1:32">
      <c r="A30" s="461" t="s">
        <v>521</v>
      </c>
      <c r="B30" s="458"/>
      <c r="C30" s="458"/>
      <c r="D30" s="458"/>
      <c r="E30" s="458"/>
      <c r="F30" s="458"/>
      <c r="G30" s="458"/>
      <c r="H30" s="458"/>
      <c r="I30" s="458"/>
      <c r="J30" s="458"/>
      <c r="K30" s="458"/>
      <c r="L30" s="458"/>
      <c r="M30" s="458"/>
      <c r="N30" s="458"/>
      <c r="O30" s="458"/>
      <c r="P30" s="458"/>
      <c r="Q30" s="458"/>
      <c r="R30" s="458"/>
      <c r="S30" s="458"/>
      <c r="T30" s="458"/>
      <c r="U30" s="458"/>
      <c r="V30" s="458"/>
      <c r="W30" s="458"/>
      <c r="X30" s="458"/>
      <c r="Y30" s="458"/>
      <c r="Z30" s="458"/>
      <c r="AA30" s="458"/>
      <c r="AB30" s="458"/>
      <c r="AC30" s="458"/>
      <c r="AD30" s="458"/>
      <c r="AE30" s="458"/>
      <c r="AF30" s="459"/>
    </row>
    <row r="31" spans="1:32">
      <c r="A31" s="95" t="s">
        <v>0</v>
      </c>
      <c r="B31" s="95" t="s">
        <v>1</v>
      </c>
      <c r="C31" s="95" t="s">
        <v>372</v>
      </c>
      <c r="D31" s="95" t="s">
        <v>2</v>
      </c>
      <c r="E31" s="95" t="s">
        <v>413</v>
      </c>
      <c r="F31" s="150" t="s">
        <v>414</v>
      </c>
      <c r="G31" s="150" t="s">
        <v>415</v>
      </c>
      <c r="H31" s="95" t="s">
        <v>416</v>
      </c>
      <c r="I31" s="95" t="s">
        <v>7</v>
      </c>
      <c r="J31" s="95" t="s">
        <v>8</v>
      </c>
      <c r="K31" s="95" t="s">
        <v>287</v>
      </c>
      <c r="L31" s="95" t="s">
        <v>288</v>
      </c>
      <c r="M31" s="95" t="s">
        <v>257</v>
      </c>
      <c r="N31" s="95" t="s">
        <v>373</v>
      </c>
      <c r="O31" s="95" t="s">
        <v>374</v>
      </c>
      <c r="P31" s="95"/>
      <c r="Q31" s="95" t="s">
        <v>375</v>
      </c>
      <c r="R31" s="95" t="s">
        <v>376</v>
      </c>
      <c r="S31" s="95" t="s">
        <v>522</v>
      </c>
      <c r="T31" s="150" t="s">
        <v>378</v>
      </c>
      <c r="U31" s="150"/>
      <c r="V31" s="150" t="s">
        <v>379</v>
      </c>
      <c r="W31" s="150" t="s">
        <v>352</v>
      </c>
      <c r="X31" s="150" t="s">
        <v>523</v>
      </c>
      <c r="Y31" s="95" t="s">
        <v>380</v>
      </c>
      <c r="Z31" s="95" t="s">
        <v>381</v>
      </c>
      <c r="AA31" s="95" t="s">
        <v>382</v>
      </c>
      <c r="AB31" s="95" t="s">
        <v>383</v>
      </c>
      <c r="AC31" s="95" t="s">
        <v>385</v>
      </c>
      <c r="AD31" s="150" t="s">
        <v>333</v>
      </c>
      <c r="AE31" s="95" t="s">
        <v>13</v>
      </c>
      <c r="AF31" s="95" t="s">
        <v>98</v>
      </c>
    </row>
    <row r="32" spans="1:32">
      <c r="A32" s="198"/>
      <c r="B32" s="205">
        <v>191279</v>
      </c>
      <c r="C32" s="112"/>
      <c r="D32" s="103"/>
      <c r="E32" s="102"/>
      <c r="F32" s="153"/>
      <c r="G32" s="102"/>
      <c r="H32" s="128"/>
      <c r="I32" s="146"/>
      <c r="J32" s="128"/>
      <c r="K32" s="103"/>
      <c r="L32" s="103"/>
      <c r="M32" s="128"/>
      <c r="N32" s="103">
        <f t="shared" ref="N32:N55" si="16">D32*0.0085</f>
        <v>0</v>
      </c>
      <c r="O32" s="103">
        <v>7</v>
      </c>
      <c r="P32" s="103"/>
      <c r="Q32" s="103">
        <v>779.13</v>
      </c>
      <c r="R32" s="103"/>
      <c r="S32" s="103">
        <v>0</v>
      </c>
      <c r="T32" s="103"/>
      <c r="U32" s="103"/>
      <c r="V32" s="103"/>
      <c r="W32" s="103">
        <f t="shared" ref="W32:W51" si="17">Z32*Y32</f>
        <v>0</v>
      </c>
      <c r="X32" s="152"/>
      <c r="Y32" s="152">
        <v>7.4999999999999997E-2</v>
      </c>
      <c r="Z32" s="153"/>
      <c r="AA32" s="103">
        <v>90.57</v>
      </c>
      <c r="AB32" s="103">
        <f t="shared" ref="AB32:AB56" si="18">E32*0.1</f>
        <v>0</v>
      </c>
      <c r="AC32" s="154"/>
      <c r="AD32" s="103">
        <v>95</v>
      </c>
      <c r="AE32" s="103">
        <f>D32-I32-J32+M32-N32-O32-Q32-AA32-AB32-AD32-AF32-W32</f>
        <v>-971.7</v>
      </c>
      <c r="AF32" s="103">
        <f>AC32*E32</f>
        <v>0</v>
      </c>
    </row>
    <row r="33" spans="1:32">
      <c r="A33" s="187" t="s">
        <v>429</v>
      </c>
      <c r="B33" s="185">
        <v>191275</v>
      </c>
      <c r="C33" s="112">
        <v>5</v>
      </c>
      <c r="D33" s="103">
        <v>7202</v>
      </c>
      <c r="E33" s="102">
        <f>F33+G33</f>
        <v>3584</v>
      </c>
      <c r="F33" s="112">
        <v>3331</v>
      </c>
      <c r="G33" s="112">
        <v>253</v>
      </c>
      <c r="H33" s="128">
        <f>D33/E33</f>
        <v>2.0094866071428572</v>
      </c>
      <c r="I33" s="146">
        <v>1592.96</v>
      </c>
      <c r="J33" s="128">
        <v>362.18</v>
      </c>
      <c r="K33" s="103"/>
      <c r="L33" s="103"/>
      <c r="M33" s="128">
        <v>134.53</v>
      </c>
      <c r="N33" s="103">
        <f t="shared" si="16"/>
        <v>61.217000000000006</v>
      </c>
      <c r="O33" s="103">
        <v>7</v>
      </c>
      <c r="P33" s="103"/>
      <c r="Q33" s="103">
        <v>779.13</v>
      </c>
      <c r="R33" s="103"/>
      <c r="S33" s="103">
        <v>0</v>
      </c>
      <c r="T33" s="103"/>
      <c r="U33" s="103"/>
      <c r="V33" s="103"/>
      <c r="W33" s="103">
        <f t="shared" si="17"/>
        <v>262.5</v>
      </c>
      <c r="X33" s="152"/>
      <c r="Y33" s="152">
        <v>7.4999999999999997E-2</v>
      </c>
      <c r="Z33" s="153">
        <v>3500</v>
      </c>
      <c r="AA33" s="103">
        <v>90.57</v>
      </c>
      <c r="AB33" s="103">
        <f t="shared" si="18"/>
        <v>358.40000000000003</v>
      </c>
      <c r="AC33" s="213">
        <v>0.27</v>
      </c>
      <c r="AD33" s="103">
        <v>95</v>
      </c>
      <c r="AE33" s="103">
        <f t="shared" ref="AE33:AE35" si="19">D33*73%-J33-K33-N33-O33-Q33-W33-AA33-AB33-AF33</f>
        <v>1391.9229999999995</v>
      </c>
      <c r="AF33" s="103">
        <f t="shared" ref="AF33:AF41" si="20">D33*AC33</f>
        <v>1944.5400000000002</v>
      </c>
    </row>
    <row r="34" spans="1:32">
      <c r="A34" s="211"/>
      <c r="B34" s="205">
        <v>191282</v>
      </c>
      <c r="C34" s="112"/>
      <c r="D34" s="103"/>
      <c r="E34" s="102"/>
      <c r="F34" s="112"/>
      <c r="G34" s="112"/>
      <c r="H34" s="128"/>
      <c r="I34" s="146"/>
      <c r="J34" s="128">
        <v>85.75</v>
      </c>
      <c r="K34" s="103"/>
      <c r="L34" s="103"/>
      <c r="M34" s="146"/>
      <c r="N34" s="103">
        <f t="shared" si="16"/>
        <v>0</v>
      </c>
      <c r="O34" s="103">
        <v>7</v>
      </c>
      <c r="P34" s="103"/>
      <c r="Q34" s="103">
        <v>779.13</v>
      </c>
      <c r="R34" s="103"/>
      <c r="S34" s="103">
        <v>0</v>
      </c>
      <c r="T34" s="103"/>
      <c r="U34" s="103"/>
      <c r="V34" s="103"/>
      <c r="W34" s="103">
        <f t="shared" si="17"/>
        <v>0</v>
      </c>
      <c r="X34" s="152"/>
      <c r="Y34" s="152">
        <v>7.4999999999999997E-2</v>
      </c>
      <c r="Z34" s="153"/>
      <c r="AA34" s="103">
        <v>90.57</v>
      </c>
      <c r="AB34" s="103">
        <f t="shared" si="18"/>
        <v>0</v>
      </c>
      <c r="AC34" s="154"/>
      <c r="AD34" s="103">
        <v>95</v>
      </c>
      <c r="AE34" s="103">
        <f t="shared" si="19"/>
        <v>-962.45</v>
      </c>
      <c r="AF34" s="103">
        <f t="shared" si="20"/>
        <v>0</v>
      </c>
    </row>
    <row r="35" spans="1:32">
      <c r="A35" s="198"/>
      <c r="B35" s="214" t="s">
        <v>507</v>
      </c>
      <c r="C35" s="112"/>
      <c r="D35" s="103"/>
      <c r="E35" s="102"/>
      <c r="F35" s="117"/>
      <c r="G35" s="117"/>
      <c r="H35" s="128"/>
      <c r="I35" s="146"/>
      <c r="J35" s="128"/>
      <c r="K35" s="103"/>
      <c r="L35" s="103"/>
      <c r="M35" s="146"/>
      <c r="N35" s="103">
        <f t="shared" si="16"/>
        <v>0</v>
      </c>
      <c r="O35" s="103">
        <v>7</v>
      </c>
      <c r="P35" s="103"/>
      <c r="Q35" s="103">
        <v>779.13</v>
      </c>
      <c r="R35" s="103"/>
      <c r="S35" s="103">
        <v>0</v>
      </c>
      <c r="T35" s="103"/>
      <c r="U35" s="103"/>
      <c r="V35" s="103"/>
      <c r="W35" s="103">
        <f t="shared" si="17"/>
        <v>0</v>
      </c>
      <c r="X35" s="152"/>
      <c r="Y35" s="152">
        <v>7.4999999999999997E-2</v>
      </c>
      <c r="Z35" s="153"/>
      <c r="AA35" s="103">
        <v>90.57</v>
      </c>
      <c r="AB35" s="103">
        <f t="shared" si="18"/>
        <v>0</v>
      </c>
      <c r="AC35" s="154"/>
      <c r="AD35" s="103">
        <v>95</v>
      </c>
      <c r="AE35" s="103">
        <f t="shared" si="19"/>
        <v>-876.7</v>
      </c>
      <c r="AF35" s="103">
        <f t="shared" si="20"/>
        <v>0</v>
      </c>
    </row>
    <row r="36" spans="1:32">
      <c r="A36" s="187"/>
      <c r="B36" s="205">
        <v>191280</v>
      </c>
      <c r="C36" s="112"/>
      <c r="D36" s="103"/>
      <c r="E36" s="102"/>
      <c r="F36" s="117"/>
      <c r="G36" s="117"/>
      <c r="H36" s="128"/>
      <c r="I36" s="146"/>
      <c r="J36" s="128">
        <v>241.19</v>
      </c>
      <c r="K36" s="103"/>
      <c r="L36" s="103"/>
      <c r="M36" s="146"/>
      <c r="N36" s="103">
        <f t="shared" si="16"/>
        <v>0</v>
      </c>
      <c r="O36" s="103">
        <v>7</v>
      </c>
      <c r="P36" s="103"/>
      <c r="Q36" s="103">
        <v>779.13</v>
      </c>
      <c r="R36" s="103"/>
      <c r="S36" s="103">
        <v>0</v>
      </c>
      <c r="T36" s="103"/>
      <c r="U36" s="103"/>
      <c r="V36" s="103"/>
      <c r="W36" s="103">
        <f t="shared" si="17"/>
        <v>0</v>
      </c>
      <c r="X36" s="152"/>
      <c r="Y36" s="152">
        <v>7.4999999999999997E-2</v>
      </c>
      <c r="Z36" s="153"/>
      <c r="AA36" s="103">
        <v>90.57</v>
      </c>
      <c r="AB36" s="103">
        <f t="shared" si="18"/>
        <v>0</v>
      </c>
      <c r="AC36" s="213">
        <v>0.27</v>
      </c>
      <c r="AD36" s="103">
        <v>95</v>
      </c>
      <c r="AE36" s="103">
        <f t="shared" ref="AE36:AE41" si="21">D36*73%-J36-K36-N36-O36-Q36-W36-AA36-AB36-AF36+M36</f>
        <v>-1117.8899999999999</v>
      </c>
      <c r="AF36" s="103">
        <f t="shared" si="20"/>
        <v>0</v>
      </c>
    </row>
    <row r="37" spans="1:32">
      <c r="A37" s="184" t="s">
        <v>505</v>
      </c>
      <c r="B37" s="185">
        <v>465189</v>
      </c>
      <c r="C37" s="112">
        <v>6</v>
      </c>
      <c r="D37" s="103">
        <v>5191</v>
      </c>
      <c r="E37" s="102">
        <f t="shared" ref="E37:E50" si="22">F37+G37</f>
        <v>2724</v>
      </c>
      <c r="F37" s="117">
        <v>2573</v>
      </c>
      <c r="G37" s="117">
        <v>151</v>
      </c>
      <c r="H37" s="128">
        <f t="shared" ref="H37:H56" si="23">D37/E37</f>
        <v>1.9056534508076359</v>
      </c>
      <c r="I37" s="146">
        <v>1832.64</v>
      </c>
      <c r="J37" s="128">
        <v>416.57</v>
      </c>
      <c r="K37" s="103"/>
      <c r="L37" s="103"/>
      <c r="M37" s="146">
        <v>42.48</v>
      </c>
      <c r="N37" s="103">
        <f t="shared" si="16"/>
        <v>44.1235</v>
      </c>
      <c r="O37" s="103">
        <v>7</v>
      </c>
      <c r="P37" s="103"/>
      <c r="Q37" s="103">
        <v>789.51</v>
      </c>
      <c r="R37" s="103"/>
      <c r="S37" s="103">
        <v>0</v>
      </c>
      <c r="T37" s="103"/>
      <c r="U37" s="103"/>
      <c r="V37" s="103"/>
      <c r="W37" s="103">
        <f t="shared" si="17"/>
        <v>227.304</v>
      </c>
      <c r="X37" s="152"/>
      <c r="Y37" s="152">
        <v>7.6999999999999999E-2</v>
      </c>
      <c r="Z37" s="155">
        <v>2952</v>
      </c>
      <c r="AA37" s="103">
        <v>90.57</v>
      </c>
      <c r="AB37" s="103">
        <f t="shared" si="18"/>
        <v>272.40000000000003</v>
      </c>
      <c r="AC37" s="213">
        <v>0.27</v>
      </c>
      <c r="AD37" s="103">
        <v>95</v>
      </c>
      <c r="AE37" s="103">
        <f t="shared" si="21"/>
        <v>582.86249999999927</v>
      </c>
      <c r="AF37" s="103">
        <f t="shared" si="20"/>
        <v>1401.5700000000002</v>
      </c>
    </row>
    <row r="38" spans="1:32">
      <c r="A38" s="184" t="s">
        <v>524</v>
      </c>
      <c r="B38" s="185">
        <v>191276</v>
      </c>
      <c r="C38" s="112">
        <v>2</v>
      </c>
      <c r="D38" s="103">
        <v>1550</v>
      </c>
      <c r="E38" s="102">
        <f t="shared" si="22"/>
        <v>895</v>
      </c>
      <c r="F38" s="112">
        <v>800</v>
      </c>
      <c r="G38" s="112">
        <v>95</v>
      </c>
      <c r="H38" s="128">
        <f t="shared" si="23"/>
        <v>1.7318435754189945</v>
      </c>
      <c r="I38" s="146">
        <v>566.51</v>
      </c>
      <c r="J38" s="128">
        <v>59.24</v>
      </c>
      <c r="K38" s="103"/>
      <c r="L38" s="103"/>
      <c r="M38" s="146">
        <v>143.44999999999999</v>
      </c>
      <c r="N38" s="103">
        <f t="shared" si="16"/>
        <v>13.175000000000001</v>
      </c>
      <c r="O38" s="103">
        <v>7</v>
      </c>
      <c r="P38" s="103"/>
      <c r="Q38" s="103">
        <v>779.13</v>
      </c>
      <c r="R38" s="103"/>
      <c r="S38" s="103">
        <v>0</v>
      </c>
      <c r="T38" s="103"/>
      <c r="U38" s="103"/>
      <c r="V38" s="103"/>
      <c r="W38" s="103">
        <f t="shared" si="17"/>
        <v>90.674999999999997</v>
      </c>
      <c r="X38" s="152"/>
      <c r="Y38" s="152">
        <v>7.4999999999999997E-2</v>
      </c>
      <c r="Z38" s="153">
        <v>1209</v>
      </c>
      <c r="AA38" s="103">
        <v>90.57</v>
      </c>
      <c r="AB38" s="103">
        <f t="shared" si="18"/>
        <v>89.5</v>
      </c>
      <c r="AC38" s="213">
        <v>0.27</v>
      </c>
      <c r="AD38" s="103">
        <v>95</v>
      </c>
      <c r="AE38" s="103">
        <f t="shared" si="21"/>
        <v>-272.83999999999997</v>
      </c>
      <c r="AF38" s="103">
        <f t="shared" si="20"/>
        <v>418.5</v>
      </c>
    </row>
    <row r="39" spans="1:32">
      <c r="A39" s="184" t="s">
        <v>488</v>
      </c>
      <c r="B39" s="185">
        <v>191283</v>
      </c>
      <c r="C39" s="112">
        <v>6</v>
      </c>
      <c r="D39" s="103">
        <v>5600</v>
      </c>
      <c r="E39" s="102">
        <f t="shared" si="22"/>
        <v>3051</v>
      </c>
      <c r="F39" s="112">
        <v>2861</v>
      </c>
      <c r="G39" s="112">
        <v>190</v>
      </c>
      <c r="H39" s="128">
        <f t="shared" si="23"/>
        <v>1.8354637823664373</v>
      </c>
      <c r="I39" s="146">
        <v>1805.28</v>
      </c>
      <c r="J39" s="128">
        <v>139.88</v>
      </c>
      <c r="K39" s="103"/>
      <c r="L39" s="103"/>
      <c r="M39" s="146">
        <v>296.10000000000002</v>
      </c>
      <c r="N39" s="103">
        <f t="shared" si="16"/>
        <v>47.6</v>
      </c>
      <c r="O39" s="103">
        <v>7</v>
      </c>
      <c r="P39" s="103"/>
      <c r="Q39" s="103">
        <v>779.13</v>
      </c>
      <c r="R39" s="103"/>
      <c r="S39" s="103">
        <v>0</v>
      </c>
      <c r="T39" s="103"/>
      <c r="U39" s="103"/>
      <c r="V39" s="103"/>
      <c r="W39" s="103">
        <f t="shared" si="17"/>
        <v>205.35</v>
      </c>
      <c r="X39" s="152"/>
      <c r="Y39" s="152">
        <v>7.4999999999999997E-2</v>
      </c>
      <c r="Z39" s="153">
        <v>2738</v>
      </c>
      <c r="AA39" s="103">
        <v>90.57</v>
      </c>
      <c r="AB39" s="103">
        <f t="shared" si="18"/>
        <v>305.10000000000002</v>
      </c>
      <c r="AC39" s="213">
        <v>0.27</v>
      </c>
      <c r="AD39" s="103">
        <v>95</v>
      </c>
      <c r="AE39" s="103">
        <f t="shared" si="21"/>
        <v>1297.4699999999998</v>
      </c>
      <c r="AF39" s="103">
        <f t="shared" si="20"/>
        <v>1512</v>
      </c>
    </row>
    <row r="40" spans="1:32">
      <c r="A40" s="190" t="s">
        <v>494</v>
      </c>
      <c r="B40" s="185">
        <v>465183</v>
      </c>
      <c r="C40" s="117">
        <v>7</v>
      </c>
      <c r="D40" s="103">
        <v>10100</v>
      </c>
      <c r="E40" s="102">
        <f t="shared" si="22"/>
        <v>5132</v>
      </c>
      <c r="F40" s="112">
        <v>4873</v>
      </c>
      <c r="G40" s="112">
        <v>259</v>
      </c>
      <c r="H40" s="128">
        <f t="shared" si="23"/>
        <v>1.9680436477007015</v>
      </c>
      <c r="I40" s="146">
        <v>2849.18</v>
      </c>
      <c r="J40" s="128">
        <v>31.75</v>
      </c>
      <c r="K40" s="128"/>
      <c r="L40" s="128"/>
      <c r="M40" s="146">
        <v>525.47</v>
      </c>
      <c r="N40" s="103">
        <f t="shared" si="16"/>
        <v>85.850000000000009</v>
      </c>
      <c r="O40" s="103">
        <v>7</v>
      </c>
      <c r="P40" s="103"/>
      <c r="Q40" s="103">
        <v>789.51</v>
      </c>
      <c r="R40" s="103"/>
      <c r="S40" s="103">
        <v>0</v>
      </c>
      <c r="T40" s="103"/>
      <c r="U40" s="103"/>
      <c r="V40" s="103"/>
      <c r="W40" s="103">
        <f t="shared" si="17"/>
        <v>396.39600000000002</v>
      </c>
      <c r="X40" s="152"/>
      <c r="Y40" s="152">
        <v>7.6999999999999999E-2</v>
      </c>
      <c r="Z40" s="153">
        <v>5148</v>
      </c>
      <c r="AA40" s="103">
        <v>90.57</v>
      </c>
      <c r="AB40" s="103">
        <f t="shared" si="18"/>
        <v>513.20000000000005</v>
      </c>
      <c r="AC40" s="213">
        <v>0.27</v>
      </c>
      <c r="AD40" s="103">
        <v>95</v>
      </c>
      <c r="AE40" s="103">
        <f t="shared" si="21"/>
        <v>3257.1940000000004</v>
      </c>
      <c r="AF40" s="103">
        <f t="shared" si="20"/>
        <v>2727</v>
      </c>
    </row>
    <row r="41" spans="1:32">
      <c r="A41" s="190" t="s">
        <v>435</v>
      </c>
      <c r="B41" s="185">
        <v>465184</v>
      </c>
      <c r="C41" s="117">
        <v>3</v>
      </c>
      <c r="D41" s="103">
        <v>3622</v>
      </c>
      <c r="E41" s="102">
        <f t="shared" si="22"/>
        <v>1662</v>
      </c>
      <c r="F41" s="112">
        <v>1626</v>
      </c>
      <c r="G41" s="112">
        <v>36</v>
      </c>
      <c r="H41" s="128">
        <f t="shared" si="23"/>
        <v>2.1793020457280385</v>
      </c>
      <c r="I41" s="146">
        <v>799</v>
      </c>
      <c r="J41" s="128">
        <v>116.81</v>
      </c>
      <c r="K41" s="128">
        <v>100</v>
      </c>
      <c r="L41" s="128"/>
      <c r="M41" s="146">
        <v>20.76</v>
      </c>
      <c r="N41" s="103">
        <f t="shared" si="16"/>
        <v>30.787000000000003</v>
      </c>
      <c r="O41" s="103">
        <v>7</v>
      </c>
      <c r="P41" s="103"/>
      <c r="Q41" s="103">
        <v>789.51</v>
      </c>
      <c r="R41" s="103"/>
      <c r="S41" s="103">
        <v>0</v>
      </c>
      <c r="T41" s="103"/>
      <c r="U41" s="103"/>
      <c r="V41" s="103"/>
      <c r="W41" s="103">
        <f t="shared" si="17"/>
        <v>133.90299999999999</v>
      </c>
      <c r="X41" s="152"/>
      <c r="Y41" s="152">
        <v>7.6999999999999999E-2</v>
      </c>
      <c r="Z41" s="153">
        <v>1739</v>
      </c>
      <c r="AA41" s="103">
        <v>90.57</v>
      </c>
      <c r="AB41" s="103">
        <f t="shared" si="18"/>
        <v>166.20000000000002</v>
      </c>
      <c r="AC41" s="213">
        <v>0.27</v>
      </c>
      <c r="AD41" s="103">
        <v>95</v>
      </c>
      <c r="AE41" s="103">
        <f t="shared" si="21"/>
        <v>252.10000000000014</v>
      </c>
      <c r="AF41" s="103">
        <f t="shared" si="20"/>
        <v>977.94</v>
      </c>
    </row>
    <row r="42" spans="1:32">
      <c r="A42" s="187" t="s">
        <v>458</v>
      </c>
      <c r="B42" s="185">
        <v>465185</v>
      </c>
      <c r="C42" s="117">
        <v>7</v>
      </c>
      <c r="D42" s="103">
        <v>7075</v>
      </c>
      <c r="E42" s="102">
        <f t="shared" si="22"/>
        <v>3917</v>
      </c>
      <c r="F42" s="112">
        <v>3546</v>
      </c>
      <c r="G42" s="112">
        <v>371</v>
      </c>
      <c r="H42" s="128">
        <f t="shared" si="23"/>
        <v>1.8062292570845035</v>
      </c>
      <c r="I42" s="146">
        <v>2388.85</v>
      </c>
      <c r="J42" s="128">
        <v>81.33</v>
      </c>
      <c r="K42" s="128"/>
      <c r="L42" s="128"/>
      <c r="M42" s="146">
        <v>312.66000000000003</v>
      </c>
      <c r="N42" s="103">
        <f t="shared" si="16"/>
        <v>60.137500000000003</v>
      </c>
      <c r="O42" s="103">
        <v>7</v>
      </c>
      <c r="P42" s="103"/>
      <c r="Q42" s="103">
        <v>789.51</v>
      </c>
      <c r="R42" s="103"/>
      <c r="S42" s="103">
        <v>0</v>
      </c>
      <c r="T42" s="103"/>
      <c r="U42" s="103"/>
      <c r="V42" s="103"/>
      <c r="W42" s="103">
        <f t="shared" si="17"/>
        <v>340.87900000000002</v>
      </c>
      <c r="X42" s="152"/>
      <c r="Y42" s="152">
        <v>7.6999999999999999E-2</v>
      </c>
      <c r="Z42" s="153">
        <v>4427</v>
      </c>
      <c r="AA42" s="103">
        <v>90.57</v>
      </c>
      <c r="AB42" s="103">
        <f t="shared" si="18"/>
        <v>391.70000000000005</v>
      </c>
      <c r="AC42" s="112">
        <v>0.7</v>
      </c>
      <c r="AD42" s="103">
        <v>95</v>
      </c>
      <c r="AE42" s="103">
        <f>D42-I42-J42-N42-O42-Q42-W42-AA42-AB42-AD42-AC42*E42+M42</f>
        <v>400.78349999999972</v>
      </c>
      <c r="AF42" s="103">
        <f>AC42*E42+K42</f>
        <v>2741.8999999999996</v>
      </c>
    </row>
    <row r="43" spans="1:32">
      <c r="A43" s="190" t="s">
        <v>519</v>
      </c>
      <c r="B43" s="185">
        <v>465186</v>
      </c>
      <c r="C43" s="112">
        <v>7</v>
      </c>
      <c r="D43" s="103">
        <v>5550</v>
      </c>
      <c r="E43" s="102">
        <f t="shared" si="22"/>
        <v>2516</v>
      </c>
      <c r="F43" s="112">
        <v>2335</v>
      </c>
      <c r="G43" s="112">
        <v>181</v>
      </c>
      <c r="H43" s="128">
        <f t="shared" si="23"/>
        <v>2.2058823529411766</v>
      </c>
      <c r="I43" s="146">
        <v>2157.1799999999998</v>
      </c>
      <c r="J43" s="128">
        <v>213.5</v>
      </c>
      <c r="K43" s="128"/>
      <c r="L43" s="128"/>
      <c r="M43" s="146">
        <v>51.81</v>
      </c>
      <c r="N43" s="103">
        <f t="shared" si="16"/>
        <v>47.175000000000004</v>
      </c>
      <c r="O43" s="103">
        <v>7</v>
      </c>
      <c r="P43" s="103"/>
      <c r="Q43" s="103">
        <v>789.51</v>
      </c>
      <c r="R43" s="103"/>
      <c r="S43" s="103">
        <v>0</v>
      </c>
      <c r="T43" s="103"/>
      <c r="U43" s="103"/>
      <c r="V43" s="103"/>
      <c r="W43" s="103">
        <f t="shared" si="17"/>
        <v>230.30699999999999</v>
      </c>
      <c r="X43" s="152"/>
      <c r="Y43" s="152">
        <v>7.6999999999999999E-2</v>
      </c>
      <c r="Z43" s="153">
        <v>2991</v>
      </c>
      <c r="AA43" s="103">
        <v>90.57</v>
      </c>
      <c r="AB43" s="103">
        <f t="shared" si="18"/>
        <v>251.60000000000002</v>
      </c>
      <c r="AC43" s="213">
        <v>0.27</v>
      </c>
      <c r="AD43" s="103">
        <v>95</v>
      </c>
      <c r="AE43" s="103">
        <f>D43*73%-J43-K43-N43-O43-Q43-W43-AA43-AB43-AF43+M43</f>
        <v>975.14799999999968</v>
      </c>
      <c r="AF43" s="103">
        <f>D43*AC43</f>
        <v>1498.5</v>
      </c>
    </row>
    <row r="44" spans="1:32">
      <c r="A44" s="187" t="s">
        <v>508</v>
      </c>
      <c r="B44" s="208">
        <v>191274</v>
      </c>
      <c r="C44" s="112">
        <v>7</v>
      </c>
      <c r="D44" s="103">
        <v>5980</v>
      </c>
      <c r="E44" s="102">
        <f t="shared" si="22"/>
        <v>3704</v>
      </c>
      <c r="F44" s="117">
        <v>3487</v>
      </c>
      <c r="G44" s="117">
        <v>217</v>
      </c>
      <c r="H44" s="128">
        <f t="shared" si="23"/>
        <v>1.6144708423326133</v>
      </c>
      <c r="I44" s="146">
        <v>2560.4</v>
      </c>
      <c r="J44" s="128">
        <v>374.35</v>
      </c>
      <c r="K44" s="103"/>
      <c r="L44" s="103"/>
      <c r="M44" s="146">
        <v>497.89</v>
      </c>
      <c r="N44" s="103">
        <f t="shared" si="16"/>
        <v>50.830000000000005</v>
      </c>
      <c r="O44" s="103">
        <v>7</v>
      </c>
      <c r="P44" s="103"/>
      <c r="Q44" s="103">
        <v>779.13</v>
      </c>
      <c r="R44" s="103"/>
      <c r="S44" s="103">
        <v>0</v>
      </c>
      <c r="T44" s="103"/>
      <c r="U44" s="103"/>
      <c r="V44" s="103"/>
      <c r="W44" s="103">
        <f t="shared" si="17"/>
        <v>314.77499999999998</v>
      </c>
      <c r="X44" s="152"/>
      <c r="Y44" s="152">
        <v>7.4999999999999997E-2</v>
      </c>
      <c r="Z44" s="153">
        <v>4197</v>
      </c>
      <c r="AA44" s="103">
        <v>90.57</v>
      </c>
      <c r="AB44" s="103">
        <f t="shared" si="18"/>
        <v>370.40000000000003</v>
      </c>
      <c r="AC44" s="154">
        <v>0.8</v>
      </c>
      <c r="AD44" s="103">
        <v>95</v>
      </c>
      <c r="AE44" s="103">
        <f t="shared" ref="AE44:AE50" si="24">D44-I44-J44-N44-O44-Q44-W44-AA44-AB44-AD44-AC44*E44+M44</f>
        <v>-1127.7650000000003</v>
      </c>
      <c r="AF44" s="103">
        <f t="shared" ref="AF44:AF47" si="25">AC44*E44</f>
        <v>2963.2000000000003</v>
      </c>
    </row>
    <row r="45" spans="1:32">
      <c r="A45" s="187" t="s">
        <v>439</v>
      </c>
      <c r="B45" s="185">
        <v>465187</v>
      </c>
      <c r="C45" s="117">
        <v>7</v>
      </c>
      <c r="D45" s="103">
        <v>7700</v>
      </c>
      <c r="E45" s="102">
        <f t="shared" si="22"/>
        <v>4056</v>
      </c>
      <c r="F45" s="112">
        <v>3777</v>
      </c>
      <c r="G45" s="112">
        <v>279</v>
      </c>
      <c r="H45" s="128">
        <f t="shared" si="23"/>
        <v>1.8984220907297831</v>
      </c>
      <c r="I45" s="146">
        <v>2421.37</v>
      </c>
      <c r="J45" s="128">
        <v>115.68</v>
      </c>
      <c r="K45" s="128"/>
      <c r="L45" s="128"/>
      <c r="M45" s="146">
        <v>94.93</v>
      </c>
      <c r="N45" s="103">
        <f t="shared" si="16"/>
        <v>65.45</v>
      </c>
      <c r="O45" s="103">
        <v>7</v>
      </c>
      <c r="P45" s="103"/>
      <c r="Q45" s="103">
        <v>789.51</v>
      </c>
      <c r="R45" s="103"/>
      <c r="S45" s="103">
        <v>0</v>
      </c>
      <c r="T45" s="103"/>
      <c r="U45" s="103"/>
      <c r="V45" s="103"/>
      <c r="W45" s="103">
        <f t="shared" si="17"/>
        <v>316.70100000000002</v>
      </c>
      <c r="X45" s="152"/>
      <c r="Y45" s="152">
        <v>7.6999999999999999E-2</v>
      </c>
      <c r="Z45" s="153">
        <v>4113</v>
      </c>
      <c r="AA45" s="103">
        <v>90.57</v>
      </c>
      <c r="AB45" s="103">
        <f t="shared" si="18"/>
        <v>405.6</v>
      </c>
      <c r="AC45" s="154">
        <v>0.6</v>
      </c>
      <c r="AD45" s="103">
        <v>95</v>
      </c>
      <c r="AE45" s="103">
        <f t="shared" si="24"/>
        <v>1054.4489999999998</v>
      </c>
      <c r="AF45" s="103">
        <f t="shared" si="25"/>
        <v>2433.6</v>
      </c>
    </row>
    <row r="46" spans="1:32">
      <c r="A46" s="187" t="s">
        <v>525</v>
      </c>
      <c r="B46" s="208">
        <v>191281</v>
      </c>
      <c r="C46" s="112">
        <v>7</v>
      </c>
      <c r="D46" s="103">
        <v>7100</v>
      </c>
      <c r="E46" s="102">
        <f t="shared" si="22"/>
        <v>3341</v>
      </c>
      <c r="F46" s="112">
        <v>3092</v>
      </c>
      <c r="G46" s="112">
        <v>249</v>
      </c>
      <c r="H46" s="128">
        <f t="shared" si="23"/>
        <v>2.1251122418437594</v>
      </c>
      <c r="I46" s="128">
        <v>1585.54</v>
      </c>
      <c r="J46" s="128">
        <v>223.07</v>
      </c>
      <c r="K46" s="103"/>
      <c r="L46" s="103"/>
      <c r="M46" s="146">
        <v>148.25</v>
      </c>
      <c r="N46" s="103">
        <f t="shared" si="16"/>
        <v>60.35</v>
      </c>
      <c r="O46" s="103">
        <v>7</v>
      </c>
      <c r="P46" s="103"/>
      <c r="Q46" s="103">
        <v>779.13</v>
      </c>
      <c r="R46" s="103"/>
      <c r="S46" s="103">
        <v>0</v>
      </c>
      <c r="T46" s="103"/>
      <c r="U46" s="103"/>
      <c r="V46" s="103"/>
      <c r="W46" s="103">
        <f t="shared" si="17"/>
        <v>251.25</v>
      </c>
      <c r="X46" s="152"/>
      <c r="Y46" s="152">
        <v>7.4999999999999997E-2</v>
      </c>
      <c r="Z46" s="153">
        <v>3350</v>
      </c>
      <c r="AA46" s="103">
        <v>90.57</v>
      </c>
      <c r="AB46" s="103">
        <f t="shared" si="18"/>
        <v>334.1</v>
      </c>
      <c r="AC46" s="154">
        <v>0.65</v>
      </c>
      <c r="AD46" s="103">
        <v>95</v>
      </c>
      <c r="AE46" s="103">
        <f t="shared" si="24"/>
        <v>1650.5900000000001</v>
      </c>
      <c r="AF46" s="103">
        <f t="shared" si="25"/>
        <v>2171.65</v>
      </c>
    </row>
    <row r="47" spans="1:32">
      <c r="A47" s="190" t="s">
        <v>427</v>
      </c>
      <c r="B47" s="185">
        <v>465188</v>
      </c>
      <c r="C47" s="112">
        <v>4</v>
      </c>
      <c r="D47" s="103">
        <v>3450</v>
      </c>
      <c r="E47" s="102">
        <f t="shared" si="22"/>
        <v>2119</v>
      </c>
      <c r="F47" s="117">
        <v>1765</v>
      </c>
      <c r="G47" s="117">
        <v>354</v>
      </c>
      <c r="H47" s="128">
        <f t="shared" si="23"/>
        <v>1.6281264747522417</v>
      </c>
      <c r="I47" s="146">
        <v>1075.26</v>
      </c>
      <c r="J47" s="128">
        <v>95.21</v>
      </c>
      <c r="K47" s="128"/>
      <c r="L47" s="128"/>
      <c r="M47" s="146">
        <v>176.72</v>
      </c>
      <c r="N47" s="103">
        <f t="shared" si="16"/>
        <v>29.325000000000003</v>
      </c>
      <c r="O47" s="103">
        <v>7</v>
      </c>
      <c r="P47" s="103"/>
      <c r="Q47" s="103">
        <v>789.51</v>
      </c>
      <c r="R47" s="103"/>
      <c r="S47" s="103">
        <v>0</v>
      </c>
      <c r="T47" s="103"/>
      <c r="U47" s="103"/>
      <c r="V47" s="103"/>
      <c r="W47" s="103">
        <f t="shared" si="17"/>
        <v>133.749</v>
      </c>
      <c r="X47" s="152"/>
      <c r="Y47" s="152">
        <v>7.6999999999999999E-2</v>
      </c>
      <c r="Z47" s="153">
        <v>1737</v>
      </c>
      <c r="AA47" s="103">
        <v>90.57</v>
      </c>
      <c r="AB47" s="103">
        <f t="shared" si="18"/>
        <v>211.9</v>
      </c>
      <c r="AC47" s="154">
        <v>0.6</v>
      </c>
      <c r="AD47" s="103">
        <v>95</v>
      </c>
      <c r="AE47" s="103">
        <f t="shared" si="24"/>
        <v>-172.20399999999987</v>
      </c>
      <c r="AF47" s="103">
        <f t="shared" si="25"/>
        <v>1271.3999999999999</v>
      </c>
    </row>
    <row r="48" spans="1:32">
      <c r="A48" s="184" t="s">
        <v>515</v>
      </c>
      <c r="B48" s="185">
        <v>191277</v>
      </c>
      <c r="C48" s="112">
        <v>7</v>
      </c>
      <c r="D48" s="103">
        <v>8536</v>
      </c>
      <c r="E48" s="102">
        <f t="shared" si="22"/>
        <v>4347</v>
      </c>
      <c r="F48" s="117">
        <v>4099</v>
      </c>
      <c r="G48" s="117">
        <v>248</v>
      </c>
      <c r="H48" s="128">
        <f t="shared" si="23"/>
        <v>1.9636530940878767</v>
      </c>
      <c r="I48" s="146">
        <v>2783.67</v>
      </c>
      <c r="J48" s="128">
        <v>1.84</v>
      </c>
      <c r="K48" s="103">
        <v>100</v>
      </c>
      <c r="L48" s="103">
        <v>200</v>
      </c>
      <c r="M48" s="146">
        <v>438.48</v>
      </c>
      <c r="N48" s="103">
        <f t="shared" si="16"/>
        <v>72.556000000000012</v>
      </c>
      <c r="O48" s="103">
        <v>7</v>
      </c>
      <c r="P48" s="103"/>
      <c r="Q48" s="103">
        <v>779.13</v>
      </c>
      <c r="R48" s="103"/>
      <c r="S48" s="103">
        <v>0</v>
      </c>
      <c r="T48" s="103"/>
      <c r="U48" s="103"/>
      <c r="V48" s="103"/>
      <c r="W48" s="103">
        <f t="shared" si="17"/>
        <v>292.34999999999997</v>
      </c>
      <c r="X48" s="152"/>
      <c r="Y48" s="152">
        <v>7.4999999999999997E-2</v>
      </c>
      <c r="Z48" s="153">
        <v>3898</v>
      </c>
      <c r="AA48" s="103">
        <v>90.57</v>
      </c>
      <c r="AB48" s="103">
        <f t="shared" si="18"/>
        <v>434.70000000000005</v>
      </c>
      <c r="AC48" s="154">
        <v>0.6</v>
      </c>
      <c r="AD48" s="103">
        <v>95</v>
      </c>
      <c r="AE48" s="103">
        <f t="shared" si="24"/>
        <v>1809.4640000000004</v>
      </c>
      <c r="AF48" s="103">
        <f t="shared" ref="AF48:AF49" si="26">AC48*E48+K48-L48</f>
        <v>2508.1999999999998</v>
      </c>
    </row>
    <row r="49" spans="1:32">
      <c r="A49" s="190" t="s">
        <v>431</v>
      </c>
      <c r="B49" s="185">
        <v>465180</v>
      </c>
      <c r="C49" s="112">
        <v>5</v>
      </c>
      <c r="D49" s="103">
        <v>4307</v>
      </c>
      <c r="E49" s="102">
        <f t="shared" si="22"/>
        <v>2489</v>
      </c>
      <c r="F49" s="112">
        <v>2239</v>
      </c>
      <c r="G49" s="112">
        <v>250</v>
      </c>
      <c r="H49" s="128">
        <f t="shared" si="23"/>
        <v>1.7304138208115709</v>
      </c>
      <c r="I49" s="146">
        <v>1645.14</v>
      </c>
      <c r="J49" s="128">
        <v>21</v>
      </c>
      <c r="K49" s="103"/>
      <c r="L49" s="103"/>
      <c r="M49" s="146">
        <v>308.86</v>
      </c>
      <c r="N49" s="103">
        <f t="shared" si="16"/>
        <v>36.609500000000004</v>
      </c>
      <c r="O49" s="103">
        <v>7</v>
      </c>
      <c r="P49" s="103"/>
      <c r="Q49" s="103">
        <v>789.51</v>
      </c>
      <c r="R49" s="103"/>
      <c r="S49" s="103">
        <v>0</v>
      </c>
      <c r="T49" s="103"/>
      <c r="U49" s="103"/>
      <c r="V49" s="103"/>
      <c r="W49" s="103">
        <f t="shared" si="17"/>
        <v>186.34</v>
      </c>
      <c r="X49" s="152"/>
      <c r="Y49" s="152">
        <v>7.6999999999999999E-2</v>
      </c>
      <c r="Z49" s="153">
        <v>2420</v>
      </c>
      <c r="AA49" s="103">
        <v>90.57</v>
      </c>
      <c r="AB49" s="103">
        <f t="shared" si="18"/>
        <v>248.9</v>
      </c>
      <c r="AC49" s="112">
        <v>0.65</v>
      </c>
      <c r="AD49" s="103">
        <v>95</v>
      </c>
      <c r="AE49" s="103">
        <f t="shared" si="24"/>
        <v>-122.05950000000041</v>
      </c>
      <c r="AF49" s="103">
        <f t="shared" si="26"/>
        <v>1617.8500000000001</v>
      </c>
    </row>
    <row r="50" spans="1:32">
      <c r="A50" s="190" t="s">
        <v>491</v>
      </c>
      <c r="B50" s="185" t="s">
        <v>510</v>
      </c>
      <c r="C50" s="117">
        <v>7</v>
      </c>
      <c r="D50" s="103">
        <v>6195</v>
      </c>
      <c r="E50" s="102">
        <f t="shared" si="22"/>
        <v>3147</v>
      </c>
      <c r="F50" s="112">
        <v>2550</v>
      </c>
      <c r="G50" s="112">
        <v>597</v>
      </c>
      <c r="H50" s="128">
        <f t="shared" si="23"/>
        <v>1.9685414680648237</v>
      </c>
      <c r="I50" s="146">
        <v>2177</v>
      </c>
      <c r="J50" s="128">
        <v>162.72999999999999</v>
      </c>
      <c r="K50" s="128">
        <v>100</v>
      </c>
      <c r="L50" s="128"/>
      <c r="M50" s="146">
        <v>294.58999999999997</v>
      </c>
      <c r="N50" s="103">
        <f t="shared" si="16"/>
        <v>52.657500000000006</v>
      </c>
      <c r="O50" s="103">
        <v>7</v>
      </c>
      <c r="P50" s="103"/>
      <c r="Q50" s="103">
        <v>789.51</v>
      </c>
      <c r="R50" s="103"/>
      <c r="S50" s="103">
        <v>0</v>
      </c>
      <c r="T50" s="103"/>
      <c r="U50" s="103"/>
      <c r="V50" s="103"/>
      <c r="W50" s="103">
        <f t="shared" si="17"/>
        <v>312.774</v>
      </c>
      <c r="X50" s="152"/>
      <c r="Y50" s="152">
        <v>7.6999999999999999E-2</v>
      </c>
      <c r="Z50" s="153">
        <v>4062</v>
      </c>
      <c r="AA50" s="103">
        <v>90.57</v>
      </c>
      <c r="AB50" s="103">
        <f t="shared" si="18"/>
        <v>314.70000000000005</v>
      </c>
      <c r="AC50" s="154">
        <v>0.6</v>
      </c>
      <c r="AD50" s="103">
        <v>95</v>
      </c>
      <c r="AE50" s="103">
        <f t="shared" si="24"/>
        <v>599.44850000000019</v>
      </c>
      <c r="AF50" s="103">
        <f>AC50*E50+K50+L50</f>
        <v>1988.1999999999998</v>
      </c>
    </row>
    <row r="51" spans="1:32">
      <c r="A51" s="215" t="s">
        <v>526</v>
      </c>
      <c r="B51" s="216">
        <v>465182</v>
      </c>
      <c r="C51" s="217">
        <v>7</v>
      </c>
      <c r="D51" s="218">
        <v>10847</v>
      </c>
      <c r="E51" s="219" t="s">
        <v>527</v>
      </c>
      <c r="F51" s="217"/>
      <c r="G51" s="217"/>
      <c r="H51" s="128">
        <f t="shared" si="23"/>
        <v>2.083157288265796</v>
      </c>
      <c r="I51" s="220">
        <v>1853.93</v>
      </c>
      <c r="J51" s="221">
        <v>415.19</v>
      </c>
      <c r="K51" s="221"/>
      <c r="L51" s="221"/>
      <c r="M51" s="220">
        <v>11.6</v>
      </c>
      <c r="N51" s="218">
        <f t="shared" si="16"/>
        <v>92.1995</v>
      </c>
      <c r="O51" s="218">
        <v>7</v>
      </c>
      <c r="P51" s="218"/>
      <c r="Q51" s="218">
        <v>789.51</v>
      </c>
      <c r="R51" s="218">
        <v>50</v>
      </c>
      <c r="S51" s="218">
        <v>1200</v>
      </c>
      <c r="T51" s="218">
        <v>30</v>
      </c>
      <c r="U51" s="218"/>
      <c r="V51" s="218">
        <v>300</v>
      </c>
      <c r="W51" s="218">
        <f t="shared" si="17"/>
        <v>400.93900000000002</v>
      </c>
      <c r="X51" s="218">
        <f>0.15*Z51</f>
        <v>781.05</v>
      </c>
      <c r="Y51" s="222">
        <v>7.6999999999999999E-2</v>
      </c>
      <c r="Z51" s="219" t="s">
        <v>527</v>
      </c>
      <c r="AA51" s="218">
        <v>90.57</v>
      </c>
      <c r="AB51" s="218">
        <f t="shared" si="18"/>
        <v>520.70000000000005</v>
      </c>
      <c r="AC51" s="223">
        <v>0.87</v>
      </c>
      <c r="AD51" s="218">
        <v>95</v>
      </c>
      <c r="AE51" s="103">
        <f>D51*13%+R51+T51+S51+V51-Q51-W51-AA51-AD51+X51-N51+M51</f>
        <v>2314.5415000000003</v>
      </c>
      <c r="AF51" s="103">
        <f>D51*AC51-I51-J51-S51-R51-T51-V51-X51</f>
        <v>4806.7199999999993</v>
      </c>
    </row>
    <row r="52" spans="1:32">
      <c r="A52" s="134" t="s">
        <v>462</v>
      </c>
      <c r="B52" s="135" t="s">
        <v>399</v>
      </c>
      <c r="C52" s="158">
        <v>7</v>
      </c>
      <c r="D52" s="139">
        <v>8341</v>
      </c>
      <c r="E52" s="136">
        <v>3905</v>
      </c>
      <c r="F52" s="136"/>
      <c r="G52" s="136"/>
      <c r="H52" s="128">
        <f t="shared" si="23"/>
        <v>2.135979513444302</v>
      </c>
      <c r="I52" s="139">
        <v>2164.69</v>
      </c>
      <c r="J52" s="139">
        <v>300.51</v>
      </c>
      <c r="K52" s="139"/>
      <c r="L52" s="139"/>
      <c r="M52" s="139">
        <v>100.44</v>
      </c>
      <c r="N52" s="139">
        <f t="shared" si="16"/>
        <v>70.898499999999999</v>
      </c>
      <c r="O52" s="139">
        <v>0</v>
      </c>
      <c r="P52" s="139"/>
      <c r="Q52" s="139">
        <v>0</v>
      </c>
      <c r="R52" s="139">
        <v>0</v>
      </c>
      <c r="S52" s="139">
        <v>0</v>
      </c>
      <c r="T52" s="139">
        <v>0</v>
      </c>
      <c r="U52" s="139"/>
      <c r="V52" s="139">
        <v>0</v>
      </c>
      <c r="W52" s="139">
        <v>0</v>
      </c>
      <c r="X52" s="159"/>
      <c r="Y52" s="159">
        <v>0</v>
      </c>
      <c r="Z52" s="136">
        <v>3905</v>
      </c>
      <c r="AA52" s="139">
        <v>0</v>
      </c>
      <c r="AB52" s="139">
        <f t="shared" si="18"/>
        <v>390.5</v>
      </c>
      <c r="AC52" s="160">
        <v>0.85</v>
      </c>
      <c r="AD52" s="139">
        <v>95</v>
      </c>
      <c r="AE52" s="139">
        <f>D52*0.15-AB52-N52+M52</f>
        <v>890.19149999999991</v>
      </c>
      <c r="AF52" s="139">
        <f>D52*0.85-I52-J52+M52</f>
        <v>4725.0899999999992</v>
      </c>
    </row>
    <row r="53" spans="1:32">
      <c r="A53" s="134" t="s">
        <v>528</v>
      </c>
      <c r="B53" s="135" t="s">
        <v>362</v>
      </c>
      <c r="C53" s="158">
        <v>4</v>
      </c>
      <c r="D53" s="139">
        <v>3350</v>
      </c>
      <c r="E53" s="136">
        <v>3711</v>
      </c>
      <c r="F53" s="136"/>
      <c r="G53" s="136"/>
      <c r="H53" s="128">
        <f t="shared" si="23"/>
        <v>0.90272163837240638</v>
      </c>
      <c r="I53" s="139">
        <v>1847.91</v>
      </c>
      <c r="J53" s="139">
        <v>219.96</v>
      </c>
      <c r="K53" s="139"/>
      <c r="L53" s="139"/>
      <c r="M53" s="139">
        <v>25.26</v>
      </c>
      <c r="N53" s="139">
        <f t="shared" si="16"/>
        <v>28.475000000000001</v>
      </c>
      <c r="O53" s="139">
        <v>7</v>
      </c>
      <c r="P53" s="139"/>
      <c r="Q53" s="139">
        <v>0</v>
      </c>
      <c r="R53" s="139">
        <v>50</v>
      </c>
      <c r="S53" s="139">
        <v>199</v>
      </c>
      <c r="T53" s="139">
        <v>30</v>
      </c>
      <c r="U53" s="139"/>
      <c r="V53" s="139">
        <v>300</v>
      </c>
      <c r="W53" s="139">
        <v>0</v>
      </c>
      <c r="X53" s="159"/>
      <c r="Y53" s="159">
        <v>0</v>
      </c>
      <c r="Z53" s="136">
        <v>3711</v>
      </c>
      <c r="AA53" s="139">
        <v>0</v>
      </c>
      <c r="AB53" s="139">
        <f t="shared" si="18"/>
        <v>371.1</v>
      </c>
      <c r="AC53" s="160">
        <v>0.87</v>
      </c>
      <c r="AD53" s="139">
        <v>95</v>
      </c>
      <c r="AE53" s="139">
        <f>D53*0.13+V53+T53+S53+R53-AB53-N53+M53</f>
        <v>640.18499999999995</v>
      </c>
      <c r="AF53" s="139">
        <f>D53*0.87-I53-J53-R53-S53-T53-V53</f>
        <v>267.62999999999988</v>
      </c>
    </row>
    <row r="54" spans="1:32">
      <c r="A54" s="134" t="s">
        <v>529</v>
      </c>
      <c r="B54" s="134">
        <v>1118</v>
      </c>
      <c r="C54" s="158">
        <v>7</v>
      </c>
      <c r="D54" s="139">
        <v>4800</v>
      </c>
      <c r="E54" s="136">
        <v>2688</v>
      </c>
      <c r="F54" s="136"/>
      <c r="G54" s="136"/>
      <c r="H54" s="128">
        <f t="shared" si="23"/>
        <v>1.7857142857142858</v>
      </c>
      <c r="I54" s="139">
        <v>1211.9100000000001</v>
      </c>
      <c r="J54" s="139">
        <v>44.94</v>
      </c>
      <c r="K54" s="139"/>
      <c r="L54" s="139"/>
      <c r="M54" s="139">
        <v>0</v>
      </c>
      <c r="N54" s="139">
        <f t="shared" si="16"/>
        <v>40.800000000000004</v>
      </c>
      <c r="O54" s="139">
        <v>0</v>
      </c>
      <c r="P54" s="139"/>
      <c r="Q54" s="139">
        <v>0</v>
      </c>
      <c r="R54" s="139">
        <v>0</v>
      </c>
      <c r="S54" s="139">
        <v>0</v>
      </c>
      <c r="T54" s="139">
        <v>0</v>
      </c>
      <c r="U54" s="139"/>
      <c r="V54" s="139">
        <v>0</v>
      </c>
      <c r="W54" s="139">
        <v>0</v>
      </c>
      <c r="X54" s="159"/>
      <c r="Y54" s="159">
        <v>0</v>
      </c>
      <c r="Z54" s="136">
        <v>2688</v>
      </c>
      <c r="AA54" s="139">
        <v>0</v>
      </c>
      <c r="AB54" s="139">
        <f t="shared" si="18"/>
        <v>268.8</v>
      </c>
      <c r="AC54" s="160">
        <v>0.8</v>
      </c>
      <c r="AD54" s="139">
        <v>95</v>
      </c>
      <c r="AE54" s="139">
        <f>D54*0.2-AB54-N54-K54-AD54</f>
        <v>555.40000000000009</v>
      </c>
      <c r="AF54" s="139">
        <f>D54*AC54-I54-J54</f>
        <v>2583.15</v>
      </c>
    </row>
    <row r="55" spans="1:32">
      <c r="A55" s="134" t="s">
        <v>467</v>
      </c>
      <c r="B55" s="134">
        <v>1122</v>
      </c>
      <c r="C55" s="158">
        <v>7</v>
      </c>
      <c r="D55" s="139">
        <v>6200</v>
      </c>
      <c r="E55" s="136">
        <v>2363</v>
      </c>
      <c r="F55" s="136"/>
      <c r="G55" s="136"/>
      <c r="H55" s="128">
        <f t="shared" si="23"/>
        <v>2.6237833262801522</v>
      </c>
      <c r="I55" s="224">
        <v>1314.11</v>
      </c>
      <c r="J55" s="139">
        <v>118.08</v>
      </c>
      <c r="K55" s="139"/>
      <c r="L55" s="139"/>
      <c r="M55" s="139"/>
      <c r="N55" s="139">
        <f t="shared" si="16"/>
        <v>52.7</v>
      </c>
      <c r="O55" s="139">
        <v>7</v>
      </c>
      <c r="P55" s="139"/>
      <c r="Q55" s="139">
        <v>0</v>
      </c>
      <c r="R55" s="139">
        <v>50</v>
      </c>
      <c r="S55" s="139">
        <v>199</v>
      </c>
      <c r="T55" s="139">
        <v>30</v>
      </c>
      <c r="U55" s="139"/>
      <c r="V55" s="139">
        <v>300</v>
      </c>
      <c r="W55" s="139">
        <v>0</v>
      </c>
      <c r="X55" s="159"/>
      <c r="Y55" s="159">
        <v>0</v>
      </c>
      <c r="Z55" s="136">
        <v>2363</v>
      </c>
      <c r="AA55" s="139">
        <v>0</v>
      </c>
      <c r="AB55" s="139">
        <f t="shared" si="18"/>
        <v>236.3</v>
      </c>
      <c r="AC55" s="160">
        <v>0.87</v>
      </c>
      <c r="AD55" s="139">
        <v>95</v>
      </c>
      <c r="AE55" s="139">
        <f>D55*0.13-AD55-AB55+V55+T55+S55+R55-N55+M55</f>
        <v>1001</v>
      </c>
      <c r="AF55" s="139">
        <f>D55*AC55-I55-J55-V55-T55-S55-R55</f>
        <v>3382.8100000000004</v>
      </c>
    </row>
    <row r="56" spans="1:32">
      <c r="A56" s="134" t="s">
        <v>520</v>
      </c>
      <c r="B56" s="134">
        <v>1650</v>
      </c>
      <c r="C56" s="158">
        <v>4</v>
      </c>
      <c r="D56" s="139">
        <v>2950</v>
      </c>
      <c r="E56" s="136">
        <v>1624</v>
      </c>
      <c r="F56" s="136"/>
      <c r="G56" s="136"/>
      <c r="H56" s="128">
        <f t="shared" si="23"/>
        <v>1.8165024630541873</v>
      </c>
      <c r="I56" s="139">
        <v>1313.99</v>
      </c>
      <c r="J56" s="139"/>
      <c r="K56" s="139"/>
      <c r="L56" s="139"/>
      <c r="M56" s="139">
        <v>169.28</v>
      </c>
      <c r="N56" s="139"/>
      <c r="O56" s="139"/>
      <c r="P56" s="139"/>
      <c r="Q56" s="139">
        <v>0</v>
      </c>
      <c r="R56" s="139">
        <v>50</v>
      </c>
      <c r="S56" s="139">
        <v>0</v>
      </c>
      <c r="T56" s="139">
        <v>30</v>
      </c>
      <c r="U56" s="139"/>
      <c r="V56" s="139">
        <v>300</v>
      </c>
      <c r="W56" s="139">
        <v>0</v>
      </c>
      <c r="X56" s="159"/>
      <c r="Y56" s="159">
        <v>0</v>
      </c>
      <c r="Z56" s="136">
        <v>1624</v>
      </c>
      <c r="AA56" s="139">
        <v>0</v>
      </c>
      <c r="AB56" s="139">
        <f t="shared" si="18"/>
        <v>162.4</v>
      </c>
      <c r="AC56" s="160">
        <v>0.87</v>
      </c>
      <c r="AD56" s="139">
        <v>95</v>
      </c>
      <c r="AE56" s="139">
        <f>D56*0.13+V56+T56+S56+R56-AB56-N56+M56</f>
        <v>770.38</v>
      </c>
      <c r="AF56" s="139">
        <f>D56*0.87-I56-J56-R56-S56-T56-V56</f>
        <v>872.51</v>
      </c>
    </row>
    <row r="57" spans="1:32">
      <c r="A57" s="72" t="s">
        <v>89</v>
      </c>
      <c r="B57" s="72">
        <v>25</v>
      </c>
      <c r="C57" s="202">
        <f>AVERAGE(C32:C50)</f>
        <v>5.8</v>
      </c>
      <c r="D57" s="201">
        <f t="shared" ref="D57:G57" si="27">SUM(D32:D56)</f>
        <v>125646</v>
      </c>
      <c r="E57" s="201">
        <f t="shared" si="27"/>
        <v>60975</v>
      </c>
      <c r="F57" s="201">
        <f t="shared" si="27"/>
        <v>42954</v>
      </c>
      <c r="G57" s="201">
        <f t="shared" si="27"/>
        <v>3730</v>
      </c>
      <c r="H57" s="201">
        <f>AVERAGE(H32:H56)</f>
        <v>1.900881107949721</v>
      </c>
      <c r="I57" s="201">
        <f t="shared" ref="I57:AB57" si="28">SUM(I32:I56)</f>
        <v>37946.519999999997</v>
      </c>
      <c r="J57" s="201">
        <f t="shared" si="28"/>
        <v>3840.7599999999998</v>
      </c>
      <c r="K57" s="201">
        <f t="shared" si="28"/>
        <v>300</v>
      </c>
      <c r="L57" s="201">
        <f t="shared" si="28"/>
        <v>200</v>
      </c>
      <c r="M57" s="201">
        <f t="shared" si="28"/>
        <v>3793.5600000000004</v>
      </c>
      <c r="N57" s="201">
        <f t="shared" si="28"/>
        <v>1042.9159999999999</v>
      </c>
      <c r="O57" s="201">
        <f t="shared" si="28"/>
        <v>154</v>
      </c>
      <c r="P57" s="201">
        <f t="shared" si="28"/>
        <v>0</v>
      </c>
      <c r="Q57" s="201">
        <f t="shared" si="28"/>
        <v>15686.4</v>
      </c>
      <c r="R57" s="201">
        <f t="shared" si="28"/>
        <v>200</v>
      </c>
      <c r="S57" s="201">
        <f t="shared" si="28"/>
        <v>1598</v>
      </c>
      <c r="T57" s="201">
        <f t="shared" si="28"/>
        <v>120</v>
      </c>
      <c r="U57" s="201">
        <f t="shared" si="28"/>
        <v>0</v>
      </c>
      <c r="V57" s="201">
        <f t="shared" si="28"/>
        <v>1200</v>
      </c>
      <c r="W57" s="201">
        <f t="shared" si="28"/>
        <v>4096.192</v>
      </c>
      <c r="X57" s="201">
        <f t="shared" si="28"/>
        <v>781.05</v>
      </c>
      <c r="Y57" s="201">
        <f t="shared" si="28"/>
        <v>1.5199999999999996</v>
      </c>
      <c r="Z57" s="201">
        <f t="shared" si="28"/>
        <v>62772</v>
      </c>
      <c r="AA57" s="201">
        <f t="shared" si="28"/>
        <v>1811.3999999999992</v>
      </c>
      <c r="AB57" s="201">
        <f t="shared" si="28"/>
        <v>6618.2</v>
      </c>
      <c r="AC57" s="201"/>
      <c r="AD57" s="201">
        <f t="shared" ref="AD57:AF57" si="29">SUM(AD32:AD56)</f>
        <v>2375</v>
      </c>
      <c r="AE57" s="201">
        <f t="shared" si="29"/>
        <v>13819.521999999999</v>
      </c>
      <c r="AF57" s="201">
        <f t="shared" si="29"/>
        <v>44813.96</v>
      </c>
    </row>
    <row r="58" spans="1:32">
      <c r="A58" s="173"/>
      <c r="B58" s="174"/>
      <c r="C58" s="175"/>
      <c r="D58" s="176"/>
      <c r="E58" s="177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8"/>
      <c r="V58" s="178"/>
      <c r="W58" s="179"/>
      <c r="X58" s="176"/>
      <c r="Y58" s="176"/>
      <c r="Z58" s="176"/>
      <c r="AA58" s="180"/>
      <c r="AB58" s="181"/>
      <c r="AC58" s="176"/>
      <c r="AD58" s="176"/>
    </row>
    <row r="59" spans="1:32">
      <c r="A59" s="461" t="s">
        <v>530</v>
      </c>
      <c r="B59" s="458"/>
      <c r="C59" s="458"/>
      <c r="D59" s="458"/>
      <c r="E59" s="458"/>
      <c r="F59" s="458"/>
      <c r="G59" s="458"/>
      <c r="H59" s="458"/>
      <c r="I59" s="458"/>
      <c r="J59" s="458"/>
      <c r="K59" s="458"/>
      <c r="L59" s="458"/>
      <c r="M59" s="458"/>
      <c r="N59" s="458"/>
      <c r="O59" s="458"/>
      <c r="P59" s="458"/>
      <c r="Q59" s="458"/>
      <c r="R59" s="458"/>
      <c r="S59" s="458"/>
      <c r="T59" s="458"/>
      <c r="U59" s="458"/>
      <c r="V59" s="458"/>
      <c r="W59" s="458"/>
      <c r="X59" s="458"/>
      <c r="Y59" s="458"/>
      <c r="Z59" s="458"/>
      <c r="AA59" s="458"/>
      <c r="AB59" s="458"/>
      <c r="AC59" s="458"/>
      <c r="AD59" s="458"/>
      <c r="AE59" s="458"/>
      <c r="AF59" s="459"/>
    </row>
    <row r="60" spans="1:32">
      <c r="A60" s="95" t="s">
        <v>0</v>
      </c>
      <c r="B60" s="95" t="s">
        <v>1</v>
      </c>
      <c r="C60" s="95" t="s">
        <v>372</v>
      </c>
      <c r="D60" s="95" t="s">
        <v>2</v>
      </c>
      <c r="E60" s="95" t="s">
        <v>413</v>
      </c>
      <c r="F60" s="150" t="s">
        <v>414</v>
      </c>
      <c r="G60" s="150" t="s">
        <v>415</v>
      </c>
      <c r="H60" s="95" t="s">
        <v>416</v>
      </c>
      <c r="I60" s="95" t="s">
        <v>7</v>
      </c>
      <c r="J60" s="95" t="s">
        <v>8</v>
      </c>
      <c r="K60" s="95" t="s">
        <v>287</v>
      </c>
      <c r="L60" s="95" t="s">
        <v>288</v>
      </c>
      <c r="M60" s="95" t="s">
        <v>257</v>
      </c>
      <c r="N60" s="95" t="s">
        <v>373</v>
      </c>
      <c r="O60" s="95" t="s">
        <v>374</v>
      </c>
      <c r="P60" s="95"/>
      <c r="Q60" s="95" t="s">
        <v>375</v>
      </c>
      <c r="R60" s="95" t="s">
        <v>376</v>
      </c>
      <c r="S60" s="95" t="s">
        <v>522</v>
      </c>
      <c r="T60" s="150" t="s">
        <v>378</v>
      </c>
      <c r="U60" s="150"/>
      <c r="V60" s="150" t="s">
        <v>379</v>
      </c>
      <c r="W60" s="150" t="s">
        <v>352</v>
      </c>
      <c r="X60" s="150" t="s">
        <v>523</v>
      </c>
      <c r="Y60" s="95" t="s">
        <v>380</v>
      </c>
      <c r="Z60" s="95" t="s">
        <v>381</v>
      </c>
      <c r="AA60" s="95" t="s">
        <v>382</v>
      </c>
      <c r="AB60" s="95" t="s">
        <v>383</v>
      </c>
      <c r="AC60" s="95" t="s">
        <v>385</v>
      </c>
      <c r="AD60" s="150" t="s">
        <v>333</v>
      </c>
      <c r="AE60" s="95" t="s">
        <v>13</v>
      </c>
      <c r="AF60" s="95" t="s">
        <v>98</v>
      </c>
    </row>
    <row r="61" spans="1:32">
      <c r="A61" s="198" t="s">
        <v>531</v>
      </c>
      <c r="B61" s="208">
        <v>191279</v>
      </c>
      <c r="C61" s="112">
        <v>6</v>
      </c>
      <c r="D61" s="103">
        <v>9417</v>
      </c>
      <c r="E61" s="102">
        <f t="shared" ref="E61:E80" si="30">SUM(F61:G61)</f>
        <v>4575</v>
      </c>
      <c r="F61" s="117">
        <v>4475</v>
      </c>
      <c r="G61" s="117">
        <v>100</v>
      </c>
      <c r="H61" s="128">
        <f>D61/E61</f>
        <v>2.058360655737705</v>
      </c>
      <c r="I61" s="146">
        <v>3038.95</v>
      </c>
      <c r="J61" s="128">
        <v>10.55</v>
      </c>
      <c r="K61" s="103"/>
      <c r="L61" s="103"/>
      <c r="M61" s="146">
        <v>471.99</v>
      </c>
      <c r="N61" s="103">
        <f t="shared" ref="N61:N81" si="31">D61*0.0085</f>
        <v>80.044499999999999</v>
      </c>
      <c r="O61" s="103">
        <v>7</v>
      </c>
      <c r="P61" s="103"/>
      <c r="Q61" s="103">
        <v>779.13</v>
      </c>
      <c r="R61" s="103"/>
      <c r="S61" s="103">
        <v>0</v>
      </c>
      <c r="T61" s="103"/>
      <c r="U61" s="103"/>
      <c r="V61" s="103"/>
      <c r="W61" s="103">
        <f t="shared" ref="W61:W80" si="32">Z61*Y61</f>
        <v>345.82499999999999</v>
      </c>
      <c r="X61" s="152"/>
      <c r="Y61" s="152">
        <v>7.4999999999999997E-2</v>
      </c>
      <c r="Z61" s="153">
        <v>4611</v>
      </c>
      <c r="AA61" s="103">
        <v>90.57</v>
      </c>
      <c r="AB61" s="103">
        <f t="shared" ref="AB61:AB81" si="33">E61*0.1</f>
        <v>457.5</v>
      </c>
      <c r="AC61" s="154">
        <v>0.65</v>
      </c>
      <c r="AD61" s="103">
        <v>95</v>
      </c>
      <c r="AE61" s="103">
        <f>D61-I61-J61-N61-O61-Q61-W61-AA61-AB61-AD61-AC61*E61+M61</f>
        <v>2010.6705000000004</v>
      </c>
      <c r="AF61" s="103">
        <f>AC61*E61</f>
        <v>2973.75</v>
      </c>
    </row>
    <row r="62" spans="1:32">
      <c r="A62" s="198"/>
      <c r="B62" s="205"/>
      <c r="C62" s="112"/>
      <c r="D62" s="103"/>
      <c r="E62" s="102">
        <f t="shared" si="30"/>
        <v>0</v>
      </c>
      <c r="F62" s="112"/>
      <c r="G62" s="112"/>
      <c r="H62" s="128"/>
      <c r="I62" s="146"/>
      <c r="J62" s="128"/>
      <c r="K62" s="103"/>
      <c r="L62" s="103"/>
      <c r="M62" s="146"/>
      <c r="N62" s="103">
        <f t="shared" si="31"/>
        <v>0</v>
      </c>
      <c r="O62" s="103">
        <v>7</v>
      </c>
      <c r="P62" s="103"/>
      <c r="Q62" s="103">
        <v>779.13</v>
      </c>
      <c r="R62" s="103"/>
      <c r="S62" s="103">
        <v>0</v>
      </c>
      <c r="T62" s="103"/>
      <c r="U62" s="103"/>
      <c r="V62" s="103"/>
      <c r="W62" s="103">
        <f t="shared" si="32"/>
        <v>0</v>
      </c>
      <c r="X62" s="152"/>
      <c r="Y62" s="152">
        <v>7.4999999999999997E-2</v>
      </c>
      <c r="Z62" s="153"/>
      <c r="AA62" s="103">
        <v>90.57</v>
      </c>
      <c r="AB62" s="103">
        <f t="shared" si="33"/>
        <v>0</v>
      </c>
      <c r="AC62" s="154"/>
      <c r="AD62" s="103">
        <v>95</v>
      </c>
      <c r="AE62" s="103">
        <f t="shared" ref="AE62:AE63" si="34">D62*73%-J62-K62-N62-O62-Q62-W62-AA62-AB62-AF62</f>
        <v>-876.7</v>
      </c>
      <c r="AF62" s="103">
        <f t="shared" ref="AF62:AF63" si="35">D62*AC62</f>
        <v>0</v>
      </c>
    </row>
    <row r="63" spans="1:32">
      <c r="A63" s="198"/>
      <c r="B63" s="214" t="s">
        <v>507</v>
      </c>
      <c r="C63" s="112"/>
      <c r="D63" s="103"/>
      <c r="E63" s="102">
        <f t="shared" si="30"/>
        <v>0</v>
      </c>
      <c r="F63" s="117"/>
      <c r="G63" s="117"/>
      <c r="H63" s="128"/>
      <c r="I63" s="146"/>
      <c r="J63" s="128"/>
      <c r="K63" s="103"/>
      <c r="L63" s="103"/>
      <c r="M63" s="146"/>
      <c r="N63" s="103">
        <f t="shared" si="31"/>
        <v>0</v>
      </c>
      <c r="O63" s="103">
        <v>7</v>
      </c>
      <c r="P63" s="103"/>
      <c r="Q63" s="103">
        <v>779.13</v>
      </c>
      <c r="R63" s="103"/>
      <c r="S63" s="103">
        <v>0</v>
      </c>
      <c r="T63" s="103"/>
      <c r="U63" s="103"/>
      <c r="V63" s="103"/>
      <c r="W63" s="103">
        <f t="shared" si="32"/>
        <v>0</v>
      </c>
      <c r="X63" s="152"/>
      <c r="Y63" s="152">
        <v>7.4999999999999997E-2</v>
      </c>
      <c r="Z63" s="153"/>
      <c r="AA63" s="103">
        <v>90.57</v>
      </c>
      <c r="AB63" s="103">
        <f t="shared" si="33"/>
        <v>0</v>
      </c>
      <c r="AC63" s="154"/>
      <c r="AD63" s="103">
        <v>95</v>
      </c>
      <c r="AE63" s="103">
        <f t="shared" si="34"/>
        <v>-876.7</v>
      </c>
      <c r="AF63" s="103">
        <f t="shared" si="35"/>
        <v>0</v>
      </c>
    </row>
    <row r="64" spans="1:32">
      <c r="A64" s="187" t="s">
        <v>532</v>
      </c>
      <c r="B64" s="208">
        <v>191280</v>
      </c>
      <c r="C64" s="112">
        <v>6</v>
      </c>
      <c r="D64" s="103">
        <v>6355</v>
      </c>
      <c r="E64" s="102">
        <f t="shared" si="30"/>
        <v>3293</v>
      </c>
      <c r="F64" s="117">
        <v>3157</v>
      </c>
      <c r="G64" s="117">
        <v>136</v>
      </c>
      <c r="H64" s="128">
        <f t="shared" ref="H64:H65" si="36">D64/E64</f>
        <v>1.9298511995141208</v>
      </c>
      <c r="I64" s="146">
        <v>2071.54</v>
      </c>
      <c r="J64" s="128">
        <v>33.1</v>
      </c>
      <c r="K64" s="103"/>
      <c r="L64" s="103"/>
      <c r="M64" s="146">
        <v>262.41000000000003</v>
      </c>
      <c r="N64" s="103">
        <f t="shared" si="31"/>
        <v>54.017500000000005</v>
      </c>
      <c r="O64" s="103">
        <v>7</v>
      </c>
      <c r="P64" s="103"/>
      <c r="Q64" s="103">
        <v>779.13</v>
      </c>
      <c r="R64" s="103"/>
      <c r="S64" s="103">
        <v>0</v>
      </c>
      <c r="T64" s="103"/>
      <c r="U64" s="103"/>
      <c r="V64" s="103"/>
      <c r="W64" s="103">
        <f t="shared" si="32"/>
        <v>244.64999999999998</v>
      </c>
      <c r="X64" s="152"/>
      <c r="Y64" s="152">
        <v>7.4999999999999997E-2</v>
      </c>
      <c r="Z64" s="153">
        <v>3262</v>
      </c>
      <c r="AA64" s="103">
        <v>90.57</v>
      </c>
      <c r="AB64" s="103">
        <f t="shared" si="33"/>
        <v>329.3</v>
      </c>
      <c r="AC64" s="225">
        <v>0.65</v>
      </c>
      <c r="AD64" s="108">
        <v>95</v>
      </c>
      <c r="AE64" s="226">
        <f>D64-I64-J64-N64-O64-Q64-W64-AA64-AB64-AD64-AC64*E64+M64</f>
        <v>772.65249999999901</v>
      </c>
      <c r="AF64" s="103">
        <f>E64*AC64</f>
        <v>2140.4500000000003</v>
      </c>
    </row>
    <row r="65" spans="1:32">
      <c r="A65" s="184" t="s">
        <v>505</v>
      </c>
      <c r="B65" s="185">
        <v>191274</v>
      </c>
      <c r="C65" s="112">
        <v>3</v>
      </c>
      <c r="D65" s="103">
        <v>3500</v>
      </c>
      <c r="E65" s="102">
        <f t="shared" si="30"/>
        <v>1845</v>
      </c>
      <c r="F65" s="117">
        <v>1771</v>
      </c>
      <c r="G65" s="117">
        <v>74</v>
      </c>
      <c r="H65" s="128">
        <f t="shared" si="36"/>
        <v>1.897018970189702</v>
      </c>
      <c r="I65" s="146">
        <v>981.97</v>
      </c>
      <c r="J65" s="128">
        <v>43.75</v>
      </c>
      <c r="K65" s="103"/>
      <c r="L65" s="103"/>
      <c r="M65" s="146">
        <v>149.22</v>
      </c>
      <c r="N65" s="103">
        <f t="shared" si="31"/>
        <v>29.750000000000004</v>
      </c>
      <c r="O65" s="103">
        <v>7</v>
      </c>
      <c r="P65" s="103"/>
      <c r="Q65" s="103">
        <v>789.51</v>
      </c>
      <c r="R65" s="103"/>
      <c r="S65" s="103">
        <v>0</v>
      </c>
      <c r="T65" s="103"/>
      <c r="U65" s="103"/>
      <c r="V65" s="103"/>
      <c r="W65" s="103">
        <f t="shared" si="32"/>
        <v>159.69800000000001</v>
      </c>
      <c r="X65" s="152"/>
      <c r="Y65" s="152">
        <v>7.6999999999999999E-2</v>
      </c>
      <c r="Z65" s="155">
        <v>2074</v>
      </c>
      <c r="AA65" s="103">
        <v>90.57</v>
      </c>
      <c r="AB65" s="103">
        <f t="shared" si="33"/>
        <v>184.5</v>
      </c>
      <c r="AC65" s="213">
        <v>0.27</v>
      </c>
      <c r="AD65" s="103">
        <v>95</v>
      </c>
      <c r="AE65" s="103">
        <f t="shared" ref="AE65:AE68" si="37">D65*73%-J65-K65-N65-O65-Q65-W65-AA65-AB65-AF65+M65</f>
        <v>454.44199999999989</v>
      </c>
      <c r="AF65" s="103">
        <f t="shared" ref="AF65:AF68" si="38">D65*AC65</f>
        <v>945.00000000000011</v>
      </c>
    </row>
    <row r="66" spans="1:32">
      <c r="A66" s="184"/>
      <c r="B66" s="205">
        <v>191276</v>
      </c>
      <c r="C66" s="112"/>
      <c r="D66" s="103"/>
      <c r="E66" s="102">
        <f t="shared" si="30"/>
        <v>0</v>
      </c>
      <c r="F66" s="112"/>
      <c r="G66" s="112"/>
      <c r="H66" s="128"/>
      <c r="I66" s="146"/>
      <c r="J66" s="128"/>
      <c r="K66" s="103"/>
      <c r="L66" s="103"/>
      <c r="M66" s="146"/>
      <c r="N66" s="103">
        <f t="shared" si="31"/>
        <v>0</v>
      </c>
      <c r="O66" s="103">
        <v>7</v>
      </c>
      <c r="P66" s="103"/>
      <c r="Q66" s="103">
        <v>779.13</v>
      </c>
      <c r="R66" s="103"/>
      <c r="S66" s="103">
        <v>0</v>
      </c>
      <c r="T66" s="103"/>
      <c r="U66" s="103"/>
      <c r="V66" s="103"/>
      <c r="W66" s="103">
        <f t="shared" si="32"/>
        <v>0</v>
      </c>
      <c r="X66" s="152"/>
      <c r="Y66" s="152">
        <v>7.4999999999999997E-2</v>
      </c>
      <c r="Z66" s="153"/>
      <c r="AA66" s="103">
        <v>90.57</v>
      </c>
      <c r="AB66" s="103">
        <f t="shared" si="33"/>
        <v>0</v>
      </c>
      <c r="AC66" s="213">
        <v>0.27</v>
      </c>
      <c r="AD66" s="103">
        <v>95</v>
      </c>
      <c r="AE66" s="103">
        <f t="shared" si="37"/>
        <v>-876.7</v>
      </c>
      <c r="AF66" s="103">
        <f t="shared" si="38"/>
        <v>0</v>
      </c>
    </row>
    <row r="67" spans="1:32">
      <c r="A67" s="196" t="s">
        <v>488</v>
      </c>
      <c r="B67" s="205">
        <v>191283</v>
      </c>
      <c r="C67" s="112">
        <v>0</v>
      </c>
      <c r="D67" s="103"/>
      <c r="E67" s="102">
        <f t="shared" si="30"/>
        <v>0</v>
      </c>
      <c r="F67" s="112"/>
      <c r="G67" s="112"/>
      <c r="H67" s="128"/>
      <c r="I67" s="146"/>
      <c r="J67" s="128">
        <v>132.62</v>
      </c>
      <c r="K67" s="103"/>
      <c r="L67" s="103"/>
      <c r="M67" s="146"/>
      <c r="N67" s="103">
        <f t="shared" si="31"/>
        <v>0</v>
      </c>
      <c r="O67" s="103">
        <v>7</v>
      </c>
      <c r="P67" s="103"/>
      <c r="Q67" s="103">
        <v>779.13</v>
      </c>
      <c r="R67" s="103"/>
      <c r="S67" s="103">
        <v>0</v>
      </c>
      <c r="T67" s="103"/>
      <c r="U67" s="103"/>
      <c r="V67" s="103"/>
      <c r="W67" s="103">
        <f t="shared" si="32"/>
        <v>0</v>
      </c>
      <c r="X67" s="152"/>
      <c r="Y67" s="152">
        <v>7.4999999999999997E-2</v>
      </c>
      <c r="Z67" s="153"/>
      <c r="AA67" s="103">
        <v>90.57</v>
      </c>
      <c r="AB67" s="103">
        <f t="shared" si="33"/>
        <v>0</v>
      </c>
      <c r="AC67" s="213">
        <v>0.27</v>
      </c>
      <c r="AD67" s="103">
        <v>95</v>
      </c>
      <c r="AE67" s="103">
        <f t="shared" si="37"/>
        <v>-1009.3199999999999</v>
      </c>
      <c r="AF67" s="103">
        <f t="shared" si="38"/>
        <v>0</v>
      </c>
    </row>
    <row r="68" spans="1:32">
      <c r="A68" s="190" t="s">
        <v>494</v>
      </c>
      <c r="B68" s="185">
        <v>465183</v>
      </c>
      <c r="C68" s="117">
        <v>7</v>
      </c>
      <c r="D68" s="103">
        <v>7200</v>
      </c>
      <c r="E68" s="102">
        <f t="shared" si="30"/>
        <v>3337</v>
      </c>
      <c r="F68" s="112">
        <v>3084</v>
      </c>
      <c r="G68" s="112">
        <v>253</v>
      </c>
      <c r="H68" s="128">
        <f t="shared" ref="H68:H70" si="39">D68/E68</f>
        <v>2.1576266107281992</v>
      </c>
      <c r="I68" s="146">
        <v>2232.4699999999998</v>
      </c>
      <c r="J68" s="128">
        <v>320.23</v>
      </c>
      <c r="K68" s="128"/>
      <c r="L68" s="128"/>
      <c r="M68" s="146">
        <v>364.63</v>
      </c>
      <c r="N68" s="103">
        <f t="shared" si="31"/>
        <v>61.2</v>
      </c>
      <c r="O68" s="103">
        <v>7</v>
      </c>
      <c r="P68" s="103"/>
      <c r="Q68" s="103">
        <v>789.51</v>
      </c>
      <c r="R68" s="103"/>
      <c r="S68" s="103">
        <v>0</v>
      </c>
      <c r="T68" s="103"/>
      <c r="U68" s="103"/>
      <c r="V68" s="103"/>
      <c r="W68" s="103">
        <f t="shared" si="32"/>
        <v>224.45499999999998</v>
      </c>
      <c r="X68" s="152"/>
      <c r="Y68" s="152">
        <v>7.6999999999999999E-2</v>
      </c>
      <c r="Z68" s="153">
        <v>2915</v>
      </c>
      <c r="AA68" s="103">
        <v>90.57</v>
      </c>
      <c r="AB68" s="103">
        <f t="shared" si="33"/>
        <v>333.70000000000005</v>
      </c>
      <c r="AC68" s="213">
        <v>0.27</v>
      </c>
      <c r="AD68" s="103">
        <v>95</v>
      </c>
      <c r="AE68" s="103">
        <f t="shared" si="37"/>
        <v>1849.9649999999997</v>
      </c>
      <c r="AF68" s="103">
        <f t="shared" si="38"/>
        <v>1944.0000000000002</v>
      </c>
    </row>
    <row r="69" spans="1:32">
      <c r="A69" s="187" t="s">
        <v>458</v>
      </c>
      <c r="B69" s="185">
        <v>465185</v>
      </c>
      <c r="C69" s="117">
        <v>1</v>
      </c>
      <c r="D69" s="103">
        <v>925</v>
      </c>
      <c r="E69" s="102">
        <f t="shared" si="30"/>
        <v>702</v>
      </c>
      <c r="F69" s="112">
        <v>537</v>
      </c>
      <c r="G69" s="112">
        <v>165</v>
      </c>
      <c r="H69" s="128">
        <f t="shared" si="39"/>
        <v>1.3176638176638176</v>
      </c>
      <c r="I69" s="146">
        <v>649.84</v>
      </c>
      <c r="J69" s="128">
        <v>32.15</v>
      </c>
      <c r="K69" s="128"/>
      <c r="L69" s="128"/>
      <c r="M69" s="146">
        <v>106.29</v>
      </c>
      <c r="N69" s="103">
        <f t="shared" si="31"/>
        <v>7.8625000000000007</v>
      </c>
      <c r="O69" s="103">
        <v>7</v>
      </c>
      <c r="P69" s="103"/>
      <c r="Q69" s="103">
        <v>789.51</v>
      </c>
      <c r="R69" s="103"/>
      <c r="S69" s="103">
        <v>0</v>
      </c>
      <c r="T69" s="103"/>
      <c r="U69" s="103"/>
      <c r="V69" s="103"/>
      <c r="W69" s="103">
        <f t="shared" si="32"/>
        <v>60.676000000000002</v>
      </c>
      <c r="X69" s="152"/>
      <c r="Y69" s="152">
        <v>7.6999999999999999E-2</v>
      </c>
      <c r="Z69" s="153">
        <v>788</v>
      </c>
      <c r="AA69" s="103">
        <v>90.57</v>
      </c>
      <c r="AB69" s="103">
        <f t="shared" si="33"/>
        <v>70.2</v>
      </c>
      <c r="AC69" s="112">
        <v>0.7</v>
      </c>
      <c r="AD69" s="103">
        <v>95</v>
      </c>
      <c r="AE69" s="103">
        <f>D69-I69-J69-N69-O69-Q69-W69-AA69-AB69-AD69-AC69*E69+M69</f>
        <v>-1262.9185000000002</v>
      </c>
      <c r="AF69" s="103">
        <f>AC69*E69+K69</f>
        <v>491.4</v>
      </c>
    </row>
    <row r="70" spans="1:32">
      <c r="A70" s="190" t="s">
        <v>519</v>
      </c>
      <c r="B70" s="185">
        <v>465186</v>
      </c>
      <c r="C70" s="112">
        <v>7</v>
      </c>
      <c r="D70" s="103">
        <v>5000</v>
      </c>
      <c r="E70" s="102">
        <f t="shared" si="30"/>
        <v>2385</v>
      </c>
      <c r="F70" s="112">
        <v>2205</v>
      </c>
      <c r="G70" s="112">
        <v>180</v>
      </c>
      <c r="H70" s="128">
        <f t="shared" si="39"/>
        <v>2.0964360587002098</v>
      </c>
      <c r="I70" s="146">
        <v>1828.32</v>
      </c>
      <c r="J70" s="128">
        <v>219.93</v>
      </c>
      <c r="K70" s="128"/>
      <c r="L70" s="128"/>
      <c r="M70" s="146">
        <v>33.44</v>
      </c>
      <c r="N70" s="103">
        <f t="shared" si="31"/>
        <v>42.5</v>
      </c>
      <c r="O70" s="103">
        <v>7</v>
      </c>
      <c r="P70" s="103"/>
      <c r="Q70" s="103">
        <v>789.51</v>
      </c>
      <c r="R70" s="103"/>
      <c r="S70" s="103">
        <v>0</v>
      </c>
      <c r="T70" s="103"/>
      <c r="U70" s="103"/>
      <c r="V70" s="103"/>
      <c r="W70" s="103">
        <f t="shared" si="32"/>
        <v>186.03200000000001</v>
      </c>
      <c r="X70" s="152"/>
      <c r="Y70" s="152">
        <v>7.6999999999999999E-2</v>
      </c>
      <c r="Z70" s="153">
        <v>2416</v>
      </c>
      <c r="AA70" s="103">
        <v>90.57</v>
      </c>
      <c r="AB70" s="103">
        <f t="shared" si="33"/>
        <v>238.5</v>
      </c>
      <c r="AC70" s="213">
        <v>0.27</v>
      </c>
      <c r="AD70" s="103">
        <v>95</v>
      </c>
      <c r="AE70" s="103">
        <f>D70*73%-J70-K70-N70-O70-Q70-W70-AA70-AB70-AF70+M70</f>
        <v>759.39800000000014</v>
      </c>
      <c r="AF70" s="103">
        <f>D70*AC70</f>
        <v>1350</v>
      </c>
    </row>
    <row r="71" spans="1:32">
      <c r="A71" s="197" t="s">
        <v>533</v>
      </c>
      <c r="B71" s="205">
        <v>191274</v>
      </c>
      <c r="C71" s="112"/>
      <c r="D71" s="103"/>
      <c r="E71" s="102">
        <f t="shared" si="30"/>
        <v>0</v>
      </c>
      <c r="F71" s="117"/>
      <c r="G71" s="117"/>
      <c r="H71" s="128"/>
      <c r="I71" s="146"/>
      <c r="J71" s="128">
        <v>20.95</v>
      </c>
      <c r="K71" s="103"/>
      <c r="L71" s="103"/>
      <c r="M71" s="146"/>
      <c r="N71" s="103">
        <f t="shared" si="31"/>
        <v>0</v>
      </c>
      <c r="O71" s="103">
        <v>7</v>
      </c>
      <c r="P71" s="103"/>
      <c r="Q71" s="103">
        <v>779.13</v>
      </c>
      <c r="R71" s="103"/>
      <c r="S71" s="103">
        <v>0</v>
      </c>
      <c r="T71" s="103"/>
      <c r="U71" s="103"/>
      <c r="V71" s="103"/>
      <c r="W71" s="103">
        <f t="shared" si="32"/>
        <v>0</v>
      </c>
      <c r="X71" s="152"/>
      <c r="Y71" s="152">
        <v>7.4999999999999997E-2</v>
      </c>
      <c r="Z71" s="153"/>
      <c r="AA71" s="103">
        <v>90.57</v>
      </c>
      <c r="AB71" s="103">
        <f t="shared" si="33"/>
        <v>0</v>
      </c>
      <c r="AC71" s="154">
        <v>0.8</v>
      </c>
      <c r="AD71" s="103">
        <v>95</v>
      </c>
      <c r="AE71" s="103">
        <f t="shared" ref="AE71:AE76" si="40">D71-I71-J71-N71-O71-Q71-W71-AA71-AB71-AD71-AC71*E71+M71</f>
        <v>-992.65000000000009</v>
      </c>
      <c r="AF71" s="103">
        <f t="shared" ref="AF71:AF74" si="41">AC71*E71</f>
        <v>0</v>
      </c>
    </row>
    <row r="72" spans="1:32">
      <c r="A72" s="187" t="s">
        <v>439</v>
      </c>
      <c r="B72" s="185">
        <v>465187</v>
      </c>
      <c r="C72" s="117">
        <v>7</v>
      </c>
      <c r="D72" s="103">
        <v>9166</v>
      </c>
      <c r="E72" s="102">
        <f t="shared" si="30"/>
        <v>4729</v>
      </c>
      <c r="F72" s="112">
        <v>4567</v>
      </c>
      <c r="G72" s="112">
        <v>162</v>
      </c>
      <c r="H72" s="128">
        <f t="shared" ref="H72:H73" si="42">D72/E72</f>
        <v>1.9382533305138507</v>
      </c>
      <c r="I72" s="146">
        <v>3072.69</v>
      </c>
      <c r="J72" s="128">
        <v>76.56</v>
      </c>
      <c r="K72" s="128"/>
      <c r="L72" s="128"/>
      <c r="M72" s="146">
        <v>257.24</v>
      </c>
      <c r="N72" s="103">
        <f t="shared" si="31"/>
        <v>77.911000000000001</v>
      </c>
      <c r="O72" s="103">
        <v>7</v>
      </c>
      <c r="P72" s="103"/>
      <c r="Q72" s="103">
        <v>789.51</v>
      </c>
      <c r="R72" s="103"/>
      <c r="S72" s="103">
        <v>0</v>
      </c>
      <c r="T72" s="103"/>
      <c r="U72" s="103"/>
      <c r="V72" s="103"/>
      <c r="W72" s="103">
        <f t="shared" si="32"/>
        <v>369.98500000000001</v>
      </c>
      <c r="X72" s="152"/>
      <c r="Y72" s="152">
        <v>7.6999999999999999E-2</v>
      </c>
      <c r="Z72" s="153">
        <v>4805</v>
      </c>
      <c r="AA72" s="103">
        <v>90.57</v>
      </c>
      <c r="AB72" s="103">
        <f t="shared" si="33"/>
        <v>472.90000000000003</v>
      </c>
      <c r="AC72" s="154">
        <v>0.6</v>
      </c>
      <c r="AD72" s="103">
        <v>95</v>
      </c>
      <c r="AE72" s="103">
        <f t="shared" si="40"/>
        <v>1533.7139999999997</v>
      </c>
      <c r="AF72" s="103">
        <f t="shared" si="41"/>
        <v>2837.4</v>
      </c>
    </row>
    <row r="73" spans="1:32">
      <c r="A73" s="187" t="s">
        <v>525</v>
      </c>
      <c r="B73" s="208">
        <v>191281</v>
      </c>
      <c r="C73" s="112">
        <v>7</v>
      </c>
      <c r="D73" s="103">
        <v>5700</v>
      </c>
      <c r="E73" s="102">
        <f t="shared" si="30"/>
        <v>2888</v>
      </c>
      <c r="F73" s="112">
        <v>2744</v>
      </c>
      <c r="G73" s="112">
        <v>144</v>
      </c>
      <c r="H73" s="128">
        <f t="shared" si="42"/>
        <v>1.9736842105263157</v>
      </c>
      <c r="I73" s="128">
        <v>1296.19</v>
      </c>
      <c r="J73" s="128">
        <v>206.43</v>
      </c>
      <c r="K73" s="103"/>
      <c r="L73" s="103"/>
      <c r="M73" s="146">
        <v>248.44</v>
      </c>
      <c r="N73" s="103">
        <f t="shared" si="31"/>
        <v>48.45</v>
      </c>
      <c r="O73" s="103">
        <v>7</v>
      </c>
      <c r="P73" s="103"/>
      <c r="Q73" s="103">
        <v>779.13</v>
      </c>
      <c r="R73" s="103"/>
      <c r="S73" s="103">
        <v>0</v>
      </c>
      <c r="T73" s="103"/>
      <c r="U73" s="103"/>
      <c r="V73" s="103"/>
      <c r="W73" s="103">
        <f t="shared" si="32"/>
        <v>194.1</v>
      </c>
      <c r="X73" s="152"/>
      <c r="Y73" s="152">
        <v>7.4999999999999997E-2</v>
      </c>
      <c r="Z73" s="153">
        <v>2588</v>
      </c>
      <c r="AA73" s="103">
        <v>90.57</v>
      </c>
      <c r="AB73" s="103">
        <f t="shared" si="33"/>
        <v>288.8</v>
      </c>
      <c r="AC73" s="154">
        <v>0.65</v>
      </c>
      <c r="AD73" s="103">
        <v>95</v>
      </c>
      <c r="AE73" s="103">
        <f t="shared" si="40"/>
        <v>1065.569999999999</v>
      </c>
      <c r="AF73" s="103">
        <f t="shared" si="41"/>
        <v>1877.2</v>
      </c>
    </row>
    <row r="74" spans="1:32">
      <c r="A74" s="197" t="s">
        <v>427</v>
      </c>
      <c r="B74" s="185">
        <v>465188</v>
      </c>
      <c r="C74" s="112">
        <v>0</v>
      </c>
      <c r="D74" s="103"/>
      <c r="E74" s="102">
        <f t="shared" si="30"/>
        <v>1087</v>
      </c>
      <c r="F74" s="117">
        <v>1058</v>
      </c>
      <c r="G74" s="117">
        <v>29</v>
      </c>
      <c r="H74" s="128"/>
      <c r="I74" s="146"/>
      <c r="J74" s="128"/>
      <c r="K74" s="128"/>
      <c r="L74" s="128"/>
      <c r="M74" s="146"/>
      <c r="N74" s="103">
        <f t="shared" si="31"/>
        <v>0</v>
      </c>
      <c r="O74" s="103">
        <v>7</v>
      </c>
      <c r="P74" s="103"/>
      <c r="Q74" s="103">
        <v>789.51</v>
      </c>
      <c r="R74" s="103"/>
      <c r="S74" s="103">
        <v>0</v>
      </c>
      <c r="T74" s="103"/>
      <c r="U74" s="103"/>
      <c r="V74" s="103"/>
      <c r="W74" s="103">
        <f t="shared" si="32"/>
        <v>1.232</v>
      </c>
      <c r="X74" s="152"/>
      <c r="Y74" s="152">
        <v>7.6999999999999999E-2</v>
      </c>
      <c r="Z74" s="153">
        <v>16</v>
      </c>
      <c r="AA74" s="103">
        <v>90.57</v>
      </c>
      <c r="AB74" s="103">
        <f t="shared" si="33"/>
        <v>108.7</v>
      </c>
      <c r="AC74" s="154">
        <v>0.6</v>
      </c>
      <c r="AD74" s="103">
        <v>95</v>
      </c>
      <c r="AE74" s="103">
        <f t="shared" si="40"/>
        <v>-1744.212</v>
      </c>
      <c r="AF74" s="103">
        <f t="shared" si="41"/>
        <v>652.19999999999993</v>
      </c>
    </row>
    <row r="75" spans="1:32">
      <c r="A75" s="184" t="s">
        <v>515</v>
      </c>
      <c r="B75" s="185">
        <v>191277</v>
      </c>
      <c r="C75" s="112">
        <v>3</v>
      </c>
      <c r="D75" s="103">
        <v>3800</v>
      </c>
      <c r="E75" s="102">
        <f t="shared" si="30"/>
        <v>1744</v>
      </c>
      <c r="F75" s="117">
        <v>1628</v>
      </c>
      <c r="G75" s="117">
        <v>116</v>
      </c>
      <c r="H75" s="128">
        <f t="shared" ref="H75:H81" si="43">D75/E75</f>
        <v>2.1788990825688073</v>
      </c>
      <c r="I75" s="146">
        <v>600.44000000000005</v>
      </c>
      <c r="J75" s="128">
        <v>284.42</v>
      </c>
      <c r="K75" s="103"/>
      <c r="L75" s="103"/>
      <c r="M75" s="146">
        <v>99.24</v>
      </c>
      <c r="N75" s="103">
        <f t="shared" si="31"/>
        <v>32.300000000000004</v>
      </c>
      <c r="O75" s="103">
        <v>7</v>
      </c>
      <c r="P75" s="103"/>
      <c r="Q75" s="103">
        <v>779.13</v>
      </c>
      <c r="R75" s="103"/>
      <c r="S75" s="103">
        <v>0</v>
      </c>
      <c r="T75" s="103"/>
      <c r="U75" s="103"/>
      <c r="V75" s="103"/>
      <c r="W75" s="103">
        <f t="shared" si="32"/>
        <v>133.94999999999999</v>
      </c>
      <c r="X75" s="152"/>
      <c r="Y75" s="152">
        <v>7.4999999999999997E-2</v>
      </c>
      <c r="Z75" s="153">
        <v>1786</v>
      </c>
      <c r="AA75" s="103">
        <v>90.57</v>
      </c>
      <c r="AB75" s="103">
        <f t="shared" si="33"/>
        <v>174.4</v>
      </c>
      <c r="AC75" s="154">
        <v>0.6</v>
      </c>
      <c r="AD75" s="103">
        <v>95</v>
      </c>
      <c r="AE75" s="103">
        <f t="shared" si="40"/>
        <v>655.62999999999965</v>
      </c>
      <c r="AF75" s="103">
        <f t="shared" ref="AF75:AF76" si="44">AC75*E75+K75-L75</f>
        <v>1046.3999999999999</v>
      </c>
    </row>
    <row r="76" spans="1:32">
      <c r="A76" s="190" t="s">
        <v>431</v>
      </c>
      <c r="B76" s="185">
        <v>465180</v>
      </c>
      <c r="C76" s="112">
        <v>2</v>
      </c>
      <c r="D76" s="103">
        <v>1850</v>
      </c>
      <c r="E76" s="102">
        <f t="shared" si="30"/>
        <v>1189</v>
      </c>
      <c r="F76" s="112">
        <v>1034</v>
      </c>
      <c r="G76" s="112">
        <v>155</v>
      </c>
      <c r="H76" s="128">
        <f t="shared" si="43"/>
        <v>1.5559293523969722</v>
      </c>
      <c r="I76" s="146">
        <v>617.21</v>
      </c>
      <c r="J76" s="128">
        <v>22.95</v>
      </c>
      <c r="K76" s="103"/>
      <c r="L76" s="103"/>
      <c r="M76" s="146">
        <v>63.57</v>
      </c>
      <c r="N76" s="103">
        <f t="shared" si="31"/>
        <v>15.725000000000001</v>
      </c>
      <c r="O76" s="103">
        <v>7</v>
      </c>
      <c r="P76" s="103"/>
      <c r="Q76" s="103">
        <v>789.51</v>
      </c>
      <c r="R76" s="103"/>
      <c r="S76" s="103">
        <v>0</v>
      </c>
      <c r="T76" s="103"/>
      <c r="U76" s="103"/>
      <c r="V76" s="103"/>
      <c r="W76" s="103">
        <f t="shared" si="32"/>
        <v>87.548999999999992</v>
      </c>
      <c r="X76" s="152"/>
      <c r="Y76" s="152">
        <v>7.6999999999999999E-2</v>
      </c>
      <c r="Z76" s="153">
        <v>1137</v>
      </c>
      <c r="AA76" s="103">
        <v>90.57</v>
      </c>
      <c r="AB76" s="103">
        <f t="shared" si="33"/>
        <v>118.9</v>
      </c>
      <c r="AC76" s="112">
        <v>0.65</v>
      </c>
      <c r="AD76" s="103">
        <v>95</v>
      </c>
      <c r="AE76" s="103">
        <f t="shared" si="40"/>
        <v>-703.69399999999996</v>
      </c>
      <c r="AF76" s="103">
        <f t="shared" si="44"/>
        <v>772.85</v>
      </c>
    </row>
    <row r="77" spans="1:32">
      <c r="A77" s="227" t="s">
        <v>429</v>
      </c>
      <c r="B77" s="228">
        <v>191275</v>
      </c>
      <c r="C77" s="112">
        <v>6</v>
      </c>
      <c r="D77" s="103">
        <v>8000</v>
      </c>
      <c r="E77" s="102">
        <f t="shared" si="30"/>
        <v>3967</v>
      </c>
      <c r="F77" s="112">
        <v>3913</v>
      </c>
      <c r="G77" s="112">
        <v>54</v>
      </c>
      <c r="H77" s="128">
        <f t="shared" si="43"/>
        <v>2.01663725737333</v>
      </c>
      <c r="I77" s="146">
        <v>2706.88</v>
      </c>
      <c r="J77" s="128">
        <v>49.6</v>
      </c>
      <c r="K77" s="128"/>
      <c r="L77" s="128"/>
      <c r="M77" s="146">
        <v>38.93</v>
      </c>
      <c r="N77" s="103">
        <f t="shared" si="31"/>
        <v>68</v>
      </c>
      <c r="O77" s="103">
        <v>7</v>
      </c>
      <c r="P77" s="103"/>
      <c r="Q77" s="103">
        <v>779.13</v>
      </c>
      <c r="R77" s="103"/>
      <c r="S77" s="103">
        <v>0</v>
      </c>
      <c r="T77" s="103"/>
      <c r="U77" s="103"/>
      <c r="V77" s="103"/>
      <c r="W77" s="103">
        <f t="shared" si="32"/>
        <v>301.64999999999998</v>
      </c>
      <c r="X77" s="152"/>
      <c r="Y77" s="152">
        <v>7.4999999999999997E-2</v>
      </c>
      <c r="Z77" s="102" t="s">
        <v>534</v>
      </c>
      <c r="AA77" s="103">
        <v>90.57</v>
      </c>
      <c r="AB77" s="103">
        <f t="shared" si="33"/>
        <v>396.70000000000005</v>
      </c>
      <c r="AC77" s="213">
        <v>0.27</v>
      </c>
      <c r="AD77" s="103">
        <v>95</v>
      </c>
      <c r="AE77" s="103">
        <f>D77*73%-J77-K77-N77-O77-Q77-W77-AA77-AB77-AF77+M77</f>
        <v>2026.2800000000004</v>
      </c>
      <c r="AF77" s="103">
        <f>D77*AC77</f>
        <v>2160</v>
      </c>
    </row>
    <row r="78" spans="1:32">
      <c r="A78" s="190" t="s">
        <v>491</v>
      </c>
      <c r="B78" s="185">
        <v>465181</v>
      </c>
      <c r="C78" s="117">
        <v>7</v>
      </c>
      <c r="D78" s="103">
        <v>8775</v>
      </c>
      <c r="E78" s="102">
        <f t="shared" si="30"/>
        <v>4482</v>
      </c>
      <c r="F78" s="112">
        <v>4103</v>
      </c>
      <c r="G78" s="112">
        <v>379</v>
      </c>
      <c r="H78" s="128">
        <f t="shared" si="43"/>
        <v>1.9578313253012047</v>
      </c>
      <c r="I78" s="146">
        <v>2555.86</v>
      </c>
      <c r="J78" s="128">
        <v>11</v>
      </c>
      <c r="K78" s="128"/>
      <c r="L78" s="128"/>
      <c r="M78" s="146">
        <v>276.27999999999997</v>
      </c>
      <c r="N78" s="103">
        <f t="shared" si="31"/>
        <v>74.587500000000006</v>
      </c>
      <c r="O78" s="103">
        <v>7</v>
      </c>
      <c r="P78" s="103"/>
      <c r="Q78" s="103">
        <v>789.51</v>
      </c>
      <c r="R78" s="103"/>
      <c r="S78" s="103">
        <v>0</v>
      </c>
      <c r="T78" s="103"/>
      <c r="U78" s="103"/>
      <c r="V78" s="103"/>
      <c r="W78" s="103">
        <f t="shared" si="32"/>
        <v>285.43900000000002</v>
      </c>
      <c r="X78" s="152"/>
      <c r="Y78" s="152">
        <v>7.6999999999999999E-2</v>
      </c>
      <c r="Z78" s="153">
        <v>3707</v>
      </c>
      <c r="AA78" s="103">
        <v>90.57</v>
      </c>
      <c r="AB78" s="103">
        <f t="shared" si="33"/>
        <v>448.20000000000005</v>
      </c>
      <c r="AC78" s="154">
        <v>0.6</v>
      </c>
      <c r="AD78" s="103">
        <v>95</v>
      </c>
      <c r="AE78" s="103">
        <f>D78-I78-J78-N78-O78-Q78-W78-AA78-AB78-AD78-AC78*E78+M78</f>
        <v>2004.9134999999999</v>
      </c>
      <c r="AF78" s="103">
        <f>AC78*E78+K78+L78</f>
        <v>2689.2</v>
      </c>
    </row>
    <row r="79" spans="1:32">
      <c r="A79" s="229" t="s">
        <v>435</v>
      </c>
      <c r="B79" s="216">
        <v>191282</v>
      </c>
      <c r="C79" s="217">
        <v>7</v>
      </c>
      <c r="D79" s="218">
        <v>10839</v>
      </c>
      <c r="E79" s="219">
        <f t="shared" si="30"/>
        <v>5706</v>
      </c>
      <c r="F79" s="217">
        <v>5203</v>
      </c>
      <c r="G79" s="217">
        <v>503</v>
      </c>
      <c r="H79" s="128">
        <f t="shared" si="43"/>
        <v>1.8995793901156677</v>
      </c>
      <c r="I79" s="220">
        <v>2131.7199999999998</v>
      </c>
      <c r="J79" s="221">
        <v>17.45</v>
      </c>
      <c r="K79" s="221"/>
      <c r="L79" s="221"/>
      <c r="M79" s="220">
        <v>100.32</v>
      </c>
      <c r="N79" s="218">
        <f t="shared" si="31"/>
        <v>92.131500000000003</v>
      </c>
      <c r="O79" s="218">
        <v>7</v>
      </c>
      <c r="P79" s="218"/>
      <c r="Q79" s="218">
        <v>789.51</v>
      </c>
      <c r="R79" s="218">
        <v>50</v>
      </c>
      <c r="S79" s="218">
        <v>1200</v>
      </c>
      <c r="T79" s="218">
        <v>30</v>
      </c>
      <c r="U79" s="218"/>
      <c r="V79" s="218">
        <v>300</v>
      </c>
      <c r="W79" s="218">
        <f t="shared" si="32"/>
        <v>318.93399999999997</v>
      </c>
      <c r="X79" s="218">
        <f t="shared" ref="X79:X80" si="45">0.15*Z79</f>
        <v>621.29999999999995</v>
      </c>
      <c r="Y79" s="222">
        <v>7.6999999999999999E-2</v>
      </c>
      <c r="Z79" s="219" t="s">
        <v>535</v>
      </c>
      <c r="AA79" s="218">
        <v>90.57</v>
      </c>
      <c r="AB79" s="218">
        <f t="shared" si="33"/>
        <v>570.6</v>
      </c>
      <c r="AC79" s="223">
        <v>0.87</v>
      </c>
      <c r="AD79" s="218">
        <v>95</v>
      </c>
      <c r="AE79" s="103">
        <f t="shared" ref="AE79:AE80" si="46">D79*13%+R79+T79+S79+V79-Q79-W79-AA79-AD79+X79-N79+M79</f>
        <v>2324.5445</v>
      </c>
      <c r="AF79" s="103">
        <f t="shared" ref="AF79:AF80" si="47">D79*AC79-I79-J79-S79-R79-T79-V79-X79</f>
        <v>5079.4600000000009</v>
      </c>
    </row>
    <row r="80" spans="1:32">
      <c r="A80" s="215" t="s">
        <v>526</v>
      </c>
      <c r="B80" s="216">
        <v>465182</v>
      </c>
      <c r="C80" s="217">
        <v>7</v>
      </c>
      <c r="D80" s="218">
        <v>10363</v>
      </c>
      <c r="E80" s="219">
        <f t="shared" si="30"/>
        <v>5104</v>
      </c>
      <c r="F80" s="217">
        <v>4881</v>
      </c>
      <c r="G80" s="217">
        <v>223</v>
      </c>
      <c r="H80" s="128">
        <f t="shared" si="43"/>
        <v>2.0303683385579938</v>
      </c>
      <c r="I80" s="220">
        <v>2316.4899999999998</v>
      </c>
      <c r="J80" s="221">
        <v>123.73</v>
      </c>
      <c r="K80" s="221"/>
      <c r="L80" s="221"/>
      <c r="M80" s="220">
        <v>69.88</v>
      </c>
      <c r="N80" s="218">
        <f t="shared" si="31"/>
        <v>88.08550000000001</v>
      </c>
      <c r="O80" s="218">
        <v>7</v>
      </c>
      <c r="P80" s="218"/>
      <c r="Q80" s="218">
        <v>789.51</v>
      </c>
      <c r="R80" s="218">
        <v>50</v>
      </c>
      <c r="S80" s="218">
        <v>1200</v>
      </c>
      <c r="T80" s="218">
        <v>30</v>
      </c>
      <c r="U80" s="218"/>
      <c r="V80" s="218">
        <v>300</v>
      </c>
      <c r="W80" s="218">
        <f t="shared" si="32"/>
        <v>368.52199999999999</v>
      </c>
      <c r="X80" s="218">
        <f t="shared" si="45"/>
        <v>717.9</v>
      </c>
      <c r="Y80" s="222">
        <v>7.6999999999999999E-2</v>
      </c>
      <c r="Z80" s="219" t="s">
        <v>536</v>
      </c>
      <c r="AA80" s="218">
        <v>90.57</v>
      </c>
      <c r="AB80" s="218">
        <f t="shared" si="33"/>
        <v>510.40000000000003</v>
      </c>
      <c r="AC80" s="223">
        <v>0.87</v>
      </c>
      <c r="AD80" s="218">
        <v>95</v>
      </c>
      <c r="AE80" s="103">
        <f t="shared" si="46"/>
        <v>2283.2825000000003</v>
      </c>
      <c r="AF80" s="103">
        <f t="shared" si="47"/>
        <v>4277.6900000000005</v>
      </c>
    </row>
    <row r="81" spans="1:32">
      <c r="A81" s="134" t="s">
        <v>462</v>
      </c>
      <c r="B81" s="135" t="s">
        <v>399</v>
      </c>
      <c r="C81" s="158">
        <v>7</v>
      </c>
      <c r="D81" s="139">
        <v>5400</v>
      </c>
      <c r="E81" s="136">
        <v>2949</v>
      </c>
      <c r="F81" s="136"/>
      <c r="G81" s="136"/>
      <c r="H81" s="128">
        <f t="shared" si="43"/>
        <v>1.8311291963377416</v>
      </c>
      <c r="I81" s="139">
        <v>1767.27</v>
      </c>
      <c r="J81" s="139">
        <v>299.14</v>
      </c>
      <c r="K81" s="139"/>
      <c r="L81" s="139"/>
      <c r="M81" s="139">
        <v>0</v>
      </c>
      <c r="N81" s="139">
        <f t="shared" si="31"/>
        <v>45.900000000000006</v>
      </c>
      <c r="O81" s="139">
        <v>0</v>
      </c>
      <c r="P81" s="139"/>
      <c r="Q81" s="139">
        <v>0</v>
      </c>
      <c r="R81" s="139">
        <v>0</v>
      </c>
      <c r="S81" s="139">
        <v>0</v>
      </c>
      <c r="T81" s="139">
        <v>0</v>
      </c>
      <c r="U81" s="139"/>
      <c r="V81" s="139">
        <v>0</v>
      </c>
      <c r="W81" s="139">
        <v>0</v>
      </c>
      <c r="X81" s="159"/>
      <c r="Y81" s="159">
        <v>0</v>
      </c>
      <c r="Z81" s="136">
        <v>2949</v>
      </c>
      <c r="AA81" s="139">
        <v>0</v>
      </c>
      <c r="AB81" s="139">
        <f t="shared" si="33"/>
        <v>294.90000000000003</v>
      </c>
      <c r="AC81" s="160">
        <v>0.85</v>
      </c>
      <c r="AD81" s="139">
        <v>95</v>
      </c>
      <c r="AE81" s="139">
        <f>D81*0.15-AB81-N81+M81</f>
        <v>469.19999999999993</v>
      </c>
      <c r="AF81" s="139">
        <f>D81*0.85-I81-J81+M81</f>
        <v>2523.59</v>
      </c>
    </row>
    <row r="82" spans="1:32">
      <c r="A82" s="199" t="s">
        <v>528</v>
      </c>
      <c r="B82" s="230" t="s">
        <v>362</v>
      </c>
      <c r="C82" s="158"/>
      <c r="D82" s="139"/>
      <c r="E82" s="136"/>
      <c r="F82" s="136"/>
      <c r="G82" s="136"/>
      <c r="H82" s="136"/>
      <c r="I82" s="139"/>
      <c r="J82" s="139">
        <v>245.91</v>
      </c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59"/>
      <c r="Y82" s="159"/>
      <c r="Z82" s="136">
        <v>1</v>
      </c>
      <c r="AA82" s="139"/>
      <c r="AB82" s="139"/>
      <c r="AC82" s="160"/>
      <c r="AD82" s="139"/>
      <c r="AE82" s="139"/>
      <c r="AF82" s="139">
        <f>D82-J82</f>
        <v>-245.91</v>
      </c>
    </row>
    <row r="83" spans="1:32">
      <c r="A83" s="134" t="s">
        <v>529</v>
      </c>
      <c r="B83" s="134">
        <v>1118</v>
      </c>
      <c r="C83" s="158">
        <v>4</v>
      </c>
      <c r="D83" s="139">
        <v>2200</v>
      </c>
      <c r="E83" s="136">
        <v>1223</v>
      </c>
      <c r="F83" s="136"/>
      <c r="G83" s="136"/>
      <c r="H83" s="128">
        <f t="shared" ref="H83:H85" si="48">D83/E83</f>
        <v>1.7988552739165986</v>
      </c>
      <c r="I83" s="139">
        <v>580</v>
      </c>
      <c r="J83" s="139"/>
      <c r="K83" s="139"/>
      <c r="L83" s="139"/>
      <c r="M83" s="139"/>
      <c r="N83" s="139">
        <f t="shared" ref="N83:N84" si="49">D83*0.0085</f>
        <v>18.700000000000003</v>
      </c>
      <c r="O83" s="139">
        <v>0</v>
      </c>
      <c r="P83" s="139"/>
      <c r="Q83" s="139">
        <v>0</v>
      </c>
      <c r="R83" s="139">
        <v>0</v>
      </c>
      <c r="S83" s="139">
        <v>0</v>
      </c>
      <c r="T83" s="139">
        <v>0</v>
      </c>
      <c r="U83" s="139"/>
      <c r="V83" s="139">
        <v>0</v>
      </c>
      <c r="W83" s="139">
        <v>0</v>
      </c>
      <c r="X83" s="159"/>
      <c r="Y83" s="159">
        <v>0</v>
      </c>
      <c r="Z83" s="136">
        <v>1223</v>
      </c>
      <c r="AA83" s="139">
        <v>0</v>
      </c>
      <c r="AB83" s="139">
        <f t="shared" ref="AB83:AB85" si="50">E83*0.1</f>
        <v>122.30000000000001</v>
      </c>
      <c r="AC83" s="160">
        <v>0.8</v>
      </c>
      <c r="AD83" s="139">
        <v>95</v>
      </c>
      <c r="AE83" s="139">
        <f>D83*0.2-AB83-N83-K83-AD83</f>
        <v>204</v>
      </c>
      <c r="AF83" s="139">
        <f>D83*AC83-I83-J83</f>
        <v>1180</v>
      </c>
    </row>
    <row r="84" spans="1:32">
      <c r="A84" s="134" t="s">
        <v>467</v>
      </c>
      <c r="B84" s="134">
        <v>1122</v>
      </c>
      <c r="C84" s="158">
        <v>7</v>
      </c>
      <c r="D84" s="139">
        <v>6700</v>
      </c>
      <c r="E84" s="136">
        <v>2444</v>
      </c>
      <c r="F84" s="136"/>
      <c r="G84" s="136"/>
      <c r="H84" s="128">
        <f t="shared" si="48"/>
        <v>2.7414075286415711</v>
      </c>
      <c r="I84" s="224">
        <v>1119.6400000000001</v>
      </c>
      <c r="J84" s="139">
        <v>24.4</v>
      </c>
      <c r="K84" s="139"/>
      <c r="L84" s="139"/>
      <c r="M84" s="139">
        <v>0</v>
      </c>
      <c r="N84" s="139">
        <f t="shared" si="49"/>
        <v>56.95</v>
      </c>
      <c r="O84" s="139">
        <v>7</v>
      </c>
      <c r="P84" s="139"/>
      <c r="Q84" s="139">
        <v>0</v>
      </c>
      <c r="R84" s="139">
        <v>50</v>
      </c>
      <c r="S84" s="139">
        <v>199</v>
      </c>
      <c r="T84" s="139">
        <v>30</v>
      </c>
      <c r="U84" s="139"/>
      <c r="V84" s="139">
        <v>300</v>
      </c>
      <c r="W84" s="139">
        <v>0</v>
      </c>
      <c r="X84" s="159"/>
      <c r="Y84" s="159">
        <v>0</v>
      </c>
      <c r="Z84" s="136">
        <v>2444</v>
      </c>
      <c r="AA84" s="139">
        <v>0</v>
      </c>
      <c r="AB84" s="139">
        <f t="shared" si="50"/>
        <v>244.4</v>
      </c>
      <c r="AC84" s="160">
        <v>0.87</v>
      </c>
      <c r="AD84" s="139">
        <v>95</v>
      </c>
      <c r="AE84" s="139">
        <f>D84*0.13-AD84-AB84+V84+T84+S84+R84-N84+M84</f>
        <v>1053.6499999999999</v>
      </c>
      <c r="AF84" s="139">
        <f>D84*AC84-I84-J84-V84-T84-S84-R84</f>
        <v>4105.96</v>
      </c>
    </row>
    <row r="85" spans="1:32">
      <c r="A85" s="134" t="s">
        <v>520</v>
      </c>
      <c r="B85" s="134">
        <v>1650</v>
      </c>
      <c r="C85" s="158">
        <v>5</v>
      </c>
      <c r="D85" s="139">
        <v>5000</v>
      </c>
      <c r="E85" s="136">
        <v>2099</v>
      </c>
      <c r="F85" s="136"/>
      <c r="G85" s="136"/>
      <c r="H85" s="128">
        <f t="shared" si="48"/>
        <v>2.3820867079561694</v>
      </c>
      <c r="I85" s="139">
        <v>1143.54</v>
      </c>
      <c r="J85" s="139"/>
      <c r="K85" s="139"/>
      <c r="L85" s="139"/>
      <c r="M85" s="139">
        <v>92.63</v>
      </c>
      <c r="N85" s="139"/>
      <c r="O85" s="139"/>
      <c r="P85" s="139"/>
      <c r="Q85" s="139">
        <v>0</v>
      </c>
      <c r="R85" s="139">
        <v>50</v>
      </c>
      <c r="S85" s="139">
        <v>0</v>
      </c>
      <c r="T85" s="139">
        <v>30</v>
      </c>
      <c r="U85" s="139"/>
      <c r="V85" s="139">
        <v>300</v>
      </c>
      <c r="W85" s="139">
        <v>0</v>
      </c>
      <c r="X85" s="159"/>
      <c r="Y85" s="159">
        <v>0</v>
      </c>
      <c r="Z85" s="136">
        <v>2099</v>
      </c>
      <c r="AA85" s="139">
        <v>0</v>
      </c>
      <c r="AB85" s="139">
        <f t="shared" si="50"/>
        <v>209.9</v>
      </c>
      <c r="AC85" s="160">
        <v>0.87</v>
      </c>
      <c r="AD85" s="139">
        <v>95</v>
      </c>
      <c r="AE85" s="139">
        <f>D85*0.13+V85+T85+S85+R85-AB85-N85+M85</f>
        <v>912.73</v>
      </c>
      <c r="AF85" s="139">
        <f>D85*0.87-I85-J85-R85-S85-T85-V85</f>
        <v>2826.46</v>
      </c>
    </row>
    <row r="86" spans="1:32">
      <c r="A86" s="72" t="s">
        <v>89</v>
      </c>
      <c r="B86" s="72">
        <v>20</v>
      </c>
      <c r="C86" s="202">
        <f>AVERAGE(C61:C78)</f>
        <v>4.4285714285714288</v>
      </c>
      <c r="D86" s="201">
        <f t="shared" ref="D86:G86" si="51">SUM(D61:D85)</f>
        <v>110190</v>
      </c>
      <c r="E86" s="201">
        <f t="shared" si="51"/>
        <v>55748</v>
      </c>
      <c r="F86" s="201">
        <f t="shared" si="51"/>
        <v>44360</v>
      </c>
      <c r="G86" s="201">
        <f t="shared" si="51"/>
        <v>2673</v>
      </c>
      <c r="H86" s="201">
        <f>AVERAGE(H61:H85)</f>
        <v>1.9867565725966654</v>
      </c>
      <c r="I86" s="201">
        <f t="shared" ref="I86:AB86" si="52">SUM(I61:I85)</f>
        <v>30711.020000000008</v>
      </c>
      <c r="J86" s="201">
        <f t="shared" si="52"/>
        <v>2174.87</v>
      </c>
      <c r="K86" s="201">
        <f t="shared" si="52"/>
        <v>0</v>
      </c>
      <c r="L86" s="201">
        <f t="shared" si="52"/>
        <v>0</v>
      </c>
      <c r="M86" s="201">
        <f t="shared" si="52"/>
        <v>2634.5100000000007</v>
      </c>
      <c r="N86" s="201">
        <f t="shared" si="52"/>
        <v>894.11500000000012</v>
      </c>
      <c r="O86" s="201">
        <f t="shared" si="52"/>
        <v>147</v>
      </c>
      <c r="P86" s="201">
        <f t="shared" si="52"/>
        <v>0</v>
      </c>
      <c r="Q86" s="201">
        <f t="shared" si="52"/>
        <v>15686.4</v>
      </c>
      <c r="R86" s="201">
        <f t="shared" si="52"/>
        <v>200</v>
      </c>
      <c r="S86" s="201">
        <f t="shared" si="52"/>
        <v>2599</v>
      </c>
      <c r="T86" s="201">
        <f t="shared" si="52"/>
        <v>120</v>
      </c>
      <c r="U86" s="201">
        <f t="shared" si="52"/>
        <v>0</v>
      </c>
      <c r="V86" s="201">
        <f t="shared" si="52"/>
        <v>1200</v>
      </c>
      <c r="W86" s="201">
        <f t="shared" si="52"/>
        <v>3282.6969999999992</v>
      </c>
      <c r="X86" s="201">
        <f t="shared" si="52"/>
        <v>1339.1999999999998</v>
      </c>
      <c r="Y86" s="201">
        <f t="shared" si="52"/>
        <v>1.5199999999999996</v>
      </c>
      <c r="Z86" s="201">
        <f t="shared" si="52"/>
        <v>38821</v>
      </c>
      <c r="AA86" s="201">
        <f t="shared" si="52"/>
        <v>1811.3999999999992</v>
      </c>
      <c r="AB86" s="201">
        <f t="shared" si="52"/>
        <v>5574.7999999999993</v>
      </c>
      <c r="AC86" s="201"/>
      <c r="AD86" s="201">
        <f t="shared" ref="AD86:AF86" si="53">SUM(AD61:AD85)</f>
        <v>2280</v>
      </c>
      <c r="AE86" s="201">
        <f t="shared" si="53"/>
        <v>12037.747999999998</v>
      </c>
      <c r="AF86" s="201">
        <f t="shared" si="53"/>
        <v>41627.100000000006</v>
      </c>
    </row>
    <row r="87" spans="1:32">
      <c r="A87" s="173"/>
      <c r="B87" s="174"/>
      <c r="C87" s="175"/>
      <c r="D87" s="176"/>
      <c r="E87" s="177"/>
      <c r="F87" s="176"/>
      <c r="G87" s="176"/>
      <c r="H87" s="176"/>
      <c r="I87" s="176"/>
      <c r="J87" s="176"/>
      <c r="K87" s="176"/>
      <c r="L87" s="176"/>
      <c r="M87" s="176"/>
      <c r="N87" s="176"/>
      <c r="O87" s="176"/>
      <c r="P87" s="176"/>
      <c r="Q87" s="176"/>
      <c r="R87" s="176"/>
      <c r="S87" s="176"/>
      <c r="T87" s="176"/>
      <c r="U87" s="178"/>
      <c r="V87" s="178"/>
      <c r="W87" s="179"/>
      <c r="X87" s="176"/>
      <c r="Y87" s="176"/>
      <c r="Z87" s="176"/>
      <c r="AA87" s="180"/>
      <c r="AB87" s="181"/>
      <c r="AC87" s="176"/>
      <c r="AD87" s="176"/>
    </row>
    <row r="88" spans="1:32">
      <c r="A88" s="461" t="s">
        <v>537</v>
      </c>
      <c r="B88" s="458"/>
      <c r="C88" s="458"/>
      <c r="D88" s="458"/>
      <c r="E88" s="458"/>
      <c r="F88" s="458"/>
      <c r="G88" s="458"/>
      <c r="H88" s="458"/>
      <c r="I88" s="458"/>
      <c r="J88" s="458"/>
      <c r="K88" s="458"/>
      <c r="L88" s="458"/>
      <c r="M88" s="458"/>
      <c r="N88" s="458"/>
      <c r="O88" s="458"/>
      <c r="P88" s="458"/>
      <c r="Q88" s="458"/>
      <c r="R88" s="458"/>
      <c r="S88" s="458"/>
      <c r="T88" s="458"/>
      <c r="U88" s="458"/>
      <c r="V88" s="458"/>
      <c r="W88" s="458"/>
      <c r="X88" s="458"/>
      <c r="Y88" s="458"/>
      <c r="Z88" s="458"/>
      <c r="AA88" s="458"/>
      <c r="AB88" s="458"/>
      <c r="AC88" s="458"/>
      <c r="AD88" s="458"/>
      <c r="AE88" s="458"/>
      <c r="AF88" s="459"/>
    </row>
    <row r="89" spans="1:32">
      <c r="A89" s="95" t="s">
        <v>0</v>
      </c>
      <c r="B89" s="95" t="s">
        <v>1</v>
      </c>
      <c r="C89" s="95" t="s">
        <v>372</v>
      </c>
      <c r="D89" s="95" t="s">
        <v>2</v>
      </c>
      <c r="E89" s="95" t="s">
        <v>413</v>
      </c>
      <c r="F89" s="150" t="s">
        <v>414</v>
      </c>
      <c r="G89" s="150" t="s">
        <v>415</v>
      </c>
      <c r="H89" s="95" t="s">
        <v>416</v>
      </c>
      <c r="I89" s="95" t="s">
        <v>7</v>
      </c>
      <c r="J89" s="95" t="s">
        <v>8</v>
      </c>
      <c r="K89" s="95" t="s">
        <v>287</v>
      </c>
      <c r="L89" s="95" t="s">
        <v>288</v>
      </c>
      <c r="M89" s="95" t="s">
        <v>257</v>
      </c>
      <c r="N89" s="95" t="s">
        <v>373</v>
      </c>
      <c r="O89" s="95" t="s">
        <v>374</v>
      </c>
      <c r="P89" s="150" t="s">
        <v>538</v>
      </c>
      <c r="Q89" s="95" t="s">
        <v>375</v>
      </c>
      <c r="R89" s="95" t="s">
        <v>376</v>
      </c>
      <c r="S89" s="95" t="s">
        <v>522</v>
      </c>
      <c r="T89" s="150" t="s">
        <v>378</v>
      </c>
      <c r="U89" s="150" t="s">
        <v>539</v>
      </c>
      <c r="V89" s="150" t="s">
        <v>379</v>
      </c>
      <c r="W89" s="150" t="s">
        <v>352</v>
      </c>
      <c r="X89" s="150" t="s">
        <v>523</v>
      </c>
      <c r="Y89" s="95" t="s">
        <v>380</v>
      </c>
      <c r="Z89" s="95" t="s">
        <v>381</v>
      </c>
      <c r="AA89" s="95" t="s">
        <v>382</v>
      </c>
      <c r="AB89" s="95" t="s">
        <v>383</v>
      </c>
      <c r="AC89" s="95" t="s">
        <v>385</v>
      </c>
      <c r="AD89" s="150" t="s">
        <v>333</v>
      </c>
      <c r="AE89" s="95" t="s">
        <v>13</v>
      </c>
      <c r="AF89" s="95" t="s">
        <v>98</v>
      </c>
    </row>
    <row r="90" spans="1:32">
      <c r="A90" s="198" t="s">
        <v>531</v>
      </c>
      <c r="B90" s="208">
        <v>191279</v>
      </c>
      <c r="C90" s="112">
        <v>7</v>
      </c>
      <c r="D90" s="103">
        <v>7765</v>
      </c>
      <c r="E90" s="102">
        <f t="shared" ref="E90:E109" si="54">SUM(F90:G90)</f>
        <v>3882</v>
      </c>
      <c r="F90" s="117">
        <v>3431</v>
      </c>
      <c r="G90" s="231">
        <v>451</v>
      </c>
      <c r="H90" s="128">
        <f t="shared" ref="H90:H91" si="55">D90/E90</f>
        <v>2.0002575991756828</v>
      </c>
      <c r="I90" s="146">
        <v>2607.0100000000002</v>
      </c>
      <c r="J90" s="128">
        <v>410.14</v>
      </c>
      <c r="K90" s="103"/>
      <c r="L90" s="103"/>
      <c r="M90" s="146">
        <v>355.58</v>
      </c>
      <c r="N90" s="103">
        <f t="shared" ref="N90:N110" si="56">D90*0.0085</f>
        <v>66.002499999999998</v>
      </c>
      <c r="O90" s="103">
        <v>7</v>
      </c>
      <c r="P90" s="103"/>
      <c r="Q90" s="103">
        <v>779.13</v>
      </c>
      <c r="R90" s="103"/>
      <c r="S90" s="103">
        <v>0</v>
      </c>
      <c r="T90" s="103"/>
      <c r="U90" s="103">
        <v>40</v>
      </c>
      <c r="V90" s="103"/>
      <c r="W90" s="103">
        <f t="shared" ref="W90:W109" si="57">Z90*Y90</f>
        <v>281.09999999999997</v>
      </c>
      <c r="X90" s="152"/>
      <c r="Y90" s="152">
        <v>7.4999999999999997E-2</v>
      </c>
      <c r="Z90" s="153">
        <v>3748</v>
      </c>
      <c r="AA90" s="103">
        <v>90.57</v>
      </c>
      <c r="AB90" s="103">
        <f t="shared" ref="AB90:AB110" si="58">E90*0.1</f>
        <v>388.20000000000005</v>
      </c>
      <c r="AC90" s="154">
        <v>0.65</v>
      </c>
      <c r="AD90" s="103">
        <v>95</v>
      </c>
      <c r="AE90" s="103">
        <f>D90-I90-J90-N90-O90-Q90-W90-AA90-AB90-AD90-AC90*E90+M90-U90</f>
        <v>833.1274999999996</v>
      </c>
      <c r="AF90" s="103">
        <f>AC90*E90</f>
        <v>2523.3000000000002</v>
      </c>
    </row>
    <row r="91" spans="1:32">
      <c r="A91" s="198" t="s">
        <v>540</v>
      </c>
      <c r="B91" s="208">
        <v>465189</v>
      </c>
      <c r="C91" s="112">
        <v>5</v>
      </c>
      <c r="D91" s="103">
        <v>5450</v>
      </c>
      <c r="E91" s="102">
        <f t="shared" si="54"/>
        <v>3000</v>
      </c>
      <c r="F91" s="112">
        <v>2698</v>
      </c>
      <c r="G91" s="112">
        <v>302</v>
      </c>
      <c r="H91" s="128">
        <f t="shared" si="55"/>
        <v>1.8166666666666667</v>
      </c>
      <c r="I91" s="146">
        <v>1771.33</v>
      </c>
      <c r="J91" s="128"/>
      <c r="K91" s="103"/>
      <c r="L91" s="103"/>
      <c r="M91" s="146">
        <v>203.07</v>
      </c>
      <c r="N91" s="103">
        <f t="shared" si="56"/>
        <v>46.325000000000003</v>
      </c>
      <c r="O91" s="103">
        <v>7</v>
      </c>
      <c r="P91" s="103"/>
      <c r="Q91" s="103">
        <v>779.13</v>
      </c>
      <c r="R91" s="103"/>
      <c r="S91" s="103">
        <v>0</v>
      </c>
      <c r="T91" s="103"/>
      <c r="U91" s="103">
        <v>40</v>
      </c>
      <c r="V91" s="103"/>
      <c r="W91" s="103">
        <f t="shared" si="57"/>
        <v>229.35</v>
      </c>
      <c r="X91" s="152"/>
      <c r="Y91" s="152">
        <v>7.4999999999999997E-2</v>
      </c>
      <c r="Z91" s="153">
        <v>3058</v>
      </c>
      <c r="AA91" s="103">
        <v>90.57</v>
      </c>
      <c r="AB91" s="103">
        <f t="shared" si="58"/>
        <v>300</v>
      </c>
      <c r="AC91" s="213">
        <v>0.27</v>
      </c>
      <c r="AD91" s="103">
        <v>95</v>
      </c>
      <c r="AE91" s="103">
        <f>D91-I91-N91-Q91-U91-W91-AA91-AB91-AD91-AF91</f>
        <v>626.79500000000007</v>
      </c>
      <c r="AF91" s="103">
        <f t="shared" ref="AF91:AF92" si="59">D91*AC91</f>
        <v>1471.5</v>
      </c>
    </row>
    <row r="92" spans="1:32">
      <c r="A92" s="198"/>
      <c r="B92" s="214" t="s">
        <v>507</v>
      </c>
      <c r="C92" s="112"/>
      <c r="D92" s="103"/>
      <c r="E92" s="102">
        <f t="shared" si="54"/>
        <v>0</v>
      </c>
      <c r="F92" s="117"/>
      <c r="G92" s="117"/>
      <c r="H92" s="128"/>
      <c r="I92" s="146"/>
      <c r="J92" s="128"/>
      <c r="K92" s="103"/>
      <c r="L92" s="103"/>
      <c r="M92" s="146"/>
      <c r="N92" s="103">
        <f t="shared" si="56"/>
        <v>0</v>
      </c>
      <c r="O92" s="103">
        <v>7</v>
      </c>
      <c r="P92" s="103">
        <v>80</v>
      </c>
      <c r="Q92" s="103">
        <v>779.13</v>
      </c>
      <c r="R92" s="103"/>
      <c r="S92" s="103">
        <v>0</v>
      </c>
      <c r="T92" s="103"/>
      <c r="U92" s="103">
        <v>40</v>
      </c>
      <c r="V92" s="103"/>
      <c r="W92" s="103">
        <f t="shared" si="57"/>
        <v>0</v>
      </c>
      <c r="X92" s="152"/>
      <c r="Y92" s="152">
        <v>7.4999999999999997E-2</v>
      </c>
      <c r="Z92" s="153"/>
      <c r="AA92" s="103">
        <v>90.57</v>
      </c>
      <c r="AB92" s="103">
        <f t="shared" si="58"/>
        <v>0</v>
      </c>
      <c r="AC92" s="154"/>
      <c r="AD92" s="103">
        <v>95</v>
      </c>
      <c r="AE92" s="103">
        <f>D92*73%-J92-K92-N92-O92-Q92-W92-AA92-AB92-AF92-U92-P92</f>
        <v>-996.7</v>
      </c>
      <c r="AF92" s="103">
        <f t="shared" si="59"/>
        <v>0</v>
      </c>
    </row>
    <row r="93" spans="1:32">
      <c r="A93" s="187" t="s">
        <v>532</v>
      </c>
      <c r="B93" s="208">
        <v>191280</v>
      </c>
      <c r="C93" s="112">
        <v>7</v>
      </c>
      <c r="D93" s="103">
        <v>7950</v>
      </c>
      <c r="E93" s="102">
        <f t="shared" si="54"/>
        <v>3806</v>
      </c>
      <c r="F93" s="117">
        <v>3757</v>
      </c>
      <c r="G93" s="117">
        <v>49</v>
      </c>
      <c r="H93" s="128">
        <f t="shared" ref="H93:H94" si="60">D93/E93</f>
        <v>2.0888071466106148</v>
      </c>
      <c r="I93" s="146">
        <v>2228.48</v>
      </c>
      <c r="J93" s="128">
        <v>208.86</v>
      </c>
      <c r="K93" s="103"/>
      <c r="L93" s="103"/>
      <c r="M93" s="146">
        <v>460.23</v>
      </c>
      <c r="N93" s="103">
        <f t="shared" si="56"/>
        <v>67.575000000000003</v>
      </c>
      <c r="O93" s="103">
        <v>7</v>
      </c>
      <c r="P93" s="103">
        <v>36.36</v>
      </c>
      <c r="Q93" s="103">
        <v>779.13</v>
      </c>
      <c r="R93" s="103"/>
      <c r="S93" s="103">
        <v>0</v>
      </c>
      <c r="T93" s="103"/>
      <c r="U93" s="103">
        <v>40</v>
      </c>
      <c r="V93" s="103"/>
      <c r="W93" s="103">
        <f t="shared" si="57"/>
        <v>254.47499999999999</v>
      </c>
      <c r="X93" s="152"/>
      <c r="Y93" s="152">
        <v>7.4999999999999997E-2</v>
      </c>
      <c r="Z93" s="153">
        <v>3393</v>
      </c>
      <c r="AA93" s="103">
        <v>90.57</v>
      </c>
      <c r="AB93" s="103">
        <f t="shared" si="58"/>
        <v>380.6</v>
      </c>
      <c r="AC93" s="225">
        <v>0.65</v>
      </c>
      <c r="AD93" s="108">
        <v>95</v>
      </c>
      <c r="AE93" s="226">
        <f>D93-I93-J93-N93-O93-Q93-W93-AA93-AB93-AD93-AC93*E93+M93-U93-P93</f>
        <v>1748.2800000000009</v>
      </c>
      <c r="AF93" s="103">
        <f>E93*AC93</f>
        <v>2473.9</v>
      </c>
    </row>
    <row r="94" spans="1:32">
      <c r="A94" s="184" t="s">
        <v>505</v>
      </c>
      <c r="B94" s="185">
        <v>191274</v>
      </c>
      <c r="C94" s="112">
        <v>7</v>
      </c>
      <c r="D94" s="103">
        <v>11600</v>
      </c>
      <c r="E94" s="102">
        <f t="shared" si="54"/>
        <v>5825</v>
      </c>
      <c r="F94" s="117">
        <v>5517</v>
      </c>
      <c r="G94" s="117">
        <v>308</v>
      </c>
      <c r="H94" s="128">
        <f t="shared" si="60"/>
        <v>1.9914163090128756</v>
      </c>
      <c r="I94" s="146">
        <v>3990.15</v>
      </c>
      <c r="J94" s="128">
        <v>125.84</v>
      </c>
      <c r="K94" s="103"/>
      <c r="L94" s="103"/>
      <c r="M94" s="146">
        <v>551.79999999999995</v>
      </c>
      <c r="N94" s="103">
        <f t="shared" si="56"/>
        <v>98.600000000000009</v>
      </c>
      <c r="O94" s="103">
        <v>7</v>
      </c>
      <c r="P94" s="103"/>
      <c r="Q94" s="103">
        <v>789.51</v>
      </c>
      <c r="R94" s="103"/>
      <c r="S94" s="103">
        <v>0</v>
      </c>
      <c r="T94" s="103"/>
      <c r="U94" s="103">
        <v>40</v>
      </c>
      <c r="V94" s="103"/>
      <c r="W94" s="103">
        <f t="shared" si="57"/>
        <v>464.07900000000001</v>
      </c>
      <c r="X94" s="152"/>
      <c r="Y94" s="152">
        <v>7.6999999999999999E-2</v>
      </c>
      <c r="Z94" s="155">
        <v>6027</v>
      </c>
      <c r="AA94" s="103">
        <v>90.57</v>
      </c>
      <c r="AB94" s="103">
        <f t="shared" si="58"/>
        <v>582.5</v>
      </c>
      <c r="AC94" s="213">
        <v>0.27</v>
      </c>
      <c r="AD94" s="103">
        <v>95</v>
      </c>
      <c r="AE94" s="103">
        <f>D94-I94-N94-Q94-U94-W94-AA94-AB94-AD94-AF94</f>
        <v>2317.5910000000003</v>
      </c>
      <c r="AF94" s="103">
        <f t="shared" ref="AF94:AF97" si="61">D94*AC94</f>
        <v>3132</v>
      </c>
    </row>
    <row r="95" spans="1:32">
      <c r="A95" s="184"/>
      <c r="B95" s="205">
        <v>191276</v>
      </c>
      <c r="C95" s="112"/>
      <c r="D95" s="103"/>
      <c r="E95" s="102">
        <f t="shared" si="54"/>
        <v>0</v>
      </c>
      <c r="F95" s="112"/>
      <c r="G95" s="112"/>
      <c r="H95" s="128"/>
      <c r="I95" s="146"/>
      <c r="J95" s="128"/>
      <c r="K95" s="103"/>
      <c r="L95" s="103"/>
      <c r="M95" s="146"/>
      <c r="N95" s="103">
        <f t="shared" si="56"/>
        <v>0</v>
      </c>
      <c r="O95" s="103">
        <v>7</v>
      </c>
      <c r="P95" s="103"/>
      <c r="Q95" s="103">
        <v>779.13</v>
      </c>
      <c r="R95" s="103"/>
      <c r="S95" s="103">
        <v>0</v>
      </c>
      <c r="T95" s="103"/>
      <c r="U95" s="103">
        <v>40</v>
      </c>
      <c r="V95" s="103"/>
      <c r="W95" s="103">
        <f t="shared" si="57"/>
        <v>0</v>
      </c>
      <c r="X95" s="152"/>
      <c r="Y95" s="152">
        <v>7.4999999999999997E-2</v>
      </c>
      <c r="Z95" s="153"/>
      <c r="AA95" s="103">
        <v>90.57</v>
      </c>
      <c r="AB95" s="103">
        <f t="shared" si="58"/>
        <v>0</v>
      </c>
      <c r="AC95" s="213"/>
      <c r="AD95" s="103">
        <v>95</v>
      </c>
      <c r="AE95" s="103">
        <f>D95*73%-J95-K95-N95-O95-Q95-W95-AA95-AB95-AF95+M95-U95</f>
        <v>-916.7</v>
      </c>
      <c r="AF95" s="103">
        <f t="shared" si="61"/>
        <v>0</v>
      </c>
    </row>
    <row r="96" spans="1:32">
      <c r="A96" s="198" t="s">
        <v>488</v>
      </c>
      <c r="B96" s="208">
        <v>191283</v>
      </c>
      <c r="C96" s="112">
        <v>5</v>
      </c>
      <c r="D96" s="103">
        <v>6250</v>
      </c>
      <c r="E96" s="102">
        <f t="shared" si="54"/>
        <v>3186</v>
      </c>
      <c r="F96" s="112">
        <v>3059</v>
      </c>
      <c r="G96" s="112">
        <v>127</v>
      </c>
      <c r="H96" s="128">
        <f t="shared" ref="H96:H97" si="62">D96/E96</f>
        <v>1.9617074701820465</v>
      </c>
      <c r="I96" s="146">
        <v>1949.77</v>
      </c>
      <c r="J96" s="128">
        <v>74.34</v>
      </c>
      <c r="K96" s="103"/>
      <c r="L96" s="103"/>
      <c r="M96" s="146">
        <v>282.73</v>
      </c>
      <c r="N96" s="103">
        <f t="shared" si="56"/>
        <v>53.125000000000007</v>
      </c>
      <c r="O96" s="103">
        <v>7</v>
      </c>
      <c r="P96" s="103"/>
      <c r="Q96" s="103">
        <v>779.13</v>
      </c>
      <c r="R96" s="103"/>
      <c r="S96" s="103">
        <v>0</v>
      </c>
      <c r="T96" s="103"/>
      <c r="U96" s="103">
        <v>40</v>
      </c>
      <c r="V96" s="103"/>
      <c r="W96" s="103">
        <f t="shared" si="57"/>
        <v>219.6</v>
      </c>
      <c r="X96" s="152"/>
      <c r="Y96" s="152">
        <v>7.4999999999999997E-2</v>
      </c>
      <c r="Z96" s="153">
        <v>2928</v>
      </c>
      <c r="AA96" s="103">
        <v>90.57</v>
      </c>
      <c r="AB96" s="103">
        <f t="shared" si="58"/>
        <v>318.60000000000002</v>
      </c>
      <c r="AC96" s="213">
        <v>0.27</v>
      </c>
      <c r="AD96" s="103">
        <v>95</v>
      </c>
      <c r="AE96" s="103">
        <f t="shared" ref="AE96:AE97" si="63">D96-I96-N96-Q96-U96-W96-AA96-AB96-AD96-AF96</f>
        <v>1016.7049999999995</v>
      </c>
      <c r="AF96" s="103">
        <f t="shared" si="61"/>
        <v>1687.5</v>
      </c>
    </row>
    <row r="97" spans="1:32">
      <c r="A97" s="190" t="s">
        <v>494</v>
      </c>
      <c r="B97" s="185">
        <v>465183</v>
      </c>
      <c r="C97" s="117">
        <v>7</v>
      </c>
      <c r="D97" s="103">
        <v>6400</v>
      </c>
      <c r="E97" s="102">
        <f t="shared" si="54"/>
        <v>2985</v>
      </c>
      <c r="F97" s="112">
        <v>2638</v>
      </c>
      <c r="G97" s="112">
        <v>347</v>
      </c>
      <c r="H97" s="128">
        <f t="shared" si="62"/>
        <v>2.1440536013400333</v>
      </c>
      <c r="I97" s="146">
        <v>1971.61</v>
      </c>
      <c r="J97" s="128">
        <v>135.72</v>
      </c>
      <c r="K97" s="128">
        <v>100</v>
      </c>
      <c r="L97" s="128"/>
      <c r="M97" s="146">
        <v>344.49</v>
      </c>
      <c r="N97" s="103">
        <f t="shared" si="56"/>
        <v>54.400000000000006</v>
      </c>
      <c r="O97" s="103">
        <v>7</v>
      </c>
      <c r="P97" s="103"/>
      <c r="Q97" s="103">
        <v>789.51</v>
      </c>
      <c r="R97" s="103"/>
      <c r="S97" s="103">
        <v>0</v>
      </c>
      <c r="T97" s="103"/>
      <c r="U97" s="103">
        <v>40</v>
      </c>
      <c r="V97" s="103"/>
      <c r="W97" s="103">
        <f t="shared" si="57"/>
        <v>240.16300000000001</v>
      </c>
      <c r="X97" s="152"/>
      <c r="Y97" s="152">
        <v>7.6999999999999999E-2</v>
      </c>
      <c r="Z97" s="153">
        <v>3119</v>
      </c>
      <c r="AA97" s="103">
        <v>90.57</v>
      </c>
      <c r="AB97" s="103">
        <f t="shared" si="58"/>
        <v>298.5</v>
      </c>
      <c r="AC97" s="213">
        <v>0.27</v>
      </c>
      <c r="AD97" s="103">
        <v>95</v>
      </c>
      <c r="AE97" s="103">
        <f t="shared" si="63"/>
        <v>1092.2470000000003</v>
      </c>
      <c r="AF97" s="103">
        <f t="shared" si="61"/>
        <v>1728</v>
      </c>
    </row>
    <row r="98" spans="1:32">
      <c r="A98" s="187"/>
      <c r="B98" s="205">
        <v>465185</v>
      </c>
      <c r="C98" s="117"/>
      <c r="D98" s="103"/>
      <c r="E98" s="102">
        <f t="shared" si="54"/>
        <v>0</v>
      </c>
      <c r="F98" s="112"/>
      <c r="G98" s="112"/>
      <c r="H98" s="128"/>
      <c r="I98" s="146"/>
      <c r="J98" s="128">
        <v>13.7</v>
      </c>
      <c r="K98" s="128"/>
      <c r="L98" s="128"/>
      <c r="M98" s="146"/>
      <c r="N98" s="103">
        <f t="shared" si="56"/>
        <v>0</v>
      </c>
      <c r="O98" s="103">
        <v>7</v>
      </c>
      <c r="P98" s="103"/>
      <c r="Q98" s="103">
        <v>789.51</v>
      </c>
      <c r="R98" s="103"/>
      <c r="S98" s="103">
        <v>0</v>
      </c>
      <c r="T98" s="103"/>
      <c r="U98" s="103">
        <v>40</v>
      </c>
      <c r="V98" s="103"/>
      <c r="W98" s="103">
        <f t="shared" si="57"/>
        <v>1.925</v>
      </c>
      <c r="X98" s="152"/>
      <c r="Y98" s="152">
        <v>7.6999999999999999E-2</v>
      </c>
      <c r="Z98" s="153">
        <v>25</v>
      </c>
      <c r="AA98" s="103">
        <v>90.57</v>
      </c>
      <c r="AB98" s="103">
        <f t="shared" si="58"/>
        <v>0</v>
      </c>
      <c r="AC98" s="112"/>
      <c r="AD98" s="103">
        <v>95</v>
      </c>
      <c r="AE98" s="103">
        <f>D98-I98-J98-N98-O98-Q98-W98-AA98-AB98-AD98-AC98*E98+M98-U98</f>
        <v>-1037.7049999999999</v>
      </c>
      <c r="AF98" s="103">
        <f>AC98*E98+K98</f>
        <v>0</v>
      </c>
    </row>
    <row r="99" spans="1:32">
      <c r="A99" s="190" t="s">
        <v>519</v>
      </c>
      <c r="B99" s="185">
        <v>465186</v>
      </c>
      <c r="C99" s="112">
        <v>7</v>
      </c>
      <c r="D99" s="103">
        <v>4750</v>
      </c>
      <c r="E99" s="102">
        <f t="shared" si="54"/>
        <v>2393</v>
      </c>
      <c r="F99" s="112">
        <v>2255</v>
      </c>
      <c r="G99" s="112">
        <v>138</v>
      </c>
      <c r="H99" s="128">
        <f>D99/E99</f>
        <v>1.9849561220225658</v>
      </c>
      <c r="I99" s="146">
        <v>1628.96</v>
      </c>
      <c r="J99" s="128">
        <v>55.2</v>
      </c>
      <c r="K99" s="128"/>
      <c r="L99" s="128"/>
      <c r="M99" s="146">
        <v>118.92</v>
      </c>
      <c r="N99" s="103">
        <f t="shared" si="56"/>
        <v>40.375</v>
      </c>
      <c r="O99" s="103">
        <v>7</v>
      </c>
      <c r="P99" s="103">
        <v>66.31</v>
      </c>
      <c r="Q99" s="103">
        <v>789.51</v>
      </c>
      <c r="R99" s="103"/>
      <c r="S99" s="103">
        <v>0</v>
      </c>
      <c r="T99" s="103"/>
      <c r="U99" s="103">
        <v>40</v>
      </c>
      <c r="V99" s="103"/>
      <c r="W99" s="103">
        <f t="shared" si="57"/>
        <v>204.97399999999999</v>
      </c>
      <c r="X99" s="152"/>
      <c r="Y99" s="152">
        <v>7.6999999999999999E-2</v>
      </c>
      <c r="Z99" s="153">
        <v>2662</v>
      </c>
      <c r="AA99" s="103">
        <v>90.57</v>
      </c>
      <c r="AB99" s="103">
        <f t="shared" si="58"/>
        <v>239.3</v>
      </c>
      <c r="AC99" s="213">
        <v>0.27</v>
      </c>
      <c r="AD99" s="103">
        <v>95</v>
      </c>
      <c r="AE99" s="103">
        <f>D99-I99-N99-Q99-U99-W99-AA99-AB99-AD99-AF99</f>
        <v>338.81099999999992</v>
      </c>
      <c r="AF99" s="103">
        <f>D99*AC99</f>
        <v>1282.5</v>
      </c>
    </row>
    <row r="100" spans="1:32">
      <c r="A100" s="197"/>
      <c r="B100" s="205"/>
      <c r="C100" s="112"/>
      <c r="D100" s="103"/>
      <c r="E100" s="102">
        <f t="shared" si="54"/>
        <v>0</v>
      </c>
      <c r="F100" s="117"/>
      <c r="G100" s="117"/>
      <c r="H100" s="128"/>
      <c r="I100" s="146"/>
      <c r="J100" s="128"/>
      <c r="K100" s="103"/>
      <c r="L100" s="103"/>
      <c r="M100" s="146"/>
      <c r="N100" s="103">
        <f t="shared" si="56"/>
        <v>0</v>
      </c>
      <c r="O100" s="103">
        <v>7</v>
      </c>
      <c r="P100" s="103"/>
      <c r="Q100" s="103">
        <v>779.13</v>
      </c>
      <c r="R100" s="103"/>
      <c r="S100" s="103">
        <v>0</v>
      </c>
      <c r="T100" s="103"/>
      <c r="U100" s="103">
        <v>40</v>
      </c>
      <c r="V100" s="103"/>
      <c r="W100" s="103">
        <f t="shared" si="57"/>
        <v>0</v>
      </c>
      <c r="X100" s="152"/>
      <c r="Y100" s="152">
        <v>7.4999999999999997E-2</v>
      </c>
      <c r="Z100" s="153"/>
      <c r="AA100" s="103">
        <v>90.57</v>
      </c>
      <c r="AB100" s="103">
        <f t="shared" si="58"/>
        <v>0</v>
      </c>
      <c r="AC100" s="154"/>
      <c r="AD100" s="103">
        <v>95</v>
      </c>
      <c r="AE100" s="103">
        <f t="shared" ref="AE100:AE105" si="64">D100-I100-J100-N100-O100-Q100-W100-AA100-AB100-AD100-AC100*E100+M100-U100</f>
        <v>-1011.7</v>
      </c>
      <c r="AF100" s="103">
        <f t="shared" ref="AF100:AF103" si="65">AC100*E100</f>
        <v>0</v>
      </c>
    </row>
    <row r="101" spans="1:32">
      <c r="A101" s="187" t="s">
        <v>439</v>
      </c>
      <c r="B101" s="185">
        <v>465187</v>
      </c>
      <c r="C101" s="117">
        <v>6</v>
      </c>
      <c r="D101" s="103">
        <v>5400</v>
      </c>
      <c r="E101" s="102">
        <f t="shared" si="54"/>
        <v>2749</v>
      </c>
      <c r="F101" s="112">
        <v>2522</v>
      </c>
      <c r="G101" s="112">
        <v>227</v>
      </c>
      <c r="H101" s="128">
        <f>D101/E101</f>
        <v>1.9643506729719897</v>
      </c>
      <c r="I101" s="146">
        <v>1288.75</v>
      </c>
      <c r="J101" s="128">
        <v>72.12</v>
      </c>
      <c r="K101" s="128"/>
      <c r="L101" s="128"/>
      <c r="M101" s="146">
        <v>86.7</v>
      </c>
      <c r="N101" s="103">
        <f t="shared" si="56"/>
        <v>45.900000000000006</v>
      </c>
      <c r="O101" s="103">
        <v>7</v>
      </c>
      <c r="P101" s="103"/>
      <c r="Q101" s="103">
        <v>789.51</v>
      </c>
      <c r="R101" s="103"/>
      <c r="S101" s="103">
        <v>0</v>
      </c>
      <c r="T101" s="103"/>
      <c r="U101" s="103">
        <v>40</v>
      </c>
      <c r="V101" s="103"/>
      <c r="W101" s="103">
        <f t="shared" si="57"/>
        <v>214.137</v>
      </c>
      <c r="X101" s="152"/>
      <c r="Y101" s="152">
        <v>7.6999999999999999E-2</v>
      </c>
      <c r="Z101" s="153">
        <v>2781</v>
      </c>
      <c r="AA101" s="103">
        <v>90.57</v>
      </c>
      <c r="AB101" s="103">
        <f t="shared" si="58"/>
        <v>274.90000000000003</v>
      </c>
      <c r="AC101" s="154">
        <v>0.6</v>
      </c>
      <c r="AD101" s="103">
        <v>95</v>
      </c>
      <c r="AE101" s="103">
        <f t="shared" si="64"/>
        <v>919.41300000000001</v>
      </c>
      <c r="AF101" s="103">
        <f t="shared" si="65"/>
        <v>1649.3999999999999</v>
      </c>
    </row>
    <row r="102" spans="1:32">
      <c r="A102" s="187"/>
      <c r="B102" s="205">
        <v>191281</v>
      </c>
      <c r="C102" s="112"/>
      <c r="D102" s="103"/>
      <c r="E102" s="102">
        <f t="shared" si="54"/>
        <v>0</v>
      </c>
      <c r="F102" s="112"/>
      <c r="G102" s="112"/>
      <c r="H102" s="128"/>
      <c r="I102" s="128"/>
      <c r="J102" s="128">
        <v>61.1</v>
      </c>
      <c r="K102" s="103"/>
      <c r="L102" s="103"/>
      <c r="M102" s="146"/>
      <c r="N102" s="103">
        <f t="shared" si="56"/>
        <v>0</v>
      </c>
      <c r="O102" s="103">
        <v>7</v>
      </c>
      <c r="P102" s="103"/>
      <c r="Q102" s="103">
        <v>779.13</v>
      </c>
      <c r="R102" s="103"/>
      <c r="S102" s="103">
        <v>0</v>
      </c>
      <c r="T102" s="103"/>
      <c r="U102" s="103">
        <v>40</v>
      </c>
      <c r="V102" s="103"/>
      <c r="W102" s="103">
        <f t="shared" si="57"/>
        <v>8.25</v>
      </c>
      <c r="X102" s="152"/>
      <c r="Y102" s="152">
        <v>7.4999999999999997E-2</v>
      </c>
      <c r="Z102" s="153">
        <v>110</v>
      </c>
      <c r="AA102" s="103">
        <v>90.57</v>
      </c>
      <c r="AB102" s="103">
        <f t="shared" si="58"/>
        <v>0</v>
      </c>
      <c r="AC102" s="154"/>
      <c r="AD102" s="103">
        <v>95</v>
      </c>
      <c r="AE102" s="103">
        <f t="shared" si="64"/>
        <v>-1081.05</v>
      </c>
      <c r="AF102" s="103">
        <f t="shared" si="65"/>
        <v>0</v>
      </c>
    </row>
    <row r="103" spans="1:32">
      <c r="A103" s="190" t="s">
        <v>427</v>
      </c>
      <c r="B103" s="185">
        <v>465188</v>
      </c>
      <c r="C103" s="112">
        <v>7</v>
      </c>
      <c r="D103" s="103">
        <v>6120</v>
      </c>
      <c r="E103" s="102">
        <f t="shared" si="54"/>
        <v>1964</v>
      </c>
      <c r="F103" s="117">
        <v>1864</v>
      </c>
      <c r="G103" s="117">
        <v>100</v>
      </c>
      <c r="H103" s="128">
        <f t="shared" ref="H103:H104" si="66">D103/E103</f>
        <v>3.1160896130346232</v>
      </c>
      <c r="I103" s="146">
        <v>1721.08</v>
      </c>
      <c r="J103" s="128">
        <v>36.71</v>
      </c>
      <c r="K103" s="128"/>
      <c r="L103" s="128"/>
      <c r="M103" s="146">
        <v>273.22000000000003</v>
      </c>
      <c r="N103" s="103">
        <f t="shared" si="56"/>
        <v>52.02</v>
      </c>
      <c r="O103" s="103">
        <v>7</v>
      </c>
      <c r="P103" s="103"/>
      <c r="Q103" s="103">
        <v>789.51</v>
      </c>
      <c r="R103" s="103"/>
      <c r="S103" s="103">
        <v>0</v>
      </c>
      <c r="T103" s="103"/>
      <c r="U103" s="103">
        <v>40</v>
      </c>
      <c r="V103" s="103"/>
      <c r="W103" s="103">
        <f t="shared" si="57"/>
        <v>235.46600000000001</v>
      </c>
      <c r="X103" s="152"/>
      <c r="Y103" s="152">
        <v>7.6999999999999999E-2</v>
      </c>
      <c r="Z103" s="153">
        <v>3058</v>
      </c>
      <c r="AA103" s="103">
        <v>90.57</v>
      </c>
      <c r="AB103" s="103">
        <f t="shared" si="58"/>
        <v>196.4</v>
      </c>
      <c r="AC103" s="154">
        <v>0.6</v>
      </c>
      <c r="AD103" s="103">
        <v>95</v>
      </c>
      <c r="AE103" s="103">
        <f t="shared" si="64"/>
        <v>1951.0639999999994</v>
      </c>
      <c r="AF103" s="103">
        <f t="shared" si="65"/>
        <v>1178.3999999999999</v>
      </c>
    </row>
    <row r="104" spans="1:32">
      <c r="A104" s="184" t="s">
        <v>541</v>
      </c>
      <c r="B104" s="185">
        <v>191277</v>
      </c>
      <c r="C104" s="112">
        <v>6</v>
      </c>
      <c r="D104" s="103">
        <v>5300</v>
      </c>
      <c r="E104" s="102">
        <f t="shared" si="54"/>
        <v>2865</v>
      </c>
      <c r="F104" s="117">
        <v>2630</v>
      </c>
      <c r="G104" s="117">
        <v>235</v>
      </c>
      <c r="H104" s="128">
        <f t="shared" si="66"/>
        <v>1.8499127399650961</v>
      </c>
      <c r="I104" s="146">
        <v>3490.15</v>
      </c>
      <c r="J104" s="128"/>
      <c r="K104" s="103"/>
      <c r="L104" s="103"/>
      <c r="M104" s="146">
        <v>551.79999999999995</v>
      </c>
      <c r="N104" s="103">
        <f t="shared" si="56"/>
        <v>45.050000000000004</v>
      </c>
      <c r="O104" s="103">
        <v>7</v>
      </c>
      <c r="P104" s="103"/>
      <c r="Q104" s="103">
        <v>779.13</v>
      </c>
      <c r="R104" s="103"/>
      <c r="S104" s="103">
        <v>0</v>
      </c>
      <c r="T104" s="103"/>
      <c r="U104" s="103">
        <v>40</v>
      </c>
      <c r="V104" s="103"/>
      <c r="W104" s="103">
        <f t="shared" si="57"/>
        <v>222.9</v>
      </c>
      <c r="X104" s="152"/>
      <c r="Y104" s="152">
        <v>7.4999999999999997E-2</v>
      </c>
      <c r="Z104" s="153">
        <v>2972</v>
      </c>
      <c r="AA104" s="103">
        <v>90.57</v>
      </c>
      <c r="AB104" s="103">
        <f t="shared" si="58"/>
        <v>286.5</v>
      </c>
      <c r="AC104" s="154">
        <v>0.6</v>
      </c>
      <c r="AD104" s="103">
        <v>95</v>
      </c>
      <c r="AE104" s="103">
        <f t="shared" si="64"/>
        <v>-923.5</v>
      </c>
      <c r="AF104" s="103">
        <f t="shared" ref="AF104:AF105" si="67">AC104*E104+K104-L104</f>
        <v>1719</v>
      </c>
    </row>
    <row r="105" spans="1:32">
      <c r="A105" s="190"/>
      <c r="B105" s="205">
        <v>465180</v>
      </c>
      <c r="C105" s="112"/>
      <c r="D105" s="103"/>
      <c r="E105" s="102">
        <f t="shared" si="54"/>
        <v>0</v>
      </c>
      <c r="F105" s="112"/>
      <c r="G105" s="112"/>
      <c r="H105" s="128"/>
      <c r="I105" s="146"/>
      <c r="J105" s="128">
        <v>25.85</v>
      </c>
      <c r="K105" s="103"/>
      <c r="L105" s="103"/>
      <c r="M105" s="146"/>
      <c r="N105" s="103">
        <f t="shared" si="56"/>
        <v>0</v>
      </c>
      <c r="O105" s="103">
        <v>7</v>
      </c>
      <c r="P105" s="103"/>
      <c r="Q105" s="103">
        <v>789.51</v>
      </c>
      <c r="R105" s="103"/>
      <c r="S105" s="103">
        <v>0</v>
      </c>
      <c r="T105" s="103"/>
      <c r="U105" s="103">
        <v>40</v>
      </c>
      <c r="V105" s="103"/>
      <c r="W105" s="103">
        <f t="shared" si="57"/>
        <v>6.0060000000000002</v>
      </c>
      <c r="X105" s="152"/>
      <c r="Y105" s="152">
        <v>7.6999999999999999E-2</v>
      </c>
      <c r="Z105" s="153">
        <v>78</v>
      </c>
      <c r="AA105" s="103">
        <v>90.57</v>
      </c>
      <c r="AB105" s="103">
        <f t="shared" si="58"/>
        <v>0</v>
      </c>
      <c r="AC105" s="112"/>
      <c r="AD105" s="103">
        <v>95</v>
      </c>
      <c r="AE105" s="103">
        <f t="shared" si="64"/>
        <v>-1053.9359999999999</v>
      </c>
      <c r="AF105" s="103">
        <f t="shared" si="67"/>
        <v>0</v>
      </c>
    </row>
    <row r="106" spans="1:32">
      <c r="A106" s="190" t="s">
        <v>491</v>
      </c>
      <c r="B106" s="185">
        <v>465181</v>
      </c>
      <c r="C106" s="117">
        <v>7</v>
      </c>
      <c r="D106" s="103">
        <v>7040</v>
      </c>
      <c r="E106" s="102">
        <f t="shared" si="54"/>
        <v>2974</v>
      </c>
      <c r="F106" s="112">
        <v>2681</v>
      </c>
      <c r="G106" s="112">
        <v>293</v>
      </c>
      <c r="H106" s="128">
        <f t="shared" ref="H106:H110" si="68">D106/E106</f>
        <v>2.367182246133154</v>
      </c>
      <c r="I106" s="146">
        <v>1634.91</v>
      </c>
      <c r="J106" s="128">
        <v>20.440000000000001</v>
      </c>
      <c r="K106" s="128"/>
      <c r="L106" s="128"/>
      <c r="M106" s="146"/>
      <c r="N106" s="103">
        <f t="shared" si="56"/>
        <v>59.84</v>
      </c>
      <c r="O106" s="103">
        <v>7</v>
      </c>
      <c r="P106" s="103">
        <v>223.73</v>
      </c>
      <c r="Q106" s="103">
        <v>789.51</v>
      </c>
      <c r="R106" s="103"/>
      <c r="S106" s="103">
        <v>0</v>
      </c>
      <c r="T106" s="103"/>
      <c r="U106" s="103">
        <v>40</v>
      </c>
      <c r="V106" s="103"/>
      <c r="W106" s="103">
        <f t="shared" si="57"/>
        <v>206.43699999999998</v>
      </c>
      <c r="X106" s="152"/>
      <c r="Y106" s="152">
        <v>7.6999999999999999E-2</v>
      </c>
      <c r="Z106" s="153">
        <v>2681</v>
      </c>
      <c r="AA106" s="103">
        <v>90.57</v>
      </c>
      <c r="AB106" s="103">
        <f t="shared" si="58"/>
        <v>297.40000000000003</v>
      </c>
      <c r="AC106" s="154">
        <v>0.6</v>
      </c>
      <c r="AD106" s="103">
        <v>95</v>
      </c>
      <c r="AE106" s="103">
        <f>D106-I106-J106-N106-O106-Q106-W106-AA106-AB106-AD106-AC106*E106+M106-U106-P106</f>
        <v>1790.7630000000004</v>
      </c>
      <c r="AF106" s="103">
        <f>AC106*E106+K106+L106</f>
        <v>1784.3999999999999</v>
      </c>
    </row>
    <row r="107" spans="1:32">
      <c r="A107" s="215" t="s">
        <v>429</v>
      </c>
      <c r="B107" s="216">
        <v>191275</v>
      </c>
      <c r="C107" s="217">
        <v>4</v>
      </c>
      <c r="D107" s="218">
        <v>5300</v>
      </c>
      <c r="E107" s="219">
        <f t="shared" si="54"/>
        <v>2285</v>
      </c>
      <c r="F107" s="217">
        <v>2226</v>
      </c>
      <c r="G107" s="217">
        <v>59</v>
      </c>
      <c r="H107" s="128">
        <f t="shared" si="68"/>
        <v>2.3194748358862145</v>
      </c>
      <c r="I107" s="220">
        <v>804.79</v>
      </c>
      <c r="J107" s="221">
        <v>3.68</v>
      </c>
      <c r="K107" s="221"/>
      <c r="L107" s="221"/>
      <c r="M107" s="220">
        <v>0</v>
      </c>
      <c r="N107" s="218">
        <f t="shared" si="56"/>
        <v>45.050000000000004</v>
      </c>
      <c r="O107" s="218">
        <v>7</v>
      </c>
      <c r="P107" s="218"/>
      <c r="Q107" s="218">
        <v>779.13</v>
      </c>
      <c r="R107" s="218">
        <v>50</v>
      </c>
      <c r="S107" s="218">
        <v>1200</v>
      </c>
      <c r="T107" s="218">
        <v>30</v>
      </c>
      <c r="U107" s="218">
        <v>40</v>
      </c>
      <c r="V107" s="218">
        <v>300</v>
      </c>
      <c r="W107" s="218">
        <f t="shared" si="57"/>
        <v>196.27500000000001</v>
      </c>
      <c r="X107" s="218">
        <f t="shared" ref="X107:X109" si="69">0.15*Z107</f>
        <v>392.55</v>
      </c>
      <c r="Y107" s="222">
        <v>7.4999999999999997E-2</v>
      </c>
      <c r="Z107" s="219" t="s">
        <v>542</v>
      </c>
      <c r="AA107" s="218">
        <v>90.57</v>
      </c>
      <c r="AB107" s="218">
        <f t="shared" si="58"/>
        <v>228.5</v>
      </c>
      <c r="AC107" s="223">
        <v>0.87</v>
      </c>
      <c r="AD107" s="218">
        <v>95</v>
      </c>
      <c r="AE107" s="103">
        <f t="shared" ref="AE107:AE108" si="70">D107*13%+R107+T107+S107+V107-Q107-W107-AA107-AD107+X107-N107+M107-U107</f>
        <v>1415.5249999999999</v>
      </c>
      <c r="AF107" s="103">
        <f t="shared" ref="AF107:AF109" si="71">D107*AC107-I107-J107-S107-R107-T107-V107-X107</f>
        <v>1829.9800000000002</v>
      </c>
    </row>
    <row r="108" spans="1:32">
      <c r="A108" s="229" t="s">
        <v>435</v>
      </c>
      <c r="B108" s="216">
        <v>191282</v>
      </c>
      <c r="C108" s="217">
        <v>4</v>
      </c>
      <c r="D108" s="218">
        <v>7750</v>
      </c>
      <c r="E108" s="219">
        <f t="shared" si="54"/>
        <v>3863</v>
      </c>
      <c r="F108" s="217">
        <v>3589</v>
      </c>
      <c r="G108" s="217">
        <v>274</v>
      </c>
      <c r="H108" s="128">
        <f t="shared" si="68"/>
        <v>2.00621278798861</v>
      </c>
      <c r="I108" s="220">
        <v>2132.17</v>
      </c>
      <c r="J108" s="221">
        <v>5.52</v>
      </c>
      <c r="K108" s="221"/>
      <c r="L108" s="221"/>
      <c r="M108" s="220">
        <v>87.77</v>
      </c>
      <c r="N108" s="218">
        <f t="shared" si="56"/>
        <v>65.875</v>
      </c>
      <c r="O108" s="218">
        <v>7</v>
      </c>
      <c r="P108" s="218"/>
      <c r="Q108" s="218">
        <v>789.51</v>
      </c>
      <c r="R108" s="218">
        <v>50</v>
      </c>
      <c r="S108" s="218">
        <v>1200</v>
      </c>
      <c r="T108" s="218">
        <v>30</v>
      </c>
      <c r="U108" s="218">
        <v>40</v>
      </c>
      <c r="V108" s="218">
        <v>300</v>
      </c>
      <c r="W108" s="218">
        <f t="shared" si="57"/>
        <v>294.06299999999999</v>
      </c>
      <c r="X108" s="218">
        <f t="shared" si="69"/>
        <v>572.85</v>
      </c>
      <c r="Y108" s="222">
        <v>7.6999999999999999E-2</v>
      </c>
      <c r="Z108" s="219" t="s">
        <v>543</v>
      </c>
      <c r="AA108" s="218">
        <v>90.57</v>
      </c>
      <c r="AB108" s="218">
        <f t="shared" si="58"/>
        <v>386.3</v>
      </c>
      <c r="AC108" s="223">
        <v>0.87</v>
      </c>
      <c r="AD108" s="218">
        <v>95</v>
      </c>
      <c r="AE108" s="103">
        <f t="shared" si="70"/>
        <v>1873.1020000000003</v>
      </c>
      <c r="AF108" s="103">
        <f t="shared" si="71"/>
        <v>2451.9599999999996</v>
      </c>
    </row>
    <row r="109" spans="1:32">
      <c r="A109" s="215" t="s">
        <v>526</v>
      </c>
      <c r="B109" s="216">
        <v>465182</v>
      </c>
      <c r="C109" s="217">
        <v>7</v>
      </c>
      <c r="D109" s="218">
        <v>7700</v>
      </c>
      <c r="E109" s="219">
        <f t="shared" si="54"/>
        <v>4558</v>
      </c>
      <c r="F109" s="217">
        <v>4397</v>
      </c>
      <c r="G109" s="217">
        <v>161</v>
      </c>
      <c r="H109" s="128">
        <f t="shared" si="68"/>
        <v>1.6893374286967968</v>
      </c>
      <c r="I109" s="220">
        <v>1919.72</v>
      </c>
      <c r="J109" s="221">
        <v>214.98</v>
      </c>
      <c r="K109" s="221">
        <v>250</v>
      </c>
      <c r="L109" s="221"/>
      <c r="M109" s="220">
        <v>59.42</v>
      </c>
      <c r="N109" s="218">
        <f t="shared" si="56"/>
        <v>65.45</v>
      </c>
      <c r="O109" s="218">
        <v>7</v>
      </c>
      <c r="P109" s="218">
        <v>52.5</v>
      </c>
      <c r="Q109" s="218">
        <v>789.51</v>
      </c>
      <c r="R109" s="218">
        <v>50</v>
      </c>
      <c r="S109" s="218">
        <v>1200</v>
      </c>
      <c r="T109" s="218">
        <v>30</v>
      </c>
      <c r="U109" s="218">
        <v>40</v>
      </c>
      <c r="V109" s="218">
        <v>300</v>
      </c>
      <c r="W109" s="218" t="e">
        <f t="shared" si="57"/>
        <v>#VALUE!</v>
      </c>
      <c r="X109" s="218" t="e">
        <f t="shared" si="69"/>
        <v>#VALUE!</v>
      </c>
      <c r="Y109" s="222">
        <v>7.6999999999999999E-2</v>
      </c>
      <c r="Z109" s="219" t="s">
        <v>544</v>
      </c>
      <c r="AA109" s="218">
        <v>90.57</v>
      </c>
      <c r="AB109" s="218">
        <f t="shared" si="58"/>
        <v>455.8</v>
      </c>
      <c r="AC109" s="223">
        <v>0.87</v>
      </c>
      <c r="AD109" s="218">
        <v>95</v>
      </c>
      <c r="AE109" s="103" t="e">
        <f>D109*13%+R109+T109+S109+V109-Q109-W109-AA109-AD109+X109-N109+M109-U109-P109</f>
        <v>#VALUE!</v>
      </c>
      <c r="AF109" s="103" t="e">
        <f t="shared" si="71"/>
        <v>#VALUE!</v>
      </c>
    </row>
    <row r="110" spans="1:32">
      <c r="A110" s="134" t="s">
        <v>462</v>
      </c>
      <c r="B110" s="135" t="s">
        <v>399</v>
      </c>
      <c r="C110" s="158">
        <v>7</v>
      </c>
      <c r="D110" s="139">
        <v>6660</v>
      </c>
      <c r="E110" s="136">
        <f t="shared" ref="E110:E114" si="72">Z110</f>
        <v>3330</v>
      </c>
      <c r="F110" s="136"/>
      <c r="G110" s="136"/>
      <c r="H110" s="128">
        <f t="shared" si="68"/>
        <v>2</v>
      </c>
      <c r="I110" s="139">
        <v>1431.98</v>
      </c>
      <c r="J110" s="139">
        <v>154.12</v>
      </c>
      <c r="K110" s="139"/>
      <c r="L110" s="139"/>
      <c r="M110" s="139">
        <v>73.45</v>
      </c>
      <c r="N110" s="139">
        <f t="shared" si="56"/>
        <v>56.610000000000007</v>
      </c>
      <c r="O110" s="139">
        <v>0</v>
      </c>
      <c r="P110" s="139"/>
      <c r="Q110" s="139">
        <v>0</v>
      </c>
      <c r="R110" s="139">
        <v>0</v>
      </c>
      <c r="S110" s="139">
        <v>0</v>
      </c>
      <c r="T110" s="139">
        <v>0</v>
      </c>
      <c r="U110" s="139">
        <v>40</v>
      </c>
      <c r="V110" s="139">
        <v>0</v>
      </c>
      <c r="W110" s="139">
        <v>0</v>
      </c>
      <c r="X110" s="159"/>
      <c r="Y110" s="159">
        <v>0</v>
      </c>
      <c r="Z110" s="136">
        <v>3330</v>
      </c>
      <c r="AA110" s="139">
        <v>0</v>
      </c>
      <c r="AB110" s="139">
        <f t="shared" si="58"/>
        <v>333</v>
      </c>
      <c r="AC110" s="160">
        <v>0.85</v>
      </c>
      <c r="AD110" s="139">
        <v>95</v>
      </c>
      <c r="AE110" s="139">
        <f>D110*0.15-AB110-N110+M110-U110</f>
        <v>642.84</v>
      </c>
      <c r="AF110" s="139">
        <f>D110*0.85-I110-J110+M110</f>
        <v>4148.3500000000004</v>
      </c>
    </row>
    <row r="111" spans="1:32">
      <c r="A111" s="199" t="s">
        <v>528</v>
      </c>
      <c r="B111" s="230" t="s">
        <v>362</v>
      </c>
      <c r="C111" s="158"/>
      <c r="D111" s="139"/>
      <c r="E111" s="136">
        <f t="shared" si="72"/>
        <v>0</v>
      </c>
      <c r="F111" s="136"/>
      <c r="G111" s="136"/>
      <c r="H111" s="168"/>
      <c r="I111" s="139"/>
      <c r="J111" s="139">
        <v>53.2</v>
      </c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>
        <v>40</v>
      </c>
      <c r="V111" s="139"/>
      <c r="W111" s="139"/>
      <c r="X111" s="159"/>
      <c r="Y111" s="159"/>
      <c r="Z111" s="136"/>
      <c r="AA111" s="139"/>
      <c r="AB111" s="139"/>
      <c r="AC111" s="160"/>
      <c r="AD111" s="139"/>
      <c r="AE111" s="139"/>
      <c r="AF111" s="139">
        <f>D111-J111</f>
        <v>-53.2</v>
      </c>
    </row>
    <row r="112" spans="1:32">
      <c r="A112" s="134" t="s">
        <v>529</v>
      </c>
      <c r="B112" s="134">
        <v>1118</v>
      </c>
      <c r="C112" s="158">
        <v>6</v>
      </c>
      <c r="D112" s="139">
        <v>4650</v>
      </c>
      <c r="E112" s="136">
        <f t="shared" si="72"/>
        <v>2498</v>
      </c>
      <c r="F112" s="136"/>
      <c r="G112" s="136"/>
      <c r="H112" s="128">
        <f>D112/E112</f>
        <v>1.8614891913530824</v>
      </c>
      <c r="I112" s="139">
        <v>1285</v>
      </c>
      <c r="J112" s="139"/>
      <c r="K112" s="139">
        <v>350</v>
      </c>
      <c r="L112" s="139"/>
      <c r="M112" s="139">
        <v>0</v>
      </c>
      <c r="N112" s="139">
        <f t="shared" ref="N112:N113" si="73">D112*0.0085</f>
        <v>39.525000000000006</v>
      </c>
      <c r="O112" s="139">
        <v>0</v>
      </c>
      <c r="P112" s="139"/>
      <c r="Q112" s="139">
        <v>0</v>
      </c>
      <c r="R112" s="139">
        <v>0</v>
      </c>
      <c r="S112" s="139">
        <v>0</v>
      </c>
      <c r="T112" s="139">
        <v>0</v>
      </c>
      <c r="U112" s="139">
        <v>40</v>
      </c>
      <c r="V112" s="139">
        <v>0</v>
      </c>
      <c r="W112" s="139">
        <v>0</v>
      </c>
      <c r="X112" s="159"/>
      <c r="Y112" s="159">
        <v>0</v>
      </c>
      <c r="Z112" s="136">
        <v>2498</v>
      </c>
      <c r="AA112" s="139">
        <v>0</v>
      </c>
      <c r="AB112" s="139">
        <f t="shared" ref="AB112:AB114" si="74">E112*0.1</f>
        <v>249.8</v>
      </c>
      <c r="AC112" s="160">
        <v>0.8</v>
      </c>
      <c r="AD112" s="139">
        <v>95</v>
      </c>
      <c r="AE112" s="139">
        <f>D112*0.2-AB112-N112-K112-AD112-U112</f>
        <v>155.67500000000007</v>
      </c>
      <c r="AF112" s="139">
        <f>D112*AC112-I112-J112+K112</f>
        <v>2785</v>
      </c>
    </row>
    <row r="113" spans="1:32">
      <c r="A113" s="199" t="s">
        <v>467</v>
      </c>
      <c r="B113" s="199">
        <v>1122</v>
      </c>
      <c r="C113" s="158"/>
      <c r="D113" s="139"/>
      <c r="E113" s="136">
        <f t="shared" si="72"/>
        <v>283</v>
      </c>
      <c r="F113" s="136"/>
      <c r="G113" s="136"/>
      <c r="H113" s="168"/>
      <c r="I113" s="224"/>
      <c r="J113" s="139">
        <v>51.77</v>
      </c>
      <c r="K113" s="139"/>
      <c r="L113" s="139"/>
      <c r="M113" s="139"/>
      <c r="N113" s="139">
        <f t="shared" si="73"/>
        <v>0</v>
      </c>
      <c r="O113" s="139">
        <v>7</v>
      </c>
      <c r="P113" s="139"/>
      <c r="Q113" s="139">
        <v>0</v>
      </c>
      <c r="R113" s="139">
        <v>50</v>
      </c>
      <c r="S113" s="139">
        <v>199</v>
      </c>
      <c r="T113" s="139">
        <v>30</v>
      </c>
      <c r="U113" s="139">
        <v>40</v>
      </c>
      <c r="V113" s="139">
        <v>300</v>
      </c>
      <c r="W113" s="139">
        <v>0</v>
      </c>
      <c r="X113" s="159"/>
      <c r="Y113" s="159">
        <v>0</v>
      </c>
      <c r="Z113" s="136">
        <v>283</v>
      </c>
      <c r="AA113" s="139">
        <v>0</v>
      </c>
      <c r="AB113" s="139">
        <f t="shared" si="74"/>
        <v>28.3</v>
      </c>
      <c r="AC113" s="160">
        <v>0.87</v>
      </c>
      <c r="AD113" s="139">
        <v>95</v>
      </c>
      <c r="AE113" s="139">
        <f>D113*0.13-AD113-AB113+V113+T113+S113+R113-N113+M113-U113</f>
        <v>415.7</v>
      </c>
      <c r="AF113" s="139">
        <f>D113*AC113-I113-J113-V113-T113-S113-R113</f>
        <v>-630.77</v>
      </c>
    </row>
    <row r="114" spans="1:32">
      <c r="A114" s="134" t="s">
        <v>520</v>
      </c>
      <c r="B114" s="134">
        <v>1650</v>
      </c>
      <c r="C114" s="158">
        <v>2</v>
      </c>
      <c r="D114" s="139">
        <v>1950</v>
      </c>
      <c r="E114" s="136">
        <f t="shared" si="72"/>
        <v>923</v>
      </c>
      <c r="F114" s="136"/>
      <c r="G114" s="136"/>
      <c r="H114" s="128">
        <f>D114/E114</f>
        <v>2.112676056338028</v>
      </c>
      <c r="I114" s="139">
        <v>739.07</v>
      </c>
      <c r="J114" s="139"/>
      <c r="K114" s="139"/>
      <c r="L114" s="139"/>
      <c r="M114" s="139">
        <v>103.33</v>
      </c>
      <c r="N114" s="139"/>
      <c r="O114" s="139"/>
      <c r="P114" s="139"/>
      <c r="Q114" s="139">
        <v>0</v>
      </c>
      <c r="R114" s="139">
        <v>50</v>
      </c>
      <c r="S114" s="139">
        <v>0</v>
      </c>
      <c r="T114" s="139">
        <v>30</v>
      </c>
      <c r="U114" s="139">
        <v>40</v>
      </c>
      <c r="V114" s="139">
        <v>300</v>
      </c>
      <c r="W114" s="139">
        <v>0</v>
      </c>
      <c r="X114" s="159"/>
      <c r="Y114" s="159">
        <v>0</v>
      </c>
      <c r="Z114" s="136">
        <v>923</v>
      </c>
      <c r="AA114" s="139">
        <v>0</v>
      </c>
      <c r="AB114" s="139">
        <f t="shared" si="74"/>
        <v>92.300000000000011</v>
      </c>
      <c r="AC114" s="160">
        <v>0.87</v>
      </c>
      <c r="AD114" s="139">
        <v>95</v>
      </c>
      <c r="AE114" s="139">
        <f>D114*0.13+V114+T114+S114+R114-AB114-N114+M114-U114</f>
        <v>604.53000000000009</v>
      </c>
      <c r="AF114" s="139">
        <f>D114*0.87-I114-J114-R114-S114-T114-V114</f>
        <v>577.42999999999995</v>
      </c>
    </row>
    <row r="115" spans="1:32">
      <c r="A115" s="72" t="s">
        <v>89</v>
      </c>
      <c r="B115" s="72">
        <v>18</v>
      </c>
      <c r="C115" s="202">
        <f>AVERAGE(C90:C106)</f>
        <v>6.4545454545454541</v>
      </c>
      <c r="D115" s="201">
        <f t="shared" ref="D115:G115" si="75">SUM(D90:D114)</f>
        <v>108035</v>
      </c>
      <c r="E115" s="201">
        <f t="shared" si="75"/>
        <v>53369</v>
      </c>
      <c r="F115" s="201">
        <f t="shared" si="75"/>
        <v>43264</v>
      </c>
      <c r="G115" s="201">
        <f t="shared" si="75"/>
        <v>3071</v>
      </c>
      <c r="H115" s="201">
        <f>AVERAGE(H90:H114)</f>
        <v>2.0749759110222397</v>
      </c>
      <c r="I115" s="201">
        <f t="shared" ref="I115:AB115" si="76">SUM(I90:I114)</f>
        <v>32594.930000000004</v>
      </c>
      <c r="J115" s="201">
        <f t="shared" si="76"/>
        <v>1723.2900000000002</v>
      </c>
      <c r="K115" s="201">
        <f t="shared" si="76"/>
        <v>700</v>
      </c>
      <c r="L115" s="201">
        <f t="shared" si="76"/>
        <v>0</v>
      </c>
      <c r="M115" s="201">
        <f t="shared" si="76"/>
        <v>3552.5099999999998</v>
      </c>
      <c r="N115" s="201">
        <f t="shared" si="76"/>
        <v>901.72249999999997</v>
      </c>
      <c r="O115" s="201">
        <f t="shared" si="76"/>
        <v>147</v>
      </c>
      <c r="P115" s="201">
        <f t="shared" si="76"/>
        <v>458.9</v>
      </c>
      <c r="Q115" s="201">
        <f t="shared" si="76"/>
        <v>15686.4</v>
      </c>
      <c r="R115" s="201">
        <f t="shared" si="76"/>
        <v>250</v>
      </c>
      <c r="S115" s="201">
        <f t="shared" si="76"/>
        <v>3799</v>
      </c>
      <c r="T115" s="201">
        <f t="shared" si="76"/>
        <v>150</v>
      </c>
      <c r="U115" s="201">
        <f t="shared" si="76"/>
        <v>1000</v>
      </c>
      <c r="V115" s="201">
        <f t="shared" si="76"/>
        <v>1500</v>
      </c>
      <c r="W115" s="201" t="e">
        <f t="shared" si="76"/>
        <v>#VALUE!</v>
      </c>
      <c r="X115" s="201" t="e">
        <f t="shared" si="76"/>
        <v>#VALUE!</v>
      </c>
      <c r="Y115" s="201">
        <f t="shared" si="76"/>
        <v>1.5199999999999996</v>
      </c>
      <c r="Z115" s="201">
        <f t="shared" si="76"/>
        <v>43674</v>
      </c>
      <c r="AA115" s="201">
        <f t="shared" si="76"/>
        <v>1811.3999999999992</v>
      </c>
      <c r="AB115" s="201">
        <f t="shared" si="76"/>
        <v>5336.9000000000015</v>
      </c>
      <c r="AC115" s="201"/>
      <c r="AD115" s="201">
        <f t="shared" ref="AD115:AF115" si="77">SUM(AD90:AD114)</f>
        <v>2280</v>
      </c>
      <c r="AE115" s="201" t="e">
        <f t="shared" si="77"/>
        <v>#VALUE!</v>
      </c>
      <c r="AF115" s="201" t="e">
        <f t="shared" si="77"/>
        <v>#VALUE!</v>
      </c>
    </row>
    <row r="118" spans="1:32">
      <c r="A118" s="461" t="s">
        <v>545</v>
      </c>
      <c r="B118" s="458"/>
      <c r="C118" s="458"/>
      <c r="D118" s="458"/>
      <c r="E118" s="458"/>
      <c r="F118" s="458"/>
      <c r="G118" s="458"/>
      <c r="H118" s="458"/>
      <c r="I118" s="458"/>
      <c r="J118" s="458"/>
      <c r="K118" s="458"/>
      <c r="L118" s="458"/>
      <c r="M118" s="458"/>
      <c r="N118" s="458"/>
      <c r="O118" s="458"/>
      <c r="P118" s="458"/>
      <c r="Q118" s="458"/>
      <c r="R118" s="458"/>
      <c r="S118" s="458"/>
      <c r="T118" s="458"/>
      <c r="U118" s="458"/>
      <c r="V118" s="458"/>
      <c r="W118" s="458"/>
      <c r="X118" s="458"/>
      <c r="Y118" s="458"/>
      <c r="Z118" s="458"/>
      <c r="AA118" s="458"/>
      <c r="AB118" s="458"/>
      <c r="AC118" s="458"/>
      <c r="AD118" s="458"/>
      <c r="AE118" s="458"/>
      <c r="AF118" s="459"/>
    </row>
    <row r="119" spans="1:32">
      <c r="A119" s="95" t="s">
        <v>0</v>
      </c>
      <c r="B119" s="95" t="s">
        <v>1</v>
      </c>
      <c r="C119" s="95" t="s">
        <v>372</v>
      </c>
      <c r="D119" s="95" t="s">
        <v>2</v>
      </c>
      <c r="E119" s="95" t="s">
        <v>413</v>
      </c>
      <c r="F119" s="150" t="s">
        <v>414</v>
      </c>
      <c r="G119" s="150" t="s">
        <v>415</v>
      </c>
      <c r="H119" s="95" t="s">
        <v>416</v>
      </c>
      <c r="I119" s="95" t="s">
        <v>7</v>
      </c>
      <c r="J119" s="95" t="s">
        <v>8</v>
      </c>
      <c r="K119" s="95" t="s">
        <v>287</v>
      </c>
      <c r="L119" s="95" t="s">
        <v>288</v>
      </c>
      <c r="M119" s="95" t="s">
        <v>257</v>
      </c>
      <c r="N119" s="95" t="s">
        <v>373</v>
      </c>
      <c r="O119" s="95" t="s">
        <v>374</v>
      </c>
      <c r="P119" s="150" t="s">
        <v>538</v>
      </c>
      <c r="Q119" s="95" t="s">
        <v>375</v>
      </c>
      <c r="R119" s="95" t="s">
        <v>376</v>
      </c>
      <c r="S119" s="95" t="s">
        <v>522</v>
      </c>
      <c r="T119" s="150" t="s">
        <v>378</v>
      </c>
      <c r="U119" s="150" t="s">
        <v>539</v>
      </c>
      <c r="V119" s="150" t="s">
        <v>379</v>
      </c>
      <c r="W119" s="150" t="s">
        <v>352</v>
      </c>
      <c r="X119" s="150" t="s">
        <v>523</v>
      </c>
      <c r="Y119" s="95" t="s">
        <v>380</v>
      </c>
      <c r="Z119" s="95" t="s">
        <v>381</v>
      </c>
      <c r="AA119" s="95" t="s">
        <v>382</v>
      </c>
      <c r="AB119" s="95" t="s">
        <v>383</v>
      </c>
      <c r="AC119" s="95" t="s">
        <v>385</v>
      </c>
      <c r="AD119" s="150" t="s">
        <v>333</v>
      </c>
      <c r="AE119" s="95" t="s">
        <v>13</v>
      </c>
      <c r="AF119" s="95" t="s">
        <v>98</v>
      </c>
    </row>
    <row r="120" spans="1:32">
      <c r="A120" s="198" t="s">
        <v>531</v>
      </c>
      <c r="B120" s="208">
        <v>191279</v>
      </c>
      <c r="C120" s="112">
        <v>5</v>
      </c>
      <c r="D120" s="103">
        <v>4700</v>
      </c>
      <c r="E120" s="102">
        <f t="shared" ref="E120:E139" si="78">F120+G120</f>
        <v>2236</v>
      </c>
      <c r="F120" s="117">
        <v>2125</v>
      </c>
      <c r="G120" s="231">
        <v>111</v>
      </c>
      <c r="H120" s="128">
        <f t="shared" ref="H120:H121" si="79">D120/E120</f>
        <v>2.1019677996422184</v>
      </c>
      <c r="I120" s="146">
        <v>909.95</v>
      </c>
      <c r="J120" s="128">
        <v>65.03</v>
      </c>
      <c r="K120" s="103"/>
      <c r="L120" s="103"/>
      <c r="M120" s="146">
        <v>127.8</v>
      </c>
      <c r="N120" s="103">
        <f t="shared" ref="N120:N140" si="80">D120*0.0085</f>
        <v>39.950000000000003</v>
      </c>
      <c r="O120" s="103">
        <v>7</v>
      </c>
      <c r="P120" s="103"/>
      <c r="Q120" s="103">
        <v>779.13</v>
      </c>
      <c r="R120" s="103"/>
      <c r="S120" s="103">
        <v>0</v>
      </c>
      <c r="T120" s="103"/>
      <c r="U120" s="103">
        <v>40</v>
      </c>
      <c r="V120" s="103"/>
      <c r="W120" s="103">
        <f t="shared" ref="W120:W139" si="81">Z120*Y120</f>
        <v>186.22499999999999</v>
      </c>
      <c r="X120" s="152"/>
      <c r="Y120" s="152">
        <v>7.4999999999999997E-2</v>
      </c>
      <c r="Z120" s="153">
        <v>2483</v>
      </c>
      <c r="AA120" s="103">
        <v>90.57</v>
      </c>
      <c r="AB120" s="103">
        <f t="shared" ref="AB120:AB140" si="82">E120*0.1</f>
        <v>223.60000000000002</v>
      </c>
      <c r="AC120" s="154">
        <v>0.65</v>
      </c>
      <c r="AD120" s="103">
        <v>95</v>
      </c>
      <c r="AE120" s="103">
        <f>D120-I120-J120-N120-O120-Q120-W120-AA120-AB120-AD120-AC120*E120+M120-U120</f>
        <v>937.94499999999994</v>
      </c>
      <c r="AF120" s="103">
        <f>AC120*E120</f>
        <v>1453.4</v>
      </c>
    </row>
    <row r="121" spans="1:32">
      <c r="A121" s="198" t="s">
        <v>540</v>
      </c>
      <c r="B121" s="208">
        <v>465189</v>
      </c>
      <c r="C121" s="112">
        <v>7</v>
      </c>
      <c r="D121" s="103">
        <v>7100</v>
      </c>
      <c r="E121" s="102">
        <f t="shared" si="78"/>
        <v>3170</v>
      </c>
      <c r="F121" s="112">
        <v>3046</v>
      </c>
      <c r="G121" s="112">
        <v>124</v>
      </c>
      <c r="H121" s="128">
        <f t="shared" si="79"/>
        <v>2.2397476340694005</v>
      </c>
      <c r="I121" s="146">
        <v>1935.7</v>
      </c>
      <c r="J121" s="128"/>
      <c r="K121" s="103"/>
      <c r="L121" s="103"/>
      <c r="M121" s="146">
        <v>48.93</v>
      </c>
      <c r="N121" s="103">
        <f t="shared" si="80"/>
        <v>60.35</v>
      </c>
      <c r="O121" s="103">
        <v>7</v>
      </c>
      <c r="P121" s="103">
        <v>4.2699999999999996</v>
      </c>
      <c r="Q121" s="103">
        <v>779.13</v>
      </c>
      <c r="R121" s="103"/>
      <c r="S121" s="103">
        <v>0</v>
      </c>
      <c r="T121" s="103"/>
      <c r="U121" s="103">
        <v>40</v>
      </c>
      <c r="V121" s="103"/>
      <c r="W121" s="103">
        <f t="shared" si="81"/>
        <v>231.22499999999999</v>
      </c>
      <c r="X121" s="152"/>
      <c r="Y121" s="152">
        <v>7.4999999999999997E-2</v>
      </c>
      <c r="Z121" s="153">
        <v>3083</v>
      </c>
      <c r="AA121" s="103">
        <v>90.57</v>
      </c>
      <c r="AB121" s="103">
        <f t="shared" si="82"/>
        <v>317</v>
      </c>
      <c r="AC121" s="213">
        <v>0.27</v>
      </c>
      <c r="AD121" s="103">
        <v>95</v>
      </c>
      <c r="AE121" s="103">
        <f>D121-I121-N121-Q121-U121-W121-AA121-AB121-AD121-AF121-P121</f>
        <v>1629.7549999999994</v>
      </c>
      <c r="AF121" s="103">
        <f t="shared" ref="AF121:AF122" si="83">D121*AC121</f>
        <v>1917.0000000000002</v>
      </c>
    </row>
    <row r="122" spans="1:32">
      <c r="A122" s="198"/>
      <c r="B122" s="214" t="s">
        <v>507</v>
      </c>
      <c r="C122" s="112"/>
      <c r="D122" s="103"/>
      <c r="E122" s="102">
        <f t="shared" si="78"/>
        <v>0</v>
      </c>
      <c r="F122" s="117"/>
      <c r="G122" s="117"/>
      <c r="H122" s="128"/>
      <c r="I122" s="128"/>
      <c r="J122" s="128"/>
      <c r="K122" s="103"/>
      <c r="L122" s="103"/>
      <c r="M122" s="146"/>
      <c r="N122" s="103">
        <f t="shared" si="80"/>
        <v>0</v>
      </c>
      <c r="O122" s="103">
        <v>7</v>
      </c>
      <c r="P122" s="103"/>
      <c r="Q122" s="103">
        <v>779.13</v>
      </c>
      <c r="R122" s="103"/>
      <c r="S122" s="103">
        <v>0</v>
      </c>
      <c r="T122" s="103"/>
      <c r="U122" s="103">
        <v>40</v>
      </c>
      <c r="V122" s="103"/>
      <c r="W122" s="103">
        <f t="shared" si="81"/>
        <v>0</v>
      </c>
      <c r="X122" s="152"/>
      <c r="Y122" s="152">
        <v>7.4999999999999997E-2</v>
      </c>
      <c r="Z122" s="153"/>
      <c r="AA122" s="103">
        <v>90.57</v>
      </c>
      <c r="AB122" s="103">
        <f t="shared" si="82"/>
        <v>0</v>
      </c>
      <c r="AC122" s="154"/>
      <c r="AD122" s="103">
        <v>95</v>
      </c>
      <c r="AE122" s="103">
        <f>D122*73%-J122-K122-N122-O122-Q122-W122-AA122-AB122-AF122-U122-P122</f>
        <v>-916.7</v>
      </c>
      <c r="AF122" s="103">
        <f t="shared" si="83"/>
        <v>0</v>
      </c>
    </row>
    <row r="123" spans="1:32">
      <c r="A123" s="187" t="s">
        <v>532</v>
      </c>
      <c r="B123" s="208">
        <v>191280</v>
      </c>
      <c r="C123" s="112">
        <v>7</v>
      </c>
      <c r="D123" s="103">
        <v>6600</v>
      </c>
      <c r="E123" s="102">
        <f t="shared" si="78"/>
        <v>3115</v>
      </c>
      <c r="F123" s="117">
        <v>2959</v>
      </c>
      <c r="G123" s="117">
        <v>156</v>
      </c>
      <c r="H123" s="128">
        <f t="shared" ref="H123:H124" si="84">D123/E123</f>
        <v>2.118780096308186</v>
      </c>
      <c r="I123" s="128">
        <v>1708.16</v>
      </c>
      <c r="J123" s="128">
        <v>2.79</v>
      </c>
      <c r="K123" s="103"/>
      <c r="L123" s="103"/>
      <c r="M123" s="146">
        <v>261.56</v>
      </c>
      <c r="N123" s="103">
        <f t="shared" si="80"/>
        <v>56.1</v>
      </c>
      <c r="O123" s="103">
        <v>7</v>
      </c>
      <c r="P123" s="103"/>
      <c r="Q123" s="103">
        <v>779.13</v>
      </c>
      <c r="R123" s="103"/>
      <c r="S123" s="103">
        <v>0</v>
      </c>
      <c r="T123" s="103"/>
      <c r="U123" s="103">
        <v>40</v>
      </c>
      <c r="V123" s="103"/>
      <c r="W123" s="103">
        <f t="shared" si="81"/>
        <v>237.52499999999998</v>
      </c>
      <c r="X123" s="152"/>
      <c r="Y123" s="152">
        <v>7.4999999999999997E-2</v>
      </c>
      <c r="Z123" s="153">
        <v>3167</v>
      </c>
      <c r="AA123" s="103">
        <v>90.57</v>
      </c>
      <c r="AB123" s="103">
        <f t="shared" si="82"/>
        <v>311.5</v>
      </c>
      <c r="AC123" s="225">
        <v>0.65</v>
      </c>
      <c r="AD123" s="108">
        <v>95</v>
      </c>
      <c r="AE123" s="226">
        <f>D123-I123-J123-N123-O123-Q123-W123-AA123-AB123-AD123-AC123*E123+M123-U123-P123</f>
        <v>1509.0349999999994</v>
      </c>
      <c r="AF123" s="103">
        <f>E123*AC123</f>
        <v>2024.75</v>
      </c>
    </row>
    <row r="124" spans="1:32">
      <c r="A124" s="184" t="s">
        <v>505</v>
      </c>
      <c r="B124" s="185">
        <v>191274</v>
      </c>
      <c r="C124" s="112">
        <v>7</v>
      </c>
      <c r="D124" s="103">
        <v>12200</v>
      </c>
      <c r="E124" s="102">
        <f t="shared" si="78"/>
        <v>5196</v>
      </c>
      <c r="F124" s="117">
        <v>4773</v>
      </c>
      <c r="G124" s="117">
        <v>423</v>
      </c>
      <c r="H124" s="128">
        <f t="shared" si="84"/>
        <v>2.3479599692070825</v>
      </c>
      <c r="I124" s="128">
        <v>2236.83</v>
      </c>
      <c r="J124" s="128">
        <v>32.4</v>
      </c>
      <c r="K124" s="103">
        <v>100</v>
      </c>
      <c r="L124" s="103"/>
      <c r="M124" s="146">
        <v>188.78</v>
      </c>
      <c r="N124" s="103">
        <f t="shared" si="80"/>
        <v>103.7</v>
      </c>
      <c r="O124" s="103">
        <v>7</v>
      </c>
      <c r="P124" s="103"/>
      <c r="Q124" s="103">
        <v>789.51</v>
      </c>
      <c r="R124" s="103"/>
      <c r="S124" s="103">
        <v>0</v>
      </c>
      <c r="T124" s="103"/>
      <c r="U124" s="103">
        <v>40</v>
      </c>
      <c r="V124" s="103"/>
      <c r="W124" s="103">
        <f t="shared" si="81"/>
        <v>400.55399999999997</v>
      </c>
      <c r="X124" s="152"/>
      <c r="Y124" s="152">
        <v>7.6999999999999999E-2</v>
      </c>
      <c r="Z124" s="155">
        <v>5202</v>
      </c>
      <c r="AA124" s="103">
        <v>90.57</v>
      </c>
      <c r="AB124" s="103">
        <f t="shared" si="82"/>
        <v>519.6</v>
      </c>
      <c r="AC124" s="213">
        <v>0.27</v>
      </c>
      <c r="AD124" s="103">
        <v>95</v>
      </c>
      <c r="AE124" s="103">
        <f>D124-I124-N124-Q124-U124-W124-AA124-AB124-AD124-AF124-K124</f>
        <v>4530.235999999999</v>
      </c>
      <c r="AF124" s="103">
        <f t="shared" ref="AF124:AF127" si="85">D124*AC124</f>
        <v>3294</v>
      </c>
    </row>
    <row r="125" spans="1:32">
      <c r="A125" s="184"/>
      <c r="B125" s="205">
        <v>191276</v>
      </c>
      <c r="C125" s="112"/>
      <c r="D125" s="103"/>
      <c r="E125" s="102">
        <f t="shared" si="78"/>
        <v>0</v>
      </c>
      <c r="F125" s="112"/>
      <c r="G125" s="112"/>
      <c r="H125" s="128"/>
      <c r="I125" s="128"/>
      <c r="J125" s="128"/>
      <c r="K125" s="103"/>
      <c r="L125" s="103"/>
      <c r="M125" s="146"/>
      <c r="N125" s="103">
        <f t="shared" si="80"/>
        <v>0</v>
      </c>
      <c r="O125" s="103">
        <v>7</v>
      </c>
      <c r="P125" s="103"/>
      <c r="Q125" s="103">
        <v>779.13</v>
      </c>
      <c r="R125" s="103"/>
      <c r="S125" s="103">
        <v>0</v>
      </c>
      <c r="T125" s="103"/>
      <c r="U125" s="103">
        <v>40</v>
      </c>
      <c r="V125" s="103"/>
      <c r="W125" s="103">
        <f t="shared" si="81"/>
        <v>0</v>
      </c>
      <c r="X125" s="152"/>
      <c r="Y125" s="152">
        <v>7.4999999999999997E-2</v>
      </c>
      <c r="Z125" s="153"/>
      <c r="AA125" s="103">
        <v>90.57</v>
      </c>
      <c r="AB125" s="103">
        <f t="shared" si="82"/>
        <v>0</v>
      </c>
      <c r="AC125" s="213"/>
      <c r="AD125" s="103">
        <v>95</v>
      </c>
      <c r="AE125" s="103">
        <f>D125*73%-J125-K125-N125-O125-Q125-W125-AA125-AB125-AF125+M125-U125</f>
        <v>-916.7</v>
      </c>
      <c r="AF125" s="103">
        <f t="shared" si="85"/>
        <v>0</v>
      </c>
    </row>
    <row r="126" spans="1:32">
      <c r="A126" s="198" t="s">
        <v>488</v>
      </c>
      <c r="B126" s="208">
        <v>191283</v>
      </c>
      <c r="C126" s="112">
        <v>7</v>
      </c>
      <c r="D126" s="103">
        <v>6474</v>
      </c>
      <c r="E126" s="102">
        <f t="shared" si="78"/>
        <v>3211</v>
      </c>
      <c r="F126" s="112">
        <v>3045</v>
      </c>
      <c r="G126" s="112">
        <v>166</v>
      </c>
      <c r="H126" s="128">
        <f t="shared" ref="H126:H127" si="86">D126/E126</f>
        <v>2.0161943319838058</v>
      </c>
      <c r="I126" s="128">
        <v>1999.48</v>
      </c>
      <c r="J126" s="128">
        <v>56.59</v>
      </c>
      <c r="K126" s="103"/>
      <c r="L126" s="103"/>
      <c r="M126" s="146">
        <v>371.36</v>
      </c>
      <c r="N126" s="103">
        <f t="shared" si="80"/>
        <v>55.029000000000003</v>
      </c>
      <c r="O126" s="103">
        <v>7</v>
      </c>
      <c r="P126" s="103"/>
      <c r="Q126" s="103">
        <v>779.13</v>
      </c>
      <c r="R126" s="103"/>
      <c r="S126" s="103">
        <v>0</v>
      </c>
      <c r="T126" s="103"/>
      <c r="U126" s="103">
        <v>40</v>
      </c>
      <c r="V126" s="103"/>
      <c r="W126" s="103">
        <f t="shared" si="81"/>
        <v>274.8</v>
      </c>
      <c r="X126" s="152"/>
      <c r="Y126" s="152">
        <v>7.4999999999999997E-2</v>
      </c>
      <c r="Z126" s="153">
        <v>3664</v>
      </c>
      <c r="AA126" s="103">
        <v>90.57</v>
      </c>
      <c r="AB126" s="103">
        <f t="shared" si="82"/>
        <v>321.10000000000002</v>
      </c>
      <c r="AC126" s="213">
        <v>0.27</v>
      </c>
      <c r="AD126" s="103">
        <v>95</v>
      </c>
      <c r="AE126" s="103">
        <f t="shared" ref="AE126:AE127" si="87">D126-I126-N126-Q126-U126-W126-AA126-AB126-AD126-AF126</f>
        <v>1070.9109999999996</v>
      </c>
      <c r="AF126" s="103">
        <f t="shared" si="85"/>
        <v>1747.98</v>
      </c>
    </row>
    <row r="127" spans="1:32">
      <c r="A127" s="190" t="s">
        <v>14</v>
      </c>
      <c r="B127" s="185">
        <v>465183</v>
      </c>
      <c r="C127" s="117">
        <v>3</v>
      </c>
      <c r="D127" s="103">
        <v>2600</v>
      </c>
      <c r="E127" s="102">
        <f t="shared" si="78"/>
        <v>1218</v>
      </c>
      <c r="F127" s="112">
        <v>1134</v>
      </c>
      <c r="G127" s="112">
        <v>84</v>
      </c>
      <c r="H127" s="128">
        <f t="shared" si="86"/>
        <v>2.1346469622331692</v>
      </c>
      <c r="I127" s="128">
        <v>584.62</v>
      </c>
      <c r="J127" s="128">
        <v>19.8</v>
      </c>
      <c r="K127" s="128"/>
      <c r="L127" s="128"/>
      <c r="M127" s="146">
        <v>79.59</v>
      </c>
      <c r="N127" s="103">
        <f t="shared" si="80"/>
        <v>22.1</v>
      </c>
      <c r="O127" s="103">
        <v>7</v>
      </c>
      <c r="P127" s="103"/>
      <c r="Q127" s="103">
        <v>789.51</v>
      </c>
      <c r="R127" s="103"/>
      <c r="S127" s="103">
        <v>0</v>
      </c>
      <c r="T127" s="103"/>
      <c r="U127" s="103">
        <v>40</v>
      </c>
      <c r="V127" s="103"/>
      <c r="W127" s="103">
        <f t="shared" si="81"/>
        <v>102.333</v>
      </c>
      <c r="X127" s="152"/>
      <c r="Y127" s="152">
        <v>7.6999999999999999E-2</v>
      </c>
      <c r="Z127" s="153">
        <v>1329</v>
      </c>
      <c r="AA127" s="103">
        <v>90.57</v>
      </c>
      <c r="AB127" s="103">
        <f t="shared" si="82"/>
        <v>121.80000000000001</v>
      </c>
      <c r="AC127" s="213">
        <v>0.27</v>
      </c>
      <c r="AD127" s="103">
        <v>95</v>
      </c>
      <c r="AE127" s="103">
        <f t="shared" si="87"/>
        <v>52.067000000000235</v>
      </c>
      <c r="AF127" s="103">
        <f t="shared" si="85"/>
        <v>702</v>
      </c>
    </row>
    <row r="128" spans="1:32">
      <c r="A128" s="187"/>
      <c r="B128" s="205">
        <v>465185</v>
      </c>
      <c r="C128" s="117"/>
      <c r="D128" s="103"/>
      <c r="E128" s="102">
        <f t="shared" si="78"/>
        <v>0</v>
      </c>
      <c r="F128" s="112"/>
      <c r="G128" s="112"/>
      <c r="H128" s="128"/>
      <c r="I128" s="128"/>
      <c r="J128" s="128"/>
      <c r="K128" s="128"/>
      <c r="L128" s="128"/>
      <c r="M128" s="146"/>
      <c r="N128" s="103">
        <f t="shared" si="80"/>
        <v>0</v>
      </c>
      <c r="O128" s="103">
        <v>7</v>
      </c>
      <c r="P128" s="103"/>
      <c r="Q128" s="103">
        <v>789.51</v>
      </c>
      <c r="R128" s="103"/>
      <c r="S128" s="103">
        <v>0</v>
      </c>
      <c r="T128" s="103"/>
      <c r="U128" s="103">
        <v>40</v>
      </c>
      <c r="V128" s="103"/>
      <c r="W128" s="103">
        <f t="shared" si="81"/>
        <v>0</v>
      </c>
      <c r="X128" s="152"/>
      <c r="Y128" s="152">
        <v>7.6999999999999999E-2</v>
      </c>
      <c r="Z128" s="153"/>
      <c r="AA128" s="103">
        <v>90.57</v>
      </c>
      <c r="AB128" s="103">
        <f t="shared" si="82"/>
        <v>0</v>
      </c>
      <c r="AC128" s="112"/>
      <c r="AD128" s="103">
        <v>95</v>
      </c>
      <c r="AE128" s="103">
        <f>D128-I128-J128-N128-O128-Q128-W128-AA128-AB128-AD128-AC128*E128+M128-U128</f>
        <v>-1022.0799999999999</v>
      </c>
      <c r="AF128" s="103">
        <f>AC128*E128+K128</f>
        <v>0</v>
      </c>
    </row>
    <row r="129" spans="1:32">
      <c r="A129" s="190" t="s">
        <v>519</v>
      </c>
      <c r="B129" s="185">
        <v>465186</v>
      </c>
      <c r="C129" s="112">
        <v>7</v>
      </c>
      <c r="D129" s="103">
        <v>1300</v>
      </c>
      <c r="E129" s="102">
        <f t="shared" si="78"/>
        <v>698</v>
      </c>
      <c r="F129" s="112">
        <v>648</v>
      </c>
      <c r="G129" s="112">
        <v>50</v>
      </c>
      <c r="H129" s="128">
        <f>D129/E129</f>
        <v>1.8624641833810889</v>
      </c>
      <c r="I129" s="128">
        <v>558.14</v>
      </c>
      <c r="J129" s="128"/>
      <c r="K129" s="128"/>
      <c r="L129" s="128"/>
      <c r="M129" s="146">
        <v>84.05</v>
      </c>
      <c r="N129" s="103">
        <f t="shared" si="80"/>
        <v>11.05</v>
      </c>
      <c r="O129" s="103">
        <v>7</v>
      </c>
      <c r="P129" s="103"/>
      <c r="Q129" s="103">
        <v>789.51</v>
      </c>
      <c r="R129" s="103"/>
      <c r="S129" s="103">
        <v>0</v>
      </c>
      <c r="T129" s="103"/>
      <c r="U129" s="103">
        <v>40</v>
      </c>
      <c r="V129" s="103"/>
      <c r="W129" s="103">
        <f t="shared" si="81"/>
        <v>25.332999999999998</v>
      </c>
      <c r="X129" s="152"/>
      <c r="Y129" s="152">
        <v>7.6999999999999999E-2</v>
      </c>
      <c r="Z129" s="153">
        <v>329</v>
      </c>
      <c r="AA129" s="103">
        <v>90.57</v>
      </c>
      <c r="AB129" s="103">
        <f t="shared" si="82"/>
        <v>69.8</v>
      </c>
      <c r="AC129" s="213">
        <v>0.27</v>
      </c>
      <c r="AD129" s="103">
        <v>95</v>
      </c>
      <c r="AE129" s="103">
        <f>D129-I129-N129-Q129-U129-W129-AA129-AB129-AD129-AF129</f>
        <v>-730.40299999999991</v>
      </c>
      <c r="AF129" s="103">
        <f>D129*AC129</f>
        <v>351</v>
      </c>
    </row>
    <row r="130" spans="1:32">
      <c r="A130" s="197"/>
      <c r="B130" s="205"/>
      <c r="C130" s="112"/>
      <c r="D130" s="103"/>
      <c r="E130" s="102">
        <f t="shared" si="78"/>
        <v>0</v>
      </c>
      <c r="F130" s="117"/>
      <c r="G130" s="117"/>
      <c r="H130" s="128"/>
      <c r="I130" s="128"/>
      <c r="J130" s="128"/>
      <c r="K130" s="103"/>
      <c r="L130" s="103"/>
      <c r="M130" s="146"/>
      <c r="N130" s="103">
        <f t="shared" si="80"/>
        <v>0</v>
      </c>
      <c r="O130" s="103">
        <v>7</v>
      </c>
      <c r="P130" s="103"/>
      <c r="Q130" s="103">
        <v>779.13</v>
      </c>
      <c r="R130" s="103"/>
      <c r="S130" s="103">
        <v>0</v>
      </c>
      <c r="T130" s="103"/>
      <c r="U130" s="103">
        <v>40</v>
      </c>
      <c r="V130" s="103"/>
      <c r="W130" s="103">
        <f t="shared" si="81"/>
        <v>0</v>
      </c>
      <c r="X130" s="152"/>
      <c r="Y130" s="152">
        <v>7.4999999999999997E-2</v>
      </c>
      <c r="Z130" s="153"/>
      <c r="AA130" s="103">
        <v>90.57</v>
      </c>
      <c r="AB130" s="103">
        <f t="shared" si="82"/>
        <v>0</v>
      </c>
      <c r="AC130" s="154"/>
      <c r="AD130" s="103">
        <v>95</v>
      </c>
      <c r="AE130" s="103">
        <f t="shared" ref="AE130:AE133" si="88">D130-I130-J130-N130-O130-Q130-W130-AA130-AB130-AD130-AC130*E130+M130-U130</f>
        <v>-1011.7</v>
      </c>
      <c r="AF130" s="103">
        <f t="shared" ref="AF130:AF133" si="89">AC130*E130</f>
        <v>0</v>
      </c>
    </row>
    <row r="131" spans="1:32">
      <c r="A131" s="187" t="s">
        <v>439</v>
      </c>
      <c r="B131" s="185">
        <v>465187</v>
      </c>
      <c r="C131" s="117">
        <v>2</v>
      </c>
      <c r="D131" s="103">
        <v>2250</v>
      </c>
      <c r="E131" s="102">
        <f t="shared" si="78"/>
        <v>1107</v>
      </c>
      <c r="F131" s="112">
        <v>1065</v>
      </c>
      <c r="G131" s="112">
        <v>42</v>
      </c>
      <c r="H131" s="128">
        <f>D131/E131</f>
        <v>2.0325203252032522</v>
      </c>
      <c r="I131" s="128">
        <v>782.01</v>
      </c>
      <c r="J131" s="128">
        <v>7.15</v>
      </c>
      <c r="K131" s="128"/>
      <c r="L131" s="128"/>
      <c r="M131" s="146">
        <v>162.47</v>
      </c>
      <c r="N131" s="103">
        <f t="shared" si="80"/>
        <v>19.125</v>
      </c>
      <c r="O131" s="103">
        <v>7</v>
      </c>
      <c r="P131" s="103"/>
      <c r="Q131" s="103">
        <v>789.51</v>
      </c>
      <c r="R131" s="103"/>
      <c r="S131" s="103">
        <v>0</v>
      </c>
      <c r="T131" s="103"/>
      <c r="U131" s="103">
        <v>40</v>
      </c>
      <c r="V131" s="103"/>
      <c r="W131" s="103">
        <f t="shared" si="81"/>
        <v>86.009</v>
      </c>
      <c r="X131" s="152"/>
      <c r="Y131" s="152">
        <v>7.6999999999999999E-2</v>
      </c>
      <c r="Z131" s="153">
        <v>1117</v>
      </c>
      <c r="AA131" s="103">
        <v>90.57</v>
      </c>
      <c r="AB131" s="103">
        <f t="shared" si="82"/>
        <v>110.7</v>
      </c>
      <c r="AC131" s="154">
        <v>0.6</v>
      </c>
      <c r="AD131" s="103">
        <v>95</v>
      </c>
      <c r="AE131" s="103">
        <f t="shared" si="88"/>
        <v>-278.80399999999997</v>
      </c>
      <c r="AF131" s="103">
        <f t="shared" si="89"/>
        <v>664.19999999999993</v>
      </c>
    </row>
    <row r="132" spans="1:32">
      <c r="A132" s="187"/>
      <c r="B132" s="205">
        <v>191281</v>
      </c>
      <c r="C132" s="112"/>
      <c r="D132" s="103"/>
      <c r="E132" s="102">
        <f t="shared" si="78"/>
        <v>0</v>
      </c>
      <c r="F132" s="112"/>
      <c r="G132" s="112"/>
      <c r="H132" s="128"/>
      <c r="I132" s="128"/>
      <c r="J132" s="128"/>
      <c r="K132" s="103"/>
      <c r="L132" s="103"/>
      <c r="M132" s="146"/>
      <c r="N132" s="103">
        <f t="shared" si="80"/>
        <v>0</v>
      </c>
      <c r="O132" s="103">
        <v>7</v>
      </c>
      <c r="P132" s="103"/>
      <c r="Q132" s="103">
        <v>779.13</v>
      </c>
      <c r="R132" s="103"/>
      <c r="S132" s="103">
        <v>0</v>
      </c>
      <c r="T132" s="103"/>
      <c r="U132" s="103">
        <v>40</v>
      </c>
      <c r="V132" s="103"/>
      <c r="W132" s="103">
        <f t="shared" si="81"/>
        <v>0</v>
      </c>
      <c r="X132" s="152"/>
      <c r="Y132" s="152">
        <v>7.4999999999999997E-2</v>
      </c>
      <c r="Z132" s="153"/>
      <c r="AA132" s="103">
        <v>90.57</v>
      </c>
      <c r="AB132" s="103">
        <f t="shared" si="82"/>
        <v>0</v>
      </c>
      <c r="AC132" s="154"/>
      <c r="AD132" s="103">
        <v>95</v>
      </c>
      <c r="AE132" s="103">
        <f t="shared" si="88"/>
        <v>-1011.7</v>
      </c>
      <c r="AF132" s="103">
        <f t="shared" si="89"/>
        <v>0</v>
      </c>
    </row>
    <row r="133" spans="1:32">
      <c r="A133" s="190" t="s">
        <v>427</v>
      </c>
      <c r="B133" s="185">
        <v>465188</v>
      </c>
      <c r="C133" s="112">
        <v>7</v>
      </c>
      <c r="D133" s="103">
        <v>6295</v>
      </c>
      <c r="E133" s="102">
        <f t="shared" si="78"/>
        <v>3111</v>
      </c>
      <c r="F133" s="117">
        <v>2973</v>
      </c>
      <c r="G133" s="117">
        <v>138</v>
      </c>
      <c r="H133" s="128">
        <f t="shared" ref="H133:H134" si="90">D133/E133</f>
        <v>2.0234651237544199</v>
      </c>
      <c r="I133" s="128">
        <v>1610.67</v>
      </c>
      <c r="J133" s="128">
        <v>72.45</v>
      </c>
      <c r="K133" s="128"/>
      <c r="L133" s="128"/>
      <c r="M133" s="146">
        <v>211.04</v>
      </c>
      <c r="N133" s="103">
        <f t="shared" si="80"/>
        <v>53.507500000000007</v>
      </c>
      <c r="O133" s="103">
        <v>7</v>
      </c>
      <c r="P133" s="103"/>
      <c r="Q133" s="103">
        <v>789.51</v>
      </c>
      <c r="R133" s="103"/>
      <c r="S133" s="103">
        <v>0</v>
      </c>
      <c r="T133" s="103"/>
      <c r="U133" s="103">
        <v>40</v>
      </c>
      <c r="V133" s="103"/>
      <c r="W133" s="103">
        <f t="shared" si="81"/>
        <v>244.93699999999998</v>
      </c>
      <c r="X133" s="152"/>
      <c r="Y133" s="152">
        <v>7.6999999999999999E-2</v>
      </c>
      <c r="Z133" s="153">
        <v>3181</v>
      </c>
      <c r="AA133" s="103">
        <v>90.57</v>
      </c>
      <c r="AB133" s="103">
        <f t="shared" si="82"/>
        <v>311.10000000000002</v>
      </c>
      <c r="AC133" s="154">
        <v>0.6</v>
      </c>
      <c r="AD133" s="103">
        <v>95</v>
      </c>
      <c r="AE133" s="103">
        <f t="shared" si="88"/>
        <v>1324.6955000000003</v>
      </c>
      <c r="AF133" s="103">
        <f t="shared" si="89"/>
        <v>1866.6</v>
      </c>
    </row>
    <row r="134" spans="1:32">
      <c r="A134" s="184" t="s">
        <v>541</v>
      </c>
      <c r="B134" s="185">
        <v>191277</v>
      </c>
      <c r="C134" s="112">
        <v>7</v>
      </c>
      <c r="D134" s="103">
        <v>4900</v>
      </c>
      <c r="E134" s="102">
        <f t="shared" si="78"/>
        <v>2484</v>
      </c>
      <c r="F134" s="117">
        <v>2395</v>
      </c>
      <c r="G134" s="117">
        <v>89</v>
      </c>
      <c r="H134" s="128">
        <f t="shared" si="90"/>
        <v>1.9726247987117553</v>
      </c>
      <c r="I134" s="128">
        <v>1799.48</v>
      </c>
      <c r="J134" s="128"/>
      <c r="K134" s="103"/>
      <c r="L134" s="103"/>
      <c r="M134" s="146">
        <v>338.32</v>
      </c>
      <c r="N134" s="103">
        <f t="shared" si="80"/>
        <v>41.650000000000006</v>
      </c>
      <c r="O134" s="103">
        <v>7</v>
      </c>
      <c r="P134" s="103">
        <v>99.13</v>
      </c>
      <c r="Q134" s="103">
        <v>779.13</v>
      </c>
      <c r="R134" s="103"/>
      <c r="S134" s="103">
        <v>0</v>
      </c>
      <c r="T134" s="103"/>
      <c r="U134" s="103">
        <v>40</v>
      </c>
      <c r="V134" s="103"/>
      <c r="W134" s="103">
        <f t="shared" si="81"/>
        <v>190.04999999999998</v>
      </c>
      <c r="X134" s="152"/>
      <c r="Y134" s="152">
        <v>7.4999999999999997E-2</v>
      </c>
      <c r="Z134" s="153">
        <v>2534</v>
      </c>
      <c r="AA134" s="103">
        <v>90.57</v>
      </c>
      <c r="AB134" s="103">
        <f t="shared" si="82"/>
        <v>248.4</v>
      </c>
      <c r="AC134" s="154">
        <v>0.6</v>
      </c>
      <c r="AD134" s="103">
        <v>95</v>
      </c>
      <c r="AE134" s="103">
        <f>D134-I134-J134-N134-O134-Q134-W134-AA134-AB134-AD134-AC134*E134+M134-U134-P134</f>
        <v>357.50999999999971</v>
      </c>
      <c r="AF134" s="103">
        <f t="shared" ref="AF134:AF135" si="91">AC134*E134+K134-L134</f>
        <v>1490.3999999999999</v>
      </c>
    </row>
    <row r="135" spans="1:32">
      <c r="A135" s="190"/>
      <c r="B135" s="205">
        <v>465180</v>
      </c>
      <c r="C135" s="112"/>
      <c r="D135" s="103"/>
      <c r="E135" s="102">
        <f t="shared" si="78"/>
        <v>0</v>
      </c>
      <c r="F135" s="112"/>
      <c r="G135" s="112"/>
      <c r="H135" s="128"/>
      <c r="I135" s="128"/>
      <c r="J135" s="128">
        <v>6.35</v>
      </c>
      <c r="K135" s="103"/>
      <c r="L135" s="103"/>
      <c r="M135" s="146"/>
      <c r="N135" s="103">
        <f t="shared" si="80"/>
        <v>0</v>
      </c>
      <c r="O135" s="103">
        <v>7</v>
      </c>
      <c r="P135" s="103"/>
      <c r="Q135" s="103">
        <v>789.51</v>
      </c>
      <c r="R135" s="103"/>
      <c r="S135" s="103">
        <v>0</v>
      </c>
      <c r="T135" s="103"/>
      <c r="U135" s="103">
        <v>40</v>
      </c>
      <c r="V135" s="103"/>
      <c r="W135" s="103">
        <f t="shared" si="81"/>
        <v>0</v>
      </c>
      <c r="X135" s="152"/>
      <c r="Y135" s="152">
        <v>7.6999999999999999E-2</v>
      </c>
      <c r="Z135" s="153"/>
      <c r="AA135" s="103">
        <v>90.57</v>
      </c>
      <c r="AB135" s="103">
        <f t="shared" si="82"/>
        <v>0</v>
      </c>
      <c r="AC135" s="112"/>
      <c r="AD135" s="103">
        <v>95</v>
      </c>
      <c r="AE135" s="103">
        <f>D135-I135-J135-N135-O135-Q135-W135-AA135-AB135-AD135-AC135*E135+M135-U135</f>
        <v>-1028.43</v>
      </c>
      <c r="AF135" s="103">
        <f t="shared" si="91"/>
        <v>0</v>
      </c>
    </row>
    <row r="136" spans="1:32">
      <c r="A136" s="190" t="s">
        <v>491</v>
      </c>
      <c r="B136" s="185">
        <v>465181</v>
      </c>
      <c r="C136" s="117">
        <v>7</v>
      </c>
      <c r="D136" s="103">
        <v>6962</v>
      </c>
      <c r="E136" s="102">
        <f t="shared" si="78"/>
        <v>3258</v>
      </c>
      <c r="F136" s="112">
        <v>2712</v>
      </c>
      <c r="G136" s="112">
        <v>546</v>
      </c>
      <c r="H136" s="128">
        <f t="shared" ref="H136:H140" si="92">D136/E136</f>
        <v>2.1368937998772255</v>
      </c>
      <c r="I136" s="146">
        <v>2560.08</v>
      </c>
      <c r="J136" s="128">
        <v>35.299999999999997</v>
      </c>
      <c r="K136" s="128">
        <v>200</v>
      </c>
      <c r="L136" s="128"/>
      <c r="M136" s="146">
        <v>277.3</v>
      </c>
      <c r="N136" s="103">
        <f t="shared" si="80"/>
        <v>59.177000000000007</v>
      </c>
      <c r="O136" s="103">
        <v>7</v>
      </c>
      <c r="P136" s="103"/>
      <c r="Q136" s="103">
        <v>789.51</v>
      </c>
      <c r="R136" s="103"/>
      <c r="S136" s="103">
        <v>0</v>
      </c>
      <c r="T136" s="103"/>
      <c r="U136" s="103">
        <v>40</v>
      </c>
      <c r="V136" s="103"/>
      <c r="W136" s="103">
        <f t="shared" si="81"/>
        <v>320.39699999999999</v>
      </c>
      <c r="X136" s="152"/>
      <c r="Y136" s="152">
        <v>7.6999999999999999E-2</v>
      </c>
      <c r="Z136" s="153">
        <v>4161</v>
      </c>
      <c r="AA136" s="103">
        <v>90.57</v>
      </c>
      <c r="AB136" s="103">
        <f t="shared" si="82"/>
        <v>325.8</v>
      </c>
      <c r="AC136" s="154">
        <v>0.6</v>
      </c>
      <c r="AD136" s="103">
        <v>95</v>
      </c>
      <c r="AE136" s="103">
        <f>D136-I136-J136-N136-O136-Q136-W136-AA136-AB136-AD136-AC136*E136+M136-U136-P136-K136</f>
        <v>761.66599999999971</v>
      </c>
      <c r="AF136" s="103">
        <f>AC136*E136+K136+L136</f>
        <v>2154.8000000000002</v>
      </c>
    </row>
    <row r="137" spans="1:32">
      <c r="A137" s="215" t="s">
        <v>429</v>
      </c>
      <c r="B137" s="216">
        <v>191275</v>
      </c>
      <c r="C137" s="217">
        <v>7</v>
      </c>
      <c r="D137" s="218">
        <v>6900</v>
      </c>
      <c r="E137" s="217">
        <f t="shared" si="78"/>
        <v>3534</v>
      </c>
      <c r="F137" s="217">
        <v>3429</v>
      </c>
      <c r="G137" s="217">
        <v>105</v>
      </c>
      <c r="H137" s="128">
        <f t="shared" si="92"/>
        <v>1.9524617996604414</v>
      </c>
      <c r="I137" s="220">
        <v>1679.47</v>
      </c>
      <c r="J137" s="221">
        <v>11.98</v>
      </c>
      <c r="K137" s="221"/>
      <c r="L137" s="221"/>
      <c r="M137" s="220">
        <v>0</v>
      </c>
      <c r="N137" s="218">
        <f t="shared" si="80"/>
        <v>58.650000000000006</v>
      </c>
      <c r="O137" s="218">
        <v>7</v>
      </c>
      <c r="P137" s="218"/>
      <c r="Q137" s="218">
        <v>779.13</v>
      </c>
      <c r="R137" s="218">
        <v>50</v>
      </c>
      <c r="S137" s="218">
        <v>1200</v>
      </c>
      <c r="T137" s="218">
        <v>30</v>
      </c>
      <c r="U137" s="218">
        <v>40</v>
      </c>
      <c r="V137" s="218">
        <v>300</v>
      </c>
      <c r="W137" s="218">
        <f t="shared" si="81"/>
        <v>0.28792499999999999</v>
      </c>
      <c r="X137" s="218">
        <f t="shared" ref="X137:X139" si="93">0.15*Z137</f>
        <v>0.57584999999999997</v>
      </c>
      <c r="Y137" s="222">
        <v>7.4999999999999997E-2</v>
      </c>
      <c r="Z137" s="219" t="s">
        <v>546</v>
      </c>
      <c r="AA137" s="218">
        <v>90.57</v>
      </c>
      <c r="AB137" s="218">
        <f t="shared" si="82"/>
        <v>353.40000000000003</v>
      </c>
      <c r="AC137" s="223">
        <v>0.87</v>
      </c>
      <c r="AD137" s="218">
        <v>95</v>
      </c>
      <c r="AE137" s="103">
        <f t="shared" ref="AE137:AE138" si="94">D137*13%+R137+T137+S137+V137-Q137-W137-AA137-AD137+X137-N137+M137-U137</f>
        <v>1413.9379249999997</v>
      </c>
      <c r="AF137" s="103">
        <f t="shared" ref="AF137:AF138" si="95">D137*AC137-I137-J137-S137-R137-T137-V137-X137</f>
        <v>2730.97415</v>
      </c>
    </row>
    <row r="138" spans="1:32">
      <c r="A138" s="229" t="s">
        <v>435</v>
      </c>
      <c r="B138" s="216">
        <v>191282</v>
      </c>
      <c r="C138" s="217">
        <v>7</v>
      </c>
      <c r="D138" s="218">
        <v>10250</v>
      </c>
      <c r="E138" s="217">
        <f t="shared" si="78"/>
        <v>4952</v>
      </c>
      <c r="F138" s="217">
        <v>4632</v>
      </c>
      <c r="G138" s="217">
        <v>320</v>
      </c>
      <c r="H138" s="128">
        <f t="shared" si="92"/>
        <v>2.0698707592891763</v>
      </c>
      <c r="I138" s="220">
        <v>2712.13</v>
      </c>
      <c r="J138" s="221">
        <v>84.5</v>
      </c>
      <c r="K138" s="221"/>
      <c r="L138" s="221"/>
      <c r="M138" s="220">
        <v>96.61</v>
      </c>
      <c r="N138" s="218">
        <f t="shared" si="80"/>
        <v>87.125</v>
      </c>
      <c r="O138" s="218">
        <v>7</v>
      </c>
      <c r="P138" s="218"/>
      <c r="Q138" s="218">
        <v>789.51</v>
      </c>
      <c r="R138" s="218">
        <v>50</v>
      </c>
      <c r="S138" s="218">
        <v>1200</v>
      </c>
      <c r="T138" s="218">
        <v>30</v>
      </c>
      <c r="U138" s="218">
        <v>40</v>
      </c>
      <c r="V138" s="218">
        <v>300</v>
      </c>
      <c r="W138" s="218">
        <f t="shared" si="81"/>
        <v>0.39069799999999999</v>
      </c>
      <c r="X138" s="218">
        <f t="shared" si="93"/>
        <v>0.7611</v>
      </c>
      <c r="Y138" s="222">
        <v>7.6999999999999999E-2</v>
      </c>
      <c r="Z138" s="219" t="s">
        <v>547</v>
      </c>
      <c r="AA138" s="218">
        <v>90.57</v>
      </c>
      <c r="AB138" s="218">
        <f t="shared" si="82"/>
        <v>495.20000000000005</v>
      </c>
      <c r="AC138" s="223">
        <v>0.87</v>
      </c>
      <c r="AD138" s="218">
        <v>95</v>
      </c>
      <c r="AE138" s="103">
        <f t="shared" si="94"/>
        <v>1907.2754019999995</v>
      </c>
      <c r="AF138" s="103">
        <f t="shared" si="95"/>
        <v>4540.1089000000002</v>
      </c>
    </row>
    <row r="139" spans="1:32">
      <c r="A139" s="215" t="s">
        <v>526</v>
      </c>
      <c r="B139" s="216">
        <v>465182</v>
      </c>
      <c r="C139" s="217">
        <v>7</v>
      </c>
      <c r="D139" s="218">
        <v>11000</v>
      </c>
      <c r="E139" s="217">
        <f t="shared" si="78"/>
        <v>5536</v>
      </c>
      <c r="F139" s="217">
        <v>5004</v>
      </c>
      <c r="G139" s="217">
        <v>532</v>
      </c>
      <c r="H139" s="128">
        <f t="shared" si="92"/>
        <v>1.9869942196531791</v>
      </c>
      <c r="I139" s="220">
        <v>2689.74</v>
      </c>
      <c r="J139" s="221"/>
      <c r="K139" s="221"/>
      <c r="L139" s="221"/>
      <c r="M139" s="220">
        <v>10.09</v>
      </c>
      <c r="N139" s="218">
        <f t="shared" si="80"/>
        <v>93.5</v>
      </c>
      <c r="O139" s="218">
        <v>7</v>
      </c>
      <c r="P139" s="218">
        <v>386.23</v>
      </c>
      <c r="Q139" s="218">
        <v>789.51</v>
      </c>
      <c r="R139" s="218">
        <v>50</v>
      </c>
      <c r="S139" s="218">
        <v>1200</v>
      </c>
      <c r="T139" s="218">
        <v>30</v>
      </c>
      <c r="U139" s="218">
        <v>40</v>
      </c>
      <c r="V139" s="218">
        <v>300</v>
      </c>
      <c r="W139" s="218">
        <f t="shared" si="81"/>
        <v>0.44967999999999997</v>
      </c>
      <c r="X139" s="218">
        <f t="shared" si="93"/>
        <v>0.876</v>
      </c>
      <c r="Y139" s="222">
        <v>7.6999999999999999E-2</v>
      </c>
      <c r="Z139" s="219" t="s">
        <v>548</v>
      </c>
      <c r="AA139" s="218">
        <v>90.57</v>
      </c>
      <c r="AB139" s="218">
        <f t="shared" si="82"/>
        <v>553.6</v>
      </c>
      <c r="AC139" s="223">
        <v>0.87</v>
      </c>
      <c r="AD139" s="218">
        <v>95</v>
      </c>
      <c r="AE139" s="103">
        <f>D139*13%+R139+T139+S139+V139-Q139-W139-AA139-AD139+X139-N139+M139-U139-P139</f>
        <v>1525.7063199999993</v>
      </c>
      <c r="AF139" s="103">
        <f>D139*AC139-I139-J139-S139-R139-T139-V139-X139-P139</f>
        <v>4913.1540000000005</v>
      </c>
    </row>
    <row r="140" spans="1:32">
      <c r="A140" s="134" t="s">
        <v>462</v>
      </c>
      <c r="B140" s="135" t="s">
        <v>399</v>
      </c>
      <c r="C140" s="158">
        <v>7</v>
      </c>
      <c r="D140" s="139">
        <v>6700</v>
      </c>
      <c r="E140" s="136">
        <v>3097</v>
      </c>
      <c r="F140" s="136"/>
      <c r="G140" s="136"/>
      <c r="H140" s="128">
        <f t="shared" si="92"/>
        <v>2.1633839199225058</v>
      </c>
      <c r="I140" s="139">
        <v>1355.11</v>
      </c>
      <c r="J140" s="139">
        <v>154.62</v>
      </c>
      <c r="K140" s="139"/>
      <c r="L140" s="139"/>
      <c r="M140" s="139">
        <v>43.72</v>
      </c>
      <c r="N140" s="139">
        <f t="shared" si="80"/>
        <v>56.95</v>
      </c>
      <c r="O140" s="139">
        <v>0</v>
      </c>
      <c r="P140" s="139"/>
      <c r="Q140" s="139">
        <v>0</v>
      </c>
      <c r="R140" s="139">
        <v>0</v>
      </c>
      <c r="S140" s="139">
        <v>0</v>
      </c>
      <c r="T140" s="139">
        <v>0</v>
      </c>
      <c r="U140" s="139">
        <v>40</v>
      </c>
      <c r="V140" s="139">
        <v>0</v>
      </c>
      <c r="W140" s="139">
        <v>0</v>
      </c>
      <c r="X140" s="159"/>
      <c r="Y140" s="159">
        <v>0</v>
      </c>
      <c r="Z140" s="136">
        <v>3097</v>
      </c>
      <c r="AA140" s="139">
        <v>0</v>
      </c>
      <c r="AB140" s="139">
        <f t="shared" si="82"/>
        <v>309.70000000000005</v>
      </c>
      <c r="AC140" s="160">
        <v>0.85</v>
      </c>
      <c r="AD140" s="139">
        <v>95</v>
      </c>
      <c r="AE140" s="139">
        <f>D140*0.15-AB140-N140+M140-U140</f>
        <v>642.06999999999994</v>
      </c>
      <c r="AF140" s="139">
        <f>D140*0.85-I140-J140+M140</f>
        <v>4228.9900000000007</v>
      </c>
    </row>
    <row r="141" spans="1:32">
      <c r="A141" s="199" t="s">
        <v>528</v>
      </c>
      <c r="B141" s="230" t="s">
        <v>362</v>
      </c>
      <c r="C141" s="158"/>
      <c r="D141" s="139"/>
      <c r="E141" s="136"/>
      <c r="F141" s="136"/>
      <c r="G141" s="136"/>
      <c r="H141" s="139"/>
      <c r="I141" s="139"/>
      <c r="J141" s="139">
        <v>68.23</v>
      </c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>
        <v>40</v>
      </c>
      <c r="V141" s="139"/>
      <c r="W141" s="139"/>
      <c r="X141" s="159"/>
      <c r="Y141" s="159"/>
      <c r="Z141" s="136"/>
      <c r="AA141" s="139"/>
      <c r="AB141" s="139"/>
      <c r="AC141" s="160"/>
      <c r="AD141" s="139"/>
      <c r="AE141" s="139"/>
      <c r="AF141" s="139">
        <f>D141-J141</f>
        <v>-68.23</v>
      </c>
    </row>
    <row r="142" spans="1:32">
      <c r="A142" s="134" t="s">
        <v>529</v>
      </c>
      <c r="B142" s="134">
        <v>1118</v>
      </c>
      <c r="C142" s="158">
        <v>3</v>
      </c>
      <c r="D142" s="139">
        <v>2050</v>
      </c>
      <c r="E142" s="136">
        <v>1198</v>
      </c>
      <c r="F142" s="136"/>
      <c r="G142" s="136"/>
      <c r="H142" s="128">
        <f t="shared" ref="H142:H144" si="96">D142/E142</f>
        <v>1.7111853088480802</v>
      </c>
      <c r="I142" s="139">
        <v>548.01</v>
      </c>
      <c r="J142" s="139">
        <v>36.99</v>
      </c>
      <c r="K142" s="139"/>
      <c r="L142" s="139"/>
      <c r="M142" s="139">
        <v>0</v>
      </c>
      <c r="N142" s="139">
        <f t="shared" ref="N142:N143" si="97">D142*0.0085</f>
        <v>17.425000000000001</v>
      </c>
      <c r="O142" s="139">
        <v>0</v>
      </c>
      <c r="P142" s="139"/>
      <c r="Q142" s="139">
        <v>0</v>
      </c>
      <c r="R142" s="139">
        <v>0</v>
      </c>
      <c r="S142" s="139">
        <v>0</v>
      </c>
      <c r="T142" s="139">
        <v>0</v>
      </c>
      <c r="U142" s="139">
        <v>40</v>
      </c>
      <c r="V142" s="139">
        <v>0</v>
      </c>
      <c r="W142" s="139">
        <v>0</v>
      </c>
      <c r="X142" s="159"/>
      <c r="Y142" s="159">
        <v>0</v>
      </c>
      <c r="Z142" s="136">
        <v>1198</v>
      </c>
      <c r="AA142" s="139">
        <v>0</v>
      </c>
      <c r="AB142" s="139">
        <f t="shared" ref="AB142:AB144" si="98">E142*0.1</f>
        <v>119.80000000000001</v>
      </c>
      <c r="AC142" s="160">
        <v>0.8</v>
      </c>
      <c r="AD142" s="139">
        <v>95</v>
      </c>
      <c r="AE142" s="139">
        <f>D142*0.2-AB142-N142-K142-AD142-U142</f>
        <v>137.77499999999998</v>
      </c>
      <c r="AF142" s="139">
        <f>D142*AC142-I142-J142+K142</f>
        <v>1055</v>
      </c>
    </row>
    <row r="143" spans="1:32">
      <c r="A143" s="134" t="s">
        <v>467</v>
      </c>
      <c r="B143" s="134">
        <v>1122</v>
      </c>
      <c r="C143" s="158">
        <v>2</v>
      </c>
      <c r="D143" s="139">
        <v>1800</v>
      </c>
      <c r="E143" s="136">
        <v>1156</v>
      </c>
      <c r="F143" s="136"/>
      <c r="G143" s="136"/>
      <c r="H143" s="128">
        <f t="shared" si="96"/>
        <v>1.5570934256055364</v>
      </c>
      <c r="I143" s="168">
        <v>808.32</v>
      </c>
      <c r="J143" s="139"/>
      <c r="K143" s="139"/>
      <c r="L143" s="139"/>
      <c r="M143" s="139">
        <v>97.67</v>
      </c>
      <c r="N143" s="139">
        <f t="shared" si="97"/>
        <v>15.3</v>
      </c>
      <c r="O143" s="139">
        <v>7</v>
      </c>
      <c r="P143" s="139"/>
      <c r="Q143" s="139">
        <v>0</v>
      </c>
      <c r="R143" s="139">
        <v>50</v>
      </c>
      <c r="S143" s="139">
        <v>199</v>
      </c>
      <c r="T143" s="139">
        <v>30</v>
      </c>
      <c r="U143" s="139">
        <v>40</v>
      </c>
      <c r="V143" s="139">
        <v>300</v>
      </c>
      <c r="W143" s="139">
        <v>0</v>
      </c>
      <c r="X143" s="159"/>
      <c r="Y143" s="159">
        <v>0</v>
      </c>
      <c r="Z143" s="136">
        <v>1156</v>
      </c>
      <c r="AA143" s="139">
        <v>0</v>
      </c>
      <c r="AB143" s="139">
        <f t="shared" si="98"/>
        <v>115.60000000000001</v>
      </c>
      <c r="AC143" s="160">
        <v>0.87</v>
      </c>
      <c r="AD143" s="139">
        <v>95</v>
      </c>
      <c r="AE143" s="139">
        <f>D143*0.13-AD143-AB143+V143+T143+S143+R143-N143+M143-U143</f>
        <v>644.77</v>
      </c>
      <c r="AF143" s="139">
        <f>D143*AC143-I143-J143-V143-T143-S143-R143</f>
        <v>178.67999999999995</v>
      </c>
    </row>
    <row r="144" spans="1:32">
      <c r="A144" s="134" t="s">
        <v>520</v>
      </c>
      <c r="B144" s="134">
        <v>1650</v>
      </c>
      <c r="C144" s="158">
        <v>3</v>
      </c>
      <c r="D144" s="139">
        <v>2400</v>
      </c>
      <c r="E144" s="136">
        <v>1127</v>
      </c>
      <c r="F144" s="136"/>
      <c r="G144" s="136"/>
      <c r="H144" s="128">
        <f t="shared" si="96"/>
        <v>2.1295474711623781</v>
      </c>
      <c r="I144" s="139">
        <v>761.18</v>
      </c>
      <c r="J144" s="139"/>
      <c r="K144" s="139"/>
      <c r="L144" s="139"/>
      <c r="M144" s="139">
        <v>19.420000000000002</v>
      </c>
      <c r="N144" s="139"/>
      <c r="O144" s="139"/>
      <c r="P144" s="139"/>
      <c r="Q144" s="139">
        <v>0</v>
      </c>
      <c r="R144" s="139">
        <v>50</v>
      </c>
      <c r="S144" s="139">
        <v>0</v>
      </c>
      <c r="T144" s="139">
        <v>30</v>
      </c>
      <c r="U144" s="139">
        <v>40</v>
      </c>
      <c r="V144" s="139">
        <v>300</v>
      </c>
      <c r="W144" s="139">
        <v>0</v>
      </c>
      <c r="X144" s="159"/>
      <c r="Y144" s="159">
        <v>0</v>
      </c>
      <c r="Z144" s="136">
        <v>1127</v>
      </c>
      <c r="AA144" s="139">
        <v>0</v>
      </c>
      <c r="AB144" s="139">
        <f t="shared" si="98"/>
        <v>112.7</v>
      </c>
      <c r="AC144" s="160">
        <v>0.87</v>
      </c>
      <c r="AD144" s="139">
        <v>95</v>
      </c>
      <c r="AE144" s="139">
        <f>D144*0.13+V144+T144+S144+R144-AB144-N144+M144-U144</f>
        <v>558.71999999999991</v>
      </c>
      <c r="AF144" s="139">
        <f>D144*0.87-I144-J144-R144-S144-T144-V144</f>
        <v>946.82000000000016</v>
      </c>
    </row>
    <row r="145" spans="1:32">
      <c r="A145" s="72" t="s">
        <v>89</v>
      </c>
      <c r="B145" s="72">
        <v>18</v>
      </c>
      <c r="C145" s="202">
        <f>AVERAGE(C120:C136)</f>
        <v>6</v>
      </c>
      <c r="D145" s="201">
        <f t="shared" ref="D145:G145" si="99">SUM(D120:D144)</f>
        <v>102481</v>
      </c>
      <c r="E145" s="201">
        <f t="shared" si="99"/>
        <v>49404</v>
      </c>
      <c r="F145" s="201">
        <f t="shared" si="99"/>
        <v>39940</v>
      </c>
      <c r="G145" s="201">
        <f t="shared" si="99"/>
        <v>2886</v>
      </c>
      <c r="H145" s="201">
        <f>AVERAGE(H120:H144)</f>
        <v>2.0309889960284946</v>
      </c>
      <c r="I145" s="201">
        <f t="shared" ref="I145:AB145" si="100">SUM(I120:I144)</f>
        <v>27239.080000000005</v>
      </c>
      <c r="J145" s="201">
        <f t="shared" si="100"/>
        <v>654.18000000000006</v>
      </c>
      <c r="K145" s="201">
        <f t="shared" si="100"/>
        <v>300</v>
      </c>
      <c r="L145" s="201">
        <f t="shared" si="100"/>
        <v>0</v>
      </c>
      <c r="M145" s="201">
        <f t="shared" si="100"/>
        <v>2418.71</v>
      </c>
      <c r="N145" s="201">
        <f t="shared" si="100"/>
        <v>850.68849999999998</v>
      </c>
      <c r="O145" s="201">
        <f t="shared" si="100"/>
        <v>147</v>
      </c>
      <c r="P145" s="201">
        <f t="shared" si="100"/>
        <v>489.63</v>
      </c>
      <c r="Q145" s="201">
        <f t="shared" si="100"/>
        <v>15686.4</v>
      </c>
      <c r="R145" s="201">
        <f t="shared" si="100"/>
        <v>250</v>
      </c>
      <c r="S145" s="201">
        <f t="shared" si="100"/>
        <v>3799</v>
      </c>
      <c r="T145" s="201">
        <f t="shared" si="100"/>
        <v>150</v>
      </c>
      <c r="U145" s="201">
        <f t="shared" si="100"/>
        <v>1000</v>
      </c>
      <c r="V145" s="201">
        <f t="shared" si="100"/>
        <v>1500</v>
      </c>
      <c r="W145" s="201">
        <f t="shared" si="100"/>
        <v>2300.5163030000003</v>
      </c>
      <c r="X145" s="201">
        <f t="shared" si="100"/>
        <v>2.2129499999999998</v>
      </c>
      <c r="Y145" s="201">
        <f t="shared" si="100"/>
        <v>1.5199999999999996</v>
      </c>
      <c r="Z145" s="201">
        <f t="shared" si="100"/>
        <v>36828</v>
      </c>
      <c r="AA145" s="201">
        <f t="shared" si="100"/>
        <v>1811.3999999999992</v>
      </c>
      <c r="AB145" s="201">
        <f t="shared" si="100"/>
        <v>4940.4000000000015</v>
      </c>
      <c r="AC145" s="201"/>
      <c r="AD145" s="201">
        <f t="shared" ref="AD145:AF145" si="101">SUM(AD120:AD144)</f>
        <v>2280</v>
      </c>
      <c r="AE145" s="201">
        <f t="shared" si="101"/>
        <v>12087.558146999996</v>
      </c>
      <c r="AF145" s="201">
        <f t="shared" si="101"/>
        <v>36191.627049999996</v>
      </c>
    </row>
  </sheetData>
  <mergeCells count="5">
    <mergeCell ref="A1:AE1"/>
    <mergeCell ref="A30:AF30"/>
    <mergeCell ref="A59:AF59"/>
    <mergeCell ref="A88:AF88"/>
    <mergeCell ref="A118:AF118"/>
  </mergeCells>
  <conditionalFormatting sqref="AE61:AF85 AE90:AF114 AE119:AF144 AE148:AF172">
    <cfRule type="colorScale" priority="1">
      <colorScale>
        <cfvo type="min"/>
        <cfvo type="percent" val="50"/>
        <cfvo type="max"/>
        <color rgb="FFCC0000"/>
        <color rgb="FFE68080"/>
        <color rgb="FFFFFFFF"/>
      </colorScale>
    </cfRule>
  </conditionalFormatting>
  <conditionalFormatting sqref="H3:H27 H32:H56 H61:H85 H87 H89:H114 H119:H140 H142:H144 H147:H164 H173"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F115"/>
  <sheetViews>
    <sheetView workbookViewId="0"/>
  </sheetViews>
  <sheetFormatPr baseColWidth="10" defaultColWidth="12.6640625" defaultRowHeight="15.75" customHeight="1"/>
  <cols>
    <col min="1" max="1" width="19.1640625" customWidth="1"/>
    <col min="2" max="2" width="5.6640625" customWidth="1"/>
    <col min="3" max="3" width="4.33203125" customWidth="1"/>
    <col min="4" max="4" width="9.1640625" customWidth="1"/>
    <col min="5" max="5" width="7.6640625" customWidth="1"/>
    <col min="6" max="6" width="7" customWidth="1"/>
    <col min="7" max="7" width="6.6640625" customWidth="1"/>
    <col min="8" max="8" width="4.83203125" customWidth="1"/>
    <col min="9" max="9" width="8.1640625" customWidth="1"/>
    <col min="10" max="10" width="7.5" customWidth="1"/>
    <col min="11" max="11" width="7.1640625" customWidth="1"/>
    <col min="12" max="12" width="9.83203125" customWidth="1"/>
    <col min="13" max="13" width="7.6640625" customWidth="1"/>
    <col min="14" max="14" width="8.6640625" customWidth="1"/>
    <col min="15" max="15" width="6.1640625" customWidth="1"/>
    <col min="16" max="16" width="11.1640625" customWidth="1"/>
    <col min="17" max="17" width="8.6640625" customWidth="1"/>
    <col min="18" max="18" width="7.5" customWidth="1"/>
    <col min="19" max="19" width="8.6640625" customWidth="1"/>
    <col min="20" max="20" width="7.1640625" customWidth="1"/>
    <col min="21" max="22" width="8.1640625" customWidth="1"/>
    <col min="23" max="23" width="9.5" customWidth="1"/>
    <col min="24" max="24" width="7.1640625" customWidth="1"/>
    <col min="25" max="25" width="7.6640625" customWidth="1"/>
    <col min="26" max="26" width="7" customWidth="1"/>
    <col min="27" max="27" width="8.1640625" customWidth="1"/>
    <col min="28" max="28" width="9" customWidth="1"/>
    <col min="29" max="29" width="5.33203125" customWidth="1"/>
    <col min="30" max="30" width="8.1640625" customWidth="1"/>
    <col min="31" max="31" width="9.6640625" customWidth="1"/>
  </cols>
  <sheetData>
    <row r="1" spans="1:32" ht="15">
      <c r="A1" s="461" t="s">
        <v>549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  <c r="AC1" s="458"/>
      <c r="AD1" s="458"/>
      <c r="AE1" s="458"/>
      <c r="AF1" s="459"/>
    </row>
    <row r="2" spans="1:32" ht="80">
      <c r="A2" s="95" t="s">
        <v>0</v>
      </c>
      <c r="B2" s="95" t="s">
        <v>1</v>
      </c>
      <c r="C2" s="95" t="s">
        <v>372</v>
      </c>
      <c r="D2" s="95" t="s">
        <v>2</v>
      </c>
      <c r="E2" s="95" t="s">
        <v>413</v>
      </c>
      <c r="F2" s="150" t="s">
        <v>414</v>
      </c>
      <c r="G2" s="150" t="s">
        <v>415</v>
      </c>
      <c r="H2" s="95" t="s">
        <v>416</v>
      </c>
      <c r="I2" s="95" t="s">
        <v>7</v>
      </c>
      <c r="J2" s="95" t="s">
        <v>8</v>
      </c>
      <c r="K2" s="95" t="s">
        <v>287</v>
      </c>
      <c r="L2" s="95" t="s">
        <v>288</v>
      </c>
      <c r="M2" s="95" t="s">
        <v>257</v>
      </c>
      <c r="N2" s="95" t="s">
        <v>373</v>
      </c>
      <c r="O2" s="95" t="s">
        <v>374</v>
      </c>
      <c r="P2" s="150" t="s">
        <v>538</v>
      </c>
      <c r="Q2" s="95" t="s">
        <v>375</v>
      </c>
      <c r="R2" s="95" t="s">
        <v>376</v>
      </c>
      <c r="S2" s="95" t="s">
        <v>522</v>
      </c>
      <c r="T2" s="150" t="s">
        <v>378</v>
      </c>
      <c r="U2" s="150" t="s">
        <v>539</v>
      </c>
      <c r="V2" s="150" t="s">
        <v>379</v>
      </c>
      <c r="W2" s="150" t="s">
        <v>352</v>
      </c>
      <c r="X2" s="150" t="s">
        <v>523</v>
      </c>
      <c r="Y2" s="95" t="s">
        <v>380</v>
      </c>
      <c r="Z2" s="95" t="s">
        <v>381</v>
      </c>
      <c r="AA2" s="95" t="s">
        <v>382</v>
      </c>
      <c r="AB2" s="95" t="s">
        <v>383</v>
      </c>
      <c r="AC2" s="95" t="s">
        <v>385</v>
      </c>
      <c r="AD2" s="150" t="s">
        <v>333</v>
      </c>
      <c r="AE2" s="95" t="s">
        <v>13</v>
      </c>
      <c r="AF2" s="95" t="s">
        <v>98</v>
      </c>
    </row>
    <row r="3" spans="1:32" ht="15">
      <c r="A3" s="198"/>
      <c r="B3" s="208">
        <v>191279</v>
      </c>
      <c r="C3" s="112"/>
      <c r="D3" s="103"/>
      <c r="E3" s="102">
        <f t="shared" ref="E3:E22" si="0">SUM(F3:G3)</f>
        <v>0</v>
      </c>
      <c r="F3" s="117"/>
      <c r="G3" s="231"/>
      <c r="H3" s="128"/>
      <c r="I3" s="146"/>
      <c r="J3" s="128">
        <v>113.95</v>
      </c>
      <c r="K3" s="103"/>
      <c r="L3" s="103"/>
      <c r="M3" s="146"/>
      <c r="N3" s="103">
        <f t="shared" ref="N3:N23" si="1">D3*0.0085</f>
        <v>0</v>
      </c>
      <c r="O3" s="103">
        <v>7</v>
      </c>
      <c r="P3" s="103"/>
      <c r="Q3" s="103">
        <v>841.63</v>
      </c>
      <c r="R3" s="103"/>
      <c r="S3" s="103">
        <v>0</v>
      </c>
      <c r="T3" s="103"/>
      <c r="U3" s="103">
        <v>40</v>
      </c>
      <c r="V3" s="103"/>
      <c r="W3" s="103">
        <f t="shared" ref="W3:W22" si="2">Z3*Y3</f>
        <v>6.8999999999999995</v>
      </c>
      <c r="X3" s="152"/>
      <c r="Y3" s="152">
        <v>7.4999999999999997E-2</v>
      </c>
      <c r="Z3" s="153">
        <v>92</v>
      </c>
      <c r="AA3" s="103">
        <v>135</v>
      </c>
      <c r="AB3" s="103">
        <f t="shared" ref="AB3:AB23" si="3">E3*0.1</f>
        <v>0</v>
      </c>
      <c r="AC3" s="154">
        <v>0.65</v>
      </c>
      <c r="AD3" s="103">
        <v>95</v>
      </c>
      <c r="AE3" s="103">
        <f>D3-I3-J3-N3-O3-Q3-W3-AA3-AB3-AD3-AC3*E3+M3-U3</f>
        <v>-1239.48</v>
      </c>
      <c r="AF3" s="103">
        <f>AC3*E3</f>
        <v>0</v>
      </c>
    </row>
    <row r="4" spans="1:32" ht="15">
      <c r="A4" s="198" t="s">
        <v>540</v>
      </c>
      <c r="B4" s="208">
        <v>465189</v>
      </c>
      <c r="C4" s="112">
        <v>7</v>
      </c>
      <c r="D4" s="103">
        <v>4775</v>
      </c>
      <c r="E4" s="102">
        <f t="shared" si="0"/>
        <v>3173</v>
      </c>
      <c r="F4" s="112">
        <v>3025</v>
      </c>
      <c r="G4" s="112">
        <v>148</v>
      </c>
      <c r="H4" s="128">
        <f>D4/E4</f>
        <v>1.5048849669082887</v>
      </c>
      <c r="I4" s="146">
        <v>2331.61</v>
      </c>
      <c r="J4" s="128">
        <v>27.89</v>
      </c>
      <c r="K4" s="103"/>
      <c r="L4" s="103"/>
      <c r="M4" s="146">
        <v>55.35</v>
      </c>
      <c r="N4" s="103">
        <f t="shared" si="1"/>
        <v>40.587500000000006</v>
      </c>
      <c r="O4" s="103">
        <v>7</v>
      </c>
      <c r="P4" s="103"/>
      <c r="Q4" s="103">
        <v>841.63</v>
      </c>
      <c r="R4" s="103"/>
      <c r="S4" s="103">
        <v>0</v>
      </c>
      <c r="T4" s="103"/>
      <c r="U4" s="103">
        <v>40</v>
      </c>
      <c r="V4" s="103"/>
      <c r="W4" s="103">
        <f t="shared" si="2"/>
        <v>258.52499999999998</v>
      </c>
      <c r="X4" s="152"/>
      <c r="Y4" s="152">
        <v>7.4999999999999997E-2</v>
      </c>
      <c r="Z4" s="153">
        <v>3447</v>
      </c>
      <c r="AA4" s="103">
        <v>135</v>
      </c>
      <c r="AB4" s="103">
        <f t="shared" si="3"/>
        <v>317.3</v>
      </c>
      <c r="AC4" s="213">
        <v>0.27</v>
      </c>
      <c r="AD4" s="103">
        <v>95</v>
      </c>
      <c r="AE4" s="103">
        <f>D4-I4-N4-Q4-U4-W4-AA4-AB4-AD4-AF4-P4</f>
        <v>-573.90250000000037</v>
      </c>
      <c r="AF4" s="103">
        <f t="shared" ref="AF4:AF5" si="4">D4*AC4</f>
        <v>1289.25</v>
      </c>
    </row>
    <row r="5" spans="1:32" ht="15">
      <c r="A5" s="198"/>
      <c r="B5" s="214" t="s">
        <v>507</v>
      </c>
      <c r="C5" s="112"/>
      <c r="D5" s="103"/>
      <c r="E5" s="102">
        <f t="shared" si="0"/>
        <v>0</v>
      </c>
      <c r="F5" s="117"/>
      <c r="G5" s="117"/>
      <c r="H5" s="128"/>
      <c r="I5" s="128"/>
      <c r="J5" s="128"/>
      <c r="K5" s="103"/>
      <c r="L5" s="103"/>
      <c r="M5" s="146"/>
      <c r="N5" s="103">
        <f t="shared" si="1"/>
        <v>0</v>
      </c>
      <c r="O5" s="103">
        <v>7</v>
      </c>
      <c r="P5" s="103">
        <v>600</v>
      </c>
      <c r="Q5" s="103">
        <v>841.63</v>
      </c>
      <c r="R5" s="103"/>
      <c r="S5" s="103">
        <v>0</v>
      </c>
      <c r="T5" s="103"/>
      <c r="U5" s="103">
        <v>40</v>
      </c>
      <c r="V5" s="103"/>
      <c r="W5" s="103">
        <f t="shared" si="2"/>
        <v>0</v>
      </c>
      <c r="X5" s="152"/>
      <c r="Y5" s="152">
        <v>7.4999999999999997E-2</v>
      </c>
      <c r="Z5" s="153"/>
      <c r="AA5" s="103">
        <v>135</v>
      </c>
      <c r="AB5" s="103">
        <f t="shared" si="3"/>
        <v>0</v>
      </c>
      <c r="AC5" s="154"/>
      <c r="AD5" s="103">
        <v>95</v>
      </c>
      <c r="AE5" s="103">
        <f>D5*73%-J5-K5-N5-O5-Q5-W5-AA5-AB5-AF5-U5-P5</f>
        <v>-1623.63</v>
      </c>
      <c r="AF5" s="103">
        <f t="shared" si="4"/>
        <v>0</v>
      </c>
    </row>
    <row r="6" spans="1:32" ht="15">
      <c r="A6" s="187" t="s">
        <v>532</v>
      </c>
      <c r="B6" s="208">
        <v>191280</v>
      </c>
      <c r="C6" s="112">
        <v>1</v>
      </c>
      <c r="D6" s="103">
        <v>850</v>
      </c>
      <c r="E6" s="102">
        <f t="shared" si="0"/>
        <v>468</v>
      </c>
      <c r="F6" s="117">
        <v>445</v>
      </c>
      <c r="G6" s="117">
        <v>23</v>
      </c>
      <c r="H6" s="128">
        <f t="shared" ref="H6:H7" si="5">D6/E6</f>
        <v>1.8162393162393162</v>
      </c>
      <c r="I6" s="128">
        <v>395.18</v>
      </c>
      <c r="J6" s="128">
        <v>32.93</v>
      </c>
      <c r="K6" s="103"/>
      <c r="L6" s="103"/>
      <c r="M6" s="146">
        <v>63.06</v>
      </c>
      <c r="N6" s="103">
        <f t="shared" si="1"/>
        <v>7.2250000000000005</v>
      </c>
      <c r="O6" s="103">
        <v>7</v>
      </c>
      <c r="P6" s="103"/>
      <c r="Q6" s="103">
        <v>841.63</v>
      </c>
      <c r="R6" s="103"/>
      <c r="S6" s="103">
        <v>0</v>
      </c>
      <c r="T6" s="103"/>
      <c r="U6" s="103">
        <v>40</v>
      </c>
      <c r="V6" s="103"/>
      <c r="W6" s="103">
        <f t="shared" si="2"/>
        <v>39</v>
      </c>
      <c r="X6" s="152"/>
      <c r="Y6" s="152">
        <v>7.4999999999999997E-2</v>
      </c>
      <c r="Z6" s="153">
        <v>520</v>
      </c>
      <c r="AA6" s="103">
        <v>135</v>
      </c>
      <c r="AB6" s="103">
        <f t="shared" si="3"/>
        <v>46.800000000000004</v>
      </c>
      <c r="AC6" s="225">
        <v>0.65</v>
      </c>
      <c r="AD6" s="108">
        <v>95</v>
      </c>
      <c r="AE6" s="226">
        <f>D6-I6-J6-N6-O6-Q6-W6-AA6-AB6-AD6-AC6*E6+M6-U6-P6</f>
        <v>-1030.905</v>
      </c>
      <c r="AF6" s="103">
        <f>E6*AC6</f>
        <v>304.2</v>
      </c>
    </row>
    <row r="7" spans="1:32" ht="15">
      <c r="A7" s="184" t="s">
        <v>505</v>
      </c>
      <c r="B7" s="185">
        <v>191274</v>
      </c>
      <c r="C7" s="112">
        <v>7</v>
      </c>
      <c r="D7" s="103">
        <v>5725</v>
      </c>
      <c r="E7" s="102">
        <f t="shared" si="0"/>
        <v>3086</v>
      </c>
      <c r="F7" s="117">
        <v>3055</v>
      </c>
      <c r="G7" s="117">
        <v>31</v>
      </c>
      <c r="H7" s="128">
        <f t="shared" si="5"/>
        <v>1.8551523007128969</v>
      </c>
      <c r="I7" s="128">
        <v>1929.42</v>
      </c>
      <c r="J7" s="128">
        <v>89.88</v>
      </c>
      <c r="K7" s="103"/>
      <c r="L7" s="103"/>
      <c r="M7" s="146">
        <v>353.18</v>
      </c>
      <c r="N7" s="103">
        <f t="shared" si="1"/>
        <v>48.662500000000001</v>
      </c>
      <c r="O7" s="103">
        <v>7</v>
      </c>
      <c r="P7" s="103"/>
      <c r="Q7" s="103">
        <v>841.63</v>
      </c>
      <c r="R7" s="103"/>
      <c r="S7" s="103">
        <v>0</v>
      </c>
      <c r="T7" s="103"/>
      <c r="U7" s="103">
        <v>40</v>
      </c>
      <c r="V7" s="103"/>
      <c r="W7" s="103">
        <f t="shared" si="2"/>
        <v>226.68799999999999</v>
      </c>
      <c r="X7" s="152"/>
      <c r="Y7" s="152">
        <v>7.6999999999999999E-2</v>
      </c>
      <c r="Z7" s="155">
        <v>2944</v>
      </c>
      <c r="AA7" s="103">
        <v>135</v>
      </c>
      <c r="AB7" s="103">
        <f t="shared" si="3"/>
        <v>308.60000000000002</v>
      </c>
      <c r="AC7" s="213">
        <v>0.27</v>
      </c>
      <c r="AD7" s="103">
        <v>95</v>
      </c>
      <c r="AE7" s="103">
        <f>D7-I7-N7-Q7-U7-W7-AA7-AB7-AD7-AF7-K7</f>
        <v>554.2494999999999</v>
      </c>
      <c r="AF7" s="103">
        <f t="shared" ref="AF7:AF10" si="6">D7*AC7</f>
        <v>1545.75</v>
      </c>
    </row>
    <row r="8" spans="1:32" ht="15">
      <c r="A8" s="184"/>
      <c r="B8" s="205">
        <v>191276</v>
      </c>
      <c r="C8" s="112"/>
      <c r="D8" s="103"/>
      <c r="E8" s="102">
        <f t="shared" si="0"/>
        <v>0</v>
      </c>
      <c r="F8" s="103"/>
      <c r="G8" s="102"/>
      <c r="H8" s="128"/>
      <c r="I8" s="128"/>
      <c r="J8" s="128"/>
      <c r="K8" s="103"/>
      <c r="L8" s="103"/>
      <c r="M8" s="146"/>
      <c r="N8" s="103">
        <f t="shared" si="1"/>
        <v>0</v>
      </c>
      <c r="O8" s="103">
        <v>7</v>
      </c>
      <c r="P8" s="103"/>
      <c r="Q8" s="103">
        <v>841.63</v>
      </c>
      <c r="R8" s="103"/>
      <c r="S8" s="103">
        <v>0</v>
      </c>
      <c r="T8" s="103"/>
      <c r="U8" s="103">
        <v>40</v>
      </c>
      <c r="V8" s="103"/>
      <c r="W8" s="103">
        <f t="shared" si="2"/>
        <v>0</v>
      </c>
      <c r="X8" s="152"/>
      <c r="Y8" s="152">
        <v>7.4999999999999997E-2</v>
      </c>
      <c r="Z8" s="153"/>
      <c r="AA8" s="103">
        <v>135</v>
      </c>
      <c r="AB8" s="103">
        <f t="shared" si="3"/>
        <v>0</v>
      </c>
      <c r="AC8" s="213"/>
      <c r="AD8" s="103">
        <v>95</v>
      </c>
      <c r="AE8" s="103">
        <f>D8*73%-J8-K8-N8-O8-Q8-W8-AA8-AB8-AF8+M8-U8</f>
        <v>-1023.63</v>
      </c>
      <c r="AF8" s="103">
        <f t="shared" si="6"/>
        <v>0</v>
      </c>
    </row>
    <row r="9" spans="1:32" ht="15">
      <c r="A9" s="198" t="s">
        <v>488</v>
      </c>
      <c r="B9" s="208">
        <v>191283</v>
      </c>
      <c r="C9" s="112">
        <v>7</v>
      </c>
      <c r="D9" s="103">
        <v>6350</v>
      </c>
      <c r="E9" s="102">
        <f t="shared" si="0"/>
        <v>3393</v>
      </c>
      <c r="F9" s="112">
        <v>3296</v>
      </c>
      <c r="G9" s="112">
        <v>97</v>
      </c>
      <c r="H9" s="128">
        <f>D9/E9</f>
        <v>1.8715001473622164</v>
      </c>
      <c r="I9" s="128">
        <v>1694.94</v>
      </c>
      <c r="J9" s="128">
        <v>177.48</v>
      </c>
      <c r="K9" s="103"/>
      <c r="L9" s="103"/>
      <c r="M9" s="146">
        <v>245.12</v>
      </c>
      <c r="N9" s="103">
        <f t="shared" si="1"/>
        <v>53.975000000000001</v>
      </c>
      <c r="O9" s="103">
        <v>7</v>
      </c>
      <c r="P9" s="103"/>
      <c r="Q9" s="103">
        <v>841.63</v>
      </c>
      <c r="R9" s="103"/>
      <c r="S9" s="103">
        <v>0</v>
      </c>
      <c r="T9" s="103"/>
      <c r="U9" s="103">
        <v>40</v>
      </c>
      <c r="V9" s="103"/>
      <c r="W9" s="103">
        <f t="shared" si="2"/>
        <v>274.72499999999997</v>
      </c>
      <c r="X9" s="152"/>
      <c r="Y9" s="152">
        <v>7.4999999999999997E-2</v>
      </c>
      <c r="Z9" s="153">
        <v>3663</v>
      </c>
      <c r="AA9" s="103">
        <v>135</v>
      </c>
      <c r="AB9" s="103">
        <f t="shared" si="3"/>
        <v>339.3</v>
      </c>
      <c r="AC9" s="213">
        <v>0.27</v>
      </c>
      <c r="AD9" s="103">
        <v>95</v>
      </c>
      <c r="AE9" s="103">
        <f>D9-I9-N9-Q9-U9-W9-AA9-AB9-AD9-AF9</f>
        <v>1160.9299999999989</v>
      </c>
      <c r="AF9" s="103">
        <f t="shared" si="6"/>
        <v>1714.5</v>
      </c>
    </row>
    <row r="10" spans="1:32" ht="15">
      <c r="A10" s="190"/>
      <c r="B10" s="185">
        <v>465183</v>
      </c>
      <c r="C10" s="117"/>
      <c r="D10" s="103"/>
      <c r="E10" s="102">
        <f t="shared" si="0"/>
        <v>0</v>
      </c>
      <c r="F10" s="112"/>
      <c r="G10" s="112"/>
      <c r="H10" s="128"/>
      <c r="I10" s="128"/>
      <c r="J10" s="128"/>
      <c r="K10" s="128"/>
      <c r="L10" s="128"/>
      <c r="M10" s="146"/>
      <c r="N10" s="103">
        <f t="shared" si="1"/>
        <v>0</v>
      </c>
      <c r="O10" s="103">
        <v>7</v>
      </c>
      <c r="P10" s="103">
        <v>88.3</v>
      </c>
      <c r="Q10" s="103">
        <v>841.63</v>
      </c>
      <c r="R10" s="103"/>
      <c r="S10" s="103">
        <v>0</v>
      </c>
      <c r="T10" s="103"/>
      <c r="U10" s="103">
        <v>40</v>
      </c>
      <c r="V10" s="103"/>
      <c r="W10" s="103">
        <f t="shared" si="2"/>
        <v>0.77</v>
      </c>
      <c r="X10" s="152"/>
      <c r="Y10" s="152">
        <v>7.6999999999999999E-2</v>
      </c>
      <c r="Z10" s="153">
        <v>10</v>
      </c>
      <c r="AA10" s="103">
        <v>135</v>
      </c>
      <c r="AB10" s="103">
        <f t="shared" si="3"/>
        <v>0</v>
      </c>
      <c r="AC10" s="213">
        <v>0.27</v>
      </c>
      <c r="AD10" s="103">
        <v>95</v>
      </c>
      <c r="AE10" s="103">
        <f>D10-I10-N10-Q10-U10-W10-AA10-AB10-AD10-AF10-P10</f>
        <v>-1200.7</v>
      </c>
      <c r="AF10" s="103">
        <f t="shared" si="6"/>
        <v>0</v>
      </c>
    </row>
    <row r="11" spans="1:32" ht="15">
      <c r="A11" s="187"/>
      <c r="B11" s="205">
        <v>465185</v>
      </c>
      <c r="C11" s="117"/>
      <c r="D11" s="103"/>
      <c r="E11" s="102">
        <f t="shared" si="0"/>
        <v>0</v>
      </c>
      <c r="F11" s="112"/>
      <c r="G11" s="112"/>
      <c r="H11" s="128"/>
      <c r="I11" s="128"/>
      <c r="J11" s="128"/>
      <c r="K11" s="128"/>
      <c r="L11" s="128"/>
      <c r="M11" s="146"/>
      <c r="N11" s="103">
        <f t="shared" si="1"/>
        <v>0</v>
      </c>
      <c r="O11" s="103">
        <v>7</v>
      </c>
      <c r="P11" s="103"/>
      <c r="Q11" s="103">
        <v>841.63</v>
      </c>
      <c r="R11" s="103"/>
      <c r="S11" s="103">
        <v>0</v>
      </c>
      <c r="T11" s="103"/>
      <c r="U11" s="103">
        <v>40</v>
      </c>
      <c r="V11" s="103"/>
      <c r="W11" s="103">
        <f t="shared" si="2"/>
        <v>0</v>
      </c>
      <c r="X11" s="152"/>
      <c r="Y11" s="152">
        <v>7.6999999999999999E-2</v>
      </c>
      <c r="Z11" s="153"/>
      <c r="AA11" s="103">
        <v>135</v>
      </c>
      <c r="AB11" s="103">
        <f t="shared" si="3"/>
        <v>0</v>
      </c>
      <c r="AC11" s="112"/>
      <c r="AD11" s="103">
        <v>95</v>
      </c>
      <c r="AE11" s="103">
        <f>D11-I11-J11-N11-O11-Q11-W11-AA11-AB11-AD11-AC11*E11+M11-U11</f>
        <v>-1118.6300000000001</v>
      </c>
      <c r="AF11" s="103">
        <f>AC11*E11+K11</f>
        <v>0</v>
      </c>
    </row>
    <row r="12" spans="1:32" ht="15">
      <c r="A12" s="190" t="s">
        <v>519</v>
      </c>
      <c r="B12" s="185">
        <v>465186</v>
      </c>
      <c r="C12" s="112">
        <v>7</v>
      </c>
      <c r="D12" s="103">
        <v>7000</v>
      </c>
      <c r="E12" s="102">
        <f t="shared" si="0"/>
        <v>3332</v>
      </c>
      <c r="F12" s="112">
        <v>3190</v>
      </c>
      <c r="G12" s="112">
        <v>142</v>
      </c>
      <c r="H12" s="128">
        <f>D12/E12</f>
        <v>2.1008403361344539</v>
      </c>
      <c r="I12" s="128">
        <v>2620.61</v>
      </c>
      <c r="J12" s="128">
        <v>50.79</v>
      </c>
      <c r="K12" s="128"/>
      <c r="L12" s="128"/>
      <c r="M12" s="146">
        <v>107.01</v>
      </c>
      <c r="N12" s="103">
        <f t="shared" si="1"/>
        <v>59.500000000000007</v>
      </c>
      <c r="O12" s="103">
        <v>7</v>
      </c>
      <c r="P12" s="103">
        <v>43.86</v>
      </c>
      <c r="Q12" s="103">
        <v>841.63</v>
      </c>
      <c r="R12" s="103"/>
      <c r="S12" s="103">
        <v>0</v>
      </c>
      <c r="T12" s="103"/>
      <c r="U12" s="103">
        <v>40</v>
      </c>
      <c r="V12" s="103"/>
      <c r="W12" s="103">
        <f t="shared" si="2"/>
        <v>264.495</v>
      </c>
      <c r="X12" s="152"/>
      <c r="Y12" s="152">
        <v>7.6999999999999999E-2</v>
      </c>
      <c r="Z12" s="153">
        <v>3435</v>
      </c>
      <c r="AA12" s="103">
        <v>135</v>
      </c>
      <c r="AB12" s="103">
        <f t="shared" si="3"/>
        <v>333.20000000000005</v>
      </c>
      <c r="AC12" s="213">
        <v>0.27</v>
      </c>
      <c r="AD12" s="103">
        <v>95</v>
      </c>
      <c r="AE12" s="103">
        <f>D12-I12-N12-Q12-U12-W12-AA12-AB12-AD12-AF12-P12</f>
        <v>676.70499999999936</v>
      </c>
      <c r="AF12" s="103">
        <f>D12*AC12</f>
        <v>1890.0000000000002</v>
      </c>
    </row>
    <row r="13" spans="1:32" ht="15">
      <c r="A13" s="197"/>
      <c r="B13" s="205">
        <v>465184</v>
      </c>
      <c r="C13" s="112"/>
      <c r="D13" s="103"/>
      <c r="E13" s="102">
        <f t="shared" si="0"/>
        <v>0</v>
      </c>
      <c r="F13" s="103"/>
      <c r="G13" s="102"/>
      <c r="H13" s="128"/>
      <c r="I13" s="128"/>
      <c r="J13" s="128"/>
      <c r="K13" s="103"/>
      <c r="L13" s="103"/>
      <c r="M13" s="146"/>
      <c r="N13" s="103">
        <f t="shared" si="1"/>
        <v>0</v>
      </c>
      <c r="O13" s="103">
        <v>7</v>
      </c>
      <c r="P13" s="103"/>
      <c r="Q13" s="103">
        <v>841.63</v>
      </c>
      <c r="R13" s="103"/>
      <c r="S13" s="103">
        <v>0</v>
      </c>
      <c r="T13" s="103"/>
      <c r="U13" s="103">
        <v>40</v>
      </c>
      <c r="V13" s="103"/>
      <c r="W13" s="103">
        <f t="shared" si="2"/>
        <v>19.05</v>
      </c>
      <c r="X13" s="152"/>
      <c r="Y13" s="152">
        <v>7.4999999999999997E-2</v>
      </c>
      <c r="Z13" s="153">
        <v>254</v>
      </c>
      <c r="AA13" s="103">
        <v>135</v>
      </c>
      <c r="AB13" s="103">
        <f t="shared" si="3"/>
        <v>0</v>
      </c>
      <c r="AC13" s="154"/>
      <c r="AD13" s="103">
        <v>95</v>
      </c>
      <c r="AE13" s="103">
        <f>D13-I15-J15-N13-O13-Q13-W13-AA13-AB13-AD13-AC13*E13+M15-U13</f>
        <v>-2593.87</v>
      </c>
      <c r="AF13" s="103">
        <f t="shared" ref="AF13:AF16" si="7">AC13*E13</f>
        <v>0</v>
      </c>
    </row>
    <row r="14" spans="1:32" ht="15">
      <c r="A14" s="187" t="s">
        <v>439</v>
      </c>
      <c r="B14" s="185">
        <v>465187</v>
      </c>
      <c r="C14" s="117">
        <v>7</v>
      </c>
      <c r="D14" s="103">
        <v>10182</v>
      </c>
      <c r="E14" s="102">
        <f t="shared" si="0"/>
        <v>4986</v>
      </c>
      <c r="F14" s="112">
        <v>4849</v>
      </c>
      <c r="G14" s="112">
        <v>137</v>
      </c>
      <c r="H14" s="128">
        <f t="shared" ref="H14:H17" si="8">D14/E14</f>
        <v>2.0421179302045727</v>
      </c>
      <c r="I14" s="128">
        <v>2803.68</v>
      </c>
      <c r="J14" s="128">
        <v>79.8</v>
      </c>
      <c r="K14" s="128"/>
      <c r="L14" s="128"/>
      <c r="M14" s="146">
        <v>173.99</v>
      </c>
      <c r="N14" s="103">
        <f t="shared" si="1"/>
        <v>86.547000000000011</v>
      </c>
      <c r="O14" s="103">
        <v>7</v>
      </c>
      <c r="P14" s="103"/>
      <c r="Q14" s="103">
        <v>841.63</v>
      </c>
      <c r="R14" s="103"/>
      <c r="S14" s="103">
        <v>0</v>
      </c>
      <c r="T14" s="103"/>
      <c r="U14" s="103">
        <v>40</v>
      </c>
      <c r="V14" s="103"/>
      <c r="W14" s="103">
        <f t="shared" si="2"/>
        <v>391.15999999999997</v>
      </c>
      <c r="X14" s="152"/>
      <c r="Y14" s="152">
        <v>7.6999999999999999E-2</v>
      </c>
      <c r="Z14" s="153">
        <v>5080</v>
      </c>
      <c r="AA14" s="103">
        <v>135</v>
      </c>
      <c r="AB14" s="103">
        <f t="shared" si="3"/>
        <v>498.6</v>
      </c>
      <c r="AC14" s="154">
        <v>0.6</v>
      </c>
      <c r="AD14" s="103">
        <v>95</v>
      </c>
      <c r="AE14" s="103">
        <f t="shared" ref="AE14:AE16" si="9">D14-I14-J14-N14-O14-Q14-W14-AA14-AB14-AD14-AC14*E14+M14-U14</f>
        <v>2385.973</v>
      </c>
      <c r="AF14" s="103">
        <f t="shared" si="7"/>
        <v>2991.6</v>
      </c>
    </row>
    <row r="15" spans="1:32" ht="15">
      <c r="A15" s="187" t="s">
        <v>550</v>
      </c>
      <c r="B15" s="205">
        <v>191281</v>
      </c>
      <c r="C15" s="112">
        <v>7</v>
      </c>
      <c r="D15" s="103">
        <v>4125</v>
      </c>
      <c r="E15" s="102">
        <f t="shared" si="0"/>
        <v>1994</v>
      </c>
      <c r="F15" s="117">
        <v>1812</v>
      </c>
      <c r="G15" s="117">
        <v>182</v>
      </c>
      <c r="H15" s="128">
        <f t="shared" si="8"/>
        <v>2.068706118355065</v>
      </c>
      <c r="I15" s="128">
        <v>1411.06</v>
      </c>
      <c r="J15" s="128">
        <v>91.2</v>
      </c>
      <c r="K15" s="103"/>
      <c r="L15" s="103"/>
      <c r="M15" s="146">
        <v>46.07</v>
      </c>
      <c r="N15" s="103">
        <f t="shared" si="1"/>
        <v>35.0625</v>
      </c>
      <c r="O15" s="103">
        <v>7</v>
      </c>
      <c r="P15" s="103"/>
      <c r="Q15" s="103">
        <v>841.63</v>
      </c>
      <c r="R15" s="103"/>
      <c r="S15" s="103">
        <v>0</v>
      </c>
      <c r="T15" s="103"/>
      <c r="U15" s="103">
        <v>40</v>
      </c>
      <c r="V15" s="103"/>
      <c r="W15" s="103">
        <f t="shared" si="2"/>
        <v>137.4</v>
      </c>
      <c r="X15" s="152"/>
      <c r="Y15" s="152">
        <v>7.4999999999999997E-2</v>
      </c>
      <c r="Z15" s="153">
        <v>1832</v>
      </c>
      <c r="AA15" s="103">
        <v>135</v>
      </c>
      <c r="AB15" s="103">
        <f t="shared" si="3"/>
        <v>199.4</v>
      </c>
      <c r="AC15" s="154">
        <v>0.5</v>
      </c>
      <c r="AD15" s="103">
        <v>95</v>
      </c>
      <c r="AE15" s="103">
        <f t="shared" si="9"/>
        <v>181.31749999999994</v>
      </c>
      <c r="AF15" s="103">
        <f t="shared" si="7"/>
        <v>997</v>
      </c>
    </row>
    <row r="16" spans="1:32" ht="15">
      <c r="A16" s="190" t="s">
        <v>427</v>
      </c>
      <c r="B16" s="185">
        <v>465188</v>
      </c>
      <c r="C16" s="112">
        <v>7</v>
      </c>
      <c r="D16" s="103">
        <v>7800</v>
      </c>
      <c r="E16" s="102">
        <f t="shared" si="0"/>
        <v>3677</v>
      </c>
      <c r="F16" s="117">
        <v>3382</v>
      </c>
      <c r="G16" s="117">
        <v>295</v>
      </c>
      <c r="H16" s="128">
        <f t="shared" si="8"/>
        <v>2.1212945335871636</v>
      </c>
      <c r="I16" s="128">
        <v>1987.58</v>
      </c>
      <c r="J16" s="128">
        <v>6.6</v>
      </c>
      <c r="K16" s="128"/>
      <c r="L16" s="128"/>
      <c r="M16" s="146">
        <v>262.22000000000003</v>
      </c>
      <c r="N16" s="103">
        <f t="shared" si="1"/>
        <v>66.300000000000011</v>
      </c>
      <c r="O16" s="103">
        <v>7</v>
      </c>
      <c r="P16" s="103"/>
      <c r="Q16" s="103">
        <v>841.63</v>
      </c>
      <c r="R16" s="103"/>
      <c r="S16" s="103">
        <v>0</v>
      </c>
      <c r="T16" s="103"/>
      <c r="U16" s="103">
        <v>40</v>
      </c>
      <c r="V16" s="103"/>
      <c r="W16" s="103">
        <f t="shared" si="2"/>
        <v>287.59499999999997</v>
      </c>
      <c r="X16" s="152"/>
      <c r="Y16" s="152">
        <v>7.6999999999999999E-2</v>
      </c>
      <c r="Z16" s="153">
        <v>3735</v>
      </c>
      <c r="AA16" s="103">
        <v>135</v>
      </c>
      <c r="AB16" s="103">
        <f t="shared" si="3"/>
        <v>367.70000000000005</v>
      </c>
      <c r="AC16" s="154">
        <v>0.6</v>
      </c>
      <c r="AD16" s="103">
        <v>95</v>
      </c>
      <c r="AE16" s="103">
        <f t="shared" si="9"/>
        <v>2021.6149999999998</v>
      </c>
      <c r="AF16" s="103">
        <f t="shared" si="7"/>
        <v>2206.1999999999998</v>
      </c>
    </row>
    <row r="17" spans="1:32" ht="15">
      <c r="A17" s="184" t="s">
        <v>541</v>
      </c>
      <c r="B17" s="185">
        <v>191277</v>
      </c>
      <c r="C17" s="112">
        <v>7</v>
      </c>
      <c r="D17" s="103">
        <v>7850</v>
      </c>
      <c r="E17" s="102">
        <f t="shared" si="0"/>
        <v>4141</v>
      </c>
      <c r="F17" s="117">
        <v>3989</v>
      </c>
      <c r="G17" s="117">
        <v>152</v>
      </c>
      <c r="H17" s="128">
        <f t="shared" si="8"/>
        <v>1.8956773726153102</v>
      </c>
      <c r="I17" s="128">
        <v>2511.34</v>
      </c>
      <c r="J17" s="128">
        <v>180.73</v>
      </c>
      <c r="K17" s="103"/>
      <c r="L17" s="103"/>
      <c r="M17" s="146">
        <v>365.23</v>
      </c>
      <c r="N17" s="103">
        <f t="shared" si="1"/>
        <v>66.725000000000009</v>
      </c>
      <c r="O17" s="103">
        <v>7</v>
      </c>
      <c r="P17" s="103"/>
      <c r="Q17" s="103">
        <v>841.63</v>
      </c>
      <c r="R17" s="103"/>
      <c r="S17" s="103">
        <v>0</v>
      </c>
      <c r="T17" s="103"/>
      <c r="U17" s="103">
        <v>40</v>
      </c>
      <c r="V17" s="103"/>
      <c r="W17" s="103">
        <f t="shared" si="2"/>
        <v>312.89999999999998</v>
      </c>
      <c r="X17" s="152"/>
      <c r="Y17" s="152">
        <v>7.4999999999999997E-2</v>
      </c>
      <c r="Z17" s="153">
        <v>4172</v>
      </c>
      <c r="AA17" s="103">
        <v>135</v>
      </c>
      <c r="AB17" s="103">
        <f t="shared" si="3"/>
        <v>414.1</v>
      </c>
      <c r="AC17" s="154">
        <v>0.6</v>
      </c>
      <c r="AD17" s="103">
        <v>95</v>
      </c>
      <c r="AE17" s="103">
        <f>D17-I17-J17-N17-O17-Q17-W17-AA17-AB17-AD17-AC17*E17+M17-U17-P17</f>
        <v>1126.2049999999999</v>
      </c>
      <c r="AF17" s="103">
        <f t="shared" ref="AF17:AF18" si="10">AC17*E17+K17-L17</f>
        <v>2484.6</v>
      </c>
    </row>
    <row r="18" spans="1:32" ht="15">
      <c r="A18" s="190"/>
      <c r="B18" s="205">
        <v>465180</v>
      </c>
      <c r="C18" s="112"/>
      <c r="D18" s="103"/>
      <c r="E18" s="102">
        <f t="shared" si="0"/>
        <v>0</v>
      </c>
      <c r="F18" s="112"/>
      <c r="G18" s="112"/>
      <c r="H18" s="128"/>
      <c r="I18" s="128"/>
      <c r="J18" s="128">
        <v>7.35</v>
      </c>
      <c r="K18" s="103"/>
      <c r="L18" s="103"/>
      <c r="M18" s="146"/>
      <c r="N18" s="103">
        <f t="shared" si="1"/>
        <v>0</v>
      </c>
      <c r="O18" s="103">
        <v>7</v>
      </c>
      <c r="P18" s="103"/>
      <c r="Q18" s="103">
        <v>841.63</v>
      </c>
      <c r="R18" s="103"/>
      <c r="S18" s="103">
        <v>0</v>
      </c>
      <c r="T18" s="103"/>
      <c r="U18" s="103">
        <v>40</v>
      </c>
      <c r="V18" s="103"/>
      <c r="W18" s="103">
        <f t="shared" si="2"/>
        <v>1.8479999999999999</v>
      </c>
      <c r="X18" s="152"/>
      <c r="Y18" s="152">
        <v>7.6999999999999999E-2</v>
      </c>
      <c r="Z18" s="153">
        <v>24</v>
      </c>
      <c r="AA18" s="103">
        <v>135</v>
      </c>
      <c r="AB18" s="103">
        <f t="shared" si="3"/>
        <v>0</v>
      </c>
      <c r="AC18" s="112"/>
      <c r="AD18" s="103">
        <v>95</v>
      </c>
      <c r="AE18" s="103">
        <f>D18-I18-J18-N18-O18-Q18-W18-AA18-AB18-AD18-AC18*E18+M18-U18</f>
        <v>-1127.828</v>
      </c>
      <c r="AF18" s="103">
        <f t="shared" si="10"/>
        <v>0</v>
      </c>
    </row>
    <row r="19" spans="1:32" ht="15">
      <c r="A19" s="190" t="s">
        <v>491</v>
      </c>
      <c r="B19" s="185">
        <v>465181</v>
      </c>
      <c r="C19" s="117"/>
      <c r="D19" s="103">
        <v>9700</v>
      </c>
      <c r="E19" s="102">
        <f t="shared" si="0"/>
        <v>4270</v>
      </c>
      <c r="F19" s="112">
        <v>4008</v>
      </c>
      <c r="G19" s="112">
        <v>262</v>
      </c>
      <c r="H19" s="128">
        <f t="shared" ref="H19:H23" si="11">D19/E19</f>
        <v>2.271662763466042</v>
      </c>
      <c r="I19" s="146">
        <v>2158.5300000000002</v>
      </c>
      <c r="J19" s="128">
        <v>416.09</v>
      </c>
      <c r="K19" s="128"/>
      <c r="L19" s="128">
        <v>85</v>
      </c>
      <c r="M19" s="146">
        <v>247.36</v>
      </c>
      <c r="N19" s="103">
        <f t="shared" si="1"/>
        <v>82.45</v>
      </c>
      <c r="O19" s="103">
        <v>7</v>
      </c>
      <c r="P19" s="103"/>
      <c r="Q19" s="103">
        <v>841.63</v>
      </c>
      <c r="R19" s="103"/>
      <c r="S19" s="103">
        <v>0</v>
      </c>
      <c r="T19" s="103"/>
      <c r="U19" s="103">
        <v>40</v>
      </c>
      <c r="V19" s="103"/>
      <c r="W19" s="103">
        <f t="shared" si="2"/>
        <v>306.30599999999998</v>
      </c>
      <c r="X19" s="152"/>
      <c r="Y19" s="152">
        <v>7.6999999999999999E-2</v>
      </c>
      <c r="Z19" s="153">
        <v>3978</v>
      </c>
      <c r="AA19" s="103">
        <v>135</v>
      </c>
      <c r="AB19" s="103">
        <f t="shared" si="3"/>
        <v>427</v>
      </c>
      <c r="AC19" s="154">
        <v>0.6</v>
      </c>
      <c r="AD19" s="103">
        <v>95</v>
      </c>
      <c r="AE19" s="103">
        <f>D19-I19-J19-N19-O19-Q19-W19-AA19-AB19-AD19-AC19*E19+M19-U19-P19-K19</f>
        <v>2876.3539999999998</v>
      </c>
      <c r="AF19" s="103">
        <f>AC19*E19+K19+L19</f>
        <v>2647</v>
      </c>
    </row>
    <row r="20" spans="1:32" ht="15">
      <c r="A20" s="215" t="s">
        <v>429</v>
      </c>
      <c r="B20" s="216">
        <v>191275</v>
      </c>
      <c r="C20" s="217">
        <v>7</v>
      </c>
      <c r="D20" s="218">
        <v>6400</v>
      </c>
      <c r="E20" s="219">
        <f t="shared" si="0"/>
        <v>3278</v>
      </c>
      <c r="F20" s="217">
        <v>3122</v>
      </c>
      <c r="G20" s="217">
        <v>156</v>
      </c>
      <c r="H20" s="128">
        <f t="shared" si="11"/>
        <v>1.9524100061012812</v>
      </c>
      <c r="I20" s="220">
        <v>1559.58</v>
      </c>
      <c r="J20" s="221"/>
      <c r="K20" s="221"/>
      <c r="L20" s="221"/>
      <c r="M20" s="220">
        <v>3.5</v>
      </c>
      <c r="N20" s="218">
        <f t="shared" si="1"/>
        <v>54.400000000000006</v>
      </c>
      <c r="O20" s="218">
        <v>7</v>
      </c>
      <c r="P20" s="218"/>
      <c r="Q20" s="218">
        <v>841.63</v>
      </c>
      <c r="R20" s="218">
        <v>50</v>
      </c>
      <c r="S20" s="218">
        <v>1200</v>
      </c>
      <c r="T20" s="218">
        <v>30</v>
      </c>
      <c r="U20" s="218">
        <v>40</v>
      </c>
      <c r="V20" s="218">
        <v>300</v>
      </c>
      <c r="W20" s="218">
        <f t="shared" si="2"/>
        <v>250.42499999999998</v>
      </c>
      <c r="X20" s="218">
        <f t="shared" ref="X20:X22" si="12">0.15*Z20</f>
        <v>500.84999999999997</v>
      </c>
      <c r="Y20" s="222">
        <v>7.4999999999999997E-2</v>
      </c>
      <c r="Z20" s="219" t="s">
        <v>551</v>
      </c>
      <c r="AA20" s="218">
        <v>135</v>
      </c>
      <c r="AB20" s="218">
        <f t="shared" si="3"/>
        <v>327.8</v>
      </c>
      <c r="AC20" s="223">
        <v>0.87</v>
      </c>
      <c r="AD20" s="218">
        <v>95</v>
      </c>
      <c r="AE20" s="103">
        <f t="shared" ref="AE20:AE21" si="13">D20*13%+R20+T20+S20+V20-Q20-W20-AA20-AD20+X20-N20+M20-U20</f>
        <v>1499.8949999999998</v>
      </c>
      <c r="AF20" s="103">
        <f t="shared" ref="AF20:AF21" si="14">D20*AC20-I20-J20-S20-R20-T20-V20-X20</f>
        <v>1927.5700000000002</v>
      </c>
    </row>
    <row r="21" spans="1:32" ht="15">
      <c r="A21" s="229" t="s">
        <v>435</v>
      </c>
      <c r="B21" s="216">
        <v>191282</v>
      </c>
      <c r="C21" s="217">
        <v>4</v>
      </c>
      <c r="D21" s="218">
        <v>2200</v>
      </c>
      <c r="E21" s="219">
        <f t="shared" si="0"/>
        <v>1629</v>
      </c>
      <c r="F21" s="217">
        <v>1521</v>
      </c>
      <c r="G21" s="217">
        <v>108</v>
      </c>
      <c r="H21" s="128">
        <f t="shared" si="11"/>
        <v>1.3505217925107429</v>
      </c>
      <c r="I21" s="220">
        <v>1080.77</v>
      </c>
      <c r="J21" s="221">
        <v>162.04</v>
      </c>
      <c r="K21" s="221"/>
      <c r="L21" s="221"/>
      <c r="M21" s="220">
        <v>27.81</v>
      </c>
      <c r="N21" s="218">
        <f t="shared" si="1"/>
        <v>18.700000000000003</v>
      </c>
      <c r="O21" s="218">
        <v>7</v>
      </c>
      <c r="P21" s="218"/>
      <c r="Q21" s="218">
        <v>841.63</v>
      </c>
      <c r="R21" s="218">
        <v>50</v>
      </c>
      <c r="S21" s="218">
        <v>1200</v>
      </c>
      <c r="T21" s="218">
        <v>30</v>
      </c>
      <c r="U21" s="218">
        <v>40</v>
      </c>
      <c r="V21" s="218">
        <v>300</v>
      </c>
      <c r="W21" s="218">
        <f t="shared" si="2"/>
        <v>216.601</v>
      </c>
      <c r="X21" s="218">
        <f t="shared" si="12"/>
        <v>421.95</v>
      </c>
      <c r="Y21" s="222">
        <v>7.6999999999999999E-2</v>
      </c>
      <c r="Z21" s="219" t="s">
        <v>552</v>
      </c>
      <c r="AA21" s="218">
        <v>135</v>
      </c>
      <c r="AB21" s="218">
        <f t="shared" si="3"/>
        <v>162.9</v>
      </c>
      <c r="AC21" s="223">
        <v>0.87</v>
      </c>
      <c r="AD21" s="218">
        <v>95</v>
      </c>
      <c r="AE21" s="103">
        <f t="shared" si="13"/>
        <v>968.82899999999972</v>
      </c>
      <c r="AF21" s="103">
        <f t="shared" si="14"/>
        <v>-1330.76</v>
      </c>
    </row>
    <row r="22" spans="1:32" ht="15">
      <c r="A22" s="215" t="s">
        <v>526</v>
      </c>
      <c r="B22" s="216">
        <v>465182</v>
      </c>
      <c r="C22" s="217">
        <v>2</v>
      </c>
      <c r="D22" s="218">
        <v>1800</v>
      </c>
      <c r="E22" s="219">
        <f t="shared" si="0"/>
        <v>1157</v>
      </c>
      <c r="F22" s="217">
        <v>1132</v>
      </c>
      <c r="G22" s="217">
        <v>25</v>
      </c>
      <c r="H22" s="128">
        <f t="shared" si="11"/>
        <v>1.5557476231633536</v>
      </c>
      <c r="I22" s="220">
        <v>748.62</v>
      </c>
      <c r="J22" s="221">
        <v>21.68</v>
      </c>
      <c r="K22" s="221"/>
      <c r="L22" s="221"/>
      <c r="M22" s="220">
        <v>132.07</v>
      </c>
      <c r="N22" s="218">
        <f t="shared" si="1"/>
        <v>15.3</v>
      </c>
      <c r="O22" s="218">
        <v>7</v>
      </c>
      <c r="P22" s="218"/>
      <c r="Q22" s="218">
        <v>841.63</v>
      </c>
      <c r="R22" s="218">
        <v>50</v>
      </c>
      <c r="S22" s="218">
        <v>1200</v>
      </c>
      <c r="T22" s="218">
        <v>30</v>
      </c>
      <c r="U22" s="218">
        <v>40</v>
      </c>
      <c r="V22" s="218">
        <v>300</v>
      </c>
      <c r="W22" s="218">
        <f t="shared" si="2"/>
        <v>74.536000000000001</v>
      </c>
      <c r="X22" s="218">
        <f t="shared" si="12"/>
        <v>145.19999999999999</v>
      </c>
      <c r="Y22" s="222">
        <v>7.6999999999999999E-2</v>
      </c>
      <c r="Z22" s="219" t="s">
        <v>553</v>
      </c>
      <c r="AA22" s="218">
        <v>135</v>
      </c>
      <c r="AB22" s="218">
        <f t="shared" si="3"/>
        <v>115.7</v>
      </c>
      <c r="AC22" s="223">
        <v>0.87</v>
      </c>
      <c r="AD22" s="218">
        <v>95</v>
      </c>
      <c r="AE22" s="103">
        <f>D22*13%+R22+T22+S22+V22-Q22-W22-AA22-AD22+X22-N22+M22-U22-P22</f>
        <v>889.80400000000009</v>
      </c>
      <c r="AF22" s="103">
        <f>D22*AC22-I22-J22-S22-R22-T22-V22-X22-P22</f>
        <v>-929.5</v>
      </c>
    </row>
    <row r="23" spans="1:32" ht="15">
      <c r="A23" s="134" t="s">
        <v>462</v>
      </c>
      <c r="B23" s="135" t="s">
        <v>399</v>
      </c>
      <c r="C23" s="158">
        <v>7</v>
      </c>
      <c r="D23" s="139">
        <v>7300</v>
      </c>
      <c r="E23" s="136">
        <v>3888</v>
      </c>
      <c r="F23" s="136"/>
      <c r="G23" s="136"/>
      <c r="H23" s="128">
        <f t="shared" si="11"/>
        <v>1.8775720164609053</v>
      </c>
      <c r="I23" s="139">
        <v>2296.66</v>
      </c>
      <c r="J23" s="139">
        <v>276.24</v>
      </c>
      <c r="K23" s="139"/>
      <c r="L23" s="139"/>
      <c r="M23" s="139">
        <v>288.35000000000002</v>
      </c>
      <c r="N23" s="139">
        <f t="shared" si="1"/>
        <v>62.050000000000004</v>
      </c>
      <c r="O23" s="139">
        <v>0</v>
      </c>
      <c r="P23" s="139"/>
      <c r="Q23" s="139">
        <v>0</v>
      </c>
      <c r="R23" s="139">
        <v>0</v>
      </c>
      <c r="S23" s="139">
        <v>0</v>
      </c>
      <c r="T23" s="139">
        <v>0</v>
      </c>
      <c r="U23" s="139">
        <v>40</v>
      </c>
      <c r="V23" s="139">
        <v>0</v>
      </c>
      <c r="W23" s="139">
        <v>0</v>
      </c>
      <c r="X23" s="159"/>
      <c r="Y23" s="159">
        <v>0</v>
      </c>
      <c r="Z23" s="136">
        <v>3888</v>
      </c>
      <c r="AA23" s="139">
        <v>0</v>
      </c>
      <c r="AB23" s="139">
        <f t="shared" si="3"/>
        <v>388.8</v>
      </c>
      <c r="AC23" s="160">
        <v>0.85</v>
      </c>
      <c r="AD23" s="139">
        <v>95</v>
      </c>
      <c r="AE23" s="139">
        <f>D23*0.15-AB23-N23+M23-U23</f>
        <v>892.50000000000011</v>
      </c>
      <c r="AF23" s="139">
        <f>D23*0.85-I23-J23+M23</f>
        <v>3920.4500000000003</v>
      </c>
    </row>
    <row r="24" spans="1:32" ht="15">
      <c r="A24" s="199" t="s">
        <v>528</v>
      </c>
      <c r="B24" s="230" t="s">
        <v>362</v>
      </c>
      <c r="C24" s="158"/>
      <c r="D24" s="139"/>
      <c r="E24" s="136"/>
      <c r="F24" s="136"/>
      <c r="G24" s="136"/>
      <c r="H24" s="136"/>
      <c r="I24" s="139"/>
      <c r="J24" s="139">
        <v>640.47</v>
      </c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>
        <v>40</v>
      </c>
      <c r="V24" s="139"/>
      <c r="W24" s="139"/>
      <c r="X24" s="159"/>
      <c r="Y24" s="159"/>
      <c r="Z24" s="136"/>
      <c r="AA24" s="139"/>
      <c r="AB24" s="139"/>
      <c r="AC24" s="160"/>
      <c r="AD24" s="139"/>
      <c r="AE24" s="139"/>
      <c r="AF24" s="139">
        <f>D24-J24</f>
        <v>-640.47</v>
      </c>
    </row>
    <row r="25" spans="1:32" ht="15">
      <c r="A25" s="134" t="s">
        <v>529</v>
      </c>
      <c r="B25" s="134">
        <v>1118</v>
      </c>
      <c r="C25" s="158">
        <v>7</v>
      </c>
      <c r="D25" s="139">
        <v>5100</v>
      </c>
      <c r="E25" s="136">
        <v>2749</v>
      </c>
      <c r="F25" s="136"/>
      <c r="G25" s="136"/>
      <c r="H25" s="128">
        <f t="shared" ref="H25:H27" si="15">D25/E25</f>
        <v>1.8552200800291014</v>
      </c>
      <c r="I25" s="139">
        <v>1280</v>
      </c>
      <c r="J25" s="139">
        <v>36.99</v>
      </c>
      <c r="K25" s="139"/>
      <c r="L25" s="139"/>
      <c r="M25" s="139">
        <v>0</v>
      </c>
      <c r="N25" s="139">
        <f t="shared" ref="N25:N26" si="16">D25*0.0085</f>
        <v>43.35</v>
      </c>
      <c r="O25" s="139">
        <v>0</v>
      </c>
      <c r="P25" s="139"/>
      <c r="Q25" s="139">
        <v>0</v>
      </c>
      <c r="R25" s="139">
        <v>0</v>
      </c>
      <c r="S25" s="139">
        <v>0</v>
      </c>
      <c r="T25" s="139">
        <v>0</v>
      </c>
      <c r="U25" s="139">
        <v>40</v>
      </c>
      <c r="V25" s="139">
        <v>0</v>
      </c>
      <c r="W25" s="139">
        <v>0</v>
      </c>
      <c r="X25" s="159"/>
      <c r="Y25" s="159">
        <v>0</v>
      </c>
      <c r="Z25" s="136">
        <v>2749</v>
      </c>
      <c r="AA25" s="139">
        <v>0</v>
      </c>
      <c r="AB25" s="139">
        <f t="shared" ref="AB25:AB27" si="17">E25*0.1</f>
        <v>274.90000000000003</v>
      </c>
      <c r="AC25" s="160">
        <v>0.8</v>
      </c>
      <c r="AD25" s="139">
        <v>95</v>
      </c>
      <c r="AE25" s="139">
        <f>D25*0.2-AB25-N25-K25-AD25-U25</f>
        <v>566.74999999999989</v>
      </c>
      <c r="AF25" s="139">
        <f>D25*AC25-I25-J25+K25</f>
        <v>2763.01</v>
      </c>
    </row>
    <row r="26" spans="1:32" ht="15">
      <c r="A26" s="134" t="s">
        <v>467</v>
      </c>
      <c r="B26" s="134">
        <v>1122</v>
      </c>
      <c r="C26" s="158">
        <v>7</v>
      </c>
      <c r="D26" s="139">
        <v>4700</v>
      </c>
      <c r="E26" s="136">
        <v>1892</v>
      </c>
      <c r="F26" s="136"/>
      <c r="G26" s="136"/>
      <c r="H26" s="128">
        <f t="shared" si="15"/>
        <v>2.4841437632135306</v>
      </c>
      <c r="I26" s="168">
        <v>1530.82</v>
      </c>
      <c r="J26" s="139">
        <v>117.67</v>
      </c>
      <c r="K26" s="139"/>
      <c r="L26" s="139"/>
      <c r="M26" s="139">
        <v>0</v>
      </c>
      <c r="N26" s="139">
        <f t="shared" si="16"/>
        <v>39.950000000000003</v>
      </c>
      <c r="O26" s="139">
        <v>7</v>
      </c>
      <c r="P26" s="139"/>
      <c r="Q26" s="139">
        <v>0</v>
      </c>
      <c r="R26" s="139">
        <v>50</v>
      </c>
      <c r="S26" s="139">
        <v>199</v>
      </c>
      <c r="T26" s="139">
        <v>30</v>
      </c>
      <c r="U26" s="139">
        <v>40</v>
      </c>
      <c r="V26" s="139">
        <v>300</v>
      </c>
      <c r="W26" s="139">
        <v>0</v>
      </c>
      <c r="X26" s="159"/>
      <c r="Y26" s="159">
        <v>0</v>
      </c>
      <c r="Z26" s="136">
        <v>1892</v>
      </c>
      <c r="AA26" s="139">
        <v>0</v>
      </c>
      <c r="AB26" s="139">
        <f t="shared" si="17"/>
        <v>189.20000000000002</v>
      </c>
      <c r="AC26" s="160">
        <v>0.87</v>
      </c>
      <c r="AD26" s="139">
        <v>95</v>
      </c>
      <c r="AE26" s="139">
        <f>D26*0.13-AD26-AB26+V26+T26+S26+R26-N26+M26-U26</f>
        <v>825.84999999999991</v>
      </c>
      <c r="AF26" s="139">
        <f>D26*AC26-I26-J26-V26-T26-S26-R26</f>
        <v>1861.5100000000002</v>
      </c>
    </row>
    <row r="27" spans="1:32" ht="15">
      <c r="A27" s="134" t="s">
        <v>520</v>
      </c>
      <c r="B27" s="134">
        <v>1650</v>
      </c>
      <c r="C27" s="158">
        <v>4</v>
      </c>
      <c r="D27" s="139">
        <v>6550</v>
      </c>
      <c r="E27" s="136">
        <v>2486</v>
      </c>
      <c r="F27" s="136"/>
      <c r="G27" s="136"/>
      <c r="H27" s="128">
        <f t="shared" si="15"/>
        <v>2.6347546259050683</v>
      </c>
      <c r="I27" s="139">
        <v>1959.38</v>
      </c>
      <c r="J27" s="139"/>
      <c r="K27" s="139">
        <v>337.5</v>
      </c>
      <c r="L27" s="139"/>
      <c r="M27" s="139">
        <v>108.37</v>
      </c>
      <c r="N27" s="139"/>
      <c r="O27" s="139"/>
      <c r="P27" s="139"/>
      <c r="Q27" s="139">
        <v>0</v>
      </c>
      <c r="R27" s="139">
        <v>50</v>
      </c>
      <c r="S27" s="139">
        <v>0</v>
      </c>
      <c r="T27" s="139">
        <v>30</v>
      </c>
      <c r="U27" s="139">
        <v>40</v>
      </c>
      <c r="V27" s="139">
        <v>300</v>
      </c>
      <c r="W27" s="139">
        <v>0</v>
      </c>
      <c r="X27" s="159"/>
      <c r="Y27" s="159">
        <v>0</v>
      </c>
      <c r="Z27" s="136">
        <v>2486</v>
      </c>
      <c r="AA27" s="139">
        <v>0</v>
      </c>
      <c r="AB27" s="139">
        <f t="shared" si="17"/>
        <v>248.60000000000002</v>
      </c>
      <c r="AC27" s="160">
        <v>0.87</v>
      </c>
      <c r="AD27" s="139">
        <v>95</v>
      </c>
      <c r="AE27" s="139">
        <f>D27*0.13+V27+T27+S27+R27-AB27-N27+M27-U27</f>
        <v>1051.27</v>
      </c>
      <c r="AF27" s="139">
        <f>D27*0.87-I27-J27-R27-S27-T27-V27+K27</f>
        <v>3696.62</v>
      </c>
    </row>
    <row r="28" spans="1:32" ht="15">
      <c r="A28" s="72" t="s">
        <v>89</v>
      </c>
      <c r="B28" s="72">
        <v>18</v>
      </c>
      <c r="C28" s="202">
        <f>AVERAGE(C3:C19)</f>
        <v>6.333333333333333</v>
      </c>
      <c r="D28" s="201">
        <f t="shared" ref="D28:G28" si="18">SUM(D3:D27)</f>
        <v>98407</v>
      </c>
      <c r="E28" s="201">
        <f t="shared" si="18"/>
        <v>49599</v>
      </c>
      <c r="F28" s="201">
        <f t="shared" si="18"/>
        <v>36826</v>
      </c>
      <c r="G28" s="201">
        <f t="shared" si="18"/>
        <v>1758</v>
      </c>
      <c r="H28" s="201">
        <f>AVERAGE(H3:H27)</f>
        <v>1.9563791584099595</v>
      </c>
      <c r="I28" s="201">
        <f t="shared" ref="I28:AB28" si="19">SUM(I3:I27)</f>
        <v>30299.78</v>
      </c>
      <c r="J28" s="201">
        <f t="shared" si="19"/>
        <v>2529.7799999999997</v>
      </c>
      <c r="K28" s="201">
        <f t="shared" si="19"/>
        <v>337.5</v>
      </c>
      <c r="L28" s="201">
        <f t="shared" si="19"/>
        <v>85</v>
      </c>
      <c r="M28" s="201">
        <f t="shared" si="19"/>
        <v>2478.69</v>
      </c>
      <c r="N28" s="201">
        <f t="shared" si="19"/>
        <v>780.78450000000009</v>
      </c>
      <c r="O28" s="201">
        <f t="shared" si="19"/>
        <v>147</v>
      </c>
      <c r="P28" s="201">
        <f t="shared" si="19"/>
        <v>732.16</v>
      </c>
      <c r="Q28" s="201">
        <f t="shared" si="19"/>
        <v>16832.599999999991</v>
      </c>
      <c r="R28" s="201">
        <f t="shared" si="19"/>
        <v>250</v>
      </c>
      <c r="S28" s="201">
        <f t="shared" si="19"/>
        <v>3799</v>
      </c>
      <c r="T28" s="201">
        <f t="shared" si="19"/>
        <v>150</v>
      </c>
      <c r="U28" s="201">
        <f t="shared" si="19"/>
        <v>1000</v>
      </c>
      <c r="V28" s="201">
        <f t="shared" si="19"/>
        <v>1500</v>
      </c>
      <c r="W28" s="201">
        <f t="shared" si="19"/>
        <v>3068.9240000000004</v>
      </c>
      <c r="X28" s="201">
        <f t="shared" si="19"/>
        <v>1068</v>
      </c>
      <c r="Y28" s="201">
        <f t="shared" si="19"/>
        <v>1.5199999999999996</v>
      </c>
      <c r="Z28" s="201">
        <f t="shared" si="19"/>
        <v>44201</v>
      </c>
      <c r="AA28" s="201">
        <f t="shared" si="19"/>
        <v>2700</v>
      </c>
      <c r="AB28" s="201">
        <f t="shared" si="19"/>
        <v>4959.9000000000005</v>
      </c>
      <c r="AC28" s="201"/>
      <c r="AD28" s="201">
        <f t="shared" ref="AD28:AF28" si="20">SUM(AD3:AD27)</f>
        <v>2280</v>
      </c>
      <c r="AE28" s="201">
        <f t="shared" si="20"/>
        <v>6145.6714999999967</v>
      </c>
      <c r="AF28" s="201">
        <f t="shared" si="20"/>
        <v>29338.530000000002</v>
      </c>
    </row>
    <row r="30" spans="1:32" ht="15">
      <c r="A30" s="461" t="s">
        <v>554</v>
      </c>
      <c r="B30" s="458"/>
      <c r="C30" s="458"/>
      <c r="D30" s="458"/>
      <c r="E30" s="458"/>
      <c r="F30" s="458"/>
      <c r="G30" s="458"/>
      <c r="H30" s="458"/>
      <c r="I30" s="458"/>
      <c r="J30" s="458"/>
      <c r="K30" s="458"/>
      <c r="L30" s="458"/>
      <c r="M30" s="458"/>
      <c r="N30" s="458"/>
      <c r="O30" s="458"/>
      <c r="P30" s="458"/>
      <c r="Q30" s="458"/>
      <c r="R30" s="458"/>
      <c r="S30" s="458"/>
      <c r="T30" s="458"/>
      <c r="U30" s="458"/>
      <c r="V30" s="458"/>
      <c r="W30" s="458"/>
      <c r="X30" s="458"/>
      <c r="Y30" s="458"/>
      <c r="Z30" s="458"/>
      <c r="AA30" s="458"/>
      <c r="AB30" s="458"/>
      <c r="AC30" s="458"/>
      <c r="AD30" s="458"/>
      <c r="AE30" s="458"/>
      <c r="AF30" s="459"/>
    </row>
    <row r="31" spans="1:32" ht="80">
      <c r="A31" s="95" t="s">
        <v>0</v>
      </c>
      <c r="B31" s="95" t="s">
        <v>1</v>
      </c>
      <c r="C31" s="95" t="s">
        <v>372</v>
      </c>
      <c r="D31" s="95" t="s">
        <v>2</v>
      </c>
      <c r="E31" s="95" t="s">
        <v>413</v>
      </c>
      <c r="F31" s="150" t="s">
        <v>414</v>
      </c>
      <c r="G31" s="150" t="s">
        <v>415</v>
      </c>
      <c r="H31" s="95" t="s">
        <v>416</v>
      </c>
      <c r="I31" s="95" t="s">
        <v>7</v>
      </c>
      <c r="J31" s="95" t="s">
        <v>8</v>
      </c>
      <c r="K31" s="95" t="s">
        <v>287</v>
      </c>
      <c r="L31" s="95" t="s">
        <v>288</v>
      </c>
      <c r="M31" s="95" t="s">
        <v>257</v>
      </c>
      <c r="N31" s="95" t="s">
        <v>373</v>
      </c>
      <c r="O31" s="95" t="s">
        <v>374</v>
      </c>
      <c r="P31" s="150" t="s">
        <v>538</v>
      </c>
      <c r="Q31" s="95" t="s">
        <v>375</v>
      </c>
      <c r="R31" s="95" t="s">
        <v>376</v>
      </c>
      <c r="S31" s="95" t="s">
        <v>522</v>
      </c>
      <c r="T31" s="150" t="s">
        <v>378</v>
      </c>
      <c r="U31" s="150" t="s">
        <v>539</v>
      </c>
      <c r="V31" s="150" t="s">
        <v>379</v>
      </c>
      <c r="W31" s="150" t="s">
        <v>352</v>
      </c>
      <c r="X31" s="150" t="s">
        <v>523</v>
      </c>
      <c r="Y31" s="95" t="s">
        <v>380</v>
      </c>
      <c r="Z31" s="95" t="s">
        <v>381</v>
      </c>
      <c r="AA31" s="95" t="s">
        <v>382</v>
      </c>
      <c r="AB31" s="95" t="s">
        <v>383</v>
      </c>
      <c r="AC31" s="95" t="s">
        <v>385</v>
      </c>
      <c r="AD31" s="150" t="s">
        <v>333</v>
      </c>
      <c r="AE31" s="95" t="s">
        <v>13</v>
      </c>
      <c r="AF31" s="95" t="s">
        <v>98</v>
      </c>
    </row>
    <row r="32" spans="1:32" ht="15">
      <c r="A32" s="198" t="s">
        <v>344</v>
      </c>
      <c r="B32" s="208">
        <v>191279</v>
      </c>
      <c r="C32" s="112"/>
      <c r="D32" s="103"/>
      <c r="E32" s="102">
        <f t="shared" ref="E32:E52" si="21">F32+G32</f>
        <v>0</v>
      </c>
      <c r="F32" s="117"/>
      <c r="G32" s="231"/>
      <c r="H32" s="128"/>
      <c r="I32" s="146">
        <v>171.99</v>
      </c>
      <c r="J32" s="128">
        <v>11.45</v>
      </c>
      <c r="K32" s="103"/>
      <c r="L32" s="103"/>
      <c r="M32" s="146">
        <v>2.0099999999999998</v>
      </c>
      <c r="N32" s="103">
        <f t="shared" ref="N32:N36" si="22">D32*0.0085</f>
        <v>0</v>
      </c>
      <c r="O32" s="103">
        <v>7</v>
      </c>
      <c r="P32" s="103"/>
      <c r="Q32" s="103">
        <v>841.63</v>
      </c>
      <c r="R32" s="103"/>
      <c r="S32" s="103">
        <v>0</v>
      </c>
      <c r="T32" s="103"/>
      <c r="U32" s="103">
        <v>40</v>
      </c>
      <c r="V32" s="103"/>
      <c r="W32" s="103">
        <f t="shared" ref="W32:W36" si="23">Z32*Y32</f>
        <v>1.7999999999999998</v>
      </c>
      <c r="X32" s="152"/>
      <c r="Y32" s="152">
        <v>7.4999999999999997E-2</v>
      </c>
      <c r="Z32" s="153">
        <v>24</v>
      </c>
      <c r="AA32" s="103">
        <v>135</v>
      </c>
      <c r="AB32" s="103">
        <f t="shared" ref="AB32:AB36" si="24">E32*0.1</f>
        <v>0</v>
      </c>
      <c r="AC32" s="154">
        <v>0.65</v>
      </c>
      <c r="AD32" s="103">
        <v>95</v>
      </c>
      <c r="AE32" s="103">
        <f>D32-I32-J32-N32-O32-Q32-W32-AA32-AB32-AD32-AC32*E32+M32-U32</f>
        <v>-1301.8599999999999</v>
      </c>
      <c r="AF32" s="103">
        <f>AC32*E32</f>
        <v>0</v>
      </c>
    </row>
    <row r="33" spans="1:32" ht="15">
      <c r="A33" s="198" t="s">
        <v>540</v>
      </c>
      <c r="B33" s="208">
        <v>465189</v>
      </c>
      <c r="C33" s="112">
        <v>7</v>
      </c>
      <c r="D33" s="103">
        <v>5799</v>
      </c>
      <c r="E33" s="102">
        <f t="shared" si="21"/>
        <v>3240</v>
      </c>
      <c r="F33" s="112">
        <v>3045</v>
      </c>
      <c r="G33" s="112">
        <v>195</v>
      </c>
      <c r="H33" s="128">
        <f>D33/E33</f>
        <v>1.7898148148148147</v>
      </c>
      <c r="I33" s="146">
        <v>2468.11</v>
      </c>
      <c r="J33" s="128"/>
      <c r="K33" s="103"/>
      <c r="L33" s="103"/>
      <c r="M33" s="146">
        <v>48.64</v>
      </c>
      <c r="N33" s="103">
        <f t="shared" si="22"/>
        <v>49.291500000000006</v>
      </c>
      <c r="O33" s="103">
        <v>7</v>
      </c>
      <c r="P33" s="103"/>
      <c r="Q33" s="103">
        <v>841.63</v>
      </c>
      <c r="R33" s="103"/>
      <c r="S33" s="103">
        <v>0</v>
      </c>
      <c r="T33" s="103"/>
      <c r="U33" s="103">
        <v>40</v>
      </c>
      <c r="V33" s="103"/>
      <c r="W33" s="103">
        <f t="shared" si="23"/>
        <v>270.59999999999997</v>
      </c>
      <c r="X33" s="152"/>
      <c r="Y33" s="152">
        <v>7.4999999999999997E-2</v>
      </c>
      <c r="Z33" s="153">
        <v>3608</v>
      </c>
      <c r="AA33" s="103">
        <v>135</v>
      </c>
      <c r="AB33" s="103">
        <f t="shared" si="24"/>
        <v>324</v>
      </c>
      <c r="AC33" s="213">
        <v>0.27</v>
      </c>
      <c r="AD33" s="103">
        <v>95</v>
      </c>
      <c r="AE33" s="103">
        <f>D33-I33-N33-Q33-U33-W33-AA33-AB33-AD33-AF33-P33</f>
        <v>9.6385000000000218</v>
      </c>
      <c r="AF33" s="103">
        <f t="shared" ref="AF33:AF34" si="25">D33*AC33</f>
        <v>1565.73</v>
      </c>
    </row>
    <row r="34" spans="1:32" ht="15">
      <c r="A34" s="198"/>
      <c r="B34" s="214" t="s">
        <v>507</v>
      </c>
      <c r="C34" s="112"/>
      <c r="D34" s="103"/>
      <c r="E34" s="102">
        <f t="shared" si="21"/>
        <v>0</v>
      </c>
      <c r="F34" s="117"/>
      <c r="G34" s="117"/>
      <c r="H34" s="128"/>
      <c r="I34" s="128"/>
      <c r="J34" s="128"/>
      <c r="K34" s="103"/>
      <c r="L34" s="103"/>
      <c r="M34" s="146"/>
      <c r="N34" s="103">
        <f t="shared" si="22"/>
        <v>0</v>
      </c>
      <c r="O34" s="103">
        <v>7</v>
      </c>
      <c r="P34" s="103">
        <v>320</v>
      </c>
      <c r="Q34" s="103">
        <v>841.63</v>
      </c>
      <c r="R34" s="103"/>
      <c r="S34" s="103">
        <v>0</v>
      </c>
      <c r="T34" s="103"/>
      <c r="U34" s="103">
        <v>40</v>
      </c>
      <c r="V34" s="103"/>
      <c r="W34" s="103">
        <f t="shared" si="23"/>
        <v>0</v>
      </c>
      <c r="X34" s="152"/>
      <c r="Y34" s="152">
        <v>7.4999999999999997E-2</v>
      </c>
      <c r="Z34" s="153"/>
      <c r="AA34" s="103">
        <v>135</v>
      </c>
      <c r="AB34" s="103">
        <f t="shared" si="24"/>
        <v>0</v>
      </c>
      <c r="AC34" s="154"/>
      <c r="AD34" s="103">
        <v>95</v>
      </c>
      <c r="AE34" s="103">
        <f>D34*73%-J34-K34-N34-O34-Q34-W34-AA34-AB34-AF34-U34-P34</f>
        <v>-1343.63</v>
      </c>
      <c r="AF34" s="103">
        <f t="shared" si="25"/>
        <v>0</v>
      </c>
    </row>
    <row r="35" spans="1:32" ht="15">
      <c r="A35" s="187" t="s">
        <v>532</v>
      </c>
      <c r="B35" s="208">
        <v>191280</v>
      </c>
      <c r="C35" s="112">
        <v>7</v>
      </c>
      <c r="D35" s="103">
        <v>7250</v>
      </c>
      <c r="E35" s="102">
        <f t="shared" si="21"/>
        <v>3717</v>
      </c>
      <c r="F35" s="117">
        <v>3497</v>
      </c>
      <c r="G35" s="117">
        <v>220</v>
      </c>
      <c r="H35" s="128">
        <f t="shared" ref="H35:H36" si="26">D35/E35</f>
        <v>1.9504977132095775</v>
      </c>
      <c r="I35" s="128">
        <v>2065.65</v>
      </c>
      <c r="J35" s="128">
        <f>93.23+12.5</f>
        <v>105.73</v>
      </c>
      <c r="K35" s="103"/>
      <c r="L35" s="103"/>
      <c r="M35" s="146">
        <v>318.32</v>
      </c>
      <c r="N35" s="103">
        <f t="shared" si="22"/>
        <v>61.625000000000007</v>
      </c>
      <c r="O35" s="103">
        <v>7</v>
      </c>
      <c r="P35" s="103">
        <v>66.84</v>
      </c>
      <c r="Q35" s="103">
        <v>841.63</v>
      </c>
      <c r="R35" s="103"/>
      <c r="S35" s="103">
        <v>0</v>
      </c>
      <c r="T35" s="103"/>
      <c r="U35" s="103">
        <v>40</v>
      </c>
      <c r="V35" s="103"/>
      <c r="W35" s="103">
        <f t="shared" si="23"/>
        <v>285.75</v>
      </c>
      <c r="X35" s="152"/>
      <c r="Y35" s="152">
        <v>7.4999999999999997E-2</v>
      </c>
      <c r="Z35" s="153">
        <v>3810</v>
      </c>
      <c r="AA35" s="103">
        <v>135</v>
      </c>
      <c r="AB35" s="103">
        <f t="shared" si="24"/>
        <v>371.70000000000005</v>
      </c>
      <c r="AC35" s="225">
        <v>0.65</v>
      </c>
      <c r="AD35" s="108">
        <v>95</v>
      </c>
      <c r="AE35" s="226">
        <f>D35-I35-J35-N35-O35-Q35-W35-AA35-AB35-AD35-AC35*E35+M35-U35-P35</f>
        <v>1076.3450000000007</v>
      </c>
      <c r="AF35" s="103">
        <f>E35*AC35</f>
        <v>2416.0500000000002</v>
      </c>
    </row>
    <row r="36" spans="1:32" ht="15">
      <c r="A36" s="184" t="s">
        <v>505</v>
      </c>
      <c r="B36" s="185">
        <v>191274</v>
      </c>
      <c r="C36" s="112">
        <v>7</v>
      </c>
      <c r="D36" s="103">
        <v>7600</v>
      </c>
      <c r="E36" s="102">
        <f t="shared" si="21"/>
        <v>3421</v>
      </c>
      <c r="F36" s="117">
        <v>3318</v>
      </c>
      <c r="G36" s="117">
        <v>103</v>
      </c>
      <c r="H36" s="128">
        <f t="shared" si="26"/>
        <v>2.2215726395790703</v>
      </c>
      <c r="I36" s="128">
        <v>1910.16</v>
      </c>
      <c r="J36" s="128">
        <f>18.05+5.5</f>
        <v>23.55</v>
      </c>
      <c r="K36" s="103"/>
      <c r="L36" s="103"/>
      <c r="M36" s="146">
        <v>209.45</v>
      </c>
      <c r="N36" s="103">
        <f t="shared" si="22"/>
        <v>64.600000000000009</v>
      </c>
      <c r="O36" s="103">
        <v>7</v>
      </c>
      <c r="P36" s="103"/>
      <c r="Q36" s="103">
        <v>841.63</v>
      </c>
      <c r="R36" s="103"/>
      <c r="S36" s="103">
        <v>0</v>
      </c>
      <c r="T36" s="103"/>
      <c r="U36" s="103">
        <v>40</v>
      </c>
      <c r="V36" s="103"/>
      <c r="W36" s="103">
        <f t="shared" si="23"/>
        <v>269.346</v>
      </c>
      <c r="X36" s="152"/>
      <c r="Y36" s="152">
        <v>7.6999999999999999E-2</v>
      </c>
      <c r="Z36" s="155">
        <v>3498</v>
      </c>
      <c r="AA36" s="103">
        <v>135</v>
      </c>
      <c r="AB36" s="103">
        <f t="shared" si="24"/>
        <v>342.1</v>
      </c>
      <c r="AC36" s="213">
        <v>0.27</v>
      </c>
      <c r="AD36" s="103">
        <v>95</v>
      </c>
      <c r="AE36" s="103">
        <f>D36-I36-N36-Q36-U36-W36-AA36-AB36-AD36-AF36-K36</f>
        <v>1850.1639999999993</v>
      </c>
      <c r="AF36" s="103">
        <f>D36*AC36</f>
        <v>2052</v>
      </c>
    </row>
    <row r="37" spans="1:32" ht="15">
      <c r="A37" s="184"/>
      <c r="B37" s="205">
        <v>191281</v>
      </c>
      <c r="C37" s="112"/>
      <c r="D37" s="103"/>
      <c r="E37" s="102">
        <f t="shared" si="21"/>
        <v>0</v>
      </c>
      <c r="F37" s="117"/>
      <c r="G37" s="117"/>
      <c r="H37" s="128"/>
      <c r="I37" s="128"/>
      <c r="J37" s="128">
        <f>11.98+69.1</f>
        <v>81.08</v>
      </c>
      <c r="K37" s="103"/>
      <c r="L37" s="103"/>
      <c r="M37" s="146"/>
      <c r="N37" s="103"/>
      <c r="O37" s="103">
        <v>7</v>
      </c>
      <c r="P37" s="103">
        <v>1570</v>
      </c>
      <c r="Q37" s="103">
        <v>841.63</v>
      </c>
      <c r="R37" s="103"/>
      <c r="S37" s="103">
        <v>0</v>
      </c>
      <c r="T37" s="103"/>
      <c r="U37" s="103">
        <v>40</v>
      </c>
      <c r="V37" s="103"/>
      <c r="W37" s="103"/>
      <c r="X37" s="152"/>
      <c r="Y37" s="152"/>
      <c r="Z37" s="155">
        <v>3806</v>
      </c>
      <c r="AA37" s="103">
        <v>135</v>
      </c>
      <c r="AB37" s="103"/>
      <c r="AC37" s="213"/>
      <c r="AD37" s="103"/>
      <c r="AE37" s="226">
        <f>D37-I37-J37-N37-O37-Q37-W37-AA37-AB37-AD37-AC37*E37+M37-U37-P37</f>
        <v>-2674.71</v>
      </c>
      <c r="AF37" s="103"/>
    </row>
    <row r="38" spans="1:32" ht="15">
      <c r="A38" s="184"/>
      <c r="B38" s="205">
        <v>191276</v>
      </c>
      <c r="C38" s="112"/>
      <c r="D38" s="103"/>
      <c r="E38" s="102">
        <f t="shared" si="21"/>
        <v>0</v>
      </c>
      <c r="F38" s="103"/>
      <c r="G38" s="102"/>
      <c r="H38" s="128"/>
      <c r="I38" s="128"/>
      <c r="J38" s="128"/>
      <c r="K38" s="103"/>
      <c r="L38" s="103"/>
      <c r="M38" s="146"/>
      <c r="N38" s="103">
        <f t="shared" ref="N38:N53" si="27">D38*0.0085</f>
        <v>0</v>
      </c>
      <c r="O38" s="103">
        <v>7</v>
      </c>
      <c r="P38" s="103"/>
      <c r="Q38" s="103">
        <v>841.63</v>
      </c>
      <c r="R38" s="103"/>
      <c r="S38" s="103">
        <v>0</v>
      </c>
      <c r="T38" s="103"/>
      <c r="U38" s="103">
        <v>40</v>
      </c>
      <c r="V38" s="103"/>
      <c r="W38" s="103">
        <f t="shared" ref="W38:W52" si="28">Z38*Y38</f>
        <v>0</v>
      </c>
      <c r="X38" s="152"/>
      <c r="Y38" s="152">
        <v>7.4999999999999997E-2</v>
      </c>
      <c r="Z38" s="153"/>
      <c r="AA38" s="103">
        <v>135</v>
      </c>
      <c r="AB38" s="103">
        <f t="shared" ref="AB38:AB53" si="29">E38*0.1</f>
        <v>0</v>
      </c>
      <c r="AC38" s="213"/>
      <c r="AD38" s="103">
        <v>95</v>
      </c>
      <c r="AE38" s="103">
        <f>D38*73%-J38-K38-N38-O38-Q38-W38-AA38-AB38-AF38+M38-U38</f>
        <v>-1023.63</v>
      </c>
      <c r="AF38" s="103">
        <f t="shared" ref="AF38:AF40" si="30">D38*AC38</f>
        <v>0</v>
      </c>
    </row>
    <row r="39" spans="1:32" ht="15">
      <c r="A39" s="198" t="s">
        <v>488</v>
      </c>
      <c r="B39" s="208">
        <v>191283</v>
      </c>
      <c r="C39" s="112">
        <v>7</v>
      </c>
      <c r="D39" s="103">
        <v>7470</v>
      </c>
      <c r="E39" s="102">
        <f t="shared" si="21"/>
        <v>3942</v>
      </c>
      <c r="F39" s="112">
        <v>3808</v>
      </c>
      <c r="G39" s="112">
        <v>134</v>
      </c>
      <c r="H39" s="128">
        <f>D39/E39</f>
        <v>1.8949771689497716</v>
      </c>
      <c r="I39" s="128">
        <v>2737.46</v>
      </c>
      <c r="J39" s="128">
        <f>36.2+ 24.66</f>
        <v>60.86</v>
      </c>
      <c r="K39" s="103"/>
      <c r="L39" s="103"/>
      <c r="M39" s="146">
        <v>561.20000000000005</v>
      </c>
      <c r="N39" s="103">
        <f t="shared" si="27"/>
        <v>63.495000000000005</v>
      </c>
      <c r="O39" s="103">
        <v>7</v>
      </c>
      <c r="P39" s="103"/>
      <c r="Q39" s="103">
        <v>841.63</v>
      </c>
      <c r="R39" s="103"/>
      <c r="S39" s="103">
        <v>0</v>
      </c>
      <c r="T39" s="103"/>
      <c r="U39" s="103">
        <v>40</v>
      </c>
      <c r="V39" s="103"/>
      <c r="W39" s="103">
        <f t="shared" si="28"/>
        <v>310.5</v>
      </c>
      <c r="X39" s="152"/>
      <c r="Y39" s="152">
        <v>7.4999999999999997E-2</v>
      </c>
      <c r="Z39" s="153">
        <v>4140</v>
      </c>
      <c r="AA39" s="103">
        <v>135</v>
      </c>
      <c r="AB39" s="103">
        <f t="shared" si="29"/>
        <v>394.20000000000005</v>
      </c>
      <c r="AC39" s="213">
        <v>0.27</v>
      </c>
      <c r="AD39" s="103">
        <v>95</v>
      </c>
      <c r="AE39" s="103">
        <f>D39-I39-N39-Q39-U39-W39-AA39-AB39-AD39-AF39</f>
        <v>835.81500000000005</v>
      </c>
      <c r="AF39" s="103">
        <f t="shared" si="30"/>
        <v>2016.9</v>
      </c>
    </row>
    <row r="40" spans="1:32" ht="15">
      <c r="A40" s="190"/>
      <c r="B40" s="205">
        <v>465183</v>
      </c>
      <c r="C40" s="117"/>
      <c r="D40" s="103"/>
      <c r="E40" s="102">
        <f t="shared" si="21"/>
        <v>0</v>
      </c>
      <c r="F40" s="112"/>
      <c r="G40" s="112"/>
      <c r="H40" s="128"/>
      <c r="I40" s="128"/>
      <c r="J40" s="128">
        <v>14.55</v>
      </c>
      <c r="K40" s="128"/>
      <c r="L40" s="128"/>
      <c r="M40" s="146"/>
      <c r="N40" s="103">
        <f t="shared" si="27"/>
        <v>0</v>
      </c>
      <c r="O40" s="103">
        <v>7</v>
      </c>
      <c r="P40" s="103"/>
      <c r="Q40" s="103">
        <v>841.63</v>
      </c>
      <c r="R40" s="103"/>
      <c r="S40" s="103">
        <v>0</v>
      </c>
      <c r="T40" s="103"/>
      <c r="U40" s="103">
        <v>40</v>
      </c>
      <c r="V40" s="103"/>
      <c r="W40" s="103">
        <f t="shared" si="28"/>
        <v>3.3109999999999999</v>
      </c>
      <c r="X40" s="152"/>
      <c r="Y40" s="152">
        <v>7.6999999999999999E-2</v>
      </c>
      <c r="Z40" s="153">
        <v>43</v>
      </c>
      <c r="AA40" s="103">
        <v>135</v>
      </c>
      <c r="AB40" s="103">
        <f t="shared" si="29"/>
        <v>0</v>
      </c>
      <c r="AC40" s="213">
        <v>0.27</v>
      </c>
      <c r="AD40" s="103">
        <v>95</v>
      </c>
      <c r="AE40" s="103">
        <f>D40-I40-N40-Q40-U40-W40-AA40-AB40-AD40-AF40-P40</f>
        <v>-1114.941</v>
      </c>
      <c r="AF40" s="103">
        <f t="shared" si="30"/>
        <v>0</v>
      </c>
    </row>
    <row r="41" spans="1:32" ht="15">
      <c r="A41" s="187"/>
      <c r="B41" s="205">
        <v>465185</v>
      </c>
      <c r="C41" s="117"/>
      <c r="D41" s="103"/>
      <c r="E41" s="102">
        <f t="shared" si="21"/>
        <v>0</v>
      </c>
      <c r="F41" s="112"/>
      <c r="G41" s="112"/>
      <c r="H41" s="128"/>
      <c r="I41" s="128"/>
      <c r="J41" s="128">
        <v>7.2</v>
      </c>
      <c r="K41" s="128"/>
      <c r="L41" s="128"/>
      <c r="M41" s="146"/>
      <c r="N41" s="103">
        <f t="shared" si="27"/>
        <v>0</v>
      </c>
      <c r="O41" s="103">
        <v>7</v>
      </c>
      <c r="P41" s="103"/>
      <c r="Q41" s="103">
        <v>841.63</v>
      </c>
      <c r="R41" s="103"/>
      <c r="S41" s="103">
        <v>0</v>
      </c>
      <c r="T41" s="103"/>
      <c r="U41" s="103">
        <v>40</v>
      </c>
      <c r="V41" s="103"/>
      <c r="W41" s="103">
        <f t="shared" si="28"/>
        <v>2.0790000000000002</v>
      </c>
      <c r="X41" s="152"/>
      <c r="Y41" s="152">
        <v>7.6999999999999999E-2</v>
      </c>
      <c r="Z41" s="153">
        <v>27</v>
      </c>
      <c r="AA41" s="103">
        <v>135</v>
      </c>
      <c r="AB41" s="103">
        <f t="shared" si="29"/>
        <v>0</v>
      </c>
      <c r="AC41" s="112"/>
      <c r="AD41" s="103">
        <v>95</v>
      </c>
      <c r="AE41" s="103">
        <f>D41-I41-J41-N41-O41-Q41-W41-AA41-AB41-AD41-AC41*E41+M41-U41</f>
        <v>-1127.9090000000001</v>
      </c>
      <c r="AF41" s="103">
        <f>AC41*E41+K41</f>
        <v>0</v>
      </c>
    </row>
    <row r="42" spans="1:32" ht="15">
      <c r="A42" s="190" t="s">
        <v>519</v>
      </c>
      <c r="B42" s="185">
        <v>465186</v>
      </c>
      <c r="C42" s="112">
        <v>7</v>
      </c>
      <c r="D42" s="103">
        <v>7762</v>
      </c>
      <c r="E42" s="102">
        <f t="shared" si="21"/>
        <v>3626</v>
      </c>
      <c r="F42" s="112">
        <v>3570</v>
      </c>
      <c r="G42" s="112">
        <v>56</v>
      </c>
      <c r="H42" s="128">
        <f t="shared" ref="H42:H49" si="31">D42/E42</f>
        <v>2.140650854936569</v>
      </c>
      <c r="I42" s="128">
        <v>2310.61</v>
      </c>
      <c r="J42" s="128">
        <v>168.37</v>
      </c>
      <c r="K42" s="128"/>
      <c r="L42" s="128"/>
      <c r="M42" s="146">
        <v>53.99</v>
      </c>
      <c r="N42" s="103">
        <f t="shared" si="27"/>
        <v>65.977000000000004</v>
      </c>
      <c r="O42" s="103">
        <v>7</v>
      </c>
      <c r="P42" s="103">
        <v>110.82</v>
      </c>
      <c r="Q42" s="103">
        <v>841.63</v>
      </c>
      <c r="R42" s="103"/>
      <c r="S42" s="103">
        <v>0</v>
      </c>
      <c r="T42" s="103"/>
      <c r="U42" s="103">
        <v>40</v>
      </c>
      <c r="V42" s="103"/>
      <c r="W42" s="103">
        <f t="shared" si="28"/>
        <v>297.60500000000002</v>
      </c>
      <c r="X42" s="152"/>
      <c r="Y42" s="152">
        <v>7.6999999999999999E-2</v>
      </c>
      <c r="Z42" s="153">
        <v>3865</v>
      </c>
      <c r="AA42" s="103">
        <v>135</v>
      </c>
      <c r="AB42" s="103">
        <f t="shared" si="29"/>
        <v>362.6</v>
      </c>
      <c r="AC42" s="213">
        <v>0.27</v>
      </c>
      <c r="AD42" s="103">
        <v>95</v>
      </c>
      <c r="AE42" s="103">
        <f>D42-I42-N42-Q42-U42-W42-AA42-AB42-AD42-AF42-P42</f>
        <v>1407.0179999999998</v>
      </c>
      <c r="AF42" s="103">
        <f>D42*AC42</f>
        <v>2095.7400000000002</v>
      </c>
    </row>
    <row r="43" spans="1:32" ht="15">
      <c r="A43" s="187" t="s">
        <v>439</v>
      </c>
      <c r="B43" s="185">
        <v>465187</v>
      </c>
      <c r="C43" s="117">
        <v>7</v>
      </c>
      <c r="D43" s="103">
        <v>8250</v>
      </c>
      <c r="E43" s="102">
        <f t="shared" si="21"/>
        <v>4163</v>
      </c>
      <c r="F43" s="112">
        <v>3977</v>
      </c>
      <c r="G43" s="112">
        <v>186</v>
      </c>
      <c r="H43" s="128">
        <f t="shared" si="31"/>
        <v>1.981743934662503</v>
      </c>
      <c r="I43" s="128">
        <v>2124.5500000000002</v>
      </c>
      <c r="J43" s="128">
        <v>28.26</v>
      </c>
      <c r="K43" s="128"/>
      <c r="L43" s="128"/>
      <c r="M43" s="146">
        <v>155.68</v>
      </c>
      <c r="N43" s="103">
        <f t="shared" si="27"/>
        <v>70.125</v>
      </c>
      <c r="O43" s="103">
        <v>7</v>
      </c>
      <c r="P43" s="103">
        <v>152.82</v>
      </c>
      <c r="Q43" s="103">
        <v>841.63</v>
      </c>
      <c r="R43" s="103"/>
      <c r="S43" s="103">
        <v>0</v>
      </c>
      <c r="T43" s="103"/>
      <c r="U43" s="103">
        <v>40</v>
      </c>
      <c r="V43" s="103"/>
      <c r="W43" s="103">
        <f t="shared" si="28"/>
        <v>316.93200000000002</v>
      </c>
      <c r="X43" s="152"/>
      <c r="Y43" s="152">
        <v>7.6999999999999999E-2</v>
      </c>
      <c r="Z43" s="153">
        <v>4116</v>
      </c>
      <c r="AA43" s="103">
        <v>135</v>
      </c>
      <c r="AB43" s="103">
        <f t="shared" si="29"/>
        <v>416.3</v>
      </c>
      <c r="AC43" s="154">
        <v>0.6</v>
      </c>
      <c r="AD43" s="103">
        <v>95</v>
      </c>
      <c r="AE43" s="103">
        <f>D43-I43-J43-N43-O43-Q43-W43-AA43-AB43-AD43-AC43*E43+M43-U43-P43</f>
        <v>1680.2629999999999</v>
      </c>
      <c r="AF43" s="103">
        <f t="shared" ref="AF43:AF45" si="32">AC43*E43</f>
        <v>2497.7999999999997</v>
      </c>
    </row>
    <row r="44" spans="1:32" ht="15">
      <c r="A44" s="187" t="s">
        <v>550</v>
      </c>
      <c r="B44" s="208">
        <v>191281</v>
      </c>
      <c r="C44" s="112">
        <v>7</v>
      </c>
      <c r="D44" s="103">
        <v>6900</v>
      </c>
      <c r="E44" s="102">
        <f t="shared" si="21"/>
        <v>3667</v>
      </c>
      <c r="F44" s="117">
        <v>3285</v>
      </c>
      <c r="G44" s="117">
        <v>382</v>
      </c>
      <c r="H44" s="128">
        <f t="shared" si="31"/>
        <v>1.8816471229888192</v>
      </c>
      <c r="I44" s="128">
        <v>2108.02</v>
      </c>
      <c r="J44" s="128"/>
      <c r="K44" s="103"/>
      <c r="L44" s="103"/>
      <c r="M44" s="146">
        <v>88.04</v>
      </c>
      <c r="N44" s="103">
        <f t="shared" si="27"/>
        <v>58.650000000000006</v>
      </c>
      <c r="O44" s="103">
        <v>7</v>
      </c>
      <c r="P44" s="103"/>
      <c r="Q44" s="103">
        <v>841.63</v>
      </c>
      <c r="R44" s="103"/>
      <c r="S44" s="103">
        <v>0</v>
      </c>
      <c r="T44" s="103"/>
      <c r="U44" s="103">
        <v>40</v>
      </c>
      <c r="V44" s="103"/>
      <c r="W44" s="103">
        <f t="shared" si="28"/>
        <v>0</v>
      </c>
      <c r="X44" s="152"/>
      <c r="Y44" s="152">
        <v>7.4999999999999997E-2</v>
      </c>
      <c r="Z44" s="153"/>
      <c r="AA44" s="103">
        <v>135</v>
      </c>
      <c r="AB44" s="103">
        <f t="shared" si="29"/>
        <v>366.70000000000005</v>
      </c>
      <c r="AC44" s="154">
        <v>0.5</v>
      </c>
      <c r="AD44" s="103">
        <v>95</v>
      </c>
      <c r="AE44" s="103">
        <f t="shared" ref="AE44:AE45" si="33">D44-I44-J44-N44-O44-Q44-W44-AA44-AB44-AD44-AC44*E44+M44-U44</f>
        <v>1502.54</v>
      </c>
      <c r="AF44" s="103">
        <f t="shared" si="32"/>
        <v>1833.5</v>
      </c>
    </row>
    <row r="45" spans="1:32" ht="15">
      <c r="A45" s="190" t="s">
        <v>427</v>
      </c>
      <c r="B45" s="185">
        <v>465188</v>
      </c>
      <c r="C45" s="112">
        <v>7</v>
      </c>
      <c r="D45" s="103">
        <v>6808</v>
      </c>
      <c r="E45" s="102">
        <f t="shared" si="21"/>
        <v>3931</v>
      </c>
      <c r="F45" s="117">
        <v>3584</v>
      </c>
      <c r="G45" s="117">
        <v>347</v>
      </c>
      <c r="H45" s="128">
        <f t="shared" si="31"/>
        <v>1.7318748410073772</v>
      </c>
      <c r="I45" s="128">
        <v>2131.5500000000002</v>
      </c>
      <c r="J45" s="128">
        <v>185.51</v>
      </c>
      <c r="K45" s="128"/>
      <c r="L45" s="128"/>
      <c r="M45" s="146">
        <v>300.01</v>
      </c>
      <c r="N45" s="103">
        <f t="shared" si="27"/>
        <v>57.868000000000002</v>
      </c>
      <c r="O45" s="103">
        <v>7</v>
      </c>
      <c r="P45" s="103"/>
      <c r="Q45" s="103">
        <v>841.63</v>
      </c>
      <c r="R45" s="103"/>
      <c r="S45" s="103">
        <v>0</v>
      </c>
      <c r="T45" s="103"/>
      <c r="U45" s="103">
        <v>40</v>
      </c>
      <c r="V45" s="103"/>
      <c r="W45" s="103">
        <f t="shared" si="28"/>
        <v>306.92199999999997</v>
      </c>
      <c r="X45" s="152"/>
      <c r="Y45" s="152">
        <v>7.6999999999999999E-2</v>
      </c>
      <c r="Z45" s="153">
        <v>3986</v>
      </c>
      <c r="AA45" s="103">
        <v>135</v>
      </c>
      <c r="AB45" s="103">
        <f t="shared" si="29"/>
        <v>393.1</v>
      </c>
      <c r="AC45" s="154">
        <v>0.6</v>
      </c>
      <c r="AD45" s="103">
        <v>95</v>
      </c>
      <c r="AE45" s="103">
        <f t="shared" si="33"/>
        <v>555.82999999999925</v>
      </c>
      <c r="AF45" s="103">
        <f t="shared" si="32"/>
        <v>2358.6</v>
      </c>
    </row>
    <row r="46" spans="1:32" ht="15">
      <c r="A46" s="184" t="s">
        <v>541</v>
      </c>
      <c r="B46" s="185">
        <v>191277</v>
      </c>
      <c r="C46" s="112">
        <v>5</v>
      </c>
      <c r="D46" s="103">
        <v>5400</v>
      </c>
      <c r="E46" s="102">
        <f t="shared" si="21"/>
        <v>2751</v>
      </c>
      <c r="F46" s="117">
        <v>2676</v>
      </c>
      <c r="G46" s="117">
        <v>75</v>
      </c>
      <c r="H46" s="128">
        <f t="shared" si="31"/>
        <v>1.9629225736095965</v>
      </c>
      <c r="I46" s="128">
        <v>1264.8</v>
      </c>
      <c r="J46" s="128">
        <f>13.92+158.38</f>
        <v>172.29999999999998</v>
      </c>
      <c r="K46" s="103"/>
      <c r="L46" s="103"/>
      <c r="M46" s="146">
        <v>154.58000000000001</v>
      </c>
      <c r="N46" s="103">
        <f t="shared" si="27"/>
        <v>45.900000000000006</v>
      </c>
      <c r="O46" s="103">
        <v>7</v>
      </c>
      <c r="P46" s="103">
        <v>91.3</v>
      </c>
      <c r="Q46" s="103">
        <v>841.63</v>
      </c>
      <c r="R46" s="103"/>
      <c r="S46" s="103">
        <v>0</v>
      </c>
      <c r="T46" s="103"/>
      <c r="U46" s="103">
        <v>40</v>
      </c>
      <c r="V46" s="103"/>
      <c r="W46" s="103">
        <f t="shared" si="28"/>
        <v>213.375</v>
      </c>
      <c r="X46" s="152"/>
      <c r="Y46" s="152">
        <v>7.4999999999999997E-2</v>
      </c>
      <c r="Z46" s="153">
        <v>2845</v>
      </c>
      <c r="AA46" s="103">
        <v>135</v>
      </c>
      <c r="AB46" s="103">
        <f t="shared" si="29"/>
        <v>275.10000000000002</v>
      </c>
      <c r="AC46" s="154">
        <v>0.6</v>
      </c>
      <c r="AD46" s="103">
        <v>95</v>
      </c>
      <c r="AE46" s="103">
        <f>D46-I46-J46-N46-O46-Q46-W46-AA46-AB46-AD46-AC46*E46+M46-U46-P46</f>
        <v>722.5749999999997</v>
      </c>
      <c r="AF46" s="103">
        <f>AC46*E46+K46-L46</f>
        <v>1650.6</v>
      </c>
    </row>
    <row r="47" spans="1:32" ht="15">
      <c r="A47" s="190" t="s">
        <v>555</v>
      </c>
      <c r="B47" s="208">
        <v>465180</v>
      </c>
      <c r="C47" s="112">
        <v>5</v>
      </c>
      <c r="D47" s="103">
        <v>3700</v>
      </c>
      <c r="E47" s="102">
        <f t="shared" si="21"/>
        <v>1971</v>
      </c>
      <c r="F47" s="112">
        <v>1775</v>
      </c>
      <c r="G47" s="112">
        <v>196</v>
      </c>
      <c r="H47" s="128">
        <f t="shared" si="31"/>
        <v>1.8772196854388634</v>
      </c>
      <c r="I47" s="128">
        <v>1333.52</v>
      </c>
      <c r="J47" s="128">
        <f>84+55.7</f>
        <v>139.69999999999999</v>
      </c>
      <c r="K47" s="103"/>
      <c r="L47" s="103"/>
      <c r="M47" s="146">
        <v>35.19</v>
      </c>
      <c r="N47" s="103">
        <f t="shared" si="27"/>
        <v>31.450000000000003</v>
      </c>
      <c r="O47" s="103">
        <v>7</v>
      </c>
      <c r="P47" s="103"/>
      <c r="Q47" s="103">
        <v>841.63</v>
      </c>
      <c r="R47" s="103"/>
      <c r="S47" s="103">
        <v>0</v>
      </c>
      <c r="T47" s="103"/>
      <c r="U47" s="103">
        <v>40</v>
      </c>
      <c r="V47" s="103"/>
      <c r="W47" s="103">
        <f t="shared" si="28"/>
        <v>164.16399999999999</v>
      </c>
      <c r="X47" s="152"/>
      <c r="Y47" s="152">
        <v>7.6999999999999999E-2</v>
      </c>
      <c r="Z47" s="153">
        <v>2132</v>
      </c>
      <c r="AA47" s="103">
        <v>135</v>
      </c>
      <c r="AB47" s="103">
        <f t="shared" si="29"/>
        <v>197.10000000000002</v>
      </c>
      <c r="AC47" s="213">
        <v>0.25</v>
      </c>
      <c r="AD47" s="103">
        <v>95</v>
      </c>
      <c r="AE47" s="103">
        <f>D47-I47-N47-Q47-U47-W47-AA47-AB47-AD47-AF47-P47</f>
        <v>-62.863999999999919</v>
      </c>
      <c r="AF47" s="103">
        <f>D47*AC47</f>
        <v>925</v>
      </c>
    </row>
    <row r="48" spans="1:32" ht="15">
      <c r="A48" s="190" t="s">
        <v>491</v>
      </c>
      <c r="B48" s="185">
        <v>465181</v>
      </c>
      <c r="C48" s="117">
        <v>4</v>
      </c>
      <c r="D48" s="103">
        <v>3092</v>
      </c>
      <c r="E48" s="102">
        <f t="shared" si="21"/>
        <v>1865</v>
      </c>
      <c r="F48" s="112">
        <v>1747</v>
      </c>
      <c r="G48" s="112">
        <v>118</v>
      </c>
      <c r="H48" s="128">
        <f t="shared" si="31"/>
        <v>1.6579088471849865</v>
      </c>
      <c r="I48" s="146">
        <v>1096.6300000000001</v>
      </c>
      <c r="J48" s="128">
        <f>31.68+104.93</f>
        <v>136.61000000000001</v>
      </c>
      <c r="K48" s="128">
        <v>100</v>
      </c>
      <c r="L48" s="128"/>
      <c r="M48" s="146">
        <v>237.37</v>
      </c>
      <c r="N48" s="103">
        <f t="shared" si="27"/>
        <v>26.282000000000004</v>
      </c>
      <c r="O48" s="103">
        <v>7</v>
      </c>
      <c r="P48" s="103">
        <f>67.64+5.66</f>
        <v>73.3</v>
      </c>
      <c r="Q48" s="103">
        <v>841.63</v>
      </c>
      <c r="R48" s="103"/>
      <c r="S48" s="103">
        <v>0</v>
      </c>
      <c r="T48" s="103"/>
      <c r="U48" s="103">
        <v>40</v>
      </c>
      <c r="V48" s="103"/>
      <c r="W48" s="103">
        <f t="shared" si="28"/>
        <v>162.624</v>
      </c>
      <c r="X48" s="152"/>
      <c r="Y48" s="152">
        <v>7.6999999999999999E-2</v>
      </c>
      <c r="Z48" s="153">
        <v>2112</v>
      </c>
      <c r="AA48" s="103">
        <v>135</v>
      </c>
      <c r="AB48" s="103">
        <f t="shared" si="29"/>
        <v>186.5</v>
      </c>
      <c r="AC48" s="154">
        <v>0.6</v>
      </c>
      <c r="AD48" s="103">
        <v>95</v>
      </c>
      <c r="AE48" s="103">
        <f>D48-I48-J48-N48-O48-Q48-W48-AA48-AB48-AD48-AC48*E48+M48-U48-P48-K48</f>
        <v>-690.20600000000013</v>
      </c>
      <c r="AF48" s="103">
        <f>AC48*E48+K48+L48</f>
        <v>1219</v>
      </c>
    </row>
    <row r="49" spans="1:32" ht="15">
      <c r="A49" s="215" t="s">
        <v>429</v>
      </c>
      <c r="B49" s="216">
        <v>191275</v>
      </c>
      <c r="C49" s="217">
        <v>4</v>
      </c>
      <c r="D49" s="218">
        <v>4900</v>
      </c>
      <c r="E49" s="219">
        <f t="shared" si="21"/>
        <v>2351</v>
      </c>
      <c r="F49" s="217">
        <v>2131</v>
      </c>
      <c r="G49" s="217">
        <v>220</v>
      </c>
      <c r="H49" s="128">
        <f t="shared" si="31"/>
        <v>2.0842194810718842</v>
      </c>
      <c r="I49" s="220">
        <v>1312.1</v>
      </c>
      <c r="J49" s="221"/>
      <c r="K49" s="221"/>
      <c r="L49" s="221"/>
      <c r="M49" s="220">
        <v>13.34</v>
      </c>
      <c r="N49" s="218">
        <f t="shared" si="27"/>
        <v>41.650000000000006</v>
      </c>
      <c r="O49" s="218">
        <v>7</v>
      </c>
      <c r="P49" s="218"/>
      <c r="Q49" s="218">
        <v>841.63</v>
      </c>
      <c r="R49" s="218">
        <v>50</v>
      </c>
      <c r="S49" s="218">
        <v>1200</v>
      </c>
      <c r="T49" s="218">
        <v>30</v>
      </c>
      <c r="U49" s="218">
        <v>40</v>
      </c>
      <c r="V49" s="218">
        <v>300</v>
      </c>
      <c r="W49" s="218">
        <f t="shared" si="28"/>
        <v>196.79999999999998</v>
      </c>
      <c r="X49" s="218">
        <f t="shared" ref="X49:X52" si="34">0.15*Z49</f>
        <v>393.59999999999997</v>
      </c>
      <c r="Y49" s="222">
        <v>7.4999999999999997E-2</v>
      </c>
      <c r="Z49" s="219" t="s">
        <v>556</v>
      </c>
      <c r="AA49" s="218">
        <v>135</v>
      </c>
      <c r="AB49" s="218">
        <f t="shared" si="29"/>
        <v>235.10000000000002</v>
      </c>
      <c r="AC49" s="223">
        <v>0.87</v>
      </c>
      <c r="AD49" s="218">
        <v>95</v>
      </c>
      <c r="AE49" s="103">
        <f t="shared" ref="AE49:AE52" si="35">D49*13%+R49+T49+S49+V49-Q49-W49-AA49-AD49+X49-N49+M49-U49</f>
        <v>1273.8599999999997</v>
      </c>
      <c r="AF49" s="103">
        <f t="shared" ref="AF49:AF51" si="36">D49*AC49-I49-J49-S49-R49-T49-V49-X49</f>
        <v>977.30000000000018</v>
      </c>
    </row>
    <row r="50" spans="1:32" ht="15">
      <c r="A50" s="229" t="s">
        <v>435</v>
      </c>
      <c r="B50" s="216">
        <v>191282</v>
      </c>
      <c r="C50" s="217">
        <v>0</v>
      </c>
      <c r="D50" s="218">
        <v>0</v>
      </c>
      <c r="E50" s="219">
        <f t="shared" si="21"/>
        <v>0</v>
      </c>
      <c r="F50" s="217"/>
      <c r="G50" s="217"/>
      <c r="H50" s="221"/>
      <c r="I50" s="220"/>
      <c r="J50" s="221">
        <v>65.400000000000006</v>
      </c>
      <c r="K50" s="221"/>
      <c r="L50" s="221"/>
      <c r="M50" s="220"/>
      <c r="N50" s="218">
        <f t="shared" si="27"/>
        <v>0</v>
      </c>
      <c r="O50" s="218">
        <v>7</v>
      </c>
      <c r="P50" s="218"/>
      <c r="Q50" s="218">
        <v>841.63</v>
      </c>
      <c r="R50" s="218">
        <v>50</v>
      </c>
      <c r="S50" s="218">
        <v>1200</v>
      </c>
      <c r="T50" s="218">
        <v>30</v>
      </c>
      <c r="U50" s="218">
        <v>40</v>
      </c>
      <c r="V50" s="218">
        <v>300</v>
      </c>
      <c r="W50" s="218">
        <f t="shared" si="28"/>
        <v>0</v>
      </c>
      <c r="X50" s="218">
        <f t="shared" si="34"/>
        <v>0</v>
      </c>
      <c r="Y50" s="222">
        <v>7.6999999999999999E-2</v>
      </c>
      <c r="Z50" s="219"/>
      <c r="AA50" s="218">
        <v>135</v>
      </c>
      <c r="AB50" s="218">
        <f t="shared" si="29"/>
        <v>0</v>
      </c>
      <c r="AC50" s="223">
        <v>0.87</v>
      </c>
      <c r="AD50" s="218">
        <v>95</v>
      </c>
      <c r="AE50" s="103">
        <f t="shared" si="35"/>
        <v>468.37</v>
      </c>
      <c r="AF50" s="103">
        <f t="shared" si="36"/>
        <v>-1645.4</v>
      </c>
    </row>
    <row r="51" spans="1:32" ht="15">
      <c r="A51" s="229" t="s">
        <v>557</v>
      </c>
      <c r="B51" s="216">
        <v>465184</v>
      </c>
      <c r="C51" s="217">
        <v>3</v>
      </c>
      <c r="D51" s="218">
        <v>3250</v>
      </c>
      <c r="E51" s="219">
        <f t="shared" si="21"/>
        <v>1738</v>
      </c>
      <c r="F51" s="217">
        <v>1607</v>
      </c>
      <c r="G51" s="217">
        <v>131</v>
      </c>
      <c r="H51" s="128">
        <f>D51/E51</f>
        <v>1.8699654775604142</v>
      </c>
      <c r="I51" s="220">
        <v>935</v>
      </c>
      <c r="J51" s="221">
        <f>67.9</f>
        <v>67.900000000000006</v>
      </c>
      <c r="K51" s="221"/>
      <c r="L51" s="221"/>
      <c r="M51" s="220">
        <v>32.08</v>
      </c>
      <c r="N51" s="218">
        <f t="shared" si="27"/>
        <v>27.625000000000004</v>
      </c>
      <c r="O51" s="218">
        <v>7</v>
      </c>
      <c r="P51" s="218"/>
      <c r="Q51" s="218">
        <v>841.63</v>
      </c>
      <c r="R51" s="218">
        <v>50</v>
      </c>
      <c r="S51" s="218">
        <v>1050</v>
      </c>
      <c r="T51" s="218">
        <v>30</v>
      </c>
      <c r="U51" s="218">
        <v>40</v>
      </c>
      <c r="V51" s="218">
        <v>400</v>
      </c>
      <c r="W51" s="218">
        <f t="shared" si="28"/>
        <v>139.678</v>
      </c>
      <c r="X51" s="218">
        <f t="shared" si="34"/>
        <v>272.09999999999997</v>
      </c>
      <c r="Y51" s="222">
        <v>7.6999999999999999E-2</v>
      </c>
      <c r="Z51" s="219" t="s">
        <v>558</v>
      </c>
      <c r="AA51" s="218">
        <v>135</v>
      </c>
      <c r="AB51" s="218">
        <f t="shared" si="29"/>
        <v>173.8</v>
      </c>
      <c r="AC51" s="223">
        <v>0.87</v>
      </c>
      <c r="AD51" s="218">
        <v>95</v>
      </c>
      <c r="AE51" s="103">
        <f t="shared" si="35"/>
        <v>977.74699999999996</v>
      </c>
      <c r="AF51" s="103">
        <f t="shared" si="36"/>
        <v>22.499999999999943</v>
      </c>
    </row>
    <row r="52" spans="1:32" ht="15">
      <c r="A52" s="232" t="s">
        <v>559</v>
      </c>
      <c r="B52" s="233">
        <v>465182</v>
      </c>
      <c r="C52" s="217"/>
      <c r="D52" s="218"/>
      <c r="E52" s="219">
        <f t="shared" si="21"/>
        <v>0</v>
      </c>
      <c r="F52" s="217"/>
      <c r="G52" s="217"/>
      <c r="H52" s="221"/>
      <c r="I52" s="220"/>
      <c r="J52" s="221">
        <v>58.1</v>
      </c>
      <c r="K52" s="221"/>
      <c r="L52" s="221"/>
      <c r="M52" s="220"/>
      <c r="N52" s="218">
        <f t="shared" si="27"/>
        <v>0</v>
      </c>
      <c r="O52" s="218">
        <v>7</v>
      </c>
      <c r="P52" s="218"/>
      <c r="Q52" s="218">
        <v>841.63</v>
      </c>
      <c r="R52" s="218">
        <v>0</v>
      </c>
      <c r="S52" s="218">
        <v>0</v>
      </c>
      <c r="T52" s="218">
        <v>0</v>
      </c>
      <c r="U52" s="218">
        <v>40</v>
      </c>
      <c r="V52" s="218">
        <v>0</v>
      </c>
      <c r="W52" s="218">
        <f t="shared" si="28"/>
        <v>25.564</v>
      </c>
      <c r="X52" s="218">
        <f t="shared" si="34"/>
        <v>49.8</v>
      </c>
      <c r="Y52" s="222">
        <v>7.6999999999999999E-2</v>
      </c>
      <c r="Z52" s="219" t="s">
        <v>560</v>
      </c>
      <c r="AA52" s="218">
        <v>135</v>
      </c>
      <c r="AB52" s="218">
        <f t="shared" si="29"/>
        <v>0</v>
      </c>
      <c r="AC52" s="223">
        <v>0.87</v>
      </c>
      <c r="AD52" s="218">
        <v>95</v>
      </c>
      <c r="AE52" s="103">
        <f t="shared" si="35"/>
        <v>-1087.394</v>
      </c>
      <c r="AF52" s="103">
        <f>AC52*E52</f>
        <v>0</v>
      </c>
    </row>
    <row r="53" spans="1:32" ht="15">
      <c r="A53" s="134" t="s">
        <v>462</v>
      </c>
      <c r="B53" s="135" t="s">
        <v>399</v>
      </c>
      <c r="C53" s="158">
        <v>5</v>
      </c>
      <c r="D53" s="139">
        <v>4900</v>
      </c>
      <c r="E53" s="136">
        <v>2718</v>
      </c>
      <c r="F53" s="136"/>
      <c r="G53" s="136"/>
      <c r="H53" s="128">
        <f>D53/E53</f>
        <v>1.8027961736571008</v>
      </c>
      <c r="I53" s="139">
        <v>846.68</v>
      </c>
      <c r="J53" s="139">
        <f>142.86+46.38</f>
        <v>189.24</v>
      </c>
      <c r="K53" s="139"/>
      <c r="L53" s="139"/>
      <c r="M53" s="139">
        <v>51.18</v>
      </c>
      <c r="N53" s="139">
        <f t="shared" si="27"/>
        <v>41.650000000000006</v>
      </c>
      <c r="O53" s="139">
        <v>0</v>
      </c>
      <c r="P53" s="139"/>
      <c r="Q53" s="139">
        <v>0</v>
      </c>
      <c r="R53" s="139">
        <v>0</v>
      </c>
      <c r="S53" s="139">
        <v>0</v>
      </c>
      <c r="T53" s="139">
        <v>0</v>
      </c>
      <c r="U53" s="139">
        <v>40</v>
      </c>
      <c r="V53" s="139">
        <v>0</v>
      </c>
      <c r="W53" s="139">
        <v>0</v>
      </c>
      <c r="X53" s="159"/>
      <c r="Y53" s="159">
        <v>0</v>
      </c>
      <c r="Z53" s="136">
        <v>2718</v>
      </c>
      <c r="AA53" s="139">
        <v>0</v>
      </c>
      <c r="AB53" s="139">
        <f t="shared" si="29"/>
        <v>271.8</v>
      </c>
      <c r="AC53" s="160">
        <v>0.85</v>
      </c>
      <c r="AD53" s="139">
        <v>95</v>
      </c>
      <c r="AE53" s="139">
        <f>D53*0.15-AB53-N53+M53-U53</f>
        <v>432.72999999999996</v>
      </c>
      <c r="AF53" s="139">
        <f>D53*0.85-I53-J53+M53</f>
        <v>3180.2599999999998</v>
      </c>
    </row>
    <row r="54" spans="1:32" ht="15">
      <c r="A54" s="199" t="s">
        <v>528</v>
      </c>
      <c r="B54" s="230" t="s">
        <v>362</v>
      </c>
      <c r="C54" s="158"/>
      <c r="D54" s="139"/>
      <c r="E54" s="136"/>
      <c r="F54" s="136"/>
      <c r="G54" s="136"/>
      <c r="H54" s="168"/>
      <c r="I54" s="139"/>
      <c r="J54" s="139">
        <f>178.14+315.72</f>
        <v>493.86</v>
      </c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>
        <v>40</v>
      </c>
      <c r="V54" s="139"/>
      <c r="W54" s="139"/>
      <c r="X54" s="159"/>
      <c r="Y54" s="159"/>
      <c r="Z54" s="136"/>
      <c r="AA54" s="139"/>
      <c r="AB54" s="139"/>
      <c r="AC54" s="160"/>
      <c r="AD54" s="139"/>
      <c r="AE54" s="139"/>
      <c r="AF54" s="139">
        <f>D54-J54</f>
        <v>-493.86</v>
      </c>
    </row>
    <row r="55" spans="1:32" ht="15">
      <c r="A55" s="134" t="s">
        <v>529</v>
      </c>
      <c r="B55" s="134">
        <v>1118</v>
      </c>
      <c r="C55" s="158">
        <v>4</v>
      </c>
      <c r="D55" s="139">
        <v>2800</v>
      </c>
      <c r="E55" s="136">
        <v>1855</v>
      </c>
      <c r="F55" s="136"/>
      <c r="G55" s="136"/>
      <c r="H55" s="128">
        <f t="shared" ref="H55:H57" si="37">D55/E55</f>
        <v>1.5094339622641511</v>
      </c>
      <c r="I55" s="139">
        <v>870</v>
      </c>
      <c r="J55" s="139">
        <v>73.98</v>
      </c>
      <c r="K55" s="139"/>
      <c r="L55" s="139"/>
      <c r="M55" s="139">
        <v>0</v>
      </c>
      <c r="N55" s="139">
        <f t="shared" ref="N55:N56" si="38">D55*0.0085</f>
        <v>23.8</v>
      </c>
      <c r="O55" s="139">
        <v>0</v>
      </c>
      <c r="P55" s="139"/>
      <c r="Q55" s="139">
        <v>0</v>
      </c>
      <c r="R55" s="139">
        <v>0</v>
      </c>
      <c r="S55" s="139">
        <v>0</v>
      </c>
      <c r="T55" s="139">
        <v>0</v>
      </c>
      <c r="U55" s="139">
        <v>40</v>
      </c>
      <c r="V55" s="139">
        <v>0</v>
      </c>
      <c r="W55" s="139">
        <v>0</v>
      </c>
      <c r="X55" s="159"/>
      <c r="Y55" s="159">
        <v>0</v>
      </c>
      <c r="Z55" s="136">
        <v>1855</v>
      </c>
      <c r="AA55" s="139">
        <v>0</v>
      </c>
      <c r="AB55" s="139">
        <f t="shared" ref="AB55:AB57" si="39">E55*0.1</f>
        <v>185.5</v>
      </c>
      <c r="AC55" s="160">
        <v>0.8</v>
      </c>
      <c r="AD55" s="139">
        <v>95</v>
      </c>
      <c r="AE55" s="139">
        <f>D55*0.2-AB55-N55-K55-AD55-U55</f>
        <v>215.7</v>
      </c>
      <c r="AF55" s="139">
        <f>D55*AC55-I55-J55+K55</f>
        <v>1296.02</v>
      </c>
    </row>
    <row r="56" spans="1:32" ht="15">
      <c r="A56" s="134" t="s">
        <v>467</v>
      </c>
      <c r="B56" s="134">
        <v>1122</v>
      </c>
      <c r="C56" s="158">
        <v>6</v>
      </c>
      <c r="D56" s="139">
        <v>5025</v>
      </c>
      <c r="E56" s="136">
        <v>2437</v>
      </c>
      <c r="F56" s="136"/>
      <c r="G56" s="136"/>
      <c r="H56" s="128">
        <f t="shared" si="37"/>
        <v>2.0619614279852279</v>
      </c>
      <c r="I56" s="168">
        <v>1029.05</v>
      </c>
      <c r="J56" s="139">
        <f>7+37.2</f>
        <v>44.2</v>
      </c>
      <c r="K56" s="139"/>
      <c r="L56" s="139"/>
      <c r="M56" s="139">
        <v>0</v>
      </c>
      <c r="N56" s="139">
        <f t="shared" si="38"/>
        <v>42.712500000000006</v>
      </c>
      <c r="O56" s="139">
        <v>7</v>
      </c>
      <c r="P56" s="139"/>
      <c r="Q56" s="139">
        <v>0</v>
      </c>
      <c r="R56" s="139">
        <v>50</v>
      </c>
      <c r="S56" s="139">
        <v>199</v>
      </c>
      <c r="T56" s="139">
        <v>30</v>
      </c>
      <c r="U56" s="139">
        <v>40</v>
      </c>
      <c r="V56" s="139">
        <v>300</v>
      </c>
      <c r="W56" s="139">
        <v>0</v>
      </c>
      <c r="X56" s="159"/>
      <c r="Y56" s="159">
        <v>0</v>
      </c>
      <c r="Z56" s="136">
        <v>2437</v>
      </c>
      <c r="AA56" s="139">
        <v>0</v>
      </c>
      <c r="AB56" s="139">
        <f t="shared" si="39"/>
        <v>243.70000000000002</v>
      </c>
      <c r="AC56" s="160">
        <v>0.87</v>
      </c>
      <c r="AD56" s="139">
        <v>95</v>
      </c>
      <c r="AE56" s="139">
        <f>D56*0.13-AD56-AB56+V56+T56+S56+R56-N56+M56-U56</f>
        <v>810.83749999999998</v>
      </c>
      <c r="AF56" s="139">
        <f>D56*AC56-I56-J56-V56-T56-S56-R56</f>
        <v>2719.5</v>
      </c>
    </row>
    <row r="57" spans="1:32" ht="15">
      <c r="A57" s="134" t="s">
        <v>520</v>
      </c>
      <c r="B57" s="134">
        <v>1650</v>
      </c>
      <c r="C57" s="158">
        <v>6</v>
      </c>
      <c r="D57" s="139">
        <v>5050</v>
      </c>
      <c r="E57" s="136">
        <v>1964</v>
      </c>
      <c r="F57" s="136"/>
      <c r="G57" s="136"/>
      <c r="H57" s="128">
        <f t="shared" si="37"/>
        <v>2.5712830957230142</v>
      </c>
      <c r="I57" s="139">
        <v>1253.4000000000001</v>
      </c>
      <c r="J57" s="139"/>
      <c r="K57" s="139"/>
      <c r="L57" s="139"/>
      <c r="M57" s="139">
        <v>122.34</v>
      </c>
      <c r="N57" s="139"/>
      <c r="O57" s="139"/>
      <c r="P57" s="139"/>
      <c r="Q57" s="139">
        <v>0</v>
      </c>
      <c r="R57" s="139">
        <v>50</v>
      </c>
      <c r="S57" s="139">
        <v>0</v>
      </c>
      <c r="T57" s="139">
        <v>30</v>
      </c>
      <c r="U57" s="139">
        <v>40</v>
      </c>
      <c r="V57" s="139">
        <v>300</v>
      </c>
      <c r="W57" s="139">
        <v>0</v>
      </c>
      <c r="X57" s="159"/>
      <c r="Y57" s="159">
        <v>0</v>
      </c>
      <c r="Z57" s="136">
        <v>1964</v>
      </c>
      <c r="AA57" s="139">
        <v>0</v>
      </c>
      <c r="AB57" s="139">
        <f t="shared" si="39"/>
        <v>196.4</v>
      </c>
      <c r="AC57" s="160">
        <v>0.87</v>
      </c>
      <c r="AD57" s="139">
        <v>95</v>
      </c>
      <c r="AE57" s="139">
        <f>D57*0.13+V57+T57+S57+R57-AB57-N57+M57-U57</f>
        <v>922.44</v>
      </c>
      <c r="AF57" s="139">
        <f>D57*0.87-I57-J57-R57-S57-T57-V57+K57</f>
        <v>2760.1</v>
      </c>
    </row>
    <row r="58" spans="1:32" ht="15">
      <c r="A58" s="72" t="s">
        <v>89</v>
      </c>
      <c r="B58" s="72">
        <v>17</v>
      </c>
      <c r="C58" s="202">
        <f>AVERAGE(C32:C48)</f>
        <v>6.3636363636363633</v>
      </c>
      <c r="D58" s="201">
        <f t="shared" ref="D58:G58" si="40">SUM(D32:D57)</f>
        <v>95956</v>
      </c>
      <c r="E58" s="201">
        <f t="shared" si="40"/>
        <v>49357</v>
      </c>
      <c r="F58" s="201">
        <f t="shared" si="40"/>
        <v>38020</v>
      </c>
      <c r="G58" s="201">
        <f t="shared" si="40"/>
        <v>2363</v>
      </c>
      <c r="H58" s="201">
        <f>AVERAGE(H33:H57)</f>
        <v>1.9406170479202198</v>
      </c>
      <c r="I58" s="201">
        <f t="shared" ref="I58:AB58" si="41">SUM(I32:I57)</f>
        <v>27969.279999999999</v>
      </c>
      <c r="J58" s="201">
        <f t="shared" si="41"/>
        <v>2127.85</v>
      </c>
      <c r="K58" s="201">
        <f t="shared" si="41"/>
        <v>100</v>
      </c>
      <c r="L58" s="201">
        <f t="shared" si="41"/>
        <v>0</v>
      </c>
      <c r="M58" s="201">
        <f t="shared" si="41"/>
        <v>2383.42</v>
      </c>
      <c r="N58" s="201">
        <f t="shared" si="41"/>
        <v>772.70100000000002</v>
      </c>
      <c r="O58" s="201">
        <f t="shared" si="41"/>
        <v>154</v>
      </c>
      <c r="P58" s="201">
        <f t="shared" si="41"/>
        <v>2385.0800000000008</v>
      </c>
      <c r="Q58" s="201">
        <f t="shared" si="41"/>
        <v>17674.229999999992</v>
      </c>
      <c r="R58" s="201">
        <f t="shared" si="41"/>
        <v>250</v>
      </c>
      <c r="S58" s="201">
        <f t="shared" si="41"/>
        <v>3649</v>
      </c>
      <c r="T58" s="201">
        <f t="shared" si="41"/>
        <v>150</v>
      </c>
      <c r="U58" s="201">
        <f t="shared" si="41"/>
        <v>1040</v>
      </c>
      <c r="V58" s="201">
        <f t="shared" si="41"/>
        <v>1600</v>
      </c>
      <c r="W58" s="201">
        <f t="shared" si="41"/>
        <v>2967.0499999999997</v>
      </c>
      <c r="X58" s="201">
        <f t="shared" si="41"/>
        <v>715.49999999999989</v>
      </c>
      <c r="Y58" s="201">
        <f t="shared" si="41"/>
        <v>1.5219999999999996</v>
      </c>
      <c r="Z58" s="201">
        <f t="shared" si="41"/>
        <v>46986</v>
      </c>
      <c r="AA58" s="201">
        <f t="shared" si="41"/>
        <v>2835</v>
      </c>
      <c r="AB58" s="201">
        <f t="shared" si="41"/>
        <v>4935.7</v>
      </c>
      <c r="AC58" s="201"/>
      <c r="AD58" s="201">
        <f t="shared" ref="AD58:AF58" si="42">SUM(AD32:AD57)</f>
        <v>2280</v>
      </c>
      <c r="AE58" s="201">
        <f t="shared" si="42"/>
        <v>4314.7289999999975</v>
      </c>
      <c r="AF58" s="201">
        <f t="shared" si="42"/>
        <v>29447.339999999993</v>
      </c>
    </row>
    <row r="60" spans="1:32" ht="15">
      <c r="A60" s="461" t="s">
        <v>561</v>
      </c>
      <c r="B60" s="458"/>
      <c r="C60" s="458"/>
      <c r="D60" s="458"/>
      <c r="E60" s="458"/>
      <c r="F60" s="458"/>
      <c r="G60" s="458"/>
      <c r="H60" s="458"/>
      <c r="I60" s="458"/>
      <c r="J60" s="458"/>
      <c r="K60" s="458"/>
      <c r="L60" s="458"/>
      <c r="M60" s="458"/>
      <c r="N60" s="458"/>
      <c r="O60" s="458"/>
      <c r="P60" s="458"/>
      <c r="Q60" s="458"/>
      <c r="R60" s="458"/>
      <c r="S60" s="458"/>
      <c r="T60" s="458"/>
      <c r="U60" s="458"/>
      <c r="V60" s="458"/>
      <c r="W60" s="458"/>
      <c r="X60" s="458"/>
      <c r="Y60" s="458"/>
      <c r="Z60" s="458"/>
      <c r="AA60" s="458"/>
      <c r="AB60" s="458"/>
      <c r="AC60" s="458"/>
      <c r="AD60" s="458"/>
      <c r="AE60" s="458"/>
      <c r="AF60" s="459"/>
    </row>
    <row r="61" spans="1:32" ht="80">
      <c r="A61" s="95" t="s">
        <v>0</v>
      </c>
      <c r="B61" s="95" t="s">
        <v>1</v>
      </c>
      <c r="C61" s="95" t="s">
        <v>372</v>
      </c>
      <c r="D61" s="95" t="s">
        <v>2</v>
      </c>
      <c r="E61" s="95" t="s">
        <v>413</v>
      </c>
      <c r="F61" s="150" t="s">
        <v>414</v>
      </c>
      <c r="G61" s="150" t="s">
        <v>415</v>
      </c>
      <c r="H61" s="95" t="s">
        <v>416</v>
      </c>
      <c r="I61" s="95" t="s">
        <v>7</v>
      </c>
      <c r="J61" s="95" t="s">
        <v>8</v>
      </c>
      <c r="K61" s="95" t="s">
        <v>287</v>
      </c>
      <c r="L61" s="95" t="s">
        <v>288</v>
      </c>
      <c r="M61" s="95" t="s">
        <v>257</v>
      </c>
      <c r="N61" s="95" t="s">
        <v>373</v>
      </c>
      <c r="O61" s="95" t="s">
        <v>374</v>
      </c>
      <c r="P61" s="150" t="s">
        <v>538</v>
      </c>
      <c r="Q61" s="95" t="s">
        <v>375</v>
      </c>
      <c r="R61" s="95" t="s">
        <v>376</v>
      </c>
      <c r="S61" s="95" t="s">
        <v>522</v>
      </c>
      <c r="T61" s="150" t="s">
        <v>378</v>
      </c>
      <c r="U61" s="150" t="s">
        <v>539</v>
      </c>
      <c r="V61" s="150" t="s">
        <v>379</v>
      </c>
      <c r="W61" s="150" t="s">
        <v>352</v>
      </c>
      <c r="X61" s="150" t="s">
        <v>523</v>
      </c>
      <c r="Y61" s="95" t="s">
        <v>380</v>
      </c>
      <c r="Z61" s="95" t="s">
        <v>381</v>
      </c>
      <c r="AA61" s="95" t="s">
        <v>382</v>
      </c>
      <c r="AB61" s="95" t="s">
        <v>383</v>
      </c>
      <c r="AC61" s="95" t="s">
        <v>385</v>
      </c>
      <c r="AD61" s="150" t="s">
        <v>333</v>
      </c>
      <c r="AE61" s="95" t="s">
        <v>13</v>
      </c>
      <c r="AF61" s="95" t="s">
        <v>98</v>
      </c>
    </row>
    <row r="62" spans="1:32" ht="15">
      <c r="A62" s="198" t="s">
        <v>562</v>
      </c>
      <c r="B62" s="208">
        <v>191279</v>
      </c>
      <c r="C62" s="112">
        <v>2</v>
      </c>
      <c r="D62" s="103">
        <v>2000</v>
      </c>
      <c r="E62" s="102">
        <f t="shared" ref="E62:E81" si="43">F62+G62</f>
        <v>919</v>
      </c>
      <c r="F62" s="117">
        <v>848</v>
      </c>
      <c r="G62" s="231">
        <v>71</v>
      </c>
      <c r="H62" s="128">
        <f t="shared" ref="H62:H65" si="44">D62/E62</f>
        <v>2.1762785636561479</v>
      </c>
      <c r="I62" s="146">
        <v>843.72</v>
      </c>
      <c r="J62" s="128">
        <v>74.430000000000007</v>
      </c>
      <c r="K62" s="103"/>
      <c r="L62" s="103"/>
      <c r="M62" s="146">
        <v>49.03</v>
      </c>
      <c r="N62" s="103">
        <f t="shared" ref="N62:N65" si="45">D62*0.0085</f>
        <v>17</v>
      </c>
      <c r="O62" s="103">
        <v>7</v>
      </c>
      <c r="P62" s="103"/>
      <c r="Q62" s="103">
        <v>841.63</v>
      </c>
      <c r="R62" s="103"/>
      <c r="S62" s="103">
        <v>0</v>
      </c>
      <c r="T62" s="103"/>
      <c r="U62" s="103">
        <v>40</v>
      </c>
      <c r="V62" s="103"/>
      <c r="W62" s="103">
        <f t="shared" ref="W62:W65" si="46">Z62*Y62</f>
        <v>160.72499999999999</v>
      </c>
      <c r="X62" s="152"/>
      <c r="Y62" s="152">
        <v>7.4999999999999997E-2</v>
      </c>
      <c r="Z62" s="153">
        <v>2143</v>
      </c>
      <c r="AA62" s="103">
        <v>135</v>
      </c>
      <c r="AB62" s="103">
        <f t="shared" ref="AB62:AB65" si="47">E62*0.1</f>
        <v>91.9</v>
      </c>
      <c r="AC62" s="213">
        <v>0.25</v>
      </c>
      <c r="AD62" s="103">
        <v>95</v>
      </c>
      <c r="AE62" s="226">
        <f>D62-I62-J62-N62-O62-Q62-W62-AA62-AB62-AD62-AC62*E62+M62-U62-P62</f>
        <v>-487.12500000000011</v>
      </c>
      <c r="AF62" s="103">
        <f t="shared" ref="AF62:AF63" si="48">D62*AC62</f>
        <v>500</v>
      </c>
    </row>
    <row r="63" spans="1:32" ht="15">
      <c r="A63" s="198" t="s">
        <v>540</v>
      </c>
      <c r="B63" s="208">
        <v>465189</v>
      </c>
      <c r="C63" s="112">
        <v>7</v>
      </c>
      <c r="D63" s="103">
        <v>5625</v>
      </c>
      <c r="E63" s="102">
        <f t="shared" si="43"/>
        <v>3054</v>
      </c>
      <c r="F63" s="117">
        <v>2800</v>
      </c>
      <c r="G63" s="112">
        <v>254</v>
      </c>
      <c r="H63" s="128">
        <f t="shared" si="44"/>
        <v>1.8418467583497053</v>
      </c>
      <c r="I63" s="146">
        <v>2273.64</v>
      </c>
      <c r="J63" s="128"/>
      <c r="K63" s="103"/>
      <c r="L63" s="103"/>
      <c r="M63" s="146">
        <v>145.19999999999999</v>
      </c>
      <c r="N63" s="103">
        <f t="shared" si="45"/>
        <v>47.8125</v>
      </c>
      <c r="O63" s="103">
        <v>7</v>
      </c>
      <c r="P63" s="103"/>
      <c r="Q63" s="103">
        <v>841.63</v>
      </c>
      <c r="R63" s="103"/>
      <c r="S63" s="103">
        <v>0</v>
      </c>
      <c r="T63" s="103"/>
      <c r="U63" s="103">
        <v>40</v>
      </c>
      <c r="V63" s="103"/>
      <c r="W63" s="103">
        <f t="shared" si="46"/>
        <v>248.77499999999998</v>
      </c>
      <c r="X63" s="152"/>
      <c r="Y63" s="152">
        <v>7.4999999999999997E-2</v>
      </c>
      <c r="Z63" s="153">
        <v>3317</v>
      </c>
      <c r="AA63" s="103">
        <v>135</v>
      </c>
      <c r="AB63" s="103">
        <f t="shared" si="47"/>
        <v>305.40000000000003</v>
      </c>
      <c r="AC63" s="213">
        <v>0.27</v>
      </c>
      <c r="AD63" s="103">
        <v>95</v>
      </c>
      <c r="AE63" s="103">
        <f>D63-I63-N63-Q63-U63-W63-AA63-AB63-AD63-AF63-P63</f>
        <v>118.99249999999984</v>
      </c>
      <c r="AF63" s="103">
        <f t="shared" si="48"/>
        <v>1518.75</v>
      </c>
    </row>
    <row r="64" spans="1:32" ht="15">
      <c r="A64" s="187" t="s">
        <v>532</v>
      </c>
      <c r="B64" s="208">
        <v>191280</v>
      </c>
      <c r="C64" s="112">
        <v>6</v>
      </c>
      <c r="D64" s="103">
        <v>5952</v>
      </c>
      <c r="E64" s="102">
        <f t="shared" si="43"/>
        <v>2901</v>
      </c>
      <c r="F64" s="117">
        <v>2692</v>
      </c>
      <c r="G64" s="117">
        <v>209</v>
      </c>
      <c r="H64" s="128">
        <f t="shared" si="44"/>
        <v>2.0517063081695968</v>
      </c>
      <c r="I64" s="128">
        <v>1816.08</v>
      </c>
      <c r="J64" s="128">
        <v>26.2</v>
      </c>
      <c r="K64" s="103"/>
      <c r="L64" s="103"/>
      <c r="M64" s="146">
        <v>242.16</v>
      </c>
      <c r="N64" s="103">
        <f t="shared" si="45"/>
        <v>50.592000000000006</v>
      </c>
      <c r="O64" s="103">
        <v>7</v>
      </c>
      <c r="P64" s="103"/>
      <c r="Q64" s="103">
        <v>841.63</v>
      </c>
      <c r="R64" s="103"/>
      <c r="S64" s="103">
        <v>0</v>
      </c>
      <c r="T64" s="103"/>
      <c r="U64" s="103">
        <v>40</v>
      </c>
      <c r="V64" s="103"/>
      <c r="W64" s="103">
        <f t="shared" si="46"/>
        <v>222.07499999999999</v>
      </c>
      <c r="X64" s="152"/>
      <c r="Y64" s="152">
        <v>7.4999999999999997E-2</v>
      </c>
      <c r="Z64" s="153">
        <v>2961</v>
      </c>
      <c r="AA64" s="103">
        <v>135</v>
      </c>
      <c r="AB64" s="103">
        <f t="shared" si="47"/>
        <v>290.10000000000002</v>
      </c>
      <c r="AC64" s="225">
        <v>0.65</v>
      </c>
      <c r="AD64" s="108">
        <v>95</v>
      </c>
      <c r="AE64" s="226">
        <f>D64-I64-J64-N64-O64-Q64-W64-AA64-AB64-AD64-AC64*E64+M64-U64-P64</f>
        <v>784.8330000000002</v>
      </c>
      <c r="AF64" s="103">
        <f>E64*AC64</f>
        <v>1885.65</v>
      </c>
    </row>
    <row r="65" spans="1:32" ht="15">
      <c r="A65" s="184" t="s">
        <v>505</v>
      </c>
      <c r="B65" s="185">
        <v>191274</v>
      </c>
      <c r="C65" s="112">
        <v>4</v>
      </c>
      <c r="D65" s="103">
        <v>3950</v>
      </c>
      <c r="E65" s="102">
        <f t="shared" si="43"/>
        <v>1982</v>
      </c>
      <c r="F65" s="117">
        <v>1696</v>
      </c>
      <c r="G65" s="117">
        <v>286</v>
      </c>
      <c r="H65" s="128">
        <f t="shared" si="44"/>
        <v>1.9929364278506558</v>
      </c>
      <c r="I65" s="128">
        <v>1523.69</v>
      </c>
      <c r="J65" s="128">
        <v>198.77</v>
      </c>
      <c r="K65" s="103">
        <v>100</v>
      </c>
      <c r="L65" s="103"/>
      <c r="M65" s="146">
        <v>262.14999999999998</v>
      </c>
      <c r="N65" s="103">
        <f t="shared" si="45"/>
        <v>33.575000000000003</v>
      </c>
      <c r="O65" s="103">
        <v>7</v>
      </c>
      <c r="P65" s="103"/>
      <c r="Q65" s="103">
        <v>841.63</v>
      </c>
      <c r="R65" s="103"/>
      <c r="S65" s="103">
        <v>0</v>
      </c>
      <c r="T65" s="103"/>
      <c r="U65" s="103">
        <v>40</v>
      </c>
      <c r="V65" s="103"/>
      <c r="W65" s="103">
        <f t="shared" si="46"/>
        <v>190.57499999999999</v>
      </c>
      <c r="X65" s="152"/>
      <c r="Y65" s="152">
        <v>7.6999999999999999E-2</v>
      </c>
      <c r="Z65" s="155">
        <v>2475</v>
      </c>
      <c r="AA65" s="103">
        <v>135</v>
      </c>
      <c r="AB65" s="103">
        <f t="shared" si="47"/>
        <v>198.20000000000002</v>
      </c>
      <c r="AC65" s="213">
        <v>0.27</v>
      </c>
      <c r="AD65" s="103">
        <v>95</v>
      </c>
      <c r="AE65" s="103">
        <f>D65-I65-N65-Q65-U65-W65-AA65-AB65-AD65-AF65-K65</f>
        <v>-274.17000000000007</v>
      </c>
      <c r="AF65" s="103">
        <f>D65*AC65</f>
        <v>1066.5</v>
      </c>
    </row>
    <row r="66" spans="1:32" ht="15">
      <c r="A66" s="184"/>
      <c r="B66" s="205">
        <v>465180</v>
      </c>
      <c r="C66" s="112"/>
      <c r="D66" s="103"/>
      <c r="E66" s="102">
        <f t="shared" si="43"/>
        <v>0</v>
      </c>
      <c r="F66" s="117"/>
      <c r="G66" s="117"/>
      <c r="H66" s="128"/>
      <c r="I66" s="128"/>
      <c r="J66" s="128"/>
      <c r="K66" s="103"/>
      <c r="L66" s="103"/>
      <c r="M66" s="146"/>
      <c r="N66" s="103"/>
      <c r="O66" s="103">
        <v>7</v>
      </c>
      <c r="P66" s="103">
        <v>490</v>
      </c>
      <c r="Q66" s="103">
        <v>841.63</v>
      </c>
      <c r="R66" s="103"/>
      <c r="S66" s="103">
        <v>0</v>
      </c>
      <c r="T66" s="103"/>
      <c r="U66" s="103">
        <v>40</v>
      </c>
      <c r="V66" s="103"/>
      <c r="W66" s="103"/>
      <c r="X66" s="152"/>
      <c r="Y66" s="152"/>
      <c r="Z66" s="155">
        <v>438</v>
      </c>
      <c r="AA66" s="103">
        <v>135</v>
      </c>
      <c r="AB66" s="103"/>
      <c r="AC66" s="213"/>
      <c r="AD66" s="103"/>
      <c r="AE66" s="226">
        <f>D66-I66-J66-N66-O66-Q66-W66-AA66-AB66-AD66-AC66*E66+M66-U66-P66</f>
        <v>-1513.63</v>
      </c>
      <c r="AF66" s="103"/>
    </row>
    <row r="67" spans="1:32" ht="15">
      <c r="A67" s="184" t="s">
        <v>318</v>
      </c>
      <c r="B67" s="208">
        <v>191276</v>
      </c>
      <c r="C67" s="112"/>
      <c r="D67" s="103"/>
      <c r="E67" s="102">
        <f t="shared" si="43"/>
        <v>0</v>
      </c>
      <c r="F67" s="103"/>
      <c r="G67" s="102"/>
      <c r="H67" s="128"/>
      <c r="I67" s="128"/>
      <c r="J67" s="128">
        <v>22.9</v>
      </c>
      <c r="K67" s="103"/>
      <c r="L67" s="103"/>
      <c r="M67" s="146"/>
      <c r="N67" s="103">
        <f t="shared" ref="N67:N82" si="49">D67*0.0085</f>
        <v>0</v>
      </c>
      <c r="O67" s="103">
        <v>7</v>
      </c>
      <c r="P67" s="103"/>
      <c r="Q67" s="103">
        <v>841.63</v>
      </c>
      <c r="R67" s="103"/>
      <c r="S67" s="103">
        <v>0</v>
      </c>
      <c r="T67" s="103"/>
      <c r="U67" s="103">
        <v>40</v>
      </c>
      <c r="V67" s="103"/>
      <c r="W67" s="103">
        <f t="shared" ref="W67:W81" si="50">Z67*Y67</f>
        <v>3.5249999999999999</v>
      </c>
      <c r="X67" s="152"/>
      <c r="Y67" s="152">
        <v>7.4999999999999997E-2</v>
      </c>
      <c r="Z67" s="153">
        <v>47</v>
      </c>
      <c r="AA67" s="103">
        <v>135</v>
      </c>
      <c r="AB67" s="103">
        <f t="shared" ref="AB67:AB82" si="51">E67*0.1</f>
        <v>0</v>
      </c>
      <c r="AC67" s="213"/>
      <c r="AD67" s="103">
        <v>95</v>
      </c>
      <c r="AE67" s="103">
        <f>D67*73%-J67-K67-N67-O67-Q67-W67-AA67-AB67-AF67+M67-U67</f>
        <v>-1050.0549999999998</v>
      </c>
      <c r="AF67" s="103">
        <f>D67*AC67</f>
        <v>0</v>
      </c>
    </row>
    <row r="68" spans="1:32" ht="15">
      <c r="A68" s="198" t="s">
        <v>488</v>
      </c>
      <c r="B68" s="208">
        <v>191283</v>
      </c>
      <c r="C68" s="112">
        <v>7</v>
      </c>
      <c r="D68" s="103">
        <v>7179</v>
      </c>
      <c r="E68" s="102">
        <f t="shared" si="43"/>
        <v>3892</v>
      </c>
      <c r="F68" s="112">
        <v>3629</v>
      </c>
      <c r="G68" s="112">
        <v>263</v>
      </c>
      <c r="H68" s="128">
        <f>D68/E68</f>
        <v>1.8445529290853031</v>
      </c>
      <c r="I68" s="128">
        <v>2548.7399999999998</v>
      </c>
      <c r="J68" s="128">
        <v>116.37</v>
      </c>
      <c r="K68" s="103"/>
      <c r="L68" s="103">
        <v>100</v>
      </c>
      <c r="M68" s="146">
        <v>364.64</v>
      </c>
      <c r="N68" s="103">
        <f t="shared" si="49"/>
        <v>61.021500000000003</v>
      </c>
      <c r="O68" s="103">
        <v>7</v>
      </c>
      <c r="P68" s="103"/>
      <c r="Q68" s="103">
        <v>841.63</v>
      </c>
      <c r="R68" s="103"/>
      <c r="S68" s="103">
        <v>0</v>
      </c>
      <c r="T68" s="103"/>
      <c r="U68" s="103">
        <v>40</v>
      </c>
      <c r="V68" s="103"/>
      <c r="W68" s="103">
        <f t="shared" si="50"/>
        <v>318.07499999999999</v>
      </c>
      <c r="X68" s="152"/>
      <c r="Y68" s="152">
        <v>7.4999999999999997E-2</v>
      </c>
      <c r="Z68" s="153">
        <v>4241</v>
      </c>
      <c r="AA68" s="103">
        <v>135</v>
      </c>
      <c r="AB68" s="103">
        <f t="shared" si="51"/>
        <v>389.20000000000005</v>
      </c>
      <c r="AC68" s="213">
        <v>0.27</v>
      </c>
      <c r="AD68" s="103">
        <v>95</v>
      </c>
      <c r="AE68" s="103">
        <f>D68-I68-N68-Q68-U68-W68-AA68-AB68-AD68-AF68-L68</f>
        <v>612.00350000000049</v>
      </c>
      <c r="AF68" s="103">
        <f>D68*AC68+L68</f>
        <v>2038.3300000000002</v>
      </c>
    </row>
    <row r="69" spans="1:32" ht="15">
      <c r="A69" s="190"/>
      <c r="B69" s="205">
        <v>465183</v>
      </c>
      <c r="C69" s="117"/>
      <c r="D69" s="103"/>
      <c r="E69" s="102">
        <f t="shared" si="43"/>
        <v>0</v>
      </c>
      <c r="F69" s="112"/>
      <c r="G69" s="112"/>
      <c r="H69" s="128"/>
      <c r="I69" s="128"/>
      <c r="J69" s="128"/>
      <c r="K69" s="128"/>
      <c r="L69" s="128"/>
      <c r="M69" s="146"/>
      <c r="N69" s="103">
        <f t="shared" si="49"/>
        <v>0</v>
      </c>
      <c r="O69" s="103">
        <v>7</v>
      </c>
      <c r="P69" s="103">
        <v>1550</v>
      </c>
      <c r="Q69" s="103">
        <v>841.63</v>
      </c>
      <c r="R69" s="103"/>
      <c r="S69" s="103">
        <v>0</v>
      </c>
      <c r="T69" s="103"/>
      <c r="U69" s="103">
        <v>40</v>
      </c>
      <c r="V69" s="103"/>
      <c r="W69" s="103">
        <f t="shared" si="50"/>
        <v>0</v>
      </c>
      <c r="X69" s="152"/>
      <c r="Y69" s="152">
        <v>7.6999999999999999E-2</v>
      </c>
      <c r="Z69" s="153"/>
      <c r="AA69" s="103">
        <v>135</v>
      </c>
      <c r="AB69" s="103">
        <f t="shared" si="51"/>
        <v>0</v>
      </c>
      <c r="AC69" s="213">
        <v>0.27</v>
      </c>
      <c r="AD69" s="103">
        <v>95</v>
      </c>
      <c r="AE69" s="103">
        <f>D69-I69-N69-Q69-U69-W69-AA69-AB69-AD69-AF69-P69</f>
        <v>-2661.63</v>
      </c>
      <c r="AF69" s="103">
        <f>D69*AC69</f>
        <v>0</v>
      </c>
    </row>
    <row r="70" spans="1:32" ht="15">
      <c r="A70" s="187" t="s">
        <v>563</v>
      </c>
      <c r="B70" s="208">
        <v>465185</v>
      </c>
      <c r="C70" s="117">
        <v>5</v>
      </c>
      <c r="D70" s="103">
        <v>2250</v>
      </c>
      <c r="E70" s="102">
        <f t="shared" si="43"/>
        <v>1414</v>
      </c>
      <c r="F70" s="112">
        <v>1126</v>
      </c>
      <c r="G70" s="112">
        <v>288</v>
      </c>
      <c r="H70" s="128">
        <f t="shared" ref="H70:H82" si="52">D70/E70</f>
        <v>1.5912305516265912</v>
      </c>
      <c r="I70" s="128">
        <v>461.96</v>
      </c>
      <c r="J70" s="128">
        <v>61.95</v>
      </c>
      <c r="K70" s="128"/>
      <c r="L70" s="128"/>
      <c r="M70" s="146">
        <v>11.14</v>
      </c>
      <c r="N70" s="103">
        <f t="shared" si="49"/>
        <v>19.125</v>
      </c>
      <c r="O70" s="103">
        <v>7</v>
      </c>
      <c r="P70" s="103"/>
      <c r="Q70" s="103">
        <v>841.63</v>
      </c>
      <c r="R70" s="103"/>
      <c r="S70" s="103">
        <v>0</v>
      </c>
      <c r="T70" s="103"/>
      <c r="U70" s="103">
        <v>40</v>
      </c>
      <c r="V70" s="103"/>
      <c r="W70" s="103">
        <f t="shared" si="50"/>
        <v>39.423999999999999</v>
      </c>
      <c r="X70" s="152"/>
      <c r="Y70" s="152">
        <v>7.6999999999999999E-2</v>
      </c>
      <c r="Z70" s="153">
        <v>512</v>
      </c>
      <c r="AA70" s="103">
        <v>135</v>
      </c>
      <c r="AB70" s="103">
        <f t="shared" si="51"/>
        <v>141.4</v>
      </c>
      <c r="AC70" s="213">
        <v>0.25</v>
      </c>
      <c r="AD70" s="103">
        <v>95</v>
      </c>
      <c r="AE70" s="103">
        <f>D70-I70-J70-N70-O70-Q70-W70-AA70-AB70-AD70-AC70*E70+M70-U70</f>
        <v>65.150999999999968</v>
      </c>
      <c r="AF70" s="103">
        <f>AC70*E70+K70</f>
        <v>353.5</v>
      </c>
    </row>
    <row r="71" spans="1:32" ht="15">
      <c r="A71" s="190" t="s">
        <v>519</v>
      </c>
      <c r="B71" s="185">
        <v>465186</v>
      </c>
      <c r="C71" s="112">
        <v>7</v>
      </c>
      <c r="D71" s="103">
        <v>6850</v>
      </c>
      <c r="E71" s="102">
        <f t="shared" si="43"/>
        <v>3325</v>
      </c>
      <c r="F71" s="112">
        <v>2921</v>
      </c>
      <c r="G71" s="112">
        <v>404</v>
      </c>
      <c r="H71" s="128">
        <f t="shared" si="52"/>
        <v>2.0601503759398496</v>
      </c>
      <c r="I71" s="128">
        <f>2449.32+400</f>
        <v>2849.32</v>
      </c>
      <c r="J71" s="128">
        <v>461.19</v>
      </c>
      <c r="K71" s="128"/>
      <c r="L71" s="128"/>
      <c r="M71" s="146">
        <v>58.42</v>
      </c>
      <c r="N71" s="103">
        <f t="shared" si="49"/>
        <v>58.225000000000001</v>
      </c>
      <c r="O71" s="103">
        <v>7</v>
      </c>
      <c r="P71" s="103"/>
      <c r="Q71" s="103">
        <v>841.63</v>
      </c>
      <c r="R71" s="103"/>
      <c r="S71" s="103">
        <v>0</v>
      </c>
      <c r="T71" s="103"/>
      <c r="U71" s="103">
        <v>40</v>
      </c>
      <c r="V71" s="103"/>
      <c r="W71" s="103">
        <f t="shared" si="50"/>
        <v>274.351</v>
      </c>
      <c r="X71" s="152"/>
      <c r="Y71" s="152">
        <v>7.6999999999999999E-2</v>
      </c>
      <c r="Z71" s="153">
        <v>3563</v>
      </c>
      <c r="AA71" s="103">
        <v>135</v>
      </c>
      <c r="AB71" s="103">
        <f t="shared" si="51"/>
        <v>332.5</v>
      </c>
      <c r="AC71" s="213">
        <v>0.27</v>
      </c>
      <c r="AD71" s="103">
        <v>95</v>
      </c>
      <c r="AE71" s="103">
        <f>D71-I71-N71-Q71-U71-W71-AA71-AB71-AD71-AF71-P71</f>
        <v>374.47399999999948</v>
      </c>
      <c r="AF71" s="103">
        <f>D71*AC71</f>
        <v>1849.5000000000002</v>
      </c>
    </row>
    <row r="72" spans="1:32" ht="15">
      <c r="A72" s="187" t="s">
        <v>439</v>
      </c>
      <c r="B72" s="185">
        <v>465187</v>
      </c>
      <c r="C72" s="117">
        <v>7</v>
      </c>
      <c r="D72" s="103">
        <v>11840</v>
      </c>
      <c r="E72" s="102">
        <f t="shared" si="43"/>
        <v>5454</v>
      </c>
      <c r="F72" s="112">
        <v>5368</v>
      </c>
      <c r="G72" s="112">
        <v>86</v>
      </c>
      <c r="H72" s="128">
        <f t="shared" si="52"/>
        <v>2.1708837550421709</v>
      </c>
      <c r="I72" s="128">
        <v>3213.88</v>
      </c>
      <c r="J72" s="128">
        <v>79.8</v>
      </c>
      <c r="K72" s="128"/>
      <c r="L72" s="128"/>
      <c r="M72" s="146">
        <v>189.06</v>
      </c>
      <c r="N72" s="103">
        <f t="shared" si="49"/>
        <v>100.64</v>
      </c>
      <c r="O72" s="103">
        <v>7</v>
      </c>
      <c r="P72" s="103"/>
      <c r="Q72" s="103">
        <v>841.63</v>
      </c>
      <c r="R72" s="103"/>
      <c r="S72" s="103">
        <v>0</v>
      </c>
      <c r="T72" s="103"/>
      <c r="U72" s="103">
        <v>40</v>
      </c>
      <c r="V72" s="103"/>
      <c r="W72" s="103">
        <f t="shared" si="50"/>
        <v>402.17099999999999</v>
      </c>
      <c r="X72" s="152"/>
      <c r="Y72" s="152">
        <v>7.6999999999999999E-2</v>
      </c>
      <c r="Z72" s="153">
        <v>5223</v>
      </c>
      <c r="AA72" s="103">
        <v>135</v>
      </c>
      <c r="AB72" s="103">
        <f t="shared" si="51"/>
        <v>545.4</v>
      </c>
      <c r="AC72" s="154">
        <v>0.6</v>
      </c>
      <c r="AD72" s="103">
        <v>95</v>
      </c>
      <c r="AE72" s="103">
        <f>D72-I72-J72-N72-O72-Q72-W72-AA72-AB72-AD72-AC72*E72+M72-U72-P72</f>
        <v>3296.1390000000001</v>
      </c>
      <c r="AF72" s="103">
        <f t="shared" ref="AF72:AF74" si="53">AC72*E72</f>
        <v>3272.4</v>
      </c>
    </row>
    <row r="73" spans="1:32" ht="15">
      <c r="A73" s="187" t="s">
        <v>550</v>
      </c>
      <c r="B73" s="208">
        <v>191281</v>
      </c>
      <c r="C73" s="112">
        <v>7</v>
      </c>
      <c r="D73" s="103">
        <v>5142</v>
      </c>
      <c r="E73" s="102">
        <f t="shared" si="43"/>
        <v>2593</v>
      </c>
      <c r="F73" s="117">
        <v>2453</v>
      </c>
      <c r="G73" s="117">
        <v>140</v>
      </c>
      <c r="H73" s="128">
        <f t="shared" si="52"/>
        <v>1.9830312379483224</v>
      </c>
      <c r="I73" s="128">
        <v>1444.89</v>
      </c>
      <c r="J73" s="128">
        <v>107.68</v>
      </c>
      <c r="K73" s="103"/>
      <c r="L73" s="103"/>
      <c r="M73" s="146">
        <v>14.89</v>
      </c>
      <c r="N73" s="103">
        <f t="shared" si="49"/>
        <v>43.707000000000001</v>
      </c>
      <c r="O73" s="103">
        <v>7</v>
      </c>
      <c r="P73" s="103"/>
      <c r="Q73" s="103">
        <v>841.63</v>
      </c>
      <c r="R73" s="103"/>
      <c r="S73" s="103">
        <v>0</v>
      </c>
      <c r="T73" s="103"/>
      <c r="U73" s="103">
        <v>40</v>
      </c>
      <c r="V73" s="103"/>
      <c r="W73" s="103">
        <f t="shared" si="50"/>
        <v>198.82499999999999</v>
      </c>
      <c r="X73" s="152"/>
      <c r="Y73" s="152">
        <v>7.4999999999999997E-2</v>
      </c>
      <c r="Z73" s="153">
        <v>2651</v>
      </c>
      <c r="AA73" s="103">
        <v>135</v>
      </c>
      <c r="AB73" s="103">
        <f t="shared" si="51"/>
        <v>259.3</v>
      </c>
      <c r="AC73" s="154">
        <v>0.5</v>
      </c>
      <c r="AD73" s="103">
        <v>95</v>
      </c>
      <c r="AE73" s="103">
        <f t="shared" ref="AE73:AE74" si="54">D73-I73-J73-N73-O73-Q73-W73-AA73-AB73-AD73-AC73*E73+M73-U73</f>
        <v>687.35799999999983</v>
      </c>
      <c r="AF73" s="103">
        <f t="shared" si="53"/>
        <v>1296.5</v>
      </c>
    </row>
    <row r="74" spans="1:32" ht="15">
      <c r="A74" s="190" t="s">
        <v>427</v>
      </c>
      <c r="B74" s="185">
        <v>465188</v>
      </c>
      <c r="C74" s="112">
        <v>7</v>
      </c>
      <c r="D74" s="103">
        <v>8075</v>
      </c>
      <c r="E74" s="102">
        <f t="shared" si="43"/>
        <v>3832</v>
      </c>
      <c r="F74" s="117">
        <v>3554</v>
      </c>
      <c r="G74" s="117">
        <v>278</v>
      </c>
      <c r="H74" s="128">
        <f t="shared" si="52"/>
        <v>2.1072546972860127</v>
      </c>
      <c r="I74" s="128">
        <v>2339.7800000000002</v>
      </c>
      <c r="J74" s="128">
        <v>64.89</v>
      </c>
      <c r="K74" s="128"/>
      <c r="L74" s="128"/>
      <c r="M74" s="146">
        <v>209.38</v>
      </c>
      <c r="N74" s="103">
        <f t="shared" si="49"/>
        <v>68.637500000000003</v>
      </c>
      <c r="O74" s="103">
        <v>7</v>
      </c>
      <c r="P74" s="103"/>
      <c r="Q74" s="103">
        <v>841.63</v>
      </c>
      <c r="R74" s="103"/>
      <c r="S74" s="103">
        <v>0</v>
      </c>
      <c r="T74" s="103"/>
      <c r="U74" s="103">
        <v>40</v>
      </c>
      <c r="V74" s="103"/>
      <c r="W74" s="103">
        <f t="shared" si="50"/>
        <v>305.69</v>
      </c>
      <c r="X74" s="152"/>
      <c r="Y74" s="152">
        <v>7.6999999999999999E-2</v>
      </c>
      <c r="Z74" s="153">
        <v>3970</v>
      </c>
      <c r="AA74" s="103">
        <v>135</v>
      </c>
      <c r="AB74" s="103">
        <f t="shared" si="51"/>
        <v>383.20000000000005</v>
      </c>
      <c r="AC74" s="154">
        <v>0.6</v>
      </c>
      <c r="AD74" s="103">
        <v>95</v>
      </c>
      <c r="AE74" s="103">
        <f t="shared" si="54"/>
        <v>1704.3525</v>
      </c>
      <c r="AF74" s="103">
        <f t="shared" si="53"/>
        <v>2299.1999999999998</v>
      </c>
    </row>
    <row r="75" spans="1:32" ht="15">
      <c r="A75" s="184" t="s">
        <v>541</v>
      </c>
      <c r="B75" s="185">
        <v>191277</v>
      </c>
      <c r="C75" s="112">
        <v>3</v>
      </c>
      <c r="D75" s="103">
        <v>2510</v>
      </c>
      <c r="E75" s="102">
        <f t="shared" si="43"/>
        <v>1136</v>
      </c>
      <c r="F75" s="117">
        <v>1020</v>
      </c>
      <c r="G75" s="117">
        <v>116</v>
      </c>
      <c r="H75" s="128">
        <f t="shared" si="52"/>
        <v>2.209507042253521</v>
      </c>
      <c r="I75" s="128">
        <v>541.72</v>
      </c>
      <c r="J75" s="128"/>
      <c r="K75" s="103"/>
      <c r="L75" s="103"/>
      <c r="M75" s="146">
        <v>97.32</v>
      </c>
      <c r="N75" s="103">
        <f t="shared" si="49"/>
        <v>21.335000000000001</v>
      </c>
      <c r="O75" s="103">
        <v>7</v>
      </c>
      <c r="P75" s="103"/>
      <c r="Q75" s="103">
        <v>841.63</v>
      </c>
      <c r="R75" s="103"/>
      <c r="S75" s="103">
        <v>0</v>
      </c>
      <c r="T75" s="103"/>
      <c r="U75" s="103">
        <v>40</v>
      </c>
      <c r="V75" s="103"/>
      <c r="W75" s="103">
        <f t="shared" si="50"/>
        <v>83.024999999999991</v>
      </c>
      <c r="X75" s="152"/>
      <c r="Y75" s="152">
        <v>7.4999999999999997E-2</v>
      </c>
      <c r="Z75" s="153">
        <v>1107</v>
      </c>
      <c r="AA75" s="103">
        <v>135</v>
      </c>
      <c r="AB75" s="103">
        <f t="shared" si="51"/>
        <v>113.60000000000001</v>
      </c>
      <c r="AC75" s="154">
        <v>0.6</v>
      </c>
      <c r="AD75" s="103">
        <v>95</v>
      </c>
      <c r="AE75" s="103">
        <f>D75-I75-J75-N75-O75-Q75-W75-AA75-AB75-AD75-AC75*E75+M75-U75-P75</f>
        <v>47.410000000000025</v>
      </c>
      <c r="AF75" s="103">
        <f>AC75*E75+K75-L75</f>
        <v>681.6</v>
      </c>
    </row>
    <row r="76" spans="1:32" ht="15">
      <c r="A76" s="190" t="s">
        <v>555</v>
      </c>
      <c r="B76" s="208" t="s">
        <v>564</v>
      </c>
      <c r="C76" s="112">
        <v>7</v>
      </c>
      <c r="D76" s="103">
        <v>2850</v>
      </c>
      <c r="E76" s="102">
        <f t="shared" si="43"/>
        <v>1585</v>
      </c>
      <c r="F76" s="112">
        <v>1479</v>
      </c>
      <c r="G76" s="112">
        <v>106</v>
      </c>
      <c r="H76" s="128">
        <f t="shared" si="52"/>
        <v>1.7981072555205047</v>
      </c>
      <c r="I76" s="128">
        <v>739.87</v>
      </c>
      <c r="J76" s="128">
        <v>192.57</v>
      </c>
      <c r="K76" s="103"/>
      <c r="L76" s="103"/>
      <c r="M76" s="146">
        <v>17.93</v>
      </c>
      <c r="N76" s="103">
        <f t="shared" si="49"/>
        <v>24.225000000000001</v>
      </c>
      <c r="O76" s="103">
        <v>7</v>
      </c>
      <c r="P76" s="103"/>
      <c r="Q76" s="103">
        <v>841.63</v>
      </c>
      <c r="R76" s="103"/>
      <c r="S76" s="103">
        <v>0</v>
      </c>
      <c r="T76" s="103"/>
      <c r="U76" s="103">
        <v>40</v>
      </c>
      <c r="V76" s="103"/>
      <c r="W76" s="103">
        <f t="shared" si="50"/>
        <v>59.366999999999997</v>
      </c>
      <c r="X76" s="152"/>
      <c r="Y76" s="152">
        <v>7.6999999999999999E-2</v>
      </c>
      <c r="Z76" s="153">
        <v>771</v>
      </c>
      <c r="AA76" s="103">
        <v>135</v>
      </c>
      <c r="AB76" s="103">
        <f t="shared" si="51"/>
        <v>158.5</v>
      </c>
      <c r="AC76" s="213">
        <v>0.27</v>
      </c>
      <c r="AD76" s="103">
        <v>95</v>
      </c>
      <c r="AE76" s="103">
        <f>D76-I76-N76-Q76-U76-W76-AA76-AB76-AD76-AF76-P76</f>
        <v>-13.091999999999871</v>
      </c>
      <c r="AF76" s="103">
        <f>D76*AC76</f>
        <v>769.5</v>
      </c>
    </row>
    <row r="77" spans="1:32" ht="15">
      <c r="A77" s="190" t="s">
        <v>491</v>
      </c>
      <c r="B77" s="185">
        <v>465181</v>
      </c>
      <c r="C77" s="117">
        <v>7</v>
      </c>
      <c r="D77" s="103">
        <v>9950</v>
      </c>
      <c r="E77" s="102">
        <f t="shared" si="43"/>
        <v>4920</v>
      </c>
      <c r="F77" s="112">
        <v>4521</v>
      </c>
      <c r="G77" s="112">
        <v>399</v>
      </c>
      <c r="H77" s="128">
        <f t="shared" si="52"/>
        <v>2.0223577235772359</v>
      </c>
      <c r="I77" s="146">
        <v>2684.89</v>
      </c>
      <c r="J77" s="128">
        <v>11.98</v>
      </c>
      <c r="K77" s="128"/>
      <c r="L77" s="128">
        <v>100</v>
      </c>
      <c r="M77" s="146">
        <v>316.20999999999998</v>
      </c>
      <c r="N77" s="103">
        <f t="shared" si="49"/>
        <v>84.575000000000003</v>
      </c>
      <c r="O77" s="103">
        <v>7</v>
      </c>
      <c r="P77" s="103"/>
      <c r="Q77" s="103">
        <v>841.63</v>
      </c>
      <c r="R77" s="103"/>
      <c r="S77" s="103">
        <v>0</v>
      </c>
      <c r="T77" s="103"/>
      <c r="U77" s="103">
        <v>40</v>
      </c>
      <c r="V77" s="103"/>
      <c r="W77" s="103">
        <f t="shared" si="50"/>
        <v>347.11599999999999</v>
      </c>
      <c r="X77" s="152"/>
      <c r="Y77" s="152">
        <v>7.6999999999999999E-2</v>
      </c>
      <c r="Z77" s="153">
        <v>4508</v>
      </c>
      <c r="AA77" s="103">
        <v>135</v>
      </c>
      <c r="AB77" s="103">
        <f t="shared" si="51"/>
        <v>492</v>
      </c>
      <c r="AC77" s="154">
        <v>0.6</v>
      </c>
      <c r="AD77" s="103">
        <v>95</v>
      </c>
      <c r="AE77" s="103">
        <f>D77-I77-J77-N77-O77-Q77-W77-AA77-AB77-AD77-AC77*E77+M77-U77-P77-K77</f>
        <v>2575.0190000000011</v>
      </c>
      <c r="AF77" s="103">
        <f>AC77*E77+K77+L77</f>
        <v>3052</v>
      </c>
    </row>
    <row r="78" spans="1:32" ht="15">
      <c r="A78" s="215" t="s">
        <v>429</v>
      </c>
      <c r="B78" s="216">
        <v>191275</v>
      </c>
      <c r="C78" s="217">
        <v>7</v>
      </c>
      <c r="D78" s="218">
        <v>10500</v>
      </c>
      <c r="E78" s="219">
        <f t="shared" si="43"/>
        <v>5212</v>
      </c>
      <c r="F78" s="217">
        <v>5145</v>
      </c>
      <c r="G78" s="217">
        <v>67</v>
      </c>
      <c r="H78" s="128">
        <f t="shared" si="52"/>
        <v>2.014581734458941</v>
      </c>
      <c r="I78" s="220">
        <v>2651.12</v>
      </c>
      <c r="J78" s="221"/>
      <c r="K78" s="221"/>
      <c r="L78" s="221"/>
      <c r="M78" s="220">
        <v>44.84</v>
      </c>
      <c r="N78" s="218">
        <f t="shared" si="49"/>
        <v>89.25</v>
      </c>
      <c r="O78" s="218">
        <v>7</v>
      </c>
      <c r="P78" s="218"/>
      <c r="Q78" s="218">
        <v>841.63</v>
      </c>
      <c r="R78" s="218">
        <v>50</v>
      </c>
      <c r="S78" s="218">
        <v>1200</v>
      </c>
      <c r="T78" s="218">
        <v>30</v>
      </c>
      <c r="U78" s="218">
        <v>40</v>
      </c>
      <c r="V78" s="218">
        <v>300</v>
      </c>
      <c r="W78" s="218">
        <f t="shared" si="50"/>
        <v>377.17500000000001</v>
      </c>
      <c r="X78" s="218">
        <f t="shared" ref="X78:X81" si="55">0.15*Z78</f>
        <v>754.35</v>
      </c>
      <c r="Y78" s="222">
        <v>7.4999999999999997E-2</v>
      </c>
      <c r="Z78" s="219" t="s">
        <v>565</v>
      </c>
      <c r="AA78" s="218">
        <v>135</v>
      </c>
      <c r="AB78" s="218">
        <f t="shared" si="51"/>
        <v>521.20000000000005</v>
      </c>
      <c r="AC78" s="223">
        <v>0.87</v>
      </c>
      <c r="AD78" s="218">
        <v>95</v>
      </c>
      <c r="AE78" s="103">
        <f t="shared" ref="AE78:AE81" si="56">D78*13%+R78+T78+S78+V78-Q78-W78-AA78-AD78+X78-N78+M78-U78</f>
        <v>2166.1350000000002</v>
      </c>
      <c r="AF78" s="103">
        <f t="shared" ref="AF78:AF81" si="57">D78*AC78-I78-J78-S78-R78-T78-V78-X78</f>
        <v>4149.53</v>
      </c>
    </row>
    <row r="79" spans="1:32" ht="15">
      <c r="A79" s="229" t="s">
        <v>435</v>
      </c>
      <c r="B79" s="216">
        <v>191282</v>
      </c>
      <c r="C79" s="217">
        <v>4</v>
      </c>
      <c r="D79" s="218">
        <v>5325</v>
      </c>
      <c r="E79" s="219">
        <f t="shared" si="43"/>
        <v>2571</v>
      </c>
      <c r="F79" s="217">
        <v>2205</v>
      </c>
      <c r="G79" s="217">
        <v>366</v>
      </c>
      <c r="H79" s="128">
        <f t="shared" si="52"/>
        <v>2.0711785297549592</v>
      </c>
      <c r="I79" s="220">
        <v>1218.23</v>
      </c>
      <c r="J79" s="221">
        <v>14</v>
      </c>
      <c r="K79" s="221"/>
      <c r="L79" s="221"/>
      <c r="M79" s="220">
        <v>42.01</v>
      </c>
      <c r="N79" s="218">
        <f t="shared" si="49"/>
        <v>45.262500000000003</v>
      </c>
      <c r="O79" s="218">
        <v>7</v>
      </c>
      <c r="P79" s="218"/>
      <c r="Q79" s="218">
        <v>841.63</v>
      </c>
      <c r="R79" s="218">
        <v>50</v>
      </c>
      <c r="S79" s="218">
        <v>1200</v>
      </c>
      <c r="T79" s="218">
        <v>30</v>
      </c>
      <c r="U79" s="218">
        <v>40</v>
      </c>
      <c r="V79" s="218">
        <v>300</v>
      </c>
      <c r="W79" s="218">
        <f t="shared" si="50"/>
        <v>186.648</v>
      </c>
      <c r="X79" s="218">
        <f t="shared" si="55"/>
        <v>363.59999999999997</v>
      </c>
      <c r="Y79" s="222">
        <v>7.6999999999999999E-2</v>
      </c>
      <c r="Z79" s="219" t="s">
        <v>566</v>
      </c>
      <c r="AA79" s="218">
        <v>135</v>
      </c>
      <c r="AB79" s="218">
        <f t="shared" si="51"/>
        <v>257.10000000000002</v>
      </c>
      <c r="AC79" s="223">
        <v>0.87</v>
      </c>
      <c r="AD79" s="218">
        <v>95</v>
      </c>
      <c r="AE79" s="103">
        <f t="shared" si="56"/>
        <v>1334.3194999999998</v>
      </c>
      <c r="AF79" s="103">
        <f t="shared" si="57"/>
        <v>1456.92</v>
      </c>
    </row>
    <row r="80" spans="1:32" ht="15">
      <c r="A80" s="229" t="s">
        <v>557</v>
      </c>
      <c r="B80" s="216">
        <v>465184</v>
      </c>
      <c r="C80" s="217">
        <v>7</v>
      </c>
      <c r="D80" s="218">
        <v>8100</v>
      </c>
      <c r="E80" s="219">
        <f t="shared" si="43"/>
        <v>3905</v>
      </c>
      <c r="F80" s="217">
        <v>3723</v>
      </c>
      <c r="G80" s="217">
        <v>182</v>
      </c>
      <c r="H80" s="128">
        <f t="shared" si="52"/>
        <v>2.0742637644046096</v>
      </c>
      <c r="I80" s="220">
        <v>1932.81</v>
      </c>
      <c r="J80" s="221">
        <v>249.92</v>
      </c>
      <c r="K80" s="221"/>
      <c r="L80" s="221"/>
      <c r="M80" s="220">
        <v>0</v>
      </c>
      <c r="N80" s="218">
        <f t="shared" si="49"/>
        <v>68.850000000000009</v>
      </c>
      <c r="O80" s="218">
        <v>7</v>
      </c>
      <c r="P80" s="218"/>
      <c r="Q80" s="218">
        <v>841.63</v>
      </c>
      <c r="R80" s="218">
        <v>50</v>
      </c>
      <c r="S80" s="218">
        <v>1050</v>
      </c>
      <c r="T80" s="218">
        <v>30</v>
      </c>
      <c r="U80" s="218">
        <v>40</v>
      </c>
      <c r="V80" s="218">
        <v>400</v>
      </c>
      <c r="W80" s="218">
        <f t="shared" si="50"/>
        <v>309.38600000000002</v>
      </c>
      <c r="X80" s="218">
        <f t="shared" si="55"/>
        <v>602.69999999999993</v>
      </c>
      <c r="Y80" s="222">
        <v>7.6999999999999999E-2</v>
      </c>
      <c r="Z80" s="219" t="s">
        <v>567</v>
      </c>
      <c r="AA80" s="218">
        <v>135</v>
      </c>
      <c r="AB80" s="218">
        <f t="shared" si="51"/>
        <v>390.5</v>
      </c>
      <c r="AC80" s="223">
        <v>0.87</v>
      </c>
      <c r="AD80" s="218">
        <v>95</v>
      </c>
      <c r="AE80" s="103">
        <f t="shared" si="56"/>
        <v>1695.8339999999998</v>
      </c>
      <c r="AF80" s="103">
        <f t="shared" si="57"/>
        <v>2731.5700000000006</v>
      </c>
    </row>
    <row r="81" spans="1:32" ht="15">
      <c r="A81" s="229" t="s">
        <v>568</v>
      </c>
      <c r="B81" s="216">
        <v>191278</v>
      </c>
      <c r="C81" s="217">
        <v>5</v>
      </c>
      <c r="D81" s="218">
        <v>6150</v>
      </c>
      <c r="E81" s="219">
        <f t="shared" si="43"/>
        <v>2614</v>
      </c>
      <c r="F81" s="217">
        <v>2435</v>
      </c>
      <c r="G81" s="217">
        <v>179</v>
      </c>
      <c r="H81" s="128">
        <f t="shared" si="52"/>
        <v>2.352716143840857</v>
      </c>
      <c r="I81" s="220">
        <v>1989.02</v>
      </c>
      <c r="J81" s="221">
        <v>32.950000000000003</v>
      </c>
      <c r="K81" s="221"/>
      <c r="L81" s="221"/>
      <c r="M81" s="220">
        <v>280.75</v>
      </c>
      <c r="N81" s="218">
        <f t="shared" si="49"/>
        <v>52.275000000000006</v>
      </c>
      <c r="O81" s="218">
        <v>7</v>
      </c>
      <c r="P81" s="218"/>
      <c r="Q81" s="218">
        <v>841.63</v>
      </c>
      <c r="R81" s="218">
        <v>50</v>
      </c>
      <c r="S81" s="218">
        <v>1050</v>
      </c>
      <c r="T81" s="218">
        <v>30</v>
      </c>
      <c r="U81" s="218">
        <v>40</v>
      </c>
      <c r="V81" s="218">
        <v>400</v>
      </c>
      <c r="W81" s="218">
        <f t="shared" si="50"/>
        <v>200.12299999999999</v>
      </c>
      <c r="X81" s="218">
        <f t="shared" si="55"/>
        <v>389.84999999999997</v>
      </c>
      <c r="Y81" s="222">
        <v>7.6999999999999999E-2</v>
      </c>
      <c r="Z81" s="219" t="s">
        <v>569</v>
      </c>
      <c r="AA81" s="218">
        <v>135</v>
      </c>
      <c r="AB81" s="218">
        <f t="shared" si="51"/>
        <v>261.40000000000003</v>
      </c>
      <c r="AC81" s="223">
        <v>0.87</v>
      </c>
      <c r="AD81" s="218">
        <v>95</v>
      </c>
      <c r="AE81" s="103">
        <f t="shared" si="56"/>
        <v>1636.0719999999997</v>
      </c>
      <c r="AF81" s="103">
        <f t="shared" si="57"/>
        <v>1408.6800000000003</v>
      </c>
    </row>
    <row r="82" spans="1:32" ht="15">
      <c r="A82" s="134" t="s">
        <v>462</v>
      </c>
      <c r="B82" s="135" t="s">
        <v>399</v>
      </c>
      <c r="C82" s="158">
        <v>7</v>
      </c>
      <c r="D82" s="139">
        <v>6410</v>
      </c>
      <c r="E82" s="136">
        <v>3057</v>
      </c>
      <c r="F82" s="136"/>
      <c r="G82" s="136"/>
      <c r="H82" s="128">
        <f t="shared" si="52"/>
        <v>2.0968269545305858</v>
      </c>
      <c r="I82" s="139">
        <v>2093.88</v>
      </c>
      <c r="J82" s="139">
        <v>72.36</v>
      </c>
      <c r="K82" s="139"/>
      <c r="L82" s="139"/>
      <c r="M82" s="139">
        <v>70.91</v>
      </c>
      <c r="N82" s="139">
        <f t="shared" si="49"/>
        <v>54.485000000000007</v>
      </c>
      <c r="O82" s="139">
        <v>0</v>
      </c>
      <c r="P82" s="139"/>
      <c r="Q82" s="139">
        <v>0</v>
      </c>
      <c r="R82" s="139">
        <v>0</v>
      </c>
      <c r="S82" s="139">
        <v>0</v>
      </c>
      <c r="T82" s="139">
        <v>0</v>
      </c>
      <c r="U82" s="139">
        <v>40</v>
      </c>
      <c r="V82" s="139">
        <v>0</v>
      </c>
      <c r="W82" s="139">
        <v>0</v>
      </c>
      <c r="X82" s="159"/>
      <c r="Y82" s="159">
        <v>0</v>
      </c>
      <c r="Z82" s="136">
        <v>3057</v>
      </c>
      <c r="AA82" s="139">
        <v>0</v>
      </c>
      <c r="AB82" s="139">
        <f t="shared" si="51"/>
        <v>305.7</v>
      </c>
      <c r="AC82" s="160">
        <v>0.85</v>
      </c>
      <c r="AD82" s="139">
        <v>95</v>
      </c>
      <c r="AE82" s="139">
        <f>D82*0.15-AD82-AB82+V82+T82+S82+R82-N82+M82-U82</f>
        <v>537.22499999999991</v>
      </c>
      <c r="AF82" s="139">
        <f>D82*AC82-I82-J82-V82-T82-S82-R82</f>
        <v>3282.2599999999998</v>
      </c>
    </row>
    <row r="83" spans="1:32" ht="15">
      <c r="A83" s="199" t="s">
        <v>528</v>
      </c>
      <c r="B83" s="230" t="s">
        <v>362</v>
      </c>
      <c r="C83" s="158"/>
      <c r="D83" s="139"/>
      <c r="E83" s="136"/>
      <c r="F83" s="136"/>
      <c r="G83" s="136"/>
      <c r="H83" s="136"/>
      <c r="I83" s="168"/>
      <c r="J83" s="139">
        <v>70.400000000000006</v>
      </c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>
        <v>40</v>
      </c>
      <c r="V83" s="139"/>
      <c r="W83" s="139"/>
      <c r="X83" s="159"/>
      <c r="Y83" s="159"/>
      <c r="Z83" s="136"/>
      <c r="AA83" s="139"/>
      <c r="AB83" s="139"/>
      <c r="AC83" s="160"/>
      <c r="AD83" s="139"/>
      <c r="AE83" s="139"/>
      <c r="AF83" s="139">
        <f>D83-J83</f>
        <v>-70.400000000000006</v>
      </c>
    </row>
    <row r="84" spans="1:32" ht="15">
      <c r="A84" s="134" t="s">
        <v>529</v>
      </c>
      <c r="B84" s="134">
        <v>1118</v>
      </c>
      <c r="C84" s="158">
        <v>7</v>
      </c>
      <c r="D84" s="139">
        <v>6275</v>
      </c>
      <c r="E84" s="136">
        <v>3234</v>
      </c>
      <c r="F84" s="136"/>
      <c r="G84" s="136"/>
      <c r="H84" s="128">
        <f>D84/E84</f>
        <v>1.9403215831787259</v>
      </c>
      <c r="I84" s="139">
        <v>1683.23</v>
      </c>
      <c r="J84" s="139">
        <v>36.99</v>
      </c>
      <c r="K84" s="139"/>
      <c r="L84" s="139"/>
      <c r="M84" s="139">
        <v>6.24</v>
      </c>
      <c r="N84" s="139">
        <f t="shared" ref="N84:N85" si="58">D84*0.0085</f>
        <v>53.337500000000006</v>
      </c>
      <c r="O84" s="139">
        <v>0</v>
      </c>
      <c r="P84" s="139"/>
      <c r="Q84" s="139">
        <v>0</v>
      </c>
      <c r="R84" s="139">
        <v>0</v>
      </c>
      <c r="S84" s="139">
        <v>0</v>
      </c>
      <c r="T84" s="139">
        <v>0</v>
      </c>
      <c r="U84" s="139">
        <v>40</v>
      </c>
      <c r="V84" s="139">
        <v>0</v>
      </c>
      <c r="W84" s="139">
        <v>0</v>
      </c>
      <c r="X84" s="159"/>
      <c r="Y84" s="159">
        <v>0</v>
      </c>
      <c r="Z84" s="136">
        <v>3234</v>
      </c>
      <c r="AA84" s="139">
        <v>0</v>
      </c>
      <c r="AB84" s="139">
        <f t="shared" ref="AB84:AB86" si="59">E84*0.1</f>
        <v>323.40000000000003</v>
      </c>
      <c r="AC84" s="160">
        <v>0.8</v>
      </c>
      <c r="AD84" s="139">
        <v>95</v>
      </c>
      <c r="AE84" s="139">
        <f>D84*0.2-AB84-N84-K84-AD84-U84</f>
        <v>743.26249999999993</v>
      </c>
      <c r="AF84" s="139">
        <f>D84*AC84-I84-J84+K84</f>
        <v>3299.78</v>
      </c>
    </row>
    <row r="85" spans="1:32" ht="15">
      <c r="A85" s="134" t="s">
        <v>467</v>
      </c>
      <c r="B85" s="134">
        <v>1122</v>
      </c>
      <c r="C85" s="158">
        <v>0</v>
      </c>
      <c r="D85" s="139">
        <v>0</v>
      </c>
      <c r="E85" s="136">
        <v>153</v>
      </c>
      <c r="F85" s="136"/>
      <c r="G85" s="136"/>
      <c r="H85" s="128"/>
      <c r="I85" s="168"/>
      <c r="J85" s="139">
        <v>58.77</v>
      </c>
      <c r="K85" s="139"/>
      <c r="L85" s="139"/>
      <c r="M85" s="139"/>
      <c r="N85" s="139">
        <f t="shared" si="58"/>
        <v>0</v>
      </c>
      <c r="O85" s="139">
        <v>7</v>
      </c>
      <c r="P85" s="139"/>
      <c r="Q85" s="139">
        <v>0</v>
      </c>
      <c r="R85" s="139">
        <v>50</v>
      </c>
      <c r="S85" s="139">
        <v>199</v>
      </c>
      <c r="T85" s="139">
        <v>30</v>
      </c>
      <c r="U85" s="139">
        <v>40</v>
      </c>
      <c r="V85" s="139">
        <v>300</v>
      </c>
      <c r="W85" s="139">
        <v>0</v>
      </c>
      <c r="X85" s="159"/>
      <c r="Y85" s="159">
        <v>0</v>
      </c>
      <c r="Z85" s="136">
        <v>153</v>
      </c>
      <c r="AA85" s="139">
        <v>0</v>
      </c>
      <c r="AB85" s="139">
        <f t="shared" si="59"/>
        <v>15.3</v>
      </c>
      <c r="AC85" s="160">
        <v>0.87</v>
      </c>
      <c r="AD85" s="139">
        <v>95</v>
      </c>
      <c r="AE85" s="139">
        <f>D85*0.13-AD85-AB85+V85+T85+S85+R85-N85+M85-U85</f>
        <v>428.7</v>
      </c>
      <c r="AF85" s="139">
        <f>D85*AC85-I85-J85-V85-T85-S85-R85</f>
        <v>-637.77</v>
      </c>
    </row>
    <row r="86" spans="1:32" ht="15">
      <c r="A86" s="134" t="s">
        <v>520</v>
      </c>
      <c r="B86" s="134">
        <v>1650</v>
      </c>
      <c r="C86" s="158">
        <v>7</v>
      </c>
      <c r="D86" s="139">
        <v>5850</v>
      </c>
      <c r="E86" s="136">
        <v>2095</v>
      </c>
      <c r="F86" s="136"/>
      <c r="G86" s="136"/>
      <c r="H86" s="128">
        <f>D86/E86</f>
        <v>2.7923627684964201</v>
      </c>
      <c r="I86" s="139">
        <v>1509.7</v>
      </c>
      <c r="J86" s="139"/>
      <c r="K86" s="139"/>
      <c r="L86" s="139"/>
      <c r="M86" s="139">
        <v>31.4</v>
      </c>
      <c r="N86" s="139"/>
      <c r="O86" s="139"/>
      <c r="P86" s="139"/>
      <c r="Q86" s="139">
        <v>0</v>
      </c>
      <c r="R86" s="139">
        <v>50</v>
      </c>
      <c r="S86" s="139">
        <v>0</v>
      </c>
      <c r="T86" s="139">
        <v>30</v>
      </c>
      <c r="U86" s="139">
        <v>40</v>
      </c>
      <c r="V86" s="139">
        <v>300</v>
      </c>
      <c r="W86" s="139">
        <v>0</v>
      </c>
      <c r="X86" s="159"/>
      <c r="Y86" s="159">
        <v>0</v>
      </c>
      <c r="Z86" s="136">
        <v>2095</v>
      </c>
      <c r="AA86" s="139">
        <v>0</v>
      </c>
      <c r="AB86" s="139">
        <f t="shared" si="59"/>
        <v>209.5</v>
      </c>
      <c r="AC86" s="160">
        <v>0.87</v>
      </c>
      <c r="AD86" s="139">
        <v>95</v>
      </c>
      <c r="AE86" s="139">
        <f>D86*0.13+V86+T86+S86+R86-AB86-N86+M86-U86</f>
        <v>922.4</v>
      </c>
      <c r="AF86" s="139">
        <f>D86*0.87-I86-J86-R86-S86-T86-V86+K86</f>
        <v>3199.8</v>
      </c>
    </row>
    <row r="87" spans="1:32" ht="15">
      <c r="A87" s="72" t="s">
        <v>89</v>
      </c>
      <c r="B87" s="72">
        <v>17</v>
      </c>
      <c r="C87" s="202">
        <f>AVERAGE(C62:C77)</f>
        <v>5.8461538461538458</v>
      </c>
      <c r="D87" s="201">
        <f t="shared" ref="D87:G87" si="60">SUM(D62:D86)</f>
        <v>122783</v>
      </c>
      <c r="E87" s="201">
        <f t="shared" si="60"/>
        <v>59848</v>
      </c>
      <c r="F87" s="201">
        <f t="shared" si="60"/>
        <v>47615</v>
      </c>
      <c r="G87" s="201">
        <f t="shared" si="60"/>
        <v>3694</v>
      </c>
      <c r="H87" s="201">
        <f>AVERAGE(H62:H86)</f>
        <v>2.0596047552485359</v>
      </c>
      <c r="I87" s="201">
        <f t="shared" ref="I87:AB87" si="61">SUM(I62:I86)</f>
        <v>36360.17</v>
      </c>
      <c r="J87" s="201">
        <f t="shared" si="61"/>
        <v>1954.1200000000001</v>
      </c>
      <c r="K87" s="201">
        <f t="shared" si="61"/>
        <v>100</v>
      </c>
      <c r="L87" s="201">
        <f t="shared" si="61"/>
        <v>200</v>
      </c>
      <c r="M87" s="201">
        <f t="shared" si="61"/>
        <v>2453.6799999999998</v>
      </c>
      <c r="N87" s="201">
        <f t="shared" si="61"/>
        <v>993.93050000000017</v>
      </c>
      <c r="O87" s="201">
        <f t="shared" si="61"/>
        <v>147</v>
      </c>
      <c r="P87" s="201">
        <f t="shared" si="61"/>
        <v>2040</v>
      </c>
      <c r="Q87" s="201">
        <f t="shared" si="61"/>
        <v>16832.599999999991</v>
      </c>
      <c r="R87" s="201">
        <f t="shared" si="61"/>
        <v>300</v>
      </c>
      <c r="S87" s="201">
        <f t="shared" si="61"/>
        <v>4699</v>
      </c>
      <c r="T87" s="201">
        <f t="shared" si="61"/>
        <v>180</v>
      </c>
      <c r="U87" s="201">
        <f t="shared" si="61"/>
        <v>1000</v>
      </c>
      <c r="V87" s="201">
        <f t="shared" si="61"/>
        <v>2000</v>
      </c>
      <c r="W87" s="201">
        <f t="shared" si="61"/>
        <v>3927.0510000000008</v>
      </c>
      <c r="X87" s="201">
        <f t="shared" si="61"/>
        <v>2110.5</v>
      </c>
      <c r="Y87" s="201">
        <f t="shared" si="61"/>
        <v>1.4469999999999996</v>
      </c>
      <c r="Z87" s="201">
        <f t="shared" si="61"/>
        <v>46466</v>
      </c>
      <c r="AA87" s="201">
        <f t="shared" si="61"/>
        <v>2700</v>
      </c>
      <c r="AB87" s="201">
        <f t="shared" si="61"/>
        <v>5984.8</v>
      </c>
      <c r="AC87" s="201"/>
      <c r="AD87" s="201">
        <f t="shared" ref="AD87:AF87" si="62">SUM(AD62:AD86)</f>
        <v>2185</v>
      </c>
      <c r="AE87" s="201">
        <f t="shared" si="62"/>
        <v>13729.978500000001</v>
      </c>
      <c r="AF87" s="201">
        <f t="shared" si="62"/>
        <v>39403.800000000003</v>
      </c>
    </row>
    <row r="89" spans="1:32" ht="15">
      <c r="A89" s="461" t="s">
        <v>570</v>
      </c>
      <c r="B89" s="458"/>
      <c r="C89" s="458"/>
      <c r="D89" s="458"/>
      <c r="E89" s="458"/>
      <c r="F89" s="458"/>
      <c r="G89" s="458"/>
      <c r="H89" s="458"/>
      <c r="I89" s="458"/>
      <c r="J89" s="458"/>
      <c r="K89" s="458"/>
      <c r="L89" s="458"/>
      <c r="M89" s="458"/>
      <c r="N89" s="458"/>
      <c r="O89" s="458"/>
      <c r="P89" s="458"/>
      <c r="Q89" s="458"/>
      <c r="R89" s="458"/>
      <c r="S89" s="458"/>
      <c r="T89" s="458"/>
      <c r="U89" s="458"/>
      <c r="V89" s="458"/>
      <c r="W89" s="458"/>
      <c r="X89" s="458"/>
      <c r="Y89" s="458"/>
      <c r="Z89" s="458"/>
      <c r="AA89" s="458"/>
      <c r="AB89" s="458"/>
      <c r="AC89" s="458"/>
      <c r="AD89" s="458"/>
      <c r="AE89" s="458"/>
      <c r="AF89" s="459"/>
    </row>
    <row r="90" spans="1:32" ht="59.25" customHeight="1">
      <c r="A90" s="95" t="s">
        <v>0</v>
      </c>
      <c r="B90" s="95" t="s">
        <v>1</v>
      </c>
      <c r="C90" s="95" t="s">
        <v>372</v>
      </c>
      <c r="D90" s="95" t="s">
        <v>2</v>
      </c>
      <c r="E90" s="95" t="s">
        <v>413</v>
      </c>
      <c r="F90" s="150" t="s">
        <v>414</v>
      </c>
      <c r="G90" s="150" t="s">
        <v>415</v>
      </c>
      <c r="H90" s="95" t="s">
        <v>416</v>
      </c>
      <c r="I90" s="95" t="s">
        <v>7</v>
      </c>
      <c r="J90" s="95" t="s">
        <v>8</v>
      </c>
      <c r="K90" s="95" t="s">
        <v>287</v>
      </c>
      <c r="L90" s="95" t="s">
        <v>288</v>
      </c>
      <c r="M90" s="95" t="s">
        <v>257</v>
      </c>
      <c r="N90" s="95" t="s">
        <v>373</v>
      </c>
      <c r="O90" s="95" t="s">
        <v>374</v>
      </c>
      <c r="P90" s="150" t="s">
        <v>538</v>
      </c>
      <c r="Q90" s="95" t="s">
        <v>375</v>
      </c>
      <c r="R90" s="95" t="s">
        <v>376</v>
      </c>
      <c r="S90" s="95" t="s">
        <v>522</v>
      </c>
      <c r="T90" s="150" t="s">
        <v>378</v>
      </c>
      <c r="U90" s="150" t="s">
        <v>539</v>
      </c>
      <c r="V90" s="150" t="s">
        <v>379</v>
      </c>
      <c r="W90" s="150" t="s">
        <v>352</v>
      </c>
      <c r="X90" s="150" t="s">
        <v>523</v>
      </c>
      <c r="Y90" s="95" t="s">
        <v>380</v>
      </c>
      <c r="Z90" s="95" t="s">
        <v>381</v>
      </c>
      <c r="AA90" s="95" t="s">
        <v>382</v>
      </c>
      <c r="AB90" s="95" t="s">
        <v>383</v>
      </c>
      <c r="AC90" s="95" t="s">
        <v>385</v>
      </c>
      <c r="AD90" s="150" t="s">
        <v>333</v>
      </c>
      <c r="AE90" s="95" t="s">
        <v>13</v>
      </c>
      <c r="AF90" s="95" t="s">
        <v>98</v>
      </c>
    </row>
    <row r="91" spans="1:32" ht="15">
      <c r="A91" s="184" t="s">
        <v>505</v>
      </c>
      <c r="B91" s="185">
        <v>191274</v>
      </c>
      <c r="C91" s="112">
        <v>7</v>
      </c>
      <c r="D91" s="103">
        <v>7990</v>
      </c>
      <c r="E91" s="102">
        <f t="shared" ref="E91:E110" si="63">F91+G91</f>
        <v>4054</v>
      </c>
      <c r="F91" s="117">
        <v>3774</v>
      </c>
      <c r="G91" s="117">
        <v>280</v>
      </c>
      <c r="H91" s="128">
        <f t="shared" ref="H91:H93" si="64">D91/E91</f>
        <v>1.9708929452392698</v>
      </c>
      <c r="I91" s="128">
        <v>2228.48</v>
      </c>
      <c r="J91" s="128">
        <v>263.49</v>
      </c>
      <c r="K91" s="103"/>
      <c r="L91" s="103"/>
      <c r="M91" s="146">
        <v>362.83</v>
      </c>
      <c r="N91" s="103">
        <f t="shared" ref="N91:N97" si="65">D91*0.0085</f>
        <v>67.915000000000006</v>
      </c>
      <c r="O91" s="103">
        <v>7</v>
      </c>
      <c r="P91" s="103"/>
      <c r="Q91" s="103">
        <v>841.63</v>
      </c>
      <c r="R91" s="103"/>
      <c r="S91" s="103">
        <v>0</v>
      </c>
      <c r="T91" s="103"/>
      <c r="U91" s="103">
        <v>40</v>
      </c>
      <c r="V91" s="103"/>
      <c r="W91" s="103">
        <f t="shared" ref="W91:W97" si="66">Z91*Y91</f>
        <v>279.279</v>
      </c>
      <c r="X91" s="152"/>
      <c r="Y91" s="152">
        <v>7.6999999999999999E-2</v>
      </c>
      <c r="Z91" s="155">
        <v>3627</v>
      </c>
      <c r="AA91" s="103">
        <v>135</v>
      </c>
      <c r="AB91" s="103">
        <f t="shared" ref="AB91:AB97" si="67">E91*0.1</f>
        <v>405.40000000000003</v>
      </c>
      <c r="AC91" s="213">
        <v>0.27</v>
      </c>
      <c r="AD91" s="103">
        <v>95</v>
      </c>
      <c r="AE91" s="103">
        <f>D91-I91-N91-Q91-U91-W91-AA91-AB91-AD91-AF91-K91</f>
        <v>1739.9959999999996</v>
      </c>
      <c r="AF91" s="103">
        <f>D91*AC91</f>
        <v>2157.3000000000002</v>
      </c>
    </row>
    <row r="92" spans="1:32" ht="15">
      <c r="A92" s="187" t="s">
        <v>571</v>
      </c>
      <c r="B92" s="208">
        <v>191276</v>
      </c>
      <c r="C92" s="112">
        <v>6</v>
      </c>
      <c r="D92" s="103">
        <v>5550</v>
      </c>
      <c r="E92" s="102">
        <f t="shared" si="63"/>
        <v>2770</v>
      </c>
      <c r="F92" s="102" t="s">
        <v>572</v>
      </c>
      <c r="G92" s="102" t="s">
        <v>573</v>
      </c>
      <c r="H92" s="128">
        <f t="shared" si="64"/>
        <v>2.0036101083032491</v>
      </c>
      <c r="I92" s="128">
        <v>1868.31</v>
      </c>
      <c r="J92" s="128">
        <v>55.43</v>
      </c>
      <c r="K92" s="103"/>
      <c r="L92" s="103"/>
      <c r="M92" s="146">
        <v>295.58999999999997</v>
      </c>
      <c r="N92" s="103">
        <f t="shared" si="65"/>
        <v>47.175000000000004</v>
      </c>
      <c r="O92" s="103">
        <v>7</v>
      </c>
      <c r="P92" s="103"/>
      <c r="Q92" s="103">
        <v>841.63</v>
      </c>
      <c r="R92" s="103"/>
      <c r="S92" s="103">
        <v>0</v>
      </c>
      <c r="T92" s="103"/>
      <c r="U92" s="103">
        <v>40</v>
      </c>
      <c r="V92" s="103"/>
      <c r="W92" s="103">
        <f t="shared" si="66"/>
        <v>209.85</v>
      </c>
      <c r="X92" s="152"/>
      <c r="Y92" s="152">
        <v>7.4999999999999997E-2</v>
      </c>
      <c r="Z92" s="153">
        <v>2798</v>
      </c>
      <c r="AA92" s="103">
        <v>135</v>
      </c>
      <c r="AB92" s="103">
        <f t="shared" si="67"/>
        <v>277</v>
      </c>
      <c r="AC92" s="154">
        <v>0.6</v>
      </c>
      <c r="AD92" s="103">
        <v>95</v>
      </c>
      <c r="AE92" s="103">
        <f t="shared" ref="AE92:AE94" si="68">D92-I92-J92-N92-O92-Q92-W92-AA92-AB92-AD92-AC92*E92+M92-U92-P92</f>
        <v>607.19499999999994</v>
      </c>
      <c r="AF92" s="103">
        <f t="shared" ref="AF92:AF93" si="69">AC92*E92+K92-L92</f>
        <v>1662</v>
      </c>
    </row>
    <row r="93" spans="1:32" ht="15">
      <c r="A93" s="184" t="s">
        <v>541</v>
      </c>
      <c r="B93" s="185">
        <v>191277</v>
      </c>
      <c r="C93" s="112">
        <v>7</v>
      </c>
      <c r="D93" s="103">
        <v>6850</v>
      </c>
      <c r="E93" s="102">
        <f t="shared" si="63"/>
        <v>3363</v>
      </c>
      <c r="F93" s="117">
        <v>3230</v>
      </c>
      <c r="G93" s="117">
        <v>133</v>
      </c>
      <c r="H93" s="128">
        <f t="shared" si="64"/>
        <v>2.0368718406184954</v>
      </c>
      <c r="I93" s="128">
        <v>2203.15</v>
      </c>
      <c r="J93" s="128">
        <v>72.989999999999995</v>
      </c>
      <c r="K93" s="103"/>
      <c r="L93" s="103"/>
      <c r="M93" s="146">
        <v>354.18</v>
      </c>
      <c r="N93" s="103">
        <f t="shared" si="65"/>
        <v>58.225000000000001</v>
      </c>
      <c r="O93" s="103">
        <v>7</v>
      </c>
      <c r="P93" s="103"/>
      <c r="Q93" s="103">
        <v>841.63</v>
      </c>
      <c r="R93" s="103"/>
      <c r="S93" s="103">
        <v>0</v>
      </c>
      <c r="T93" s="103"/>
      <c r="U93" s="103">
        <v>40</v>
      </c>
      <c r="V93" s="103"/>
      <c r="W93" s="103">
        <f t="shared" si="66"/>
        <v>261</v>
      </c>
      <c r="X93" s="152"/>
      <c r="Y93" s="152">
        <v>7.4999999999999997E-2</v>
      </c>
      <c r="Z93" s="153">
        <v>3480</v>
      </c>
      <c r="AA93" s="103">
        <v>135</v>
      </c>
      <c r="AB93" s="103">
        <f t="shared" si="67"/>
        <v>336.3</v>
      </c>
      <c r="AC93" s="154">
        <v>0.6</v>
      </c>
      <c r="AD93" s="103">
        <v>95</v>
      </c>
      <c r="AE93" s="103">
        <f t="shared" si="68"/>
        <v>1136.085</v>
      </c>
      <c r="AF93" s="103">
        <f t="shared" si="69"/>
        <v>2017.8</v>
      </c>
    </row>
    <row r="94" spans="1:32" ht="15">
      <c r="A94" s="198" t="s">
        <v>318</v>
      </c>
      <c r="B94" s="208">
        <v>191279</v>
      </c>
      <c r="C94" s="112"/>
      <c r="D94" s="103"/>
      <c r="E94" s="102">
        <f t="shared" si="63"/>
        <v>0</v>
      </c>
      <c r="F94" s="117"/>
      <c r="G94" s="231"/>
      <c r="H94" s="128"/>
      <c r="I94" s="146">
        <v>697.8</v>
      </c>
      <c r="J94" s="128">
        <v>285.05</v>
      </c>
      <c r="K94" s="103"/>
      <c r="L94" s="103"/>
      <c r="M94" s="146">
        <v>68.489999999999995</v>
      </c>
      <c r="N94" s="103">
        <f t="shared" si="65"/>
        <v>0</v>
      </c>
      <c r="O94" s="103">
        <v>7</v>
      </c>
      <c r="P94" s="103"/>
      <c r="Q94" s="103">
        <v>841.63</v>
      </c>
      <c r="R94" s="103"/>
      <c r="S94" s="103">
        <v>0</v>
      </c>
      <c r="T94" s="103"/>
      <c r="U94" s="103">
        <v>40</v>
      </c>
      <c r="V94" s="103"/>
      <c r="W94" s="103">
        <f t="shared" si="66"/>
        <v>160.94999999999999</v>
      </c>
      <c r="X94" s="152"/>
      <c r="Y94" s="152">
        <v>7.4999999999999997E-2</v>
      </c>
      <c r="Z94" s="153">
        <v>2146</v>
      </c>
      <c r="AA94" s="103">
        <v>135</v>
      </c>
      <c r="AB94" s="103">
        <f t="shared" si="67"/>
        <v>0</v>
      </c>
      <c r="AC94" s="213">
        <v>0.25</v>
      </c>
      <c r="AD94" s="103">
        <v>95</v>
      </c>
      <c r="AE94" s="226">
        <f t="shared" si="68"/>
        <v>-2193.9400000000005</v>
      </c>
      <c r="AF94" s="103">
        <f t="shared" ref="AF94:AF95" si="70">D94*AC94</f>
        <v>0</v>
      </c>
    </row>
    <row r="95" spans="1:32" ht="15">
      <c r="A95" s="187" t="s">
        <v>574</v>
      </c>
      <c r="B95" s="208">
        <v>191280</v>
      </c>
      <c r="C95" s="112">
        <v>3</v>
      </c>
      <c r="D95" s="103">
        <v>2900</v>
      </c>
      <c r="E95" s="102">
        <f t="shared" si="63"/>
        <v>1851</v>
      </c>
      <c r="F95" s="117">
        <v>1461</v>
      </c>
      <c r="G95" s="117">
        <v>390</v>
      </c>
      <c r="H95" s="128">
        <f t="shared" ref="H95:H97" si="71">D95/E95</f>
        <v>1.5667206915180982</v>
      </c>
      <c r="I95" s="128">
        <v>1108.6600000000001</v>
      </c>
      <c r="J95" s="128">
        <v>64.650000000000006</v>
      </c>
      <c r="K95" s="103"/>
      <c r="L95" s="103"/>
      <c r="M95" s="146">
        <v>125.94</v>
      </c>
      <c r="N95" s="103">
        <f t="shared" si="65"/>
        <v>24.650000000000002</v>
      </c>
      <c r="O95" s="103">
        <v>7</v>
      </c>
      <c r="P95" s="103"/>
      <c r="Q95" s="103">
        <v>841.63</v>
      </c>
      <c r="R95" s="103"/>
      <c r="S95" s="103">
        <v>0</v>
      </c>
      <c r="T95" s="103"/>
      <c r="U95" s="103">
        <v>40</v>
      </c>
      <c r="V95" s="103"/>
      <c r="W95" s="103">
        <f t="shared" si="66"/>
        <v>147.375</v>
      </c>
      <c r="X95" s="152"/>
      <c r="Y95" s="152">
        <v>7.4999999999999997E-2</v>
      </c>
      <c r="Z95" s="153">
        <v>1965</v>
      </c>
      <c r="AA95" s="103">
        <v>135</v>
      </c>
      <c r="AB95" s="103">
        <f t="shared" si="67"/>
        <v>185.10000000000002</v>
      </c>
      <c r="AC95" s="213">
        <v>0.25</v>
      </c>
      <c r="AD95" s="108">
        <v>95</v>
      </c>
      <c r="AE95" s="103">
        <f>D95-I95-N95-Q95-U95-W95-AA95-AB95-AD95-AF95-P95</f>
        <v>-402.41500000000019</v>
      </c>
      <c r="AF95" s="103">
        <f t="shared" si="70"/>
        <v>725</v>
      </c>
    </row>
    <row r="96" spans="1:32" ht="15">
      <c r="A96" s="187" t="s">
        <v>550</v>
      </c>
      <c r="B96" s="208">
        <v>191281</v>
      </c>
      <c r="C96" s="112">
        <v>5</v>
      </c>
      <c r="D96" s="103">
        <v>3500</v>
      </c>
      <c r="E96" s="102">
        <f t="shared" si="63"/>
        <v>1612</v>
      </c>
      <c r="F96" s="117">
        <v>1549</v>
      </c>
      <c r="G96" s="117">
        <v>63</v>
      </c>
      <c r="H96" s="128">
        <f t="shared" si="71"/>
        <v>2.1712158808933002</v>
      </c>
      <c r="I96" s="128">
        <v>781.52</v>
      </c>
      <c r="J96" s="128">
        <v>56.08</v>
      </c>
      <c r="K96" s="103"/>
      <c r="L96" s="103"/>
      <c r="M96" s="146">
        <v>45.26</v>
      </c>
      <c r="N96" s="103">
        <f t="shared" si="65"/>
        <v>29.750000000000004</v>
      </c>
      <c r="O96" s="103">
        <v>7</v>
      </c>
      <c r="P96" s="103"/>
      <c r="Q96" s="103">
        <v>841.63</v>
      </c>
      <c r="R96" s="103"/>
      <c r="S96" s="103">
        <v>0</v>
      </c>
      <c r="T96" s="103"/>
      <c r="U96" s="103">
        <v>40</v>
      </c>
      <c r="V96" s="103"/>
      <c r="W96" s="103">
        <f t="shared" si="66"/>
        <v>127.27499999999999</v>
      </c>
      <c r="X96" s="152"/>
      <c r="Y96" s="152">
        <v>7.4999999999999997E-2</v>
      </c>
      <c r="Z96" s="153">
        <v>1697</v>
      </c>
      <c r="AA96" s="103">
        <v>135</v>
      </c>
      <c r="AB96" s="103">
        <f t="shared" si="67"/>
        <v>161.20000000000002</v>
      </c>
      <c r="AC96" s="154">
        <v>0.5</v>
      </c>
      <c r="AD96" s="103">
        <v>95</v>
      </c>
      <c r="AE96" s="103">
        <f>D96-I96-J96-N96-O96-Q96-W96-AA96-AB96-AD96-AC96*E96+M96-U96</f>
        <v>464.80499999999984</v>
      </c>
      <c r="AF96" s="103">
        <f>AC96*E96</f>
        <v>806</v>
      </c>
    </row>
    <row r="97" spans="1:32" ht="15">
      <c r="A97" s="198" t="s">
        <v>488</v>
      </c>
      <c r="B97" s="208">
        <v>191283</v>
      </c>
      <c r="C97" s="112">
        <v>7</v>
      </c>
      <c r="D97" s="103">
        <v>8395</v>
      </c>
      <c r="E97" s="102">
        <f t="shared" si="63"/>
        <v>3600</v>
      </c>
      <c r="F97" s="112">
        <v>3381</v>
      </c>
      <c r="G97" s="112">
        <v>219</v>
      </c>
      <c r="H97" s="128">
        <f t="shared" si="71"/>
        <v>2.3319444444444444</v>
      </c>
      <c r="I97" s="128">
        <v>2582.15</v>
      </c>
      <c r="J97" s="128">
        <v>467.32</v>
      </c>
      <c r="K97" s="103"/>
      <c r="L97" s="103"/>
      <c r="M97" s="146">
        <v>423.9</v>
      </c>
      <c r="N97" s="103">
        <f t="shared" si="65"/>
        <v>71.357500000000002</v>
      </c>
      <c r="O97" s="103">
        <v>7</v>
      </c>
      <c r="P97" s="103">
        <v>1280</v>
      </c>
      <c r="Q97" s="103">
        <v>841.63</v>
      </c>
      <c r="R97" s="103"/>
      <c r="S97" s="103">
        <v>0</v>
      </c>
      <c r="T97" s="103"/>
      <c r="U97" s="103">
        <v>40</v>
      </c>
      <c r="V97" s="103"/>
      <c r="W97" s="103">
        <f t="shared" si="66"/>
        <v>270.97499999999997</v>
      </c>
      <c r="X97" s="152"/>
      <c r="Y97" s="152">
        <v>7.4999999999999997E-2</v>
      </c>
      <c r="Z97" s="153">
        <v>3613</v>
      </c>
      <c r="AA97" s="103">
        <v>135</v>
      </c>
      <c r="AB97" s="103">
        <f t="shared" si="67"/>
        <v>360</v>
      </c>
      <c r="AC97" s="213">
        <v>0.27</v>
      </c>
      <c r="AD97" s="103">
        <v>95</v>
      </c>
      <c r="AE97" s="103">
        <f>D97-I97-N97-Q97-U97-W97-AA97-AB97-AD97-AF97-L97-P97</f>
        <v>452.23749999999973</v>
      </c>
      <c r="AF97" s="103">
        <f>D97*AC97+L97</f>
        <v>2266.65</v>
      </c>
    </row>
    <row r="98" spans="1:32" ht="15">
      <c r="A98" s="184"/>
      <c r="B98" s="205">
        <v>465180</v>
      </c>
      <c r="C98" s="112"/>
      <c r="D98" s="103"/>
      <c r="E98" s="102">
        <f t="shared" si="63"/>
        <v>0</v>
      </c>
      <c r="F98" s="117"/>
      <c r="G98" s="117"/>
      <c r="H98" s="128"/>
      <c r="I98" s="128"/>
      <c r="J98" s="128"/>
      <c r="K98" s="103"/>
      <c r="L98" s="103"/>
      <c r="M98" s="146"/>
      <c r="N98" s="103"/>
      <c r="O98" s="103">
        <v>7</v>
      </c>
      <c r="P98" s="103">
        <v>680</v>
      </c>
      <c r="Q98" s="103">
        <v>841.63</v>
      </c>
      <c r="R98" s="103"/>
      <c r="S98" s="103">
        <v>0</v>
      </c>
      <c r="T98" s="103"/>
      <c r="U98" s="103">
        <v>40</v>
      </c>
      <c r="V98" s="103"/>
      <c r="W98" s="103"/>
      <c r="X98" s="152"/>
      <c r="Y98" s="152"/>
      <c r="Z98" s="155"/>
      <c r="AA98" s="103">
        <v>135</v>
      </c>
      <c r="AB98" s="103"/>
      <c r="AC98" s="213"/>
      <c r="AD98" s="103"/>
      <c r="AE98" s="226">
        <f>D98-I98-J98-N98-O98-Q98-W98-AA98-AB98-AD98-AC98*E98+M98-U98-P98</f>
        <v>-1703.63</v>
      </c>
      <c r="AF98" s="103">
        <f t="shared" ref="AF98:AF99" si="72">AC98*E98+K98</f>
        <v>0</v>
      </c>
    </row>
    <row r="99" spans="1:32" ht="15">
      <c r="A99" s="190" t="s">
        <v>491</v>
      </c>
      <c r="B99" s="185">
        <v>465181</v>
      </c>
      <c r="C99" s="117">
        <v>4</v>
      </c>
      <c r="D99" s="103">
        <v>4175</v>
      </c>
      <c r="E99" s="102">
        <f t="shared" si="63"/>
        <v>2260</v>
      </c>
      <c r="F99" s="112">
        <v>2025</v>
      </c>
      <c r="G99" s="112">
        <v>235</v>
      </c>
      <c r="H99" s="128">
        <f t="shared" ref="H99:H100" si="73">D99/E99</f>
        <v>1.8473451327433628</v>
      </c>
      <c r="I99" s="146">
        <v>1627.71</v>
      </c>
      <c r="J99" s="128">
        <v>258.63</v>
      </c>
      <c r="K99" s="128"/>
      <c r="L99" s="128">
        <v>300</v>
      </c>
      <c r="M99" s="146">
        <v>5.9</v>
      </c>
      <c r="N99" s="103">
        <f t="shared" ref="N99:N100" si="74">D99*0.0085</f>
        <v>35.487500000000004</v>
      </c>
      <c r="O99" s="103">
        <v>7</v>
      </c>
      <c r="P99" s="103"/>
      <c r="Q99" s="103">
        <v>841.63</v>
      </c>
      <c r="R99" s="103"/>
      <c r="S99" s="103">
        <v>0</v>
      </c>
      <c r="T99" s="103"/>
      <c r="U99" s="103">
        <v>40</v>
      </c>
      <c r="V99" s="103"/>
      <c r="W99" s="103">
        <f t="shared" ref="W99:W100" si="75">Z99*Y99</f>
        <v>212.52</v>
      </c>
      <c r="X99" s="152"/>
      <c r="Y99" s="152">
        <v>7.6999999999999999E-2</v>
      </c>
      <c r="Z99" s="153">
        <v>2760</v>
      </c>
      <c r="AA99" s="103">
        <v>135</v>
      </c>
      <c r="AB99" s="103">
        <f t="shared" ref="AB99:AB100" si="76">E99*0.1</f>
        <v>226</v>
      </c>
      <c r="AC99" s="154">
        <v>0.6</v>
      </c>
      <c r="AD99" s="103">
        <v>95</v>
      </c>
      <c r="AE99" s="103">
        <f>D99-I99-J99-N99-O99-Q99-W99-AA99-AB99-AD99-AC99*E99+M99-U99-P99-K99+L99</f>
        <v>-354.07750000000044</v>
      </c>
      <c r="AF99" s="103">
        <f t="shared" si="72"/>
        <v>1356</v>
      </c>
    </row>
    <row r="100" spans="1:32" ht="15">
      <c r="A100" s="190" t="s">
        <v>555</v>
      </c>
      <c r="B100" s="208">
        <v>465182</v>
      </c>
      <c r="C100" s="112">
        <v>7</v>
      </c>
      <c r="D100" s="103">
        <v>7300</v>
      </c>
      <c r="E100" s="102">
        <f t="shared" si="63"/>
        <v>3617</v>
      </c>
      <c r="F100" s="112">
        <v>3486</v>
      </c>
      <c r="G100" s="112">
        <v>131</v>
      </c>
      <c r="H100" s="128">
        <f t="shared" si="73"/>
        <v>2.0182471661598012</v>
      </c>
      <c r="I100" s="128">
        <v>2290.33</v>
      </c>
      <c r="J100" s="128">
        <v>238.54</v>
      </c>
      <c r="K100" s="103"/>
      <c r="L100" s="103"/>
      <c r="M100" s="146">
        <v>61.47</v>
      </c>
      <c r="N100" s="103">
        <f t="shared" si="74"/>
        <v>62.050000000000004</v>
      </c>
      <c r="O100" s="103">
        <v>7</v>
      </c>
      <c r="P100" s="103">
        <v>292.45999999999998</v>
      </c>
      <c r="Q100" s="103">
        <v>841.63</v>
      </c>
      <c r="R100" s="103"/>
      <c r="S100" s="103">
        <v>0</v>
      </c>
      <c r="T100" s="103"/>
      <c r="U100" s="103">
        <v>40</v>
      </c>
      <c r="V100" s="103"/>
      <c r="W100" s="103">
        <f t="shared" si="75"/>
        <v>298.221</v>
      </c>
      <c r="X100" s="152"/>
      <c r="Y100" s="152">
        <v>7.6999999999999999E-2</v>
      </c>
      <c r="Z100" s="153">
        <v>3873</v>
      </c>
      <c r="AA100" s="103">
        <v>135</v>
      </c>
      <c r="AB100" s="103">
        <f t="shared" si="76"/>
        <v>361.70000000000005</v>
      </c>
      <c r="AC100" s="213">
        <v>0.27</v>
      </c>
      <c r="AD100" s="103">
        <v>95</v>
      </c>
      <c r="AE100" s="103">
        <f>D100-I100-N100-Q100-U100-W100-AA100-AB100-AD100-AF100-P100</f>
        <v>912.60899999999924</v>
      </c>
      <c r="AF100" s="103">
        <f t="shared" ref="AF100:AF103" si="77">D100*AC100</f>
        <v>1971.0000000000002</v>
      </c>
    </row>
    <row r="101" spans="1:32" ht="15">
      <c r="A101" s="190"/>
      <c r="B101" s="205">
        <v>465183</v>
      </c>
      <c r="C101" s="117"/>
      <c r="D101" s="103"/>
      <c r="E101" s="102">
        <f t="shared" si="63"/>
        <v>0</v>
      </c>
      <c r="F101" s="112"/>
      <c r="G101" s="112"/>
      <c r="H101" s="128"/>
      <c r="I101" s="128"/>
      <c r="J101" s="128"/>
      <c r="K101" s="128"/>
      <c r="L101" s="128"/>
      <c r="M101" s="146"/>
      <c r="N101" s="103"/>
      <c r="O101" s="103">
        <v>7</v>
      </c>
      <c r="P101" s="103"/>
      <c r="Q101" s="103">
        <v>841.63</v>
      </c>
      <c r="R101" s="103"/>
      <c r="S101" s="103">
        <v>0</v>
      </c>
      <c r="T101" s="103"/>
      <c r="U101" s="103">
        <v>40</v>
      </c>
      <c r="V101" s="103"/>
      <c r="W101" s="103"/>
      <c r="X101" s="152"/>
      <c r="Y101" s="152"/>
      <c r="Z101" s="153"/>
      <c r="AA101" s="103">
        <v>135</v>
      </c>
      <c r="AB101" s="103"/>
      <c r="AC101" s="213"/>
      <c r="AD101" s="103"/>
      <c r="AE101" s="226">
        <f>D101-I101-J101-N101-O101-Q101-W101-AA101-AB101-AD101-AC101*E101+M101-U101-P101</f>
        <v>-1023.63</v>
      </c>
      <c r="AF101" s="103">
        <f t="shared" si="77"/>
        <v>0</v>
      </c>
    </row>
    <row r="102" spans="1:32" ht="15">
      <c r="A102" s="187" t="s">
        <v>575</v>
      </c>
      <c r="B102" s="208" t="s">
        <v>576</v>
      </c>
      <c r="C102" s="117">
        <v>6</v>
      </c>
      <c r="D102" s="103">
        <v>6820</v>
      </c>
      <c r="E102" s="102">
        <f t="shared" si="63"/>
        <v>3305</v>
      </c>
      <c r="F102" s="112">
        <v>3190</v>
      </c>
      <c r="G102" s="112">
        <v>115</v>
      </c>
      <c r="H102" s="128">
        <f>D102/E102</f>
        <v>2.0635400907715584</v>
      </c>
      <c r="I102" s="128">
        <v>1840.07</v>
      </c>
      <c r="J102" s="128">
        <v>77.05</v>
      </c>
      <c r="K102" s="128"/>
      <c r="L102" s="128"/>
      <c r="M102" s="146">
        <v>163.75</v>
      </c>
      <c r="N102" s="103">
        <f t="shared" ref="N102:N113" si="78">D102*0.0085</f>
        <v>57.970000000000006</v>
      </c>
      <c r="O102" s="103">
        <v>7</v>
      </c>
      <c r="P102" s="103"/>
      <c r="Q102" s="103">
        <v>841.63</v>
      </c>
      <c r="R102" s="103"/>
      <c r="S102" s="103">
        <v>0</v>
      </c>
      <c r="T102" s="103"/>
      <c r="U102" s="103">
        <v>40</v>
      </c>
      <c r="V102" s="103"/>
      <c r="W102" s="103">
        <f t="shared" ref="W102:W110" si="79">Z102*Y102</f>
        <v>109.72499999999999</v>
      </c>
      <c r="X102" s="152"/>
      <c r="Y102" s="152">
        <v>7.6999999999999999E-2</v>
      </c>
      <c r="Z102" s="153">
        <v>1425</v>
      </c>
      <c r="AA102" s="103">
        <v>135</v>
      </c>
      <c r="AB102" s="103">
        <f t="shared" ref="AB102:AB114" si="80">E102*0.1</f>
        <v>330.5</v>
      </c>
      <c r="AC102" s="213">
        <v>0.27</v>
      </c>
      <c r="AD102" s="103">
        <v>95</v>
      </c>
      <c r="AE102" s="103">
        <f t="shared" ref="AE102:AE103" si="81">D102-I102-N102-Q102-U102-W102-AA102-AB102-AD102-AF102-P102</f>
        <v>1528.7049999999999</v>
      </c>
      <c r="AF102" s="103">
        <f t="shared" si="77"/>
        <v>1841.4</v>
      </c>
    </row>
    <row r="103" spans="1:32" ht="15">
      <c r="A103" s="190" t="s">
        <v>519</v>
      </c>
      <c r="B103" s="185">
        <v>465186</v>
      </c>
      <c r="C103" s="112">
        <v>1</v>
      </c>
      <c r="D103" s="103">
        <v>1100</v>
      </c>
      <c r="E103" s="102">
        <f t="shared" si="63"/>
        <v>0</v>
      </c>
      <c r="F103" s="112"/>
      <c r="G103" s="112"/>
      <c r="H103" s="128"/>
      <c r="I103" s="128">
        <v>547.86</v>
      </c>
      <c r="J103" s="128">
        <v>170.56</v>
      </c>
      <c r="K103" s="128"/>
      <c r="L103" s="128"/>
      <c r="M103" s="146">
        <v>12.86</v>
      </c>
      <c r="N103" s="103">
        <f t="shared" si="78"/>
        <v>9.3500000000000014</v>
      </c>
      <c r="O103" s="103">
        <v>7</v>
      </c>
      <c r="P103" s="103"/>
      <c r="Q103" s="103">
        <v>841.63</v>
      </c>
      <c r="R103" s="103"/>
      <c r="S103" s="103">
        <v>0</v>
      </c>
      <c r="T103" s="103"/>
      <c r="U103" s="103">
        <v>40</v>
      </c>
      <c r="V103" s="103"/>
      <c r="W103" s="103">
        <f t="shared" si="79"/>
        <v>72.918999999999997</v>
      </c>
      <c r="X103" s="152"/>
      <c r="Y103" s="152">
        <v>7.6999999999999999E-2</v>
      </c>
      <c r="Z103" s="153">
        <v>947</v>
      </c>
      <c r="AA103" s="103">
        <v>135</v>
      </c>
      <c r="AB103" s="103">
        <f t="shared" si="80"/>
        <v>0</v>
      </c>
      <c r="AC103" s="213">
        <v>0.27</v>
      </c>
      <c r="AD103" s="103">
        <v>95</v>
      </c>
      <c r="AE103" s="103">
        <f t="shared" si="81"/>
        <v>-938.75900000000001</v>
      </c>
      <c r="AF103" s="103">
        <f t="shared" si="77"/>
        <v>297</v>
      </c>
    </row>
    <row r="104" spans="1:32" ht="15">
      <c r="A104" s="187" t="s">
        <v>439</v>
      </c>
      <c r="B104" s="185">
        <v>465187</v>
      </c>
      <c r="C104" s="117">
        <v>5</v>
      </c>
      <c r="D104" s="103">
        <v>4800</v>
      </c>
      <c r="E104" s="102">
        <f t="shared" si="63"/>
        <v>2681</v>
      </c>
      <c r="F104" s="112">
        <v>2460</v>
      </c>
      <c r="G104" s="112">
        <v>221</v>
      </c>
      <c r="H104" s="128">
        <f t="shared" ref="H104:H105" si="82">D104/E104</f>
        <v>1.7903767251025737</v>
      </c>
      <c r="I104" s="128">
        <v>1750.18</v>
      </c>
      <c r="J104" s="128">
        <v>342.82</v>
      </c>
      <c r="K104" s="128"/>
      <c r="L104" s="128"/>
      <c r="M104" s="146">
        <v>134.29</v>
      </c>
      <c r="N104" s="103">
        <f t="shared" si="78"/>
        <v>40.800000000000004</v>
      </c>
      <c r="O104" s="103">
        <v>7</v>
      </c>
      <c r="P104" s="103"/>
      <c r="Q104" s="103">
        <v>841.63</v>
      </c>
      <c r="R104" s="103"/>
      <c r="S104" s="103">
        <v>0</v>
      </c>
      <c r="T104" s="103"/>
      <c r="U104" s="103">
        <v>40</v>
      </c>
      <c r="V104" s="103"/>
      <c r="W104" s="103">
        <f t="shared" si="79"/>
        <v>261.10699999999997</v>
      </c>
      <c r="X104" s="152"/>
      <c r="Y104" s="152">
        <v>7.6999999999999999E-2</v>
      </c>
      <c r="Z104" s="153">
        <v>3391</v>
      </c>
      <c r="AA104" s="103">
        <v>135</v>
      </c>
      <c r="AB104" s="103">
        <f t="shared" si="80"/>
        <v>268.10000000000002</v>
      </c>
      <c r="AC104" s="154">
        <v>0.6</v>
      </c>
      <c r="AD104" s="103">
        <v>95</v>
      </c>
      <c r="AE104" s="103">
        <f>D104-I104-J104-N104-O104-Q104-W104-AA104-AB104-AD104-AC104*E104+M104-U104-P104</f>
        <v>-455.94700000000057</v>
      </c>
      <c r="AF104" s="103">
        <f t="shared" ref="AF104:AF105" si="83">AC104*E104</f>
        <v>1608.6</v>
      </c>
    </row>
    <row r="105" spans="1:32" ht="15">
      <c r="A105" s="190" t="s">
        <v>427</v>
      </c>
      <c r="B105" s="185">
        <v>465188</v>
      </c>
      <c r="C105" s="112">
        <v>5</v>
      </c>
      <c r="D105" s="103">
        <v>4790</v>
      </c>
      <c r="E105" s="102">
        <f t="shared" si="63"/>
        <v>2614</v>
      </c>
      <c r="F105" s="117">
        <v>2391</v>
      </c>
      <c r="G105" s="117">
        <v>223</v>
      </c>
      <c r="H105" s="128">
        <f t="shared" si="82"/>
        <v>1.8324407039020658</v>
      </c>
      <c r="I105" s="128">
        <v>1692.47</v>
      </c>
      <c r="J105" s="128">
        <v>136.19</v>
      </c>
      <c r="K105" s="128"/>
      <c r="L105" s="128"/>
      <c r="M105" s="146">
        <v>82.19</v>
      </c>
      <c r="N105" s="103">
        <f t="shared" si="78"/>
        <v>40.715000000000003</v>
      </c>
      <c r="O105" s="103">
        <v>7</v>
      </c>
      <c r="P105" s="103"/>
      <c r="Q105" s="103">
        <v>841.63</v>
      </c>
      <c r="R105" s="103"/>
      <c r="S105" s="103">
        <v>0</v>
      </c>
      <c r="T105" s="103"/>
      <c r="U105" s="103">
        <v>40</v>
      </c>
      <c r="V105" s="103"/>
      <c r="W105" s="103">
        <f t="shared" si="79"/>
        <v>219.83500000000001</v>
      </c>
      <c r="X105" s="152"/>
      <c r="Y105" s="152">
        <v>7.6999999999999999E-2</v>
      </c>
      <c r="Z105" s="153">
        <v>2855</v>
      </c>
      <c r="AA105" s="103">
        <v>135</v>
      </c>
      <c r="AB105" s="103">
        <f t="shared" si="80"/>
        <v>261.40000000000003</v>
      </c>
      <c r="AC105" s="154">
        <v>0.6</v>
      </c>
      <c r="AD105" s="103">
        <v>95</v>
      </c>
      <c r="AE105" s="103">
        <f>D105-I105-J105-N105-O105-Q105-W105-AA105-AB105-AD105-AC105*E105+M105-U105</f>
        <v>-165.45000000000056</v>
      </c>
      <c r="AF105" s="103">
        <f t="shared" si="83"/>
        <v>1568.3999999999999</v>
      </c>
    </row>
    <row r="106" spans="1:32" ht="15">
      <c r="A106" s="198" t="s">
        <v>540</v>
      </c>
      <c r="B106" s="208">
        <v>465189</v>
      </c>
      <c r="C106" s="112">
        <v>0</v>
      </c>
      <c r="D106" s="103"/>
      <c r="E106" s="102">
        <f t="shared" si="63"/>
        <v>0</v>
      </c>
      <c r="F106" s="117"/>
      <c r="G106" s="112"/>
      <c r="H106" s="128"/>
      <c r="I106" s="146"/>
      <c r="J106" s="128">
        <v>5.5</v>
      </c>
      <c r="K106" s="103"/>
      <c r="L106" s="103"/>
      <c r="M106" s="146"/>
      <c r="N106" s="103">
        <f t="shared" si="78"/>
        <v>0</v>
      </c>
      <c r="O106" s="103">
        <v>7</v>
      </c>
      <c r="P106" s="103"/>
      <c r="Q106" s="103">
        <v>841.63</v>
      </c>
      <c r="R106" s="103"/>
      <c r="S106" s="103">
        <v>0</v>
      </c>
      <c r="T106" s="103"/>
      <c r="U106" s="103">
        <v>40</v>
      </c>
      <c r="V106" s="103"/>
      <c r="W106" s="103">
        <f t="shared" si="79"/>
        <v>3.9749999999999996</v>
      </c>
      <c r="X106" s="152"/>
      <c r="Y106" s="152">
        <v>7.4999999999999997E-2</v>
      </c>
      <c r="Z106" s="153">
        <v>53</v>
      </c>
      <c r="AA106" s="103">
        <v>135</v>
      </c>
      <c r="AB106" s="103">
        <f t="shared" si="80"/>
        <v>0</v>
      </c>
      <c r="AC106" s="213">
        <v>0.27</v>
      </c>
      <c r="AD106" s="103">
        <v>95</v>
      </c>
      <c r="AE106" s="103">
        <f>D106-I106-N106-Q106-U106-W106-AA106-AB106-AD106-AF106-P106</f>
        <v>-1115.605</v>
      </c>
      <c r="AF106" s="103">
        <f>D106*AC106</f>
        <v>0</v>
      </c>
    </row>
    <row r="107" spans="1:32" ht="15">
      <c r="A107" s="215" t="s">
        <v>429</v>
      </c>
      <c r="B107" s="216">
        <v>191275</v>
      </c>
      <c r="C107" s="217">
        <v>4</v>
      </c>
      <c r="D107" s="218">
        <v>3275</v>
      </c>
      <c r="E107" s="219">
        <f t="shared" si="63"/>
        <v>1516</v>
      </c>
      <c r="F107" s="217">
        <v>1349</v>
      </c>
      <c r="G107" s="217">
        <v>167</v>
      </c>
      <c r="H107" s="128">
        <f t="shared" ref="H107:H110" si="84">D107/E107</f>
        <v>2.1602902374670183</v>
      </c>
      <c r="I107" s="220">
        <v>796.52</v>
      </c>
      <c r="J107" s="221">
        <v>35</v>
      </c>
      <c r="K107" s="221"/>
      <c r="L107" s="221"/>
      <c r="M107" s="220">
        <v>7.52</v>
      </c>
      <c r="N107" s="218">
        <f t="shared" si="78"/>
        <v>27.837500000000002</v>
      </c>
      <c r="O107" s="218">
        <v>7</v>
      </c>
      <c r="P107" s="218"/>
      <c r="Q107" s="218">
        <v>841.63</v>
      </c>
      <c r="R107" s="218">
        <v>50</v>
      </c>
      <c r="S107" s="218">
        <v>1200</v>
      </c>
      <c r="T107" s="218">
        <v>30</v>
      </c>
      <c r="U107" s="218">
        <v>40</v>
      </c>
      <c r="V107" s="218">
        <v>300</v>
      </c>
      <c r="W107" s="218">
        <f t="shared" si="79"/>
        <v>149.625</v>
      </c>
      <c r="X107" s="218">
        <f t="shared" ref="X107:X110" si="85">0.15*Z107</f>
        <v>299.25</v>
      </c>
      <c r="Y107" s="222">
        <v>7.4999999999999997E-2</v>
      </c>
      <c r="Z107" s="219" t="s">
        <v>577</v>
      </c>
      <c r="AA107" s="218">
        <v>135</v>
      </c>
      <c r="AB107" s="218">
        <f t="shared" si="80"/>
        <v>151.6</v>
      </c>
      <c r="AC107" s="223">
        <v>0.87</v>
      </c>
      <c r="AD107" s="218">
        <v>95</v>
      </c>
      <c r="AE107" s="103">
        <f t="shared" ref="AE107:AE110" si="86">D107*13%+R107+T107+S107+V107-Q107-W107-AA107-AD107+X107-N107+M107-U107</f>
        <v>1023.4274999999998</v>
      </c>
      <c r="AF107" s="103">
        <f t="shared" ref="AF107:AF110" si="87">D107*AC107-I107-J107-S107-R107-T107-V107-X107</f>
        <v>138.48000000000002</v>
      </c>
    </row>
    <row r="108" spans="1:32" ht="15">
      <c r="A108" s="229" t="s">
        <v>435</v>
      </c>
      <c r="B108" s="216">
        <v>191282</v>
      </c>
      <c r="C108" s="217">
        <v>7</v>
      </c>
      <c r="D108" s="218">
        <v>11290</v>
      </c>
      <c r="E108" s="219">
        <f t="shared" si="63"/>
        <v>5350</v>
      </c>
      <c r="F108" s="217">
        <v>5270</v>
      </c>
      <c r="G108" s="217">
        <v>80</v>
      </c>
      <c r="H108" s="128">
        <f t="shared" si="84"/>
        <v>2.1102803738317757</v>
      </c>
      <c r="I108" s="220">
        <v>2445.7399999999998</v>
      </c>
      <c r="J108" s="221">
        <v>14.7</v>
      </c>
      <c r="K108" s="221"/>
      <c r="L108" s="221"/>
      <c r="M108" s="220">
        <v>31.06</v>
      </c>
      <c r="N108" s="218">
        <f t="shared" si="78"/>
        <v>95.965000000000003</v>
      </c>
      <c r="O108" s="218">
        <v>7</v>
      </c>
      <c r="P108" s="218"/>
      <c r="Q108" s="218">
        <v>841.63</v>
      </c>
      <c r="R108" s="218">
        <v>50</v>
      </c>
      <c r="S108" s="218">
        <v>1200</v>
      </c>
      <c r="T108" s="218">
        <v>30</v>
      </c>
      <c r="U108" s="218">
        <v>40</v>
      </c>
      <c r="V108" s="218">
        <v>300</v>
      </c>
      <c r="W108" s="218">
        <f t="shared" si="79"/>
        <v>334.95</v>
      </c>
      <c r="X108" s="218">
        <f t="shared" si="85"/>
        <v>652.5</v>
      </c>
      <c r="Y108" s="222">
        <v>7.6999999999999999E-2</v>
      </c>
      <c r="Z108" s="219" t="s">
        <v>578</v>
      </c>
      <c r="AA108" s="218">
        <v>135</v>
      </c>
      <c r="AB108" s="218">
        <f t="shared" si="80"/>
        <v>535</v>
      </c>
      <c r="AC108" s="223">
        <v>0.87</v>
      </c>
      <c r="AD108" s="218">
        <v>95</v>
      </c>
      <c r="AE108" s="103">
        <f t="shared" si="86"/>
        <v>2188.7149999999997</v>
      </c>
      <c r="AF108" s="103">
        <f t="shared" si="87"/>
        <v>5129.3599999999997</v>
      </c>
    </row>
    <row r="109" spans="1:32" ht="15">
      <c r="A109" s="229" t="s">
        <v>557</v>
      </c>
      <c r="B109" s="216">
        <v>465184</v>
      </c>
      <c r="C109" s="217">
        <v>7</v>
      </c>
      <c r="D109" s="218">
        <v>6050</v>
      </c>
      <c r="E109" s="219">
        <f t="shared" si="63"/>
        <v>2856</v>
      </c>
      <c r="F109" s="217">
        <v>2551</v>
      </c>
      <c r="G109" s="217">
        <v>305</v>
      </c>
      <c r="H109" s="128">
        <f t="shared" si="84"/>
        <v>2.1183473389355743</v>
      </c>
      <c r="I109" s="220">
        <v>1825.27</v>
      </c>
      <c r="J109" s="221">
        <v>63.4</v>
      </c>
      <c r="K109" s="221"/>
      <c r="L109" s="221"/>
      <c r="M109" s="220">
        <v>149.33000000000001</v>
      </c>
      <c r="N109" s="218">
        <f t="shared" si="78"/>
        <v>51.425000000000004</v>
      </c>
      <c r="O109" s="218">
        <v>7</v>
      </c>
      <c r="P109" s="218"/>
      <c r="Q109" s="218">
        <v>841.63</v>
      </c>
      <c r="R109" s="218">
        <v>50</v>
      </c>
      <c r="S109" s="218">
        <v>1050</v>
      </c>
      <c r="T109" s="218">
        <v>30</v>
      </c>
      <c r="U109" s="218">
        <v>40</v>
      </c>
      <c r="V109" s="218">
        <v>400</v>
      </c>
      <c r="W109" s="218">
        <f t="shared" si="79"/>
        <v>237.85300000000001</v>
      </c>
      <c r="X109" s="218">
        <f t="shared" si="85"/>
        <v>463.34999999999997</v>
      </c>
      <c r="Y109" s="222">
        <v>7.6999999999999999E-2</v>
      </c>
      <c r="Z109" s="219" t="s">
        <v>579</v>
      </c>
      <c r="AA109" s="218">
        <v>135</v>
      </c>
      <c r="AB109" s="218">
        <f t="shared" si="80"/>
        <v>285.60000000000002</v>
      </c>
      <c r="AC109" s="223">
        <v>0.87</v>
      </c>
      <c r="AD109" s="218">
        <v>95</v>
      </c>
      <c r="AE109" s="103">
        <f t="shared" si="86"/>
        <v>1528.2719999999997</v>
      </c>
      <c r="AF109" s="103">
        <f t="shared" si="87"/>
        <v>1381.48</v>
      </c>
    </row>
    <row r="110" spans="1:32" ht="15">
      <c r="A110" s="229" t="s">
        <v>568</v>
      </c>
      <c r="B110" s="216">
        <v>191278</v>
      </c>
      <c r="C110" s="217">
        <v>7</v>
      </c>
      <c r="D110" s="218">
        <v>6400</v>
      </c>
      <c r="E110" s="219">
        <f t="shared" si="63"/>
        <v>3333</v>
      </c>
      <c r="F110" s="217">
        <v>3203</v>
      </c>
      <c r="G110" s="217">
        <v>130</v>
      </c>
      <c r="H110" s="128">
        <f t="shared" si="84"/>
        <v>1.9201920192019202</v>
      </c>
      <c r="I110" s="220">
        <v>1496.66</v>
      </c>
      <c r="J110" s="221">
        <v>18.05</v>
      </c>
      <c r="K110" s="221"/>
      <c r="L110" s="221"/>
      <c r="M110" s="220">
        <v>219.67</v>
      </c>
      <c r="N110" s="218">
        <f t="shared" si="78"/>
        <v>54.400000000000006</v>
      </c>
      <c r="O110" s="218">
        <v>7</v>
      </c>
      <c r="P110" s="218"/>
      <c r="Q110" s="218">
        <v>841.63</v>
      </c>
      <c r="R110" s="218">
        <v>50</v>
      </c>
      <c r="S110" s="218">
        <v>1050</v>
      </c>
      <c r="T110" s="218">
        <v>30</v>
      </c>
      <c r="U110" s="218">
        <v>40</v>
      </c>
      <c r="V110" s="218">
        <v>400</v>
      </c>
      <c r="W110" s="218">
        <f t="shared" si="79"/>
        <v>263.87900000000002</v>
      </c>
      <c r="X110" s="218">
        <f t="shared" si="85"/>
        <v>514.04999999999995</v>
      </c>
      <c r="Y110" s="222">
        <v>7.6999999999999999E-2</v>
      </c>
      <c r="Z110" s="219" t="s">
        <v>580</v>
      </c>
      <c r="AA110" s="218">
        <v>135</v>
      </c>
      <c r="AB110" s="218">
        <f t="shared" si="80"/>
        <v>333.3</v>
      </c>
      <c r="AC110" s="223">
        <v>0.87</v>
      </c>
      <c r="AD110" s="218">
        <v>95</v>
      </c>
      <c r="AE110" s="103">
        <f t="shared" si="86"/>
        <v>1665.8109999999999</v>
      </c>
      <c r="AF110" s="103">
        <f t="shared" si="87"/>
        <v>2009.24</v>
      </c>
    </row>
    <row r="111" spans="1:32" ht="15">
      <c r="A111" s="134" t="s">
        <v>462</v>
      </c>
      <c r="B111" s="135" t="s">
        <v>399</v>
      </c>
      <c r="C111" s="158">
        <v>7</v>
      </c>
      <c r="D111" s="139">
        <v>6200</v>
      </c>
      <c r="E111" s="136">
        <f t="shared" ref="E111:E114" si="88">Z111</f>
        <v>0</v>
      </c>
      <c r="F111" s="136"/>
      <c r="G111" s="136"/>
      <c r="H111" s="136"/>
      <c r="I111" s="139">
        <v>1441.13</v>
      </c>
      <c r="J111" s="139">
        <v>531.26</v>
      </c>
      <c r="K111" s="139"/>
      <c r="L111" s="139"/>
      <c r="M111" s="139">
        <v>93.54</v>
      </c>
      <c r="N111" s="139">
        <f t="shared" si="78"/>
        <v>52.7</v>
      </c>
      <c r="O111" s="139">
        <v>0</v>
      </c>
      <c r="P111" s="139"/>
      <c r="Q111" s="139">
        <v>0</v>
      </c>
      <c r="R111" s="139">
        <v>0</v>
      </c>
      <c r="S111" s="139">
        <v>0</v>
      </c>
      <c r="T111" s="139">
        <v>0</v>
      </c>
      <c r="U111" s="139">
        <v>40</v>
      </c>
      <c r="V111" s="139">
        <v>0</v>
      </c>
      <c r="W111" s="139">
        <v>0</v>
      </c>
      <c r="X111" s="159"/>
      <c r="Y111" s="159">
        <v>0</v>
      </c>
      <c r="Z111" s="136"/>
      <c r="AA111" s="139">
        <v>0</v>
      </c>
      <c r="AB111" s="139">
        <f t="shared" si="80"/>
        <v>0</v>
      </c>
      <c r="AC111" s="160">
        <v>0.85</v>
      </c>
      <c r="AD111" s="139">
        <v>95</v>
      </c>
      <c r="AE111" s="139">
        <f>D111*0.15-AD111-AB111+V111+T111+S111+R111-N111+M111-U111</f>
        <v>835.83999999999992</v>
      </c>
      <c r="AF111" s="139">
        <f>D111*AC111-I111-J111-V111-T111-S111-R111</f>
        <v>3297.6099999999997</v>
      </c>
    </row>
    <row r="112" spans="1:32" ht="15">
      <c r="A112" s="134" t="s">
        <v>529</v>
      </c>
      <c r="B112" s="134">
        <v>1118</v>
      </c>
      <c r="C112" s="158"/>
      <c r="D112" s="139">
        <v>7838</v>
      </c>
      <c r="E112" s="136">
        <f t="shared" si="88"/>
        <v>4370</v>
      </c>
      <c r="F112" s="136"/>
      <c r="G112" s="136"/>
      <c r="H112" s="128">
        <f>D112/E112</f>
        <v>1.7935926773455377</v>
      </c>
      <c r="I112" s="139">
        <v>1910.03</v>
      </c>
      <c r="J112" s="139"/>
      <c r="K112" s="139"/>
      <c r="L112" s="139"/>
      <c r="M112" s="139">
        <v>18.28</v>
      </c>
      <c r="N112" s="139">
        <f t="shared" si="78"/>
        <v>66.623000000000005</v>
      </c>
      <c r="O112" s="139">
        <v>0</v>
      </c>
      <c r="P112" s="139"/>
      <c r="Q112" s="139">
        <v>0</v>
      </c>
      <c r="R112" s="139">
        <v>0</v>
      </c>
      <c r="S112" s="139">
        <v>0</v>
      </c>
      <c r="T112" s="139">
        <v>0</v>
      </c>
      <c r="U112" s="139">
        <v>40</v>
      </c>
      <c r="V112" s="139">
        <v>0</v>
      </c>
      <c r="W112" s="139">
        <v>0</v>
      </c>
      <c r="X112" s="159"/>
      <c r="Y112" s="159">
        <v>0</v>
      </c>
      <c r="Z112" s="136">
        <v>4370</v>
      </c>
      <c r="AA112" s="139">
        <v>0</v>
      </c>
      <c r="AB112" s="139">
        <f t="shared" si="80"/>
        <v>437</v>
      </c>
      <c r="AC112" s="160">
        <v>0.8</v>
      </c>
      <c r="AD112" s="139">
        <v>95</v>
      </c>
      <c r="AE112" s="139">
        <f>D112*0.2-AB112-N112-K112-AD112-U112</f>
        <v>928.97700000000009</v>
      </c>
      <c r="AF112" s="139">
        <f>D112*AC112-I112-J112+K112</f>
        <v>4360.3700000000008</v>
      </c>
    </row>
    <row r="113" spans="1:32" ht="15">
      <c r="A113" s="134" t="s">
        <v>467</v>
      </c>
      <c r="B113" s="134">
        <v>1122</v>
      </c>
      <c r="C113" s="158">
        <v>0</v>
      </c>
      <c r="D113" s="139"/>
      <c r="E113" s="136">
        <f t="shared" si="88"/>
        <v>7</v>
      </c>
      <c r="F113" s="136"/>
      <c r="G113" s="136"/>
      <c r="H113" s="136"/>
      <c r="I113" s="168">
        <v>796.39</v>
      </c>
      <c r="J113" s="139"/>
      <c r="K113" s="139"/>
      <c r="L113" s="139"/>
      <c r="M113" s="139">
        <v>19.14</v>
      </c>
      <c r="N113" s="139">
        <f t="shared" si="78"/>
        <v>0</v>
      </c>
      <c r="O113" s="139">
        <v>7</v>
      </c>
      <c r="P113" s="139"/>
      <c r="Q113" s="139">
        <v>0</v>
      </c>
      <c r="R113" s="139">
        <v>50</v>
      </c>
      <c r="S113" s="139">
        <v>199</v>
      </c>
      <c r="T113" s="139">
        <v>30</v>
      </c>
      <c r="U113" s="139">
        <v>40</v>
      </c>
      <c r="V113" s="139">
        <v>300</v>
      </c>
      <c r="W113" s="139">
        <v>0</v>
      </c>
      <c r="X113" s="159"/>
      <c r="Y113" s="159">
        <v>0</v>
      </c>
      <c r="Z113" s="136">
        <v>7</v>
      </c>
      <c r="AA113" s="139">
        <v>0</v>
      </c>
      <c r="AB113" s="139">
        <f t="shared" si="80"/>
        <v>0.70000000000000007</v>
      </c>
      <c r="AC113" s="160">
        <v>0.87</v>
      </c>
      <c r="AD113" s="139">
        <v>95</v>
      </c>
      <c r="AE113" s="139">
        <f>D113*0.13-AD113-AB113+V113+T113+S113+R113-N113+M113-U113</f>
        <v>462.44</v>
      </c>
      <c r="AF113" s="139">
        <f>D113*AC113-I113-J113-V113-T113-S113-R113</f>
        <v>-1375.3899999999999</v>
      </c>
    </row>
    <row r="114" spans="1:32" ht="15">
      <c r="A114" s="134" t="s">
        <v>520</v>
      </c>
      <c r="B114" s="134">
        <v>1650</v>
      </c>
      <c r="C114" s="158">
        <v>0</v>
      </c>
      <c r="D114" s="139"/>
      <c r="E114" s="136">
        <f t="shared" si="88"/>
        <v>155</v>
      </c>
      <c r="F114" s="136"/>
      <c r="G114" s="136"/>
      <c r="H114" s="136"/>
      <c r="I114" s="139"/>
      <c r="J114" s="139"/>
      <c r="K114" s="139"/>
      <c r="L114" s="139"/>
      <c r="M114" s="139"/>
      <c r="N114" s="139"/>
      <c r="O114" s="139"/>
      <c r="P114" s="139"/>
      <c r="Q114" s="139">
        <v>0</v>
      </c>
      <c r="R114" s="139">
        <v>50</v>
      </c>
      <c r="S114" s="139">
        <v>0</v>
      </c>
      <c r="T114" s="139">
        <v>30</v>
      </c>
      <c r="U114" s="139">
        <v>40</v>
      </c>
      <c r="V114" s="139">
        <v>300</v>
      </c>
      <c r="W114" s="139">
        <v>0</v>
      </c>
      <c r="X114" s="159"/>
      <c r="Y114" s="159">
        <v>0</v>
      </c>
      <c r="Z114" s="136">
        <v>155</v>
      </c>
      <c r="AA114" s="139">
        <v>0</v>
      </c>
      <c r="AB114" s="139">
        <f t="shared" si="80"/>
        <v>15.5</v>
      </c>
      <c r="AC114" s="160">
        <v>0.87</v>
      </c>
      <c r="AD114" s="139">
        <v>95</v>
      </c>
      <c r="AE114" s="139">
        <f>D114*0.13+V114+T114+S114+R114-AB114-N114+M114-U114</f>
        <v>324.5</v>
      </c>
      <c r="AF114" s="139">
        <f>D114*0.87-I114-J114-R114-S114-T114-V114+K114</f>
        <v>-380</v>
      </c>
    </row>
    <row r="115" spans="1:32" ht="15">
      <c r="A115" s="72" t="s">
        <v>89</v>
      </c>
      <c r="B115" s="72">
        <v>18</v>
      </c>
      <c r="C115" s="202">
        <f>AVERAGE(C94:C105)</f>
        <v>4.7777777777777777</v>
      </c>
      <c r="D115" s="201">
        <f t="shared" ref="D115:G115" si="89">SUM(D91:D112)</f>
        <v>105223</v>
      </c>
      <c r="E115" s="201">
        <f t="shared" si="89"/>
        <v>49152</v>
      </c>
      <c r="F115" s="201">
        <f t="shared" si="89"/>
        <v>39320</v>
      </c>
      <c r="G115" s="201">
        <f t="shared" si="89"/>
        <v>2692</v>
      </c>
      <c r="H115" s="201">
        <f>AVERAGE(H91:H114)</f>
        <v>1.9834942735298779</v>
      </c>
      <c r="I115" s="201">
        <f t="shared" ref="I115:AB115" si="90">SUM(I91:I112)</f>
        <v>31134.040000000005</v>
      </c>
      <c r="J115" s="201">
        <f t="shared" si="90"/>
        <v>3156.71</v>
      </c>
      <c r="K115" s="201">
        <f t="shared" si="90"/>
        <v>0</v>
      </c>
      <c r="L115" s="201">
        <f t="shared" si="90"/>
        <v>300</v>
      </c>
      <c r="M115" s="201">
        <f t="shared" si="90"/>
        <v>2656.05</v>
      </c>
      <c r="N115" s="201">
        <f t="shared" si="90"/>
        <v>894.39550000000008</v>
      </c>
      <c r="O115" s="201">
        <f t="shared" si="90"/>
        <v>140</v>
      </c>
      <c r="P115" s="201">
        <f t="shared" si="90"/>
        <v>2252.46</v>
      </c>
      <c r="Q115" s="201">
        <f t="shared" si="90"/>
        <v>16832.599999999991</v>
      </c>
      <c r="R115" s="201">
        <f t="shared" si="90"/>
        <v>200</v>
      </c>
      <c r="S115" s="201">
        <f t="shared" si="90"/>
        <v>4500</v>
      </c>
      <c r="T115" s="201">
        <f t="shared" si="90"/>
        <v>120</v>
      </c>
      <c r="U115" s="201">
        <f t="shared" si="90"/>
        <v>880</v>
      </c>
      <c r="V115" s="201">
        <f t="shared" si="90"/>
        <v>1400</v>
      </c>
      <c r="W115" s="201">
        <f t="shared" si="90"/>
        <v>3621.3129999999996</v>
      </c>
      <c r="X115" s="201">
        <f t="shared" si="90"/>
        <v>1929.1499999999999</v>
      </c>
      <c r="Y115" s="201">
        <f t="shared" si="90"/>
        <v>1.3699999999999997</v>
      </c>
      <c r="Z115" s="201">
        <f t="shared" si="90"/>
        <v>39000</v>
      </c>
      <c r="AA115" s="201">
        <f t="shared" si="90"/>
        <v>2700</v>
      </c>
      <c r="AB115" s="201">
        <f t="shared" si="90"/>
        <v>4915.2000000000007</v>
      </c>
      <c r="AC115" s="201"/>
      <c r="AD115" s="201">
        <f t="shared" ref="AD115:AF115" si="91">SUM(AD91:AD112)</f>
        <v>1900</v>
      </c>
      <c r="AE115" s="201">
        <f t="shared" si="91"/>
        <v>6659.2214999999951</v>
      </c>
      <c r="AF115" s="201">
        <f t="shared" si="91"/>
        <v>34593.69</v>
      </c>
    </row>
  </sheetData>
  <mergeCells count="4">
    <mergeCell ref="A1:AF1"/>
    <mergeCell ref="A30:AF30"/>
    <mergeCell ref="A60:AF60"/>
    <mergeCell ref="A89:AF89"/>
  </mergeCells>
  <conditionalFormatting sqref="AE2:AF27 AE31:AF57 AE61:AF86 AE90:AF114 AE116:AF119">
    <cfRule type="colorScale" priority="1">
      <colorScale>
        <cfvo type="min"/>
        <cfvo type="percent" val="50"/>
        <cfvo type="max"/>
        <color rgb="FFCC0000"/>
        <color rgb="FFE68080"/>
        <color rgb="FFFFFFFF"/>
      </colorScale>
    </cfRule>
  </conditionalFormatting>
  <conditionalFormatting sqref="H2:H23 H25:H27 H31:H57 H61:H82 H84:H86 H90:H110 H112 H116:H119"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F110"/>
  <sheetViews>
    <sheetView workbookViewId="0"/>
  </sheetViews>
  <sheetFormatPr baseColWidth="10" defaultColWidth="12.6640625" defaultRowHeight="15.75" customHeight="1"/>
  <cols>
    <col min="1" max="1" width="19.33203125" customWidth="1"/>
    <col min="2" max="2" width="6.1640625" customWidth="1"/>
    <col min="3" max="3" width="4.6640625" customWidth="1"/>
    <col min="4" max="4" width="8.5" customWidth="1"/>
    <col min="5" max="5" width="7.6640625" customWidth="1"/>
    <col min="6" max="6" width="7.83203125" customWidth="1"/>
    <col min="7" max="7" width="7.6640625" customWidth="1"/>
    <col min="8" max="8" width="8" customWidth="1"/>
    <col min="9" max="9" width="8.83203125" customWidth="1"/>
    <col min="10" max="10" width="8" customWidth="1"/>
    <col min="11" max="11" width="7.1640625" customWidth="1"/>
    <col min="12" max="12" width="7.6640625" customWidth="1"/>
    <col min="13" max="13" width="7.5" customWidth="1"/>
    <col min="14" max="14" width="7.33203125" customWidth="1"/>
    <col min="15" max="15" width="6.83203125" customWidth="1"/>
    <col min="16" max="16" width="6.6640625" customWidth="1"/>
    <col min="17" max="17" width="8" customWidth="1"/>
    <col min="18" max="18" width="6.83203125" customWidth="1"/>
    <col min="19" max="19" width="10" customWidth="1"/>
    <col min="20" max="20" width="7.1640625" customWidth="1"/>
    <col min="21" max="21" width="8.6640625" customWidth="1"/>
    <col min="22" max="22" width="7.6640625" customWidth="1"/>
    <col min="23" max="23" width="6.83203125" customWidth="1"/>
    <col min="24" max="24" width="6.33203125" customWidth="1"/>
    <col min="25" max="25" width="10.6640625" customWidth="1"/>
    <col min="26" max="26" width="5.5" customWidth="1"/>
    <col min="27" max="27" width="8.5" customWidth="1"/>
    <col min="28" max="28" width="7" customWidth="1"/>
    <col min="29" max="29" width="4.83203125" customWidth="1"/>
    <col min="30" max="30" width="8.5" customWidth="1"/>
    <col min="31" max="31" width="9.1640625" customWidth="1"/>
  </cols>
  <sheetData>
    <row r="1" spans="1:32">
      <c r="A1" s="461" t="s">
        <v>581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  <c r="AC1" s="458"/>
      <c r="AD1" s="458"/>
      <c r="AE1" s="458"/>
      <c r="AF1" s="459"/>
    </row>
    <row r="2" spans="1:32">
      <c r="A2" s="95" t="s">
        <v>0</v>
      </c>
      <c r="B2" s="95" t="s">
        <v>1</v>
      </c>
      <c r="C2" s="95" t="s">
        <v>372</v>
      </c>
      <c r="D2" s="95" t="s">
        <v>2</v>
      </c>
      <c r="E2" s="95" t="s">
        <v>413</v>
      </c>
      <c r="F2" s="150" t="s">
        <v>414</v>
      </c>
      <c r="G2" s="150" t="s">
        <v>415</v>
      </c>
      <c r="H2" s="95" t="s">
        <v>416</v>
      </c>
      <c r="I2" s="95" t="s">
        <v>7</v>
      </c>
      <c r="J2" s="95" t="s">
        <v>8</v>
      </c>
      <c r="K2" s="95" t="s">
        <v>287</v>
      </c>
      <c r="L2" s="95" t="s">
        <v>288</v>
      </c>
      <c r="M2" s="95" t="s">
        <v>257</v>
      </c>
      <c r="N2" s="95" t="s">
        <v>373</v>
      </c>
      <c r="O2" s="95" t="s">
        <v>374</v>
      </c>
      <c r="P2" s="150" t="s">
        <v>538</v>
      </c>
      <c r="Q2" s="95" t="s">
        <v>375</v>
      </c>
      <c r="R2" s="95" t="s">
        <v>376</v>
      </c>
      <c r="S2" s="95" t="s">
        <v>522</v>
      </c>
      <c r="T2" s="150" t="s">
        <v>378</v>
      </c>
      <c r="U2" s="150" t="s">
        <v>539</v>
      </c>
      <c r="V2" s="150" t="s">
        <v>379</v>
      </c>
      <c r="W2" s="150" t="s">
        <v>352</v>
      </c>
      <c r="X2" s="150" t="s">
        <v>523</v>
      </c>
      <c r="Y2" s="95" t="s">
        <v>380</v>
      </c>
      <c r="Z2" s="95" t="s">
        <v>381</v>
      </c>
      <c r="AA2" s="95" t="s">
        <v>382</v>
      </c>
      <c r="AB2" s="95" t="s">
        <v>383</v>
      </c>
      <c r="AC2" s="95" t="s">
        <v>385</v>
      </c>
      <c r="AD2" s="150" t="s">
        <v>333</v>
      </c>
      <c r="AE2" s="95" t="s">
        <v>582</v>
      </c>
      <c r="AF2" s="95" t="s">
        <v>98</v>
      </c>
    </row>
    <row r="3" spans="1:32">
      <c r="A3" s="184" t="s">
        <v>505</v>
      </c>
      <c r="B3" s="185">
        <v>191274</v>
      </c>
      <c r="C3" s="112">
        <v>7</v>
      </c>
      <c r="D3" s="103">
        <v>8150</v>
      </c>
      <c r="E3" s="102">
        <f t="shared" ref="E3:E15" si="0">F3+G3</f>
        <v>3834</v>
      </c>
      <c r="F3" s="117">
        <v>3756</v>
      </c>
      <c r="G3" s="117">
        <v>78</v>
      </c>
      <c r="H3" s="128">
        <f t="shared" ref="H3:H5" si="1">D3/E3</f>
        <v>2.1257172665623369</v>
      </c>
      <c r="I3" s="128">
        <v>2135.35</v>
      </c>
      <c r="J3" s="128">
        <v>371</v>
      </c>
      <c r="K3" s="103">
        <v>100</v>
      </c>
      <c r="L3" s="103"/>
      <c r="M3" s="146">
        <v>299.01</v>
      </c>
      <c r="N3" s="103">
        <f t="shared" ref="N3:N12" si="2">D3*0.0085</f>
        <v>69.275000000000006</v>
      </c>
      <c r="O3" s="103">
        <v>7</v>
      </c>
      <c r="P3" s="103"/>
      <c r="Q3" s="103">
        <v>881.75</v>
      </c>
      <c r="R3" s="103"/>
      <c r="S3" s="103">
        <v>0</v>
      </c>
      <c r="T3" s="103"/>
      <c r="U3" s="103">
        <v>40</v>
      </c>
      <c r="V3" s="103"/>
      <c r="W3" s="103">
        <f t="shared" ref="W3:W22" si="3">Z3*Y3</f>
        <v>349.27199999999999</v>
      </c>
      <c r="X3" s="152"/>
      <c r="Y3" s="152">
        <v>7.6999999999999999E-2</v>
      </c>
      <c r="Z3" s="155">
        <v>4536</v>
      </c>
      <c r="AA3" s="103">
        <v>135</v>
      </c>
      <c r="AB3" s="103">
        <f t="shared" ref="AB3:AB26" si="4">E3*0.1</f>
        <v>383.40000000000003</v>
      </c>
      <c r="AC3" s="213">
        <v>0.27</v>
      </c>
      <c r="AD3" s="103">
        <v>95</v>
      </c>
      <c r="AE3" s="103">
        <f>D3-I3-N3-Q3-U3-W3-AA3-AB3-AD3-AF3-K3</f>
        <v>1760.4530000000004</v>
      </c>
      <c r="AF3" s="103">
        <f>D3*AC3</f>
        <v>2200.5</v>
      </c>
    </row>
    <row r="4" spans="1:32">
      <c r="A4" s="187" t="s">
        <v>571</v>
      </c>
      <c r="B4" s="208">
        <v>191276</v>
      </c>
      <c r="C4" s="112">
        <v>7</v>
      </c>
      <c r="D4" s="103">
        <v>6150</v>
      </c>
      <c r="E4" s="102">
        <f t="shared" si="0"/>
        <v>3105</v>
      </c>
      <c r="F4" s="102" t="s">
        <v>583</v>
      </c>
      <c r="G4" s="102" t="s">
        <v>584</v>
      </c>
      <c r="H4" s="128">
        <f t="shared" si="1"/>
        <v>1.9806763285024154</v>
      </c>
      <c r="I4" s="128">
        <v>1761.16</v>
      </c>
      <c r="J4" s="128">
        <v>88.88</v>
      </c>
      <c r="K4" s="103"/>
      <c r="L4" s="103"/>
      <c r="M4" s="146">
        <v>313.17</v>
      </c>
      <c r="N4" s="103">
        <f t="shared" si="2"/>
        <v>52.275000000000006</v>
      </c>
      <c r="O4" s="103">
        <v>7</v>
      </c>
      <c r="P4" s="103"/>
      <c r="Q4" s="103">
        <v>881.75</v>
      </c>
      <c r="R4" s="103"/>
      <c r="S4" s="103">
        <v>0</v>
      </c>
      <c r="T4" s="103"/>
      <c r="U4" s="103">
        <v>40</v>
      </c>
      <c r="V4" s="103"/>
      <c r="W4" s="103">
        <f t="shared" si="3"/>
        <v>230.1</v>
      </c>
      <c r="X4" s="152"/>
      <c r="Y4" s="152">
        <v>7.4999999999999997E-2</v>
      </c>
      <c r="Z4" s="153">
        <v>3068</v>
      </c>
      <c r="AA4" s="103">
        <v>135</v>
      </c>
      <c r="AB4" s="103">
        <f t="shared" si="4"/>
        <v>310.5</v>
      </c>
      <c r="AC4" s="154">
        <v>0.6</v>
      </c>
      <c r="AD4" s="103">
        <v>95</v>
      </c>
      <c r="AE4" s="103">
        <f t="shared" ref="AE4:AE6" si="5">D4-I4-J4-N4-O4-Q4-W4-AA4-AB4-AD4-AC4*E4+M4-U4-P4</f>
        <v>998.50500000000056</v>
      </c>
      <c r="AF4" s="103">
        <f t="shared" ref="AF4:AF5" si="6">AC4*E4+K4-L4</f>
        <v>1863</v>
      </c>
    </row>
    <row r="5" spans="1:32">
      <c r="A5" s="184" t="s">
        <v>541</v>
      </c>
      <c r="B5" s="185">
        <v>191277</v>
      </c>
      <c r="C5" s="112">
        <v>7</v>
      </c>
      <c r="D5" s="103">
        <v>4653</v>
      </c>
      <c r="E5" s="102">
        <f t="shared" si="0"/>
        <v>2487</v>
      </c>
      <c r="F5" s="117">
        <v>2216</v>
      </c>
      <c r="G5" s="117">
        <v>271</v>
      </c>
      <c r="H5" s="128">
        <f t="shared" si="1"/>
        <v>1.8709288299155609</v>
      </c>
      <c r="I5" s="128">
        <v>2044.72</v>
      </c>
      <c r="J5" s="128">
        <v>0.97</v>
      </c>
      <c r="K5" s="103"/>
      <c r="L5" s="103"/>
      <c r="M5" s="146">
        <v>311.58999999999997</v>
      </c>
      <c r="N5" s="103">
        <f t="shared" si="2"/>
        <v>39.5505</v>
      </c>
      <c r="O5" s="103">
        <v>7</v>
      </c>
      <c r="P5" s="103"/>
      <c r="Q5" s="103">
        <v>881.75</v>
      </c>
      <c r="R5" s="103"/>
      <c r="S5" s="103">
        <v>0</v>
      </c>
      <c r="T5" s="103"/>
      <c r="U5" s="103">
        <v>40</v>
      </c>
      <c r="V5" s="103"/>
      <c r="W5" s="103">
        <f t="shared" si="3"/>
        <v>196.2</v>
      </c>
      <c r="X5" s="152"/>
      <c r="Y5" s="152">
        <v>7.4999999999999997E-2</v>
      </c>
      <c r="Z5" s="153">
        <v>2616</v>
      </c>
      <c r="AA5" s="103">
        <v>135</v>
      </c>
      <c r="AB5" s="103">
        <f t="shared" si="4"/>
        <v>248.70000000000002</v>
      </c>
      <c r="AC5" s="154">
        <v>0.6</v>
      </c>
      <c r="AD5" s="103">
        <v>95</v>
      </c>
      <c r="AE5" s="103">
        <f t="shared" si="5"/>
        <v>-216.50050000000005</v>
      </c>
      <c r="AF5" s="103">
        <f t="shared" si="6"/>
        <v>1492.2</v>
      </c>
    </row>
    <row r="6" spans="1:32">
      <c r="A6" s="234" t="s">
        <v>318</v>
      </c>
      <c r="B6" s="208">
        <v>191279</v>
      </c>
      <c r="C6" s="112"/>
      <c r="D6" s="103"/>
      <c r="E6" s="102">
        <f t="shared" si="0"/>
        <v>0</v>
      </c>
      <c r="F6" s="117"/>
      <c r="G6" s="231"/>
      <c r="H6" s="128"/>
      <c r="I6" s="146"/>
      <c r="J6" s="128">
        <v>171.95</v>
      </c>
      <c r="K6" s="103"/>
      <c r="L6" s="103"/>
      <c r="M6" s="146"/>
      <c r="N6" s="103">
        <f t="shared" si="2"/>
        <v>0</v>
      </c>
      <c r="O6" s="103">
        <v>7</v>
      </c>
      <c r="P6" s="103"/>
      <c r="Q6" s="103">
        <v>881.75</v>
      </c>
      <c r="R6" s="103"/>
      <c r="S6" s="103">
        <v>0</v>
      </c>
      <c r="T6" s="103"/>
      <c r="U6" s="103">
        <v>40</v>
      </c>
      <c r="V6" s="103"/>
      <c r="W6" s="103">
        <f t="shared" si="3"/>
        <v>6.1499999999999995</v>
      </c>
      <c r="X6" s="152"/>
      <c r="Y6" s="152">
        <v>7.4999999999999997E-2</v>
      </c>
      <c r="Z6" s="153">
        <v>82</v>
      </c>
      <c r="AA6" s="103">
        <v>135</v>
      </c>
      <c r="AB6" s="103">
        <f t="shared" si="4"/>
        <v>0</v>
      </c>
      <c r="AC6" s="213">
        <v>0.25</v>
      </c>
      <c r="AD6" s="103">
        <v>95</v>
      </c>
      <c r="AE6" s="226">
        <f t="shared" si="5"/>
        <v>-1336.8500000000001</v>
      </c>
      <c r="AF6" s="103">
        <f t="shared" ref="AF6:AF7" si="7">D6*AC6</f>
        <v>0</v>
      </c>
    </row>
    <row r="7" spans="1:32">
      <c r="A7" s="187" t="s">
        <v>574</v>
      </c>
      <c r="B7" s="208">
        <v>191280</v>
      </c>
      <c r="C7" s="112">
        <v>7</v>
      </c>
      <c r="D7" s="103">
        <v>7350</v>
      </c>
      <c r="E7" s="102">
        <f t="shared" si="0"/>
        <v>3341</v>
      </c>
      <c r="F7" s="117">
        <v>3099</v>
      </c>
      <c r="G7" s="117">
        <v>242</v>
      </c>
      <c r="H7" s="128">
        <f t="shared" ref="H7:H8" si="8">D7/E7</f>
        <v>2.1999401376833285</v>
      </c>
      <c r="I7" s="128">
        <v>2055.02</v>
      </c>
      <c r="J7" s="128">
        <v>45.27</v>
      </c>
      <c r="K7" s="103"/>
      <c r="L7" s="103"/>
      <c r="M7" s="146">
        <v>303.33</v>
      </c>
      <c r="N7" s="103">
        <f t="shared" si="2"/>
        <v>62.475000000000001</v>
      </c>
      <c r="O7" s="103">
        <v>7</v>
      </c>
      <c r="P7" s="103"/>
      <c r="Q7" s="103">
        <v>881.75</v>
      </c>
      <c r="R7" s="103"/>
      <c r="S7" s="103">
        <v>0</v>
      </c>
      <c r="T7" s="103"/>
      <c r="U7" s="103">
        <v>40</v>
      </c>
      <c r="V7" s="103"/>
      <c r="W7" s="103">
        <f t="shared" si="3"/>
        <v>263.47499999999997</v>
      </c>
      <c r="X7" s="152"/>
      <c r="Y7" s="152">
        <v>7.4999999999999997E-2</v>
      </c>
      <c r="Z7" s="153">
        <v>3513</v>
      </c>
      <c r="AA7" s="103">
        <v>135</v>
      </c>
      <c r="AB7" s="103">
        <f t="shared" si="4"/>
        <v>334.1</v>
      </c>
      <c r="AC7" s="213">
        <v>0.25</v>
      </c>
      <c r="AD7" s="108">
        <v>95</v>
      </c>
      <c r="AE7" s="103">
        <f>D7-I7-N7-Q7-U7-W7-AA7-AB7-AD7-AF7-P7</f>
        <v>1645.6799999999994</v>
      </c>
      <c r="AF7" s="103">
        <f t="shared" si="7"/>
        <v>1837.5</v>
      </c>
    </row>
    <row r="8" spans="1:32">
      <c r="A8" s="187" t="s">
        <v>550</v>
      </c>
      <c r="B8" s="208">
        <v>191281</v>
      </c>
      <c r="C8" s="112">
        <v>5</v>
      </c>
      <c r="D8" s="103">
        <v>3350</v>
      </c>
      <c r="E8" s="102">
        <f t="shared" si="0"/>
        <v>1799</v>
      </c>
      <c r="F8" s="117">
        <v>1625</v>
      </c>
      <c r="G8" s="117">
        <v>174</v>
      </c>
      <c r="H8" s="128">
        <f t="shared" si="8"/>
        <v>1.8621456364647027</v>
      </c>
      <c r="I8" s="128">
        <v>811.72</v>
      </c>
      <c r="J8" s="128">
        <v>69.25</v>
      </c>
      <c r="K8" s="103"/>
      <c r="L8" s="103"/>
      <c r="M8" s="146">
        <v>26.81</v>
      </c>
      <c r="N8" s="103">
        <f t="shared" si="2"/>
        <v>28.475000000000001</v>
      </c>
      <c r="O8" s="103">
        <v>7</v>
      </c>
      <c r="P8" s="103">
        <v>5.43</v>
      </c>
      <c r="Q8" s="103">
        <v>881.75</v>
      </c>
      <c r="R8" s="103"/>
      <c r="S8" s="103">
        <v>0</v>
      </c>
      <c r="T8" s="103"/>
      <c r="U8" s="103">
        <v>40</v>
      </c>
      <c r="V8" s="103"/>
      <c r="W8" s="103">
        <f t="shared" si="3"/>
        <v>138.15</v>
      </c>
      <c r="X8" s="152"/>
      <c r="Y8" s="152">
        <v>7.4999999999999997E-2</v>
      </c>
      <c r="Z8" s="153">
        <v>1842</v>
      </c>
      <c r="AA8" s="103">
        <v>135</v>
      </c>
      <c r="AB8" s="103">
        <f t="shared" si="4"/>
        <v>179.9</v>
      </c>
      <c r="AC8" s="154">
        <v>0.55000000000000004</v>
      </c>
      <c r="AD8" s="103">
        <v>95</v>
      </c>
      <c r="AE8" s="103">
        <f>D8-I8-J8-N8-O8-Q8-W8-AA8-AB8-AD8-AC8*E8+M8-U8</f>
        <v>1.1149999999996112</v>
      </c>
      <c r="AF8" s="103">
        <f>AC8*E8</f>
        <v>989.45</v>
      </c>
    </row>
    <row r="9" spans="1:32">
      <c r="A9" s="198" t="s">
        <v>585</v>
      </c>
      <c r="B9" s="208">
        <v>191283</v>
      </c>
      <c r="C9" s="112"/>
      <c r="D9" s="103"/>
      <c r="E9" s="102">
        <f t="shared" si="0"/>
        <v>0</v>
      </c>
      <c r="F9" s="112"/>
      <c r="G9" s="112"/>
      <c r="H9" s="128"/>
      <c r="I9" s="128"/>
      <c r="J9" s="128">
        <v>92.72</v>
      </c>
      <c r="K9" s="103"/>
      <c r="L9" s="103"/>
      <c r="M9" s="146"/>
      <c r="N9" s="103">
        <f t="shared" si="2"/>
        <v>0</v>
      </c>
      <c r="O9" s="103">
        <v>7</v>
      </c>
      <c r="P9" s="103"/>
      <c r="Q9" s="103">
        <v>881.75</v>
      </c>
      <c r="R9" s="103"/>
      <c r="S9" s="103">
        <v>0</v>
      </c>
      <c r="T9" s="103"/>
      <c r="U9" s="103">
        <v>40</v>
      </c>
      <c r="V9" s="103"/>
      <c r="W9" s="103">
        <f t="shared" si="3"/>
        <v>16.95</v>
      </c>
      <c r="X9" s="152"/>
      <c r="Y9" s="152">
        <v>7.4999999999999997E-2</v>
      </c>
      <c r="Z9" s="153">
        <v>226</v>
      </c>
      <c r="AA9" s="103">
        <v>135</v>
      </c>
      <c r="AB9" s="103">
        <f t="shared" si="4"/>
        <v>0</v>
      </c>
      <c r="AC9" s="213">
        <v>0.27</v>
      </c>
      <c r="AD9" s="103">
        <v>95</v>
      </c>
      <c r="AE9" s="103">
        <f t="shared" ref="AE9:AE10" si="9">D9-I9-N9-Q9-U9-W9-AA9-AB9-AD9-AF9-L9-P9</f>
        <v>-1168.7</v>
      </c>
      <c r="AF9" s="103">
        <f t="shared" ref="AF9:AF10" si="10">D9*AC9+L9</f>
        <v>0</v>
      </c>
    </row>
    <row r="10" spans="1:32">
      <c r="A10" s="184" t="s">
        <v>488</v>
      </c>
      <c r="B10" s="208">
        <v>465180</v>
      </c>
      <c r="C10" s="112">
        <v>5</v>
      </c>
      <c r="D10" s="103">
        <v>4575</v>
      </c>
      <c r="E10" s="102">
        <f t="shared" si="0"/>
        <v>2624</v>
      </c>
      <c r="F10" s="117">
        <v>2530</v>
      </c>
      <c r="G10" s="117">
        <v>94</v>
      </c>
      <c r="H10" s="128">
        <f t="shared" ref="H10:H12" si="11">D10/E10</f>
        <v>1.7435213414634145</v>
      </c>
      <c r="I10" s="128">
        <v>1939.43</v>
      </c>
      <c r="J10" s="128">
        <v>123.5</v>
      </c>
      <c r="K10" s="103"/>
      <c r="L10" s="103"/>
      <c r="M10" s="146">
        <v>316.61</v>
      </c>
      <c r="N10" s="103">
        <f t="shared" si="2"/>
        <v>38.887500000000003</v>
      </c>
      <c r="O10" s="103">
        <v>7</v>
      </c>
      <c r="P10" s="103">
        <v>4.99</v>
      </c>
      <c r="Q10" s="103">
        <v>881.75</v>
      </c>
      <c r="R10" s="103"/>
      <c r="S10" s="103">
        <v>0</v>
      </c>
      <c r="T10" s="103"/>
      <c r="U10" s="103">
        <v>40</v>
      </c>
      <c r="V10" s="103"/>
      <c r="W10" s="103">
        <f t="shared" si="3"/>
        <v>209.32499999999999</v>
      </c>
      <c r="X10" s="152"/>
      <c r="Y10" s="152">
        <v>7.4999999999999997E-2</v>
      </c>
      <c r="Z10" s="153">
        <v>2791</v>
      </c>
      <c r="AA10" s="103">
        <v>135</v>
      </c>
      <c r="AB10" s="103">
        <f t="shared" si="4"/>
        <v>262.40000000000003</v>
      </c>
      <c r="AC10" s="213">
        <v>0.27</v>
      </c>
      <c r="AD10" s="103">
        <v>95</v>
      </c>
      <c r="AE10" s="103">
        <f t="shared" si="9"/>
        <v>-267.03250000000025</v>
      </c>
      <c r="AF10" s="103">
        <f t="shared" si="10"/>
        <v>1235.25</v>
      </c>
    </row>
    <row r="11" spans="1:32">
      <c r="A11" s="190" t="s">
        <v>491</v>
      </c>
      <c r="B11" s="185">
        <v>465181</v>
      </c>
      <c r="C11" s="117">
        <v>5</v>
      </c>
      <c r="D11" s="103">
        <v>5071</v>
      </c>
      <c r="E11" s="102">
        <f t="shared" si="0"/>
        <v>2330</v>
      </c>
      <c r="F11" s="112">
        <v>2190</v>
      </c>
      <c r="G11" s="112">
        <v>140</v>
      </c>
      <c r="H11" s="128">
        <f t="shared" si="11"/>
        <v>2.1763948497854075</v>
      </c>
      <c r="I11" s="146">
        <v>1109.93</v>
      </c>
      <c r="J11" s="128">
        <v>31.87</v>
      </c>
      <c r="K11" s="128"/>
      <c r="L11" s="128"/>
      <c r="M11" s="146">
        <v>221.81</v>
      </c>
      <c r="N11" s="103">
        <f t="shared" si="2"/>
        <v>43.103500000000004</v>
      </c>
      <c r="O11" s="103">
        <v>7</v>
      </c>
      <c r="P11" s="103"/>
      <c r="Q11" s="103">
        <v>881.75</v>
      </c>
      <c r="R11" s="103"/>
      <c r="S11" s="103">
        <v>0</v>
      </c>
      <c r="T11" s="103"/>
      <c r="U11" s="103">
        <v>40</v>
      </c>
      <c r="V11" s="103"/>
      <c r="W11" s="103">
        <f t="shared" si="3"/>
        <v>181.02699999999999</v>
      </c>
      <c r="X11" s="152"/>
      <c r="Y11" s="152">
        <v>7.6999999999999999E-2</v>
      </c>
      <c r="Z11" s="153">
        <v>2351</v>
      </c>
      <c r="AA11" s="103">
        <v>135</v>
      </c>
      <c r="AB11" s="103">
        <f t="shared" si="4"/>
        <v>233</v>
      </c>
      <c r="AC11" s="154">
        <v>0.6</v>
      </c>
      <c r="AD11" s="103">
        <v>95</v>
      </c>
      <c r="AE11" s="103">
        <f>D11-I11-J11-N11-O11-Q11-W11-AA11-AB11-AD11-AC11*E11+M11-U11-P11-K11+L11</f>
        <v>1137.1294999999996</v>
      </c>
      <c r="AF11" s="103">
        <f>AC11*E11+K11</f>
        <v>1398</v>
      </c>
    </row>
    <row r="12" spans="1:32">
      <c r="A12" s="190" t="s">
        <v>555</v>
      </c>
      <c r="B12" s="208">
        <v>465182</v>
      </c>
      <c r="C12" s="112">
        <v>7</v>
      </c>
      <c r="D12" s="103">
        <v>5706</v>
      </c>
      <c r="E12" s="102">
        <f t="shared" si="0"/>
        <v>2677</v>
      </c>
      <c r="F12" s="112">
        <v>2530</v>
      </c>
      <c r="G12" s="112">
        <v>147</v>
      </c>
      <c r="H12" s="128">
        <f t="shared" si="11"/>
        <v>2.1314904744116547</v>
      </c>
      <c r="I12" s="128">
        <v>1286.82</v>
      </c>
      <c r="J12" s="128">
        <v>175.48</v>
      </c>
      <c r="K12" s="103"/>
      <c r="L12" s="103">
        <v>412.5</v>
      </c>
      <c r="M12" s="146">
        <v>35.65</v>
      </c>
      <c r="N12" s="103">
        <f t="shared" si="2"/>
        <v>48.501000000000005</v>
      </c>
      <c r="O12" s="103">
        <v>7</v>
      </c>
      <c r="P12" s="103">
        <v>57.89</v>
      </c>
      <c r="Q12" s="103">
        <v>881.75</v>
      </c>
      <c r="R12" s="103"/>
      <c r="S12" s="103">
        <v>0</v>
      </c>
      <c r="T12" s="103"/>
      <c r="U12" s="103">
        <v>40</v>
      </c>
      <c r="V12" s="103"/>
      <c r="W12" s="103">
        <f t="shared" si="3"/>
        <v>214.44499999999999</v>
      </c>
      <c r="X12" s="152"/>
      <c r="Y12" s="152">
        <v>7.6999999999999999E-2</v>
      </c>
      <c r="Z12" s="153">
        <v>2785</v>
      </c>
      <c r="AA12" s="103">
        <v>135</v>
      </c>
      <c r="AB12" s="103">
        <f t="shared" si="4"/>
        <v>267.7</v>
      </c>
      <c r="AC12" s="213">
        <v>0.27</v>
      </c>
      <c r="AD12" s="103">
        <v>95</v>
      </c>
      <c r="AE12" s="103">
        <f>D12-I12-N12-Q12-U12-W12-AA12-AB12-AD12-AF12-P12+L12</f>
        <v>1138.2739999999999</v>
      </c>
      <c r="AF12" s="103">
        <f>D12*AC12+L12</f>
        <v>1953.1200000000001</v>
      </c>
    </row>
    <row r="13" spans="1:32">
      <c r="A13" s="234" t="s">
        <v>318</v>
      </c>
      <c r="B13" s="208">
        <v>465183</v>
      </c>
      <c r="C13" s="117"/>
      <c r="D13" s="103"/>
      <c r="E13" s="102">
        <f t="shared" si="0"/>
        <v>0</v>
      </c>
      <c r="F13" s="112"/>
      <c r="G13" s="112"/>
      <c r="H13" s="128"/>
      <c r="I13" s="128">
        <v>499.99</v>
      </c>
      <c r="J13" s="128">
        <v>19.649999999999999</v>
      </c>
      <c r="K13" s="128"/>
      <c r="L13" s="128"/>
      <c r="M13" s="146">
        <v>5.88</v>
      </c>
      <c r="N13" s="103"/>
      <c r="O13" s="103">
        <v>7</v>
      </c>
      <c r="P13" s="103"/>
      <c r="Q13" s="103">
        <v>881.75</v>
      </c>
      <c r="R13" s="103"/>
      <c r="S13" s="103">
        <v>0</v>
      </c>
      <c r="T13" s="103"/>
      <c r="U13" s="103">
        <v>40</v>
      </c>
      <c r="V13" s="103"/>
      <c r="W13" s="103">
        <f t="shared" si="3"/>
        <v>2.0019999999999998</v>
      </c>
      <c r="X13" s="152"/>
      <c r="Y13" s="152">
        <v>7.6999999999999999E-2</v>
      </c>
      <c r="Z13" s="153">
        <v>26</v>
      </c>
      <c r="AA13" s="103">
        <v>135</v>
      </c>
      <c r="AB13" s="103">
        <f t="shared" si="4"/>
        <v>0</v>
      </c>
      <c r="AC13" s="213"/>
      <c r="AD13" s="103">
        <v>95</v>
      </c>
      <c r="AE13" s="226">
        <f>D13-I13-J13-N13-O13-Q13-W13-AA13-AB13-AD13-AC13*E13+M13-U13-P13</f>
        <v>-1674.5119999999997</v>
      </c>
      <c r="AF13" s="103">
        <f t="shared" ref="AF13:AF15" si="12">D13*AC13</f>
        <v>0</v>
      </c>
    </row>
    <row r="14" spans="1:32">
      <c r="A14" s="187" t="s">
        <v>575</v>
      </c>
      <c r="B14" s="208">
        <v>465185</v>
      </c>
      <c r="C14" s="117">
        <v>5</v>
      </c>
      <c r="D14" s="103">
        <v>3885</v>
      </c>
      <c r="E14" s="102">
        <f t="shared" si="0"/>
        <v>2089</v>
      </c>
      <c r="F14" s="112">
        <v>1847</v>
      </c>
      <c r="G14" s="112">
        <v>242</v>
      </c>
      <c r="H14" s="128">
        <f>D14/E14</f>
        <v>1.8597415031115365</v>
      </c>
      <c r="I14" s="128">
        <v>1059.19</v>
      </c>
      <c r="J14" s="128"/>
      <c r="K14" s="128"/>
      <c r="L14" s="128"/>
      <c r="M14" s="146">
        <v>102.08</v>
      </c>
      <c r="N14" s="103">
        <f t="shared" ref="N14:N25" si="13">D14*0.0085</f>
        <v>33.022500000000001</v>
      </c>
      <c r="O14" s="103">
        <v>7</v>
      </c>
      <c r="P14" s="103"/>
      <c r="Q14" s="103">
        <v>881.75</v>
      </c>
      <c r="R14" s="103"/>
      <c r="S14" s="103">
        <v>0</v>
      </c>
      <c r="T14" s="103"/>
      <c r="U14" s="103">
        <v>40</v>
      </c>
      <c r="V14" s="103"/>
      <c r="W14" s="103">
        <f t="shared" si="3"/>
        <v>169.93899999999999</v>
      </c>
      <c r="X14" s="152"/>
      <c r="Y14" s="152">
        <v>7.6999999999999999E-2</v>
      </c>
      <c r="Z14" s="153">
        <v>2207</v>
      </c>
      <c r="AA14" s="103">
        <v>135</v>
      </c>
      <c r="AB14" s="103">
        <f t="shared" si="4"/>
        <v>208.9</v>
      </c>
      <c r="AC14" s="213">
        <v>0.27</v>
      </c>
      <c r="AD14" s="103">
        <v>95</v>
      </c>
      <c r="AE14" s="103">
        <f t="shared" ref="AE14:AE15" si="14">D14-I14-N14-Q14-U14-W14-AA14-AB14-AD14-AF14-P14</f>
        <v>213.24849999999969</v>
      </c>
      <c r="AF14" s="103">
        <f t="shared" si="12"/>
        <v>1048.95</v>
      </c>
    </row>
    <row r="15" spans="1:32">
      <c r="A15" s="190"/>
      <c r="B15" s="205">
        <v>465186</v>
      </c>
      <c r="C15" s="112"/>
      <c r="D15" s="103"/>
      <c r="E15" s="102">
        <f t="shared" si="0"/>
        <v>0</v>
      </c>
      <c r="F15" s="112"/>
      <c r="G15" s="112"/>
      <c r="H15" s="128"/>
      <c r="I15" s="128"/>
      <c r="J15" s="128">
        <v>64.97</v>
      </c>
      <c r="K15" s="128"/>
      <c r="L15" s="128"/>
      <c r="M15" s="146"/>
      <c r="N15" s="103">
        <f t="shared" si="13"/>
        <v>0</v>
      </c>
      <c r="O15" s="103">
        <v>7</v>
      </c>
      <c r="P15" s="103"/>
      <c r="Q15" s="103">
        <v>881.75</v>
      </c>
      <c r="R15" s="103"/>
      <c r="S15" s="103">
        <v>0</v>
      </c>
      <c r="T15" s="103"/>
      <c r="U15" s="103">
        <v>40</v>
      </c>
      <c r="V15" s="103"/>
      <c r="W15" s="103">
        <f t="shared" si="3"/>
        <v>0</v>
      </c>
      <c r="X15" s="152"/>
      <c r="Y15" s="152">
        <v>7.6999999999999999E-2</v>
      </c>
      <c r="Z15" s="153">
        <v>0</v>
      </c>
      <c r="AA15" s="103">
        <v>135</v>
      </c>
      <c r="AB15" s="103">
        <f t="shared" si="4"/>
        <v>0</v>
      </c>
      <c r="AC15" s="213">
        <v>0.27</v>
      </c>
      <c r="AD15" s="103">
        <v>95</v>
      </c>
      <c r="AE15" s="103">
        <f t="shared" si="14"/>
        <v>-1151.75</v>
      </c>
      <c r="AF15" s="103">
        <f t="shared" si="12"/>
        <v>0</v>
      </c>
    </row>
    <row r="16" spans="1:32">
      <c r="A16" s="187" t="s">
        <v>439</v>
      </c>
      <c r="B16" s="185">
        <v>465187</v>
      </c>
      <c r="C16" s="117">
        <v>0</v>
      </c>
      <c r="D16" s="103">
        <v>0</v>
      </c>
      <c r="E16" s="102" t="s">
        <v>586</v>
      </c>
      <c r="F16" s="112"/>
      <c r="G16" s="112"/>
      <c r="H16" s="128"/>
      <c r="I16" s="128"/>
      <c r="J16" s="128">
        <v>64.97</v>
      </c>
      <c r="K16" s="128"/>
      <c r="L16" s="128"/>
      <c r="M16" s="146"/>
      <c r="N16" s="103">
        <f t="shared" si="13"/>
        <v>0</v>
      </c>
      <c r="O16" s="103">
        <v>7</v>
      </c>
      <c r="P16" s="103"/>
      <c r="Q16" s="103">
        <v>881.75</v>
      </c>
      <c r="R16" s="103"/>
      <c r="S16" s="103">
        <v>0</v>
      </c>
      <c r="T16" s="103"/>
      <c r="U16" s="103">
        <v>40</v>
      </c>
      <c r="V16" s="103"/>
      <c r="W16" s="103">
        <f t="shared" si="3"/>
        <v>7.6999999999999999E-2</v>
      </c>
      <c r="X16" s="152"/>
      <c r="Y16" s="152">
        <v>7.6999999999999999E-2</v>
      </c>
      <c r="Z16" s="153">
        <v>1</v>
      </c>
      <c r="AA16" s="103">
        <v>135</v>
      </c>
      <c r="AB16" s="103">
        <f t="shared" si="4"/>
        <v>0</v>
      </c>
      <c r="AC16" s="154">
        <v>0.6</v>
      </c>
      <c r="AD16" s="103">
        <v>95</v>
      </c>
      <c r="AE16" s="103">
        <f t="shared" ref="AE16:AE17" si="15">D16-I16-J16-N16-O16-Q16-W16-AA16-AB16-AD16-AC16*E16+M16-U16-P16</f>
        <v>-1223.797</v>
      </c>
      <c r="AF16" s="103">
        <f t="shared" ref="AF16:AF17" si="16">AC16*E16</f>
        <v>0</v>
      </c>
    </row>
    <row r="17" spans="1:32">
      <c r="A17" s="190" t="s">
        <v>427</v>
      </c>
      <c r="B17" s="185">
        <v>465188</v>
      </c>
      <c r="C17" s="112">
        <v>2</v>
      </c>
      <c r="D17" s="103">
        <v>2100</v>
      </c>
      <c r="E17" s="102">
        <f t="shared" ref="E17:E22" si="17">F17+G17</f>
        <v>1118</v>
      </c>
      <c r="F17" s="117">
        <v>982</v>
      </c>
      <c r="G17" s="117">
        <v>136</v>
      </c>
      <c r="H17" s="128">
        <f t="shared" ref="H17:H23" si="18">D17/E17</f>
        <v>1.8783542039355994</v>
      </c>
      <c r="I17" s="128">
        <v>741.24</v>
      </c>
      <c r="J17" s="128"/>
      <c r="K17" s="128"/>
      <c r="L17" s="128"/>
      <c r="M17" s="146">
        <v>109.83</v>
      </c>
      <c r="N17" s="103">
        <f t="shared" si="13"/>
        <v>17.850000000000001</v>
      </c>
      <c r="O17" s="103">
        <v>7</v>
      </c>
      <c r="P17" s="103">
        <v>893.02</v>
      </c>
      <c r="Q17" s="103">
        <v>881.75</v>
      </c>
      <c r="R17" s="103"/>
      <c r="S17" s="103">
        <v>0</v>
      </c>
      <c r="T17" s="103"/>
      <c r="U17" s="103">
        <v>40</v>
      </c>
      <c r="V17" s="103"/>
      <c r="W17" s="103">
        <f t="shared" si="3"/>
        <v>107.569</v>
      </c>
      <c r="X17" s="152"/>
      <c r="Y17" s="152">
        <v>7.6999999999999999E-2</v>
      </c>
      <c r="Z17" s="153">
        <v>1397</v>
      </c>
      <c r="AA17" s="103">
        <v>135</v>
      </c>
      <c r="AB17" s="103">
        <f t="shared" si="4"/>
        <v>111.80000000000001</v>
      </c>
      <c r="AC17" s="154">
        <v>0.6</v>
      </c>
      <c r="AD17" s="103">
        <v>95</v>
      </c>
      <c r="AE17" s="103">
        <f t="shared" si="15"/>
        <v>-1491.1989999999998</v>
      </c>
      <c r="AF17" s="103">
        <f t="shared" si="16"/>
        <v>670.8</v>
      </c>
    </row>
    <row r="18" spans="1:32">
      <c r="A18" s="198" t="s">
        <v>540</v>
      </c>
      <c r="B18" s="208">
        <v>465189</v>
      </c>
      <c r="C18" s="112">
        <v>2</v>
      </c>
      <c r="D18" s="103">
        <v>1700</v>
      </c>
      <c r="E18" s="102">
        <f t="shared" si="17"/>
        <v>839</v>
      </c>
      <c r="F18" s="117">
        <v>797</v>
      </c>
      <c r="G18" s="112">
        <v>42</v>
      </c>
      <c r="H18" s="128">
        <f t="shared" si="18"/>
        <v>2.026221692491061</v>
      </c>
      <c r="I18" s="146">
        <v>500.18</v>
      </c>
      <c r="J18" s="128">
        <v>9.15</v>
      </c>
      <c r="K18" s="103"/>
      <c r="L18" s="103"/>
      <c r="M18" s="146">
        <v>12.28</v>
      </c>
      <c r="N18" s="103">
        <f t="shared" si="13"/>
        <v>14.450000000000001</v>
      </c>
      <c r="O18" s="103">
        <v>7</v>
      </c>
      <c r="P18" s="103">
        <v>132.75</v>
      </c>
      <c r="Q18" s="103">
        <v>881.75</v>
      </c>
      <c r="R18" s="103"/>
      <c r="S18" s="103">
        <v>0</v>
      </c>
      <c r="T18" s="103"/>
      <c r="U18" s="103">
        <v>40</v>
      </c>
      <c r="V18" s="103"/>
      <c r="W18" s="103">
        <f t="shared" si="3"/>
        <v>67.575000000000003</v>
      </c>
      <c r="X18" s="152"/>
      <c r="Y18" s="152">
        <v>7.4999999999999997E-2</v>
      </c>
      <c r="Z18" s="153">
        <v>901</v>
      </c>
      <c r="AA18" s="103">
        <v>135</v>
      </c>
      <c r="AB18" s="103">
        <f t="shared" si="4"/>
        <v>83.9</v>
      </c>
      <c r="AC18" s="213">
        <v>0.27</v>
      </c>
      <c r="AD18" s="103">
        <v>95</v>
      </c>
      <c r="AE18" s="103">
        <f>D18-I18-N18-Q18-U18-W18-AA18-AB18-AD18-AF18-P18</f>
        <v>-709.60500000000013</v>
      </c>
      <c r="AF18" s="103">
        <f>D18*AC18</f>
        <v>459.00000000000006</v>
      </c>
    </row>
    <row r="19" spans="1:32">
      <c r="A19" s="215" t="s">
        <v>587</v>
      </c>
      <c r="B19" s="216">
        <v>191275</v>
      </c>
      <c r="C19" s="217">
        <v>5</v>
      </c>
      <c r="D19" s="218">
        <v>2000</v>
      </c>
      <c r="E19" s="102">
        <f t="shared" si="17"/>
        <v>784</v>
      </c>
      <c r="F19" s="217">
        <v>764</v>
      </c>
      <c r="G19" s="217">
        <v>20</v>
      </c>
      <c r="H19" s="128">
        <f t="shared" si="18"/>
        <v>2.5510204081632653</v>
      </c>
      <c r="I19" s="220">
        <v>485.5</v>
      </c>
      <c r="J19" s="221"/>
      <c r="K19" s="221"/>
      <c r="L19" s="221"/>
      <c r="M19" s="220">
        <v>0.09</v>
      </c>
      <c r="N19" s="218">
        <f t="shared" si="13"/>
        <v>17</v>
      </c>
      <c r="O19" s="218">
        <v>7</v>
      </c>
      <c r="P19" s="218"/>
      <c r="Q19" s="218">
        <v>881.75</v>
      </c>
      <c r="R19" s="218">
        <v>50</v>
      </c>
      <c r="S19" s="218">
        <v>1200</v>
      </c>
      <c r="T19" s="218">
        <v>30</v>
      </c>
      <c r="U19" s="218">
        <v>40</v>
      </c>
      <c r="V19" s="218">
        <v>300</v>
      </c>
      <c r="W19" s="218">
        <f t="shared" si="3"/>
        <v>66.224999999999994</v>
      </c>
      <c r="X19" s="218">
        <f t="shared" ref="X19:X22" si="19">0.15*Z19</f>
        <v>132.44999999999999</v>
      </c>
      <c r="Y19" s="222">
        <v>7.4999999999999997E-2</v>
      </c>
      <c r="Z19" s="219" t="s">
        <v>588</v>
      </c>
      <c r="AA19" s="218">
        <v>135</v>
      </c>
      <c r="AB19" s="218">
        <f t="shared" si="4"/>
        <v>78.400000000000006</v>
      </c>
      <c r="AC19" s="223">
        <v>0.87</v>
      </c>
      <c r="AD19" s="218">
        <v>95</v>
      </c>
      <c r="AE19" s="103">
        <f t="shared" ref="AE19:AE22" si="20">D19*13%+R19+T19+S19+V19-Q19-W19-AA19-AD19+X19-N19+M19-U19</f>
        <v>737.56499999999994</v>
      </c>
      <c r="AF19" s="103">
        <f t="shared" ref="AF19:AF22" si="21">D19*AC19-I19-J19-S19-R19-T19-V19-X19</f>
        <v>-457.95</v>
      </c>
    </row>
    <row r="20" spans="1:32">
      <c r="A20" s="229" t="s">
        <v>435</v>
      </c>
      <c r="B20" s="216">
        <v>191282</v>
      </c>
      <c r="C20" s="217">
        <v>5</v>
      </c>
      <c r="D20" s="218">
        <v>11090</v>
      </c>
      <c r="E20" s="102">
        <f t="shared" si="17"/>
        <v>5380</v>
      </c>
      <c r="F20" s="217">
        <v>4989</v>
      </c>
      <c r="G20" s="217">
        <v>391</v>
      </c>
      <c r="H20" s="128">
        <f t="shared" si="18"/>
        <v>2.0613382899628254</v>
      </c>
      <c r="I20" s="220">
        <v>2452.7199999999998</v>
      </c>
      <c r="J20" s="221">
        <v>400.79</v>
      </c>
      <c r="K20" s="221"/>
      <c r="L20" s="221"/>
      <c r="M20" s="220">
        <v>49.14</v>
      </c>
      <c r="N20" s="218">
        <f t="shared" si="13"/>
        <v>94.265000000000001</v>
      </c>
      <c r="O20" s="218">
        <v>7</v>
      </c>
      <c r="P20" s="218"/>
      <c r="Q20" s="218">
        <v>881.75</v>
      </c>
      <c r="R20" s="218">
        <v>50</v>
      </c>
      <c r="S20" s="218">
        <v>1200</v>
      </c>
      <c r="T20" s="218">
        <v>30</v>
      </c>
      <c r="U20" s="218">
        <v>40</v>
      </c>
      <c r="V20" s="218">
        <v>300</v>
      </c>
      <c r="W20" s="218">
        <f t="shared" si="3"/>
        <v>312.54300000000001</v>
      </c>
      <c r="X20" s="218">
        <f t="shared" si="19"/>
        <v>608.85</v>
      </c>
      <c r="Y20" s="222">
        <v>7.6999999999999999E-2</v>
      </c>
      <c r="Z20" s="219" t="s">
        <v>589</v>
      </c>
      <c r="AA20" s="218">
        <v>135</v>
      </c>
      <c r="AB20" s="218">
        <f t="shared" si="4"/>
        <v>538</v>
      </c>
      <c r="AC20" s="223">
        <v>0.87</v>
      </c>
      <c r="AD20" s="218">
        <v>95</v>
      </c>
      <c r="AE20" s="103">
        <f t="shared" si="20"/>
        <v>2121.1319999999996</v>
      </c>
      <c r="AF20" s="103">
        <f t="shared" si="21"/>
        <v>4605.9399999999996</v>
      </c>
    </row>
    <row r="21" spans="1:32">
      <c r="A21" s="229" t="s">
        <v>590</v>
      </c>
      <c r="B21" s="216">
        <v>465184</v>
      </c>
      <c r="C21" s="217">
        <v>7</v>
      </c>
      <c r="D21" s="218">
        <v>4300</v>
      </c>
      <c r="E21" s="102">
        <f t="shared" si="17"/>
        <v>1712</v>
      </c>
      <c r="F21" s="217">
        <v>1618</v>
      </c>
      <c r="G21" s="217">
        <v>94</v>
      </c>
      <c r="H21" s="128">
        <f t="shared" si="18"/>
        <v>2.5116822429906542</v>
      </c>
      <c r="I21" s="220">
        <v>1137.67</v>
      </c>
      <c r="J21" s="221">
        <v>138.35</v>
      </c>
      <c r="K21" s="221"/>
      <c r="L21" s="221"/>
      <c r="M21" s="220">
        <v>0</v>
      </c>
      <c r="N21" s="218">
        <f t="shared" si="13"/>
        <v>36.550000000000004</v>
      </c>
      <c r="O21" s="218">
        <v>7</v>
      </c>
      <c r="P21" s="218"/>
      <c r="Q21" s="218">
        <v>881.75</v>
      </c>
      <c r="R21" s="218">
        <v>50</v>
      </c>
      <c r="S21" s="218">
        <v>1050</v>
      </c>
      <c r="T21" s="218">
        <v>30</v>
      </c>
      <c r="U21" s="218">
        <v>40</v>
      </c>
      <c r="V21" s="218">
        <v>400</v>
      </c>
      <c r="W21" s="218">
        <f t="shared" si="3"/>
        <v>156.07900000000001</v>
      </c>
      <c r="X21" s="218">
        <f t="shared" si="19"/>
        <v>304.05</v>
      </c>
      <c r="Y21" s="222">
        <v>7.6999999999999999E-2</v>
      </c>
      <c r="Z21" s="219" t="s">
        <v>591</v>
      </c>
      <c r="AA21" s="218">
        <v>135</v>
      </c>
      <c r="AB21" s="218">
        <f t="shared" si="4"/>
        <v>171.20000000000002</v>
      </c>
      <c r="AC21" s="223">
        <v>0.87</v>
      </c>
      <c r="AD21" s="218">
        <v>95</v>
      </c>
      <c r="AE21" s="103">
        <f t="shared" si="20"/>
        <v>1048.671</v>
      </c>
      <c r="AF21" s="103">
        <f t="shared" si="21"/>
        <v>630.93000000000006</v>
      </c>
    </row>
    <row r="22" spans="1:32">
      <c r="A22" s="229" t="s">
        <v>568</v>
      </c>
      <c r="B22" s="216">
        <v>191278</v>
      </c>
      <c r="C22" s="217">
        <v>5</v>
      </c>
      <c r="D22" s="218">
        <v>3900</v>
      </c>
      <c r="E22" s="102">
        <f t="shared" si="17"/>
        <v>2243</v>
      </c>
      <c r="F22" s="217">
        <v>2096</v>
      </c>
      <c r="G22" s="217">
        <v>147</v>
      </c>
      <c r="H22" s="128">
        <f t="shared" si="18"/>
        <v>1.7387427552385197</v>
      </c>
      <c r="I22" s="220">
        <v>1781.47</v>
      </c>
      <c r="J22" s="221">
        <v>484.84</v>
      </c>
      <c r="K22" s="221"/>
      <c r="L22" s="221"/>
      <c r="M22" s="220">
        <v>355.69</v>
      </c>
      <c r="N22" s="218">
        <f t="shared" si="13"/>
        <v>33.150000000000006</v>
      </c>
      <c r="O22" s="218">
        <v>7</v>
      </c>
      <c r="P22" s="218"/>
      <c r="Q22" s="218">
        <v>881.75</v>
      </c>
      <c r="R22" s="218">
        <v>50</v>
      </c>
      <c r="S22" s="218">
        <v>1050</v>
      </c>
      <c r="T22" s="218">
        <v>30</v>
      </c>
      <c r="U22" s="218">
        <v>40</v>
      </c>
      <c r="V22" s="218">
        <v>400</v>
      </c>
      <c r="W22" s="218">
        <f t="shared" si="3"/>
        <v>205.821</v>
      </c>
      <c r="X22" s="218">
        <f t="shared" si="19"/>
        <v>400.95</v>
      </c>
      <c r="Y22" s="222">
        <v>7.6999999999999999E-2</v>
      </c>
      <c r="Z22" s="219" t="s">
        <v>592</v>
      </c>
      <c r="AA22" s="218">
        <v>135</v>
      </c>
      <c r="AB22" s="218">
        <f t="shared" si="4"/>
        <v>224.3</v>
      </c>
      <c r="AC22" s="223">
        <v>0.87</v>
      </c>
      <c r="AD22" s="218">
        <v>95</v>
      </c>
      <c r="AE22" s="103">
        <f t="shared" si="20"/>
        <v>1402.9189999999999</v>
      </c>
      <c r="AF22" s="103">
        <f t="shared" si="21"/>
        <v>-804.26</v>
      </c>
    </row>
    <row r="23" spans="1:32">
      <c r="A23" s="134" t="s">
        <v>462</v>
      </c>
      <c r="B23" s="135" t="s">
        <v>399</v>
      </c>
      <c r="C23" s="158">
        <v>7</v>
      </c>
      <c r="D23" s="139">
        <v>6000</v>
      </c>
      <c r="E23" s="136">
        <v>3038</v>
      </c>
      <c r="F23" s="136"/>
      <c r="G23" s="136"/>
      <c r="H23" s="128">
        <f t="shared" si="18"/>
        <v>1.9749835418038184</v>
      </c>
      <c r="I23" s="139">
        <v>1363.35</v>
      </c>
      <c r="J23" s="139">
        <v>189.97</v>
      </c>
      <c r="K23" s="139"/>
      <c r="L23" s="139"/>
      <c r="M23" s="139">
        <v>133.12</v>
      </c>
      <c r="N23" s="139">
        <f t="shared" si="13"/>
        <v>51.000000000000007</v>
      </c>
      <c r="O23" s="139">
        <v>0</v>
      </c>
      <c r="P23" s="139"/>
      <c r="Q23" s="139">
        <v>0</v>
      </c>
      <c r="R23" s="139">
        <v>0</v>
      </c>
      <c r="S23" s="139">
        <v>0</v>
      </c>
      <c r="T23" s="139">
        <v>0</v>
      </c>
      <c r="U23" s="139">
        <v>40</v>
      </c>
      <c r="V23" s="139">
        <v>0</v>
      </c>
      <c r="W23" s="139">
        <v>0</v>
      </c>
      <c r="X23" s="159"/>
      <c r="Y23" s="159">
        <v>0</v>
      </c>
      <c r="Z23" s="136">
        <v>3038</v>
      </c>
      <c r="AA23" s="139">
        <v>0</v>
      </c>
      <c r="AB23" s="139">
        <f t="shared" si="4"/>
        <v>303.8</v>
      </c>
      <c r="AC23" s="160">
        <v>0.85</v>
      </c>
      <c r="AD23" s="139">
        <v>95</v>
      </c>
      <c r="AE23" s="139">
        <f>D23*0.15-AD23-AB23+V23+T23+S23+R23-N23+M23-U23</f>
        <v>543.31999999999994</v>
      </c>
      <c r="AF23" s="139">
        <f>D23*AC23-I23-J23-V23-T23-S23-R23</f>
        <v>3546.6800000000003</v>
      </c>
    </row>
    <row r="24" spans="1:32">
      <c r="A24" s="134" t="s">
        <v>529</v>
      </c>
      <c r="B24" s="134">
        <v>1118</v>
      </c>
      <c r="C24" s="158">
        <v>0</v>
      </c>
      <c r="D24" s="139">
        <v>0</v>
      </c>
      <c r="E24" s="136"/>
      <c r="F24" s="136"/>
      <c r="G24" s="136"/>
      <c r="H24" s="136"/>
      <c r="I24" s="139"/>
      <c r="J24" s="139"/>
      <c r="K24" s="139"/>
      <c r="L24" s="139"/>
      <c r="M24" s="139"/>
      <c r="N24" s="139">
        <f t="shared" si="13"/>
        <v>0</v>
      </c>
      <c r="O24" s="139">
        <v>0</v>
      </c>
      <c r="P24" s="139"/>
      <c r="Q24" s="139">
        <v>0</v>
      </c>
      <c r="R24" s="139">
        <v>0</v>
      </c>
      <c r="S24" s="139">
        <v>0</v>
      </c>
      <c r="T24" s="139">
        <v>0</v>
      </c>
      <c r="U24" s="139">
        <v>40</v>
      </c>
      <c r="V24" s="139">
        <v>0</v>
      </c>
      <c r="W24" s="139">
        <v>0</v>
      </c>
      <c r="X24" s="159"/>
      <c r="Y24" s="159">
        <v>0</v>
      </c>
      <c r="Z24" s="136">
        <v>25</v>
      </c>
      <c r="AA24" s="139">
        <v>0</v>
      </c>
      <c r="AB24" s="139">
        <f t="shared" si="4"/>
        <v>0</v>
      </c>
      <c r="AC24" s="160">
        <v>0.8</v>
      </c>
      <c r="AD24" s="139">
        <v>95</v>
      </c>
      <c r="AE24" s="139">
        <f>D24*0.2-AB24-N24-K24-AD24-U24</f>
        <v>-135</v>
      </c>
      <c r="AF24" s="139">
        <f>D24*AC24-I24-J24+K24</f>
        <v>0</v>
      </c>
    </row>
    <row r="25" spans="1:32">
      <c r="A25" s="134" t="s">
        <v>467</v>
      </c>
      <c r="B25" s="134">
        <v>1122</v>
      </c>
      <c r="C25" s="158">
        <v>0</v>
      </c>
      <c r="D25" s="139">
        <v>0</v>
      </c>
      <c r="E25" s="136"/>
      <c r="F25" s="136"/>
      <c r="G25" s="136"/>
      <c r="H25" s="136"/>
      <c r="I25" s="168"/>
      <c r="J25" s="139"/>
      <c r="K25" s="139"/>
      <c r="L25" s="139"/>
      <c r="M25" s="139"/>
      <c r="N25" s="139">
        <f t="shared" si="13"/>
        <v>0</v>
      </c>
      <c r="O25" s="139">
        <v>7</v>
      </c>
      <c r="P25" s="139"/>
      <c r="Q25" s="139">
        <v>0</v>
      </c>
      <c r="R25" s="139">
        <v>50</v>
      </c>
      <c r="S25" s="139">
        <v>199</v>
      </c>
      <c r="T25" s="139">
        <v>30</v>
      </c>
      <c r="U25" s="139">
        <v>40</v>
      </c>
      <c r="V25" s="139">
        <v>300</v>
      </c>
      <c r="W25" s="139">
        <v>0</v>
      </c>
      <c r="X25" s="159"/>
      <c r="Y25" s="159">
        <v>0</v>
      </c>
      <c r="Z25" s="136">
        <v>0</v>
      </c>
      <c r="AA25" s="139">
        <v>0</v>
      </c>
      <c r="AB25" s="139">
        <f t="shared" si="4"/>
        <v>0</v>
      </c>
      <c r="AC25" s="160">
        <v>0.87</v>
      </c>
      <c r="AD25" s="139">
        <v>95</v>
      </c>
      <c r="AE25" s="139">
        <f>D25*0.13-AD25-AB25+V25+T25+S25+R25-N25+M25-U25</f>
        <v>444</v>
      </c>
      <c r="AF25" s="139">
        <f>D25*AC25-I25-J25-V25-T25-S25-R25</f>
        <v>-579</v>
      </c>
    </row>
    <row r="26" spans="1:32">
      <c r="A26" s="134" t="s">
        <v>520</v>
      </c>
      <c r="B26" s="134">
        <v>1650</v>
      </c>
      <c r="C26" s="158">
        <v>0</v>
      </c>
      <c r="D26" s="139">
        <v>0</v>
      </c>
      <c r="E26" s="136"/>
      <c r="F26" s="136"/>
      <c r="G26" s="136"/>
      <c r="H26" s="136"/>
      <c r="I26" s="139"/>
      <c r="J26" s="139"/>
      <c r="K26" s="139"/>
      <c r="L26" s="139"/>
      <c r="M26" s="139"/>
      <c r="N26" s="139"/>
      <c r="O26" s="139"/>
      <c r="P26" s="139"/>
      <c r="Q26" s="139">
        <v>0</v>
      </c>
      <c r="R26" s="139">
        <v>50</v>
      </c>
      <c r="S26" s="139">
        <v>0</v>
      </c>
      <c r="T26" s="139">
        <v>30</v>
      </c>
      <c r="U26" s="139">
        <v>40</v>
      </c>
      <c r="V26" s="139">
        <v>300</v>
      </c>
      <c r="W26" s="139">
        <v>0</v>
      </c>
      <c r="X26" s="159"/>
      <c r="Y26" s="159">
        <v>0</v>
      </c>
      <c r="Z26" s="136">
        <v>0</v>
      </c>
      <c r="AA26" s="139">
        <v>0</v>
      </c>
      <c r="AB26" s="139">
        <f t="shared" si="4"/>
        <v>0</v>
      </c>
      <c r="AC26" s="160">
        <v>0.87</v>
      </c>
      <c r="AD26" s="139">
        <v>95</v>
      </c>
      <c r="AE26" s="139">
        <f>D26*0.13+V26+T26+S26+R26-AB26-N26+M26-U26</f>
        <v>340</v>
      </c>
      <c r="AF26" s="139">
        <f>D26*0.87-I26-J26-R26-S26-T26-V26+K26</f>
        <v>-380</v>
      </c>
    </row>
    <row r="27" spans="1:32">
      <c r="A27" s="72" t="s">
        <v>89</v>
      </c>
      <c r="B27" s="72">
        <v>18</v>
      </c>
      <c r="C27" s="202">
        <f>AVERAGE(C6:C17)</f>
        <v>4.5</v>
      </c>
      <c r="D27" s="201">
        <f t="shared" ref="D27:G27" si="22">SUM(D3:D24)</f>
        <v>79980</v>
      </c>
      <c r="E27" s="201">
        <f t="shared" si="22"/>
        <v>39400</v>
      </c>
      <c r="F27" s="201">
        <f t="shared" si="22"/>
        <v>31039</v>
      </c>
      <c r="G27" s="201">
        <f t="shared" si="22"/>
        <v>2218</v>
      </c>
      <c r="H27" s="201">
        <f>AVERAGE(H3:H26)</f>
        <v>2.0433062189053817</v>
      </c>
      <c r="I27" s="201">
        <f t="shared" ref="I27:AB27" si="23">SUM(I3:I24)</f>
        <v>23165.46</v>
      </c>
      <c r="J27" s="201">
        <f t="shared" si="23"/>
        <v>2543.58</v>
      </c>
      <c r="K27" s="201">
        <f t="shared" si="23"/>
        <v>100</v>
      </c>
      <c r="L27" s="201">
        <f t="shared" si="23"/>
        <v>412.5</v>
      </c>
      <c r="M27" s="201">
        <f t="shared" si="23"/>
        <v>2596.09</v>
      </c>
      <c r="N27" s="201">
        <f t="shared" si="23"/>
        <v>679.82999999999993</v>
      </c>
      <c r="O27" s="201">
        <f t="shared" si="23"/>
        <v>140</v>
      </c>
      <c r="P27" s="201">
        <f t="shared" si="23"/>
        <v>1094.08</v>
      </c>
      <c r="Q27" s="201">
        <f t="shared" si="23"/>
        <v>17635</v>
      </c>
      <c r="R27" s="201">
        <f t="shared" si="23"/>
        <v>200</v>
      </c>
      <c r="S27" s="201">
        <f t="shared" si="23"/>
        <v>4500</v>
      </c>
      <c r="T27" s="201">
        <f t="shared" si="23"/>
        <v>120</v>
      </c>
      <c r="U27" s="201">
        <f t="shared" si="23"/>
        <v>880</v>
      </c>
      <c r="V27" s="201">
        <f t="shared" si="23"/>
        <v>1400</v>
      </c>
      <c r="W27" s="201">
        <f t="shared" si="23"/>
        <v>2892.924</v>
      </c>
      <c r="X27" s="201">
        <f t="shared" si="23"/>
        <v>1446.3</v>
      </c>
      <c r="Y27" s="201">
        <f t="shared" si="23"/>
        <v>1.5219999999999996</v>
      </c>
      <c r="Z27" s="201">
        <f t="shared" si="23"/>
        <v>31405</v>
      </c>
      <c r="AA27" s="201">
        <f t="shared" si="23"/>
        <v>2700</v>
      </c>
      <c r="AB27" s="201">
        <f t="shared" si="23"/>
        <v>3940.0000000000009</v>
      </c>
      <c r="AC27" s="201"/>
      <c r="AD27" s="201">
        <f t="shared" ref="AD27:AF27" si="24">SUM(AD3:AD24)</f>
        <v>2090</v>
      </c>
      <c r="AE27" s="201">
        <f t="shared" si="24"/>
        <v>3373.065999999998</v>
      </c>
      <c r="AF27" s="201">
        <f t="shared" si="24"/>
        <v>22669.11</v>
      </c>
    </row>
    <row r="29" spans="1:32">
      <c r="A29" s="461" t="s">
        <v>593</v>
      </c>
      <c r="B29" s="458"/>
      <c r="C29" s="458"/>
      <c r="D29" s="458"/>
      <c r="E29" s="458"/>
      <c r="F29" s="458"/>
      <c r="G29" s="458"/>
      <c r="H29" s="458"/>
      <c r="I29" s="458"/>
      <c r="J29" s="458"/>
      <c r="K29" s="458"/>
      <c r="L29" s="458"/>
      <c r="M29" s="458"/>
      <c r="N29" s="458"/>
      <c r="O29" s="458"/>
      <c r="P29" s="458"/>
      <c r="Q29" s="458"/>
      <c r="R29" s="458"/>
      <c r="S29" s="458"/>
      <c r="T29" s="458"/>
      <c r="U29" s="458"/>
      <c r="V29" s="458"/>
      <c r="W29" s="458"/>
      <c r="X29" s="458"/>
      <c r="Y29" s="458"/>
      <c r="Z29" s="458"/>
      <c r="AA29" s="458"/>
      <c r="AB29" s="458"/>
      <c r="AC29" s="458"/>
      <c r="AD29" s="458"/>
      <c r="AE29" s="458"/>
      <c r="AF29" s="459"/>
    </row>
    <row r="30" spans="1:32">
      <c r="A30" s="95" t="s">
        <v>0</v>
      </c>
      <c r="B30" s="95" t="s">
        <v>1</v>
      </c>
      <c r="C30" s="95" t="s">
        <v>372</v>
      </c>
      <c r="D30" s="95" t="s">
        <v>2</v>
      </c>
      <c r="E30" s="95" t="s">
        <v>413</v>
      </c>
      <c r="F30" s="150" t="s">
        <v>414</v>
      </c>
      <c r="G30" s="150" t="s">
        <v>415</v>
      </c>
      <c r="H30" s="95" t="s">
        <v>416</v>
      </c>
      <c r="I30" s="95" t="s">
        <v>7</v>
      </c>
      <c r="J30" s="95" t="s">
        <v>8</v>
      </c>
      <c r="K30" s="95" t="s">
        <v>287</v>
      </c>
      <c r="L30" s="95" t="s">
        <v>288</v>
      </c>
      <c r="M30" s="95" t="s">
        <v>257</v>
      </c>
      <c r="N30" s="95" t="s">
        <v>373</v>
      </c>
      <c r="O30" s="95" t="s">
        <v>374</v>
      </c>
      <c r="P30" s="150" t="s">
        <v>538</v>
      </c>
      <c r="Q30" s="95" t="s">
        <v>375</v>
      </c>
      <c r="R30" s="95" t="s">
        <v>376</v>
      </c>
      <c r="S30" s="95" t="s">
        <v>522</v>
      </c>
      <c r="T30" s="150" t="s">
        <v>378</v>
      </c>
      <c r="U30" s="150" t="s">
        <v>539</v>
      </c>
      <c r="V30" s="150" t="s">
        <v>379</v>
      </c>
      <c r="W30" s="150" t="s">
        <v>352</v>
      </c>
      <c r="X30" s="150" t="s">
        <v>523</v>
      </c>
      <c r="Y30" s="95" t="s">
        <v>380</v>
      </c>
      <c r="Z30" s="95" t="s">
        <v>381</v>
      </c>
      <c r="AA30" s="95" t="s">
        <v>382</v>
      </c>
      <c r="AB30" s="95" t="s">
        <v>383</v>
      </c>
      <c r="AC30" s="95" t="s">
        <v>385</v>
      </c>
      <c r="AD30" s="150" t="s">
        <v>333</v>
      </c>
      <c r="AE30" s="95" t="s">
        <v>582</v>
      </c>
      <c r="AF30" s="95" t="s">
        <v>98</v>
      </c>
    </row>
    <row r="31" spans="1:32">
      <c r="A31" s="184" t="s">
        <v>505</v>
      </c>
      <c r="B31" s="185">
        <v>191274</v>
      </c>
      <c r="C31" s="112">
        <v>7</v>
      </c>
      <c r="D31" s="103">
        <v>11597</v>
      </c>
      <c r="E31" s="102">
        <f t="shared" ref="E31:E50" si="25">F31+G31</f>
        <v>5897</v>
      </c>
      <c r="F31" s="117">
        <v>5719</v>
      </c>
      <c r="G31" s="117">
        <v>178</v>
      </c>
      <c r="H31" s="128">
        <f t="shared" ref="H31:H33" si="26">D31/E31</f>
        <v>1.9665931829743937</v>
      </c>
      <c r="I31" s="128">
        <v>3658.46</v>
      </c>
      <c r="J31" s="128">
        <v>222.9</v>
      </c>
      <c r="K31" s="103"/>
      <c r="L31" s="103"/>
      <c r="M31" s="146">
        <v>482.2</v>
      </c>
      <c r="N31" s="103">
        <f t="shared" ref="N31:N40" si="27">D31*0.0085</f>
        <v>98.5745</v>
      </c>
      <c r="O31" s="103">
        <v>7</v>
      </c>
      <c r="P31" s="103"/>
      <c r="Q31" s="103">
        <v>881.75</v>
      </c>
      <c r="R31" s="103"/>
      <c r="S31" s="103">
        <v>0</v>
      </c>
      <c r="T31" s="103"/>
      <c r="U31" s="103">
        <v>40</v>
      </c>
      <c r="V31" s="103"/>
      <c r="W31" s="103">
        <f t="shared" ref="W31:W50" si="28">Z31*Y31</f>
        <v>457.38</v>
      </c>
      <c r="X31" s="152"/>
      <c r="Y31" s="152">
        <v>7.6999999999999999E-2</v>
      </c>
      <c r="Z31" s="155">
        <v>5940</v>
      </c>
      <c r="AA31" s="103">
        <v>135</v>
      </c>
      <c r="AB31" s="103">
        <f t="shared" ref="AB31:AB54" si="29">E31*0.1</f>
        <v>589.70000000000005</v>
      </c>
      <c r="AC31" s="213">
        <v>0.27</v>
      </c>
      <c r="AD31" s="103">
        <v>95</v>
      </c>
      <c r="AE31" s="103">
        <f>D31-I31-N31-Q31-U31-W31-AA31-AB31-AD31-AF31-K31</f>
        <v>2509.9455000000003</v>
      </c>
      <c r="AF31" s="103">
        <f>D31*AC31</f>
        <v>3131.19</v>
      </c>
    </row>
    <row r="32" spans="1:32">
      <c r="A32" s="187" t="s">
        <v>571</v>
      </c>
      <c r="B32" s="208">
        <v>191276</v>
      </c>
      <c r="C32" s="112">
        <v>4</v>
      </c>
      <c r="D32" s="103">
        <v>4100</v>
      </c>
      <c r="E32" s="102">
        <f t="shared" si="25"/>
        <v>1893</v>
      </c>
      <c r="F32" s="102" t="s">
        <v>594</v>
      </c>
      <c r="G32" s="102" t="s">
        <v>595</v>
      </c>
      <c r="H32" s="128">
        <f t="shared" si="26"/>
        <v>2.1658742736397252</v>
      </c>
      <c r="I32" s="128">
        <v>1389.18</v>
      </c>
      <c r="J32" s="128">
        <v>76.2</v>
      </c>
      <c r="K32" s="103"/>
      <c r="L32" s="103"/>
      <c r="M32" s="146">
        <v>231.79</v>
      </c>
      <c r="N32" s="103">
        <f t="shared" si="27"/>
        <v>34.85</v>
      </c>
      <c r="O32" s="103">
        <v>7</v>
      </c>
      <c r="P32" s="103"/>
      <c r="Q32" s="103">
        <v>881.75</v>
      </c>
      <c r="R32" s="103"/>
      <c r="S32" s="103">
        <v>0</v>
      </c>
      <c r="T32" s="103"/>
      <c r="U32" s="103">
        <v>40</v>
      </c>
      <c r="V32" s="103"/>
      <c r="W32" s="103">
        <f t="shared" si="28"/>
        <v>163.65</v>
      </c>
      <c r="X32" s="152"/>
      <c r="Y32" s="152">
        <v>7.4999999999999997E-2</v>
      </c>
      <c r="Z32" s="153">
        <v>2182</v>
      </c>
      <c r="AA32" s="103">
        <v>135</v>
      </c>
      <c r="AB32" s="103">
        <f t="shared" si="29"/>
        <v>189.3</v>
      </c>
      <c r="AC32" s="154">
        <v>0.6</v>
      </c>
      <c r="AD32" s="103">
        <v>95</v>
      </c>
      <c r="AE32" s="103">
        <f t="shared" ref="AE32:AE34" si="30">D32-I32-J32-N32-O32-Q32-W32-AA32-AB32-AD32-AC32*E32+M32-U32-P32</f>
        <v>184.05999999999997</v>
      </c>
      <c r="AF32" s="103">
        <f t="shared" ref="AF32:AF33" si="31">AC32*E32+K32-L32</f>
        <v>1135.8</v>
      </c>
    </row>
    <row r="33" spans="1:32">
      <c r="A33" s="184" t="s">
        <v>541</v>
      </c>
      <c r="B33" s="185">
        <v>191277</v>
      </c>
      <c r="C33" s="112">
        <v>5</v>
      </c>
      <c r="D33" s="103">
        <v>5150</v>
      </c>
      <c r="E33" s="102">
        <f t="shared" si="25"/>
        <v>2567</v>
      </c>
      <c r="F33" s="117">
        <v>2341</v>
      </c>
      <c r="G33" s="117">
        <v>226</v>
      </c>
      <c r="H33" s="128">
        <f t="shared" si="26"/>
        <v>2.0062329567588626</v>
      </c>
      <c r="I33" s="128">
        <v>1206.99</v>
      </c>
      <c r="J33" s="128">
        <v>94.65</v>
      </c>
      <c r="K33" s="103"/>
      <c r="L33" s="103"/>
      <c r="M33" s="146">
        <v>176.02</v>
      </c>
      <c r="N33" s="103">
        <f t="shared" si="27"/>
        <v>43.775000000000006</v>
      </c>
      <c r="O33" s="103">
        <v>7</v>
      </c>
      <c r="P33" s="103">
        <v>72.73</v>
      </c>
      <c r="Q33" s="103">
        <v>881.75</v>
      </c>
      <c r="R33" s="103"/>
      <c r="S33" s="103">
        <v>0</v>
      </c>
      <c r="T33" s="103"/>
      <c r="U33" s="103">
        <v>40</v>
      </c>
      <c r="V33" s="103"/>
      <c r="W33" s="103">
        <f t="shared" si="28"/>
        <v>191.17499999999998</v>
      </c>
      <c r="X33" s="152"/>
      <c r="Y33" s="152">
        <v>7.4999999999999997E-2</v>
      </c>
      <c r="Z33" s="153">
        <v>2549</v>
      </c>
      <c r="AA33" s="103">
        <v>135</v>
      </c>
      <c r="AB33" s="103">
        <f t="shared" si="29"/>
        <v>256.7</v>
      </c>
      <c r="AC33" s="154">
        <v>0.6</v>
      </c>
      <c r="AD33" s="103">
        <v>95</v>
      </c>
      <c r="AE33" s="103">
        <f t="shared" si="30"/>
        <v>761.05</v>
      </c>
      <c r="AF33" s="103">
        <f t="shared" si="31"/>
        <v>1540.2</v>
      </c>
    </row>
    <row r="34" spans="1:32">
      <c r="A34" s="234" t="s">
        <v>318</v>
      </c>
      <c r="B34" s="205">
        <v>191279</v>
      </c>
      <c r="C34" s="112"/>
      <c r="D34" s="103"/>
      <c r="E34" s="102">
        <f t="shared" si="25"/>
        <v>0</v>
      </c>
      <c r="F34" s="117"/>
      <c r="G34" s="231"/>
      <c r="H34" s="128"/>
      <c r="I34" s="146"/>
      <c r="J34" s="128">
        <v>8.1999999999999993</v>
      </c>
      <c r="K34" s="103"/>
      <c r="L34" s="103"/>
      <c r="M34" s="146"/>
      <c r="N34" s="103">
        <f t="shared" si="27"/>
        <v>0</v>
      </c>
      <c r="O34" s="103">
        <v>7</v>
      </c>
      <c r="P34" s="103">
        <v>508.25</v>
      </c>
      <c r="Q34" s="103">
        <v>881.75</v>
      </c>
      <c r="R34" s="103"/>
      <c r="S34" s="103">
        <v>0</v>
      </c>
      <c r="T34" s="103"/>
      <c r="U34" s="103">
        <v>40</v>
      </c>
      <c r="V34" s="103"/>
      <c r="W34" s="103">
        <f t="shared" si="28"/>
        <v>1.65</v>
      </c>
      <c r="X34" s="152"/>
      <c r="Y34" s="152">
        <v>7.4999999999999997E-2</v>
      </c>
      <c r="Z34" s="153">
        <v>22</v>
      </c>
      <c r="AA34" s="103">
        <v>135</v>
      </c>
      <c r="AB34" s="103">
        <f t="shared" si="29"/>
        <v>0</v>
      </c>
      <c r="AC34" s="213">
        <v>0.25</v>
      </c>
      <c r="AD34" s="103">
        <v>95</v>
      </c>
      <c r="AE34" s="226">
        <f t="shared" si="30"/>
        <v>-1676.85</v>
      </c>
      <c r="AF34" s="103">
        <f t="shared" ref="AF34:AF35" si="32">D34*AC34</f>
        <v>0</v>
      </c>
    </row>
    <row r="35" spans="1:32">
      <c r="A35" s="187" t="s">
        <v>574</v>
      </c>
      <c r="B35" s="208">
        <v>191280</v>
      </c>
      <c r="C35" s="112">
        <v>7</v>
      </c>
      <c r="D35" s="103">
        <v>5250</v>
      </c>
      <c r="E35" s="102">
        <f t="shared" si="25"/>
        <v>2895</v>
      </c>
      <c r="F35" s="117">
        <v>2788</v>
      </c>
      <c r="G35" s="117">
        <v>107</v>
      </c>
      <c r="H35" s="128">
        <f t="shared" ref="H35:H36" si="33">D35/E35</f>
        <v>1.8134715025906736</v>
      </c>
      <c r="I35" s="128">
        <v>2129.94</v>
      </c>
      <c r="J35" s="128">
        <v>277.64999999999998</v>
      </c>
      <c r="K35" s="103"/>
      <c r="L35" s="103"/>
      <c r="M35" s="146">
        <v>133.01</v>
      </c>
      <c r="N35" s="103">
        <f t="shared" si="27"/>
        <v>44.625</v>
      </c>
      <c r="O35" s="103">
        <v>7</v>
      </c>
      <c r="P35" s="103"/>
      <c r="Q35" s="103">
        <v>881.75</v>
      </c>
      <c r="R35" s="103"/>
      <c r="S35" s="103">
        <v>0</v>
      </c>
      <c r="T35" s="103"/>
      <c r="U35" s="103">
        <v>40</v>
      </c>
      <c r="V35" s="103"/>
      <c r="W35" s="103">
        <f t="shared" si="28"/>
        <v>224.25</v>
      </c>
      <c r="X35" s="152"/>
      <c r="Y35" s="152">
        <v>7.4999999999999997E-2</v>
      </c>
      <c r="Z35" s="153">
        <v>2990</v>
      </c>
      <c r="AA35" s="103">
        <v>135</v>
      </c>
      <c r="AB35" s="103">
        <f t="shared" si="29"/>
        <v>289.5</v>
      </c>
      <c r="AC35" s="213">
        <v>0.27</v>
      </c>
      <c r="AD35" s="108">
        <v>95</v>
      </c>
      <c r="AE35" s="103">
        <f>D35-I35-N35-Q35-U35-W35-AA35-AB35-AD35-AF35-P35</f>
        <v>-7.5650000000000546</v>
      </c>
      <c r="AF35" s="103">
        <f t="shared" si="32"/>
        <v>1417.5</v>
      </c>
    </row>
    <row r="36" spans="1:32">
      <c r="A36" s="187" t="s">
        <v>550</v>
      </c>
      <c r="B36" s="208">
        <v>191281</v>
      </c>
      <c r="C36" s="112">
        <v>7</v>
      </c>
      <c r="D36" s="103">
        <v>5300</v>
      </c>
      <c r="E36" s="102">
        <f t="shared" si="25"/>
        <v>2724</v>
      </c>
      <c r="F36" s="117">
        <v>2595</v>
      </c>
      <c r="G36" s="117">
        <v>129</v>
      </c>
      <c r="H36" s="128">
        <f t="shared" si="33"/>
        <v>1.9456681350954479</v>
      </c>
      <c r="I36" s="128">
        <v>1774.88</v>
      </c>
      <c r="J36" s="128">
        <v>55.72</v>
      </c>
      <c r="K36" s="103">
        <v>100</v>
      </c>
      <c r="L36" s="103"/>
      <c r="M36" s="146">
        <v>64.489999999999995</v>
      </c>
      <c r="N36" s="103">
        <f t="shared" si="27"/>
        <v>45.050000000000004</v>
      </c>
      <c r="O36" s="103">
        <v>7</v>
      </c>
      <c r="P36" s="103">
        <v>35.6</v>
      </c>
      <c r="Q36" s="103">
        <v>881.75</v>
      </c>
      <c r="R36" s="103"/>
      <c r="S36" s="103">
        <v>0</v>
      </c>
      <c r="T36" s="103"/>
      <c r="U36" s="103">
        <v>40</v>
      </c>
      <c r="V36" s="103"/>
      <c r="W36" s="103">
        <f t="shared" si="28"/>
        <v>208.875</v>
      </c>
      <c r="X36" s="152"/>
      <c r="Y36" s="152">
        <v>7.4999999999999997E-2</v>
      </c>
      <c r="Z36" s="153">
        <v>2785</v>
      </c>
      <c r="AA36" s="103">
        <v>135</v>
      </c>
      <c r="AB36" s="103">
        <f t="shared" si="29"/>
        <v>272.40000000000003</v>
      </c>
      <c r="AC36" s="154">
        <v>0.55000000000000004</v>
      </c>
      <c r="AD36" s="103">
        <v>95</v>
      </c>
      <c r="AE36" s="103">
        <f>D36-I36-J36-N36-O36-Q36-W36-AA36-AB36-AD36-AC36*E36+M36-U36-K36</f>
        <v>250.61499999999978</v>
      </c>
      <c r="AF36" s="103">
        <f>AC36*E36</f>
        <v>1498.2</v>
      </c>
    </row>
    <row r="37" spans="1:32">
      <c r="A37" s="198" t="s">
        <v>585</v>
      </c>
      <c r="B37" s="205">
        <v>191283</v>
      </c>
      <c r="C37" s="112"/>
      <c r="D37" s="103"/>
      <c r="E37" s="102">
        <f t="shared" si="25"/>
        <v>0</v>
      </c>
      <c r="F37" s="112"/>
      <c r="G37" s="112"/>
      <c r="H37" s="128"/>
      <c r="I37" s="128"/>
      <c r="J37" s="128"/>
      <c r="K37" s="103"/>
      <c r="L37" s="103"/>
      <c r="M37" s="146"/>
      <c r="N37" s="103">
        <f t="shared" si="27"/>
        <v>0</v>
      </c>
      <c r="O37" s="103">
        <v>7</v>
      </c>
      <c r="P37" s="103">
        <v>400</v>
      </c>
      <c r="Q37" s="103">
        <v>881.75</v>
      </c>
      <c r="R37" s="103"/>
      <c r="S37" s="103">
        <v>0</v>
      </c>
      <c r="T37" s="103"/>
      <c r="U37" s="103">
        <v>40</v>
      </c>
      <c r="V37" s="103"/>
      <c r="W37" s="103">
        <f t="shared" si="28"/>
        <v>0</v>
      </c>
      <c r="X37" s="152"/>
      <c r="Y37" s="152">
        <v>7.4999999999999997E-2</v>
      </c>
      <c r="Z37" s="153">
        <v>0</v>
      </c>
      <c r="AA37" s="103">
        <v>135</v>
      </c>
      <c r="AB37" s="103">
        <f t="shared" si="29"/>
        <v>0</v>
      </c>
      <c r="AC37" s="213">
        <v>0.27</v>
      </c>
      <c r="AD37" s="103">
        <v>95</v>
      </c>
      <c r="AE37" s="103">
        <f t="shared" ref="AE37:AE38" si="34">D37-I37-N37-Q37-U37-W37-AA37-AB37-AD37-AF37-L37-P37</f>
        <v>-1551.75</v>
      </c>
      <c r="AF37" s="103">
        <f t="shared" ref="AF37:AF38" si="35">D37*AC37+L37</f>
        <v>0</v>
      </c>
    </row>
    <row r="38" spans="1:32">
      <c r="A38" s="184" t="s">
        <v>488</v>
      </c>
      <c r="B38" s="208">
        <v>465180</v>
      </c>
      <c r="C38" s="112">
        <v>7</v>
      </c>
      <c r="D38" s="103">
        <v>7875</v>
      </c>
      <c r="E38" s="102">
        <f t="shared" si="25"/>
        <v>3621</v>
      </c>
      <c r="F38" s="117">
        <v>3448</v>
      </c>
      <c r="G38" s="117">
        <v>173</v>
      </c>
      <c r="H38" s="128">
        <f t="shared" ref="H38:H40" si="36">D38/E38</f>
        <v>2.1748135874067938</v>
      </c>
      <c r="I38" s="128">
        <v>1884.23</v>
      </c>
      <c r="J38" s="128">
        <v>312.97000000000003</v>
      </c>
      <c r="K38" s="103"/>
      <c r="L38" s="103"/>
      <c r="M38" s="146">
        <v>386.47</v>
      </c>
      <c r="N38" s="103">
        <f t="shared" si="27"/>
        <v>66.9375</v>
      </c>
      <c r="O38" s="103">
        <v>7</v>
      </c>
      <c r="P38" s="103"/>
      <c r="Q38" s="103">
        <v>881.75</v>
      </c>
      <c r="R38" s="103"/>
      <c r="S38" s="103">
        <v>0</v>
      </c>
      <c r="T38" s="103"/>
      <c r="U38" s="103">
        <v>40</v>
      </c>
      <c r="V38" s="103"/>
      <c r="W38" s="103">
        <f t="shared" si="28"/>
        <v>284.55</v>
      </c>
      <c r="X38" s="152"/>
      <c r="Y38" s="152">
        <v>7.4999999999999997E-2</v>
      </c>
      <c r="Z38" s="153">
        <v>3794</v>
      </c>
      <c r="AA38" s="103">
        <v>135</v>
      </c>
      <c r="AB38" s="103">
        <f t="shared" si="29"/>
        <v>362.1</v>
      </c>
      <c r="AC38" s="213">
        <v>0.27</v>
      </c>
      <c r="AD38" s="103">
        <v>95</v>
      </c>
      <c r="AE38" s="103">
        <f t="shared" si="34"/>
        <v>1999.1824999999999</v>
      </c>
      <c r="AF38" s="103">
        <f t="shared" si="35"/>
        <v>2126.25</v>
      </c>
    </row>
    <row r="39" spans="1:32">
      <c r="A39" s="190" t="s">
        <v>491</v>
      </c>
      <c r="B39" s="185">
        <v>465181</v>
      </c>
      <c r="C39" s="117">
        <v>7</v>
      </c>
      <c r="D39" s="103">
        <v>9130</v>
      </c>
      <c r="E39" s="102">
        <f t="shared" si="25"/>
        <v>4482</v>
      </c>
      <c r="F39" s="112">
        <v>4322</v>
      </c>
      <c r="G39" s="112">
        <v>160</v>
      </c>
      <c r="H39" s="128">
        <f t="shared" si="36"/>
        <v>2.0370370370370372</v>
      </c>
      <c r="I39" s="146">
        <v>3274.54</v>
      </c>
      <c r="J39" s="128">
        <v>155.5</v>
      </c>
      <c r="K39" s="128"/>
      <c r="L39" s="128"/>
      <c r="M39" s="146">
        <v>601.54</v>
      </c>
      <c r="N39" s="103">
        <f t="shared" si="27"/>
        <v>77.605000000000004</v>
      </c>
      <c r="O39" s="103">
        <v>7</v>
      </c>
      <c r="P39" s="103"/>
      <c r="Q39" s="103">
        <v>881.75</v>
      </c>
      <c r="R39" s="103"/>
      <c r="S39" s="103">
        <v>0</v>
      </c>
      <c r="T39" s="103"/>
      <c r="U39" s="103">
        <v>40</v>
      </c>
      <c r="V39" s="103"/>
      <c r="W39" s="103">
        <f t="shared" si="28"/>
        <v>346.654</v>
      </c>
      <c r="X39" s="152"/>
      <c r="Y39" s="152">
        <v>7.6999999999999999E-2</v>
      </c>
      <c r="Z39" s="153">
        <v>4502</v>
      </c>
      <c r="AA39" s="103">
        <v>135</v>
      </c>
      <c r="AB39" s="103">
        <f t="shared" si="29"/>
        <v>448.20000000000005</v>
      </c>
      <c r="AC39" s="154">
        <v>0.6</v>
      </c>
      <c r="AD39" s="103">
        <v>95</v>
      </c>
      <c r="AE39" s="103">
        <f>D39-I39-J39-N39-O39-Q39-W39-AA39-AB39-AD39-AC39*E39+M39-U39-P39-K39+L39</f>
        <v>1581.0910000000013</v>
      </c>
      <c r="AF39" s="103">
        <f>AC39*E39+K39</f>
        <v>2689.2</v>
      </c>
    </row>
    <row r="40" spans="1:32">
      <c r="A40" s="190" t="s">
        <v>555</v>
      </c>
      <c r="B40" s="208">
        <v>465182</v>
      </c>
      <c r="C40" s="112">
        <v>7</v>
      </c>
      <c r="D40" s="103">
        <v>7025</v>
      </c>
      <c r="E40" s="102">
        <f t="shared" si="25"/>
        <v>3604</v>
      </c>
      <c r="F40" s="112">
        <v>3479</v>
      </c>
      <c r="G40" s="112">
        <v>125</v>
      </c>
      <c r="H40" s="128">
        <f t="shared" si="36"/>
        <v>1.9492230854605994</v>
      </c>
      <c r="I40" s="128">
        <v>2211.6799999999998</v>
      </c>
      <c r="J40" s="128">
        <v>128.13</v>
      </c>
      <c r="K40" s="103"/>
      <c r="L40" s="103"/>
      <c r="M40" s="146">
        <v>103.54</v>
      </c>
      <c r="N40" s="103">
        <f t="shared" si="27"/>
        <v>59.712500000000006</v>
      </c>
      <c r="O40" s="103">
        <v>7</v>
      </c>
      <c r="P40" s="103"/>
      <c r="Q40" s="103">
        <v>881.75</v>
      </c>
      <c r="R40" s="103"/>
      <c r="S40" s="103">
        <v>0</v>
      </c>
      <c r="T40" s="103"/>
      <c r="U40" s="103">
        <v>40</v>
      </c>
      <c r="V40" s="103"/>
      <c r="W40" s="103">
        <f t="shared" si="28"/>
        <v>298.60599999999999</v>
      </c>
      <c r="X40" s="152"/>
      <c r="Y40" s="152">
        <v>7.6999999999999999E-2</v>
      </c>
      <c r="Z40" s="153">
        <v>3878</v>
      </c>
      <c r="AA40" s="103">
        <v>135</v>
      </c>
      <c r="AB40" s="103">
        <f t="shared" si="29"/>
        <v>360.40000000000003</v>
      </c>
      <c r="AC40" s="213">
        <v>0.27</v>
      </c>
      <c r="AD40" s="103">
        <v>95</v>
      </c>
      <c r="AE40" s="103">
        <f>D40-I40-N40-Q40-U40-W40-AA40-AB40-AD40-AF40-P40+L40</f>
        <v>1046.1015</v>
      </c>
      <c r="AF40" s="103">
        <f>D40*AC40+L40</f>
        <v>1896.7500000000002</v>
      </c>
    </row>
    <row r="41" spans="1:32">
      <c r="A41" s="234" t="s">
        <v>318</v>
      </c>
      <c r="B41" s="205">
        <v>465183</v>
      </c>
      <c r="C41" s="117"/>
      <c r="D41" s="103"/>
      <c r="E41" s="102">
        <f t="shared" si="25"/>
        <v>0</v>
      </c>
      <c r="F41" s="112"/>
      <c r="G41" s="112"/>
      <c r="H41" s="128"/>
      <c r="I41" s="128">
        <v>777.5</v>
      </c>
      <c r="J41" s="128">
        <v>259.61</v>
      </c>
      <c r="K41" s="128"/>
      <c r="L41" s="128"/>
      <c r="M41" s="146">
        <v>5.01</v>
      </c>
      <c r="N41" s="103"/>
      <c r="O41" s="103">
        <v>7</v>
      </c>
      <c r="P41" s="103"/>
      <c r="Q41" s="103">
        <v>881.75</v>
      </c>
      <c r="R41" s="103"/>
      <c r="S41" s="103">
        <v>0</v>
      </c>
      <c r="T41" s="103"/>
      <c r="U41" s="103">
        <v>40</v>
      </c>
      <c r="V41" s="103"/>
      <c r="W41" s="103">
        <f t="shared" si="28"/>
        <v>124.89400000000001</v>
      </c>
      <c r="X41" s="152"/>
      <c r="Y41" s="152">
        <v>7.6999999999999999E-2</v>
      </c>
      <c r="Z41" s="153">
        <v>1622</v>
      </c>
      <c r="AA41" s="103">
        <v>135</v>
      </c>
      <c r="AB41" s="103">
        <f t="shared" si="29"/>
        <v>0</v>
      </c>
      <c r="AC41" s="213"/>
      <c r="AD41" s="103">
        <v>95</v>
      </c>
      <c r="AE41" s="226">
        <f>D41-I41-J41-N41-O41-Q41-W41-AA41-AB41-AD41-AC41*E41+M41-U41-P41</f>
        <v>-2315.7439999999997</v>
      </c>
      <c r="AF41" s="103">
        <f t="shared" ref="AF41:AF43" si="37">D41*AC41</f>
        <v>0</v>
      </c>
    </row>
    <row r="42" spans="1:32">
      <c r="A42" s="187" t="s">
        <v>575</v>
      </c>
      <c r="B42" s="208" t="s">
        <v>596</v>
      </c>
      <c r="C42" s="117">
        <v>5</v>
      </c>
      <c r="D42" s="103">
        <v>4621</v>
      </c>
      <c r="E42" s="102">
        <f t="shared" si="25"/>
        <v>2058</v>
      </c>
      <c r="F42" s="112">
        <v>1906</v>
      </c>
      <c r="G42" s="112">
        <v>152</v>
      </c>
      <c r="H42" s="128">
        <f>D42/E42</f>
        <v>2.2453838678328473</v>
      </c>
      <c r="I42" s="128">
        <v>573.66999999999996</v>
      </c>
      <c r="J42" s="128">
        <v>44.74</v>
      </c>
      <c r="K42" s="128"/>
      <c r="L42" s="128"/>
      <c r="M42" s="146">
        <v>10.130000000000001</v>
      </c>
      <c r="N42" s="103">
        <f t="shared" ref="N42:N53" si="38">D42*0.0085</f>
        <v>39.278500000000001</v>
      </c>
      <c r="O42" s="103">
        <v>7</v>
      </c>
      <c r="P42" s="103"/>
      <c r="Q42" s="103">
        <v>881.75</v>
      </c>
      <c r="R42" s="103"/>
      <c r="S42" s="103">
        <v>0</v>
      </c>
      <c r="T42" s="103"/>
      <c r="U42" s="103">
        <v>40</v>
      </c>
      <c r="V42" s="103"/>
      <c r="W42" s="103">
        <f t="shared" si="28"/>
        <v>74.304999999999993</v>
      </c>
      <c r="X42" s="152"/>
      <c r="Y42" s="152">
        <v>7.6999999999999999E-2</v>
      </c>
      <c r="Z42" s="153">
        <v>965</v>
      </c>
      <c r="AA42" s="103">
        <v>135</v>
      </c>
      <c r="AB42" s="103">
        <f t="shared" si="29"/>
        <v>205.8</v>
      </c>
      <c r="AC42" s="213">
        <v>0.27</v>
      </c>
      <c r="AD42" s="103">
        <v>95</v>
      </c>
      <c r="AE42" s="103">
        <f t="shared" ref="AE42:AE43" si="39">D42-I42-N42-Q42-U42-W42-AA42-AB42-AD42-AF42-P42</f>
        <v>1328.5264999999999</v>
      </c>
      <c r="AF42" s="103">
        <f t="shared" si="37"/>
        <v>1247.67</v>
      </c>
    </row>
    <row r="43" spans="1:32">
      <c r="A43" s="234" t="s">
        <v>318</v>
      </c>
      <c r="B43" s="205">
        <v>465186</v>
      </c>
      <c r="C43" s="112"/>
      <c r="D43" s="103"/>
      <c r="E43" s="102">
        <f t="shared" si="25"/>
        <v>0</v>
      </c>
      <c r="F43" s="112"/>
      <c r="G43" s="112"/>
      <c r="H43" s="128"/>
      <c r="I43" s="128"/>
      <c r="J43" s="128">
        <v>7.2</v>
      </c>
      <c r="K43" s="128"/>
      <c r="L43" s="128"/>
      <c r="M43" s="146"/>
      <c r="N43" s="103">
        <f t="shared" si="38"/>
        <v>0</v>
      </c>
      <c r="O43" s="103">
        <v>7</v>
      </c>
      <c r="P43" s="103"/>
      <c r="Q43" s="103">
        <v>881.75</v>
      </c>
      <c r="R43" s="103"/>
      <c r="S43" s="103">
        <v>0</v>
      </c>
      <c r="T43" s="103"/>
      <c r="U43" s="103">
        <v>40</v>
      </c>
      <c r="V43" s="103"/>
      <c r="W43" s="103">
        <f t="shared" si="28"/>
        <v>2.0790000000000002</v>
      </c>
      <c r="X43" s="152"/>
      <c r="Y43" s="152">
        <v>7.6999999999999999E-2</v>
      </c>
      <c r="Z43" s="153">
        <v>27</v>
      </c>
      <c r="AA43" s="103">
        <v>135</v>
      </c>
      <c r="AB43" s="103">
        <f t="shared" si="29"/>
        <v>0</v>
      </c>
      <c r="AC43" s="213">
        <v>0.27</v>
      </c>
      <c r="AD43" s="103">
        <v>95</v>
      </c>
      <c r="AE43" s="103">
        <f t="shared" si="39"/>
        <v>-1153.829</v>
      </c>
      <c r="AF43" s="103">
        <f t="shared" si="37"/>
        <v>0</v>
      </c>
    </row>
    <row r="44" spans="1:32">
      <c r="A44" s="187" t="s">
        <v>439</v>
      </c>
      <c r="B44" s="185">
        <v>465187</v>
      </c>
      <c r="C44" s="117">
        <v>7</v>
      </c>
      <c r="D44" s="103">
        <v>8050</v>
      </c>
      <c r="E44" s="102">
        <f t="shared" si="25"/>
        <v>4274</v>
      </c>
      <c r="F44" s="112">
        <v>3971</v>
      </c>
      <c r="G44" s="112">
        <v>303</v>
      </c>
      <c r="H44" s="128"/>
      <c r="I44" s="128">
        <v>2563.5</v>
      </c>
      <c r="J44" s="128">
        <v>28.73</v>
      </c>
      <c r="K44" s="128"/>
      <c r="L44" s="128"/>
      <c r="M44" s="146">
        <v>257.43</v>
      </c>
      <c r="N44" s="103">
        <f t="shared" si="38"/>
        <v>68.425000000000011</v>
      </c>
      <c r="O44" s="103">
        <v>7</v>
      </c>
      <c r="P44" s="103"/>
      <c r="Q44" s="103">
        <v>881.75</v>
      </c>
      <c r="R44" s="103"/>
      <c r="S44" s="103">
        <v>0</v>
      </c>
      <c r="T44" s="103"/>
      <c r="U44" s="103">
        <v>40</v>
      </c>
      <c r="V44" s="103"/>
      <c r="W44" s="103">
        <f t="shared" si="28"/>
        <v>320.62799999999999</v>
      </c>
      <c r="X44" s="152"/>
      <c r="Y44" s="152">
        <v>7.6999999999999999E-2</v>
      </c>
      <c r="Z44" s="153">
        <v>4164</v>
      </c>
      <c r="AA44" s="103">
        <v>135</v>
      </c>
      <c r="AB44" s="103">
        <f t="shared" si="29"/>
        <v>427.40000000000003</v>
      </c>
      <c r="AC44" s="154">
        <v>0.6</v>
      </c>
      <c r="AD44" s="103">
        <v>95</v>
      </c>
      <c r="AE44" s="103">
        <f t="shared" ref="AE44:AE45" si="40">D44-I44-J44-N44-O44-Q44-W44-AA44-AB44-AD44-AC44*E44+M44-U44-P44</f>
        <v>1175.5970000000004</v>
      </c>
      <c r="AF44" s="103">
        <f t="shared" ref="AF44:AF45" si="41">AC44*E44</f>
        <v>2564.4</v>
      </c>
    </row>
    <row r="45" spans="1:32">
      <c r="A45" s="190" t="s">
        <v>427</v>
      </c>
      <c r="B45" s="185">
        <v>465188</v>
      </c>
      <c r="C45" s="112">
        <v>7</v>
      </c>
      <c r="D45" s="103">
        <v>6185</v>
      </c>
      <c r="E45" s="102">
        <f t="shared" si="25"/>
        <v>3224</v>
      </c>
      <c r="F45" s="117">
        <v>3006</v>
      </c>
      <c r="G45" s="117">
        <v>218</v>
      </c>
      <c r="H45" s="128">
        <f t="shared" ref="H45:H51" si="42">D45/E45</f>
        <v>1.9184243176178659</v>
      </c>
      <c r="I45" s="128">
        <v>2188.3000000000002</v>
      </c>
      <c r="J45" s="128">
        <v>36.130000000000003</v>
      </c>
      <c r="K45" s="128"/>
      <c r="L45" s="128"/>
      <c r="M45" s="146">
        <v>98.92</v>
      </c>
      <c r="N45" s="103">
        <f t="shared" si="38"/>
        <v>52.572500000000005</v>
      </c>
      <c r="O45" s="103">
        <v>7</v>
      </c>
      <c r="P45" s="103"/>
      <c r="Q45" s="103">
        <v>881.75</v>
      </c>
      <c r="R45" s="103"/>
      <c r="S45" s="103">
        <v>0</v>
      </c>
      <c r="T45" s="103"/>
      <c r="U45" s="103">
        <v>40</v>
      </c>
      <c r="V45" s="103"/>
      <c r="W45" s="103">
        <f t="shared" si="28"/>
        <v>236.929</v>
      </c>
      <c r="X45" s="152"/>
      <c r="Y45" s="152">
        <v>7.6999999999999999E-2</v>
      </c>
      <c r="Z45" s="153">
        <v>3077</v>
      </c>
      <c r="AA45" s="103">
        <v>135</v>
      </c>
      <c r="AB45" s="103">
        <f t="shared" si="29"/>
        <v>322.40000000000003</v>
      </c>
      <c r="AC45" s="154">
        <v>0.6</v>
      </c>
      <c r="AD45" s="103">
        <v>95</v>
      </c>
      <c r="AE45" s="103">
        <f t="shared" si="40"/>
        <v>354.43849999999946</v>
      </c>
      <c r="AF45" s="103">
        <f t="shared" si="41"/>
        <v>1934.3999999999999</v>
      </c>
    </row>
    <row r="46" spans="1:32">
      <c r="A46" s="198" t="s">
        <v>540</v>
      </c>
      <c r="B46" s="208">
        <v>465189</v>
      </c>
      <c r="C46" s="112">
        <v>7</v>
      </c>
      <c r="D46" s="103">
        <v>7625</v>
      </c>
      <c r="E46" s="102">
        <f t="shared" si="25"/>
        <v>3837</v>
      </c>
      <c r="F46" s="117">
        <v>3577</v>
      </c>
      <c r="G46" s="112">
        <v>260</v>
      </c>
      <c r="H46" s="128">
        <f t="shared" si="42"/>
        <v>1.9872296064633828</v>
      </c>
      <c r="I46" s="146">
        <v>2452.79</v>
      </c>
      <c r="J46" s="128">
        <v>78.59</v>
      </c>
      <c r="K46" s="103"/>
      <c r="L46" s="103"/>
      <c r="M46" s="146">
        <v>61.32</v>
      </c>
      <c r="N46" s="103">
        <f t="shared" si="38"/>
        <v>64.8125</v>
      </c>
      <c r="O46" s="103">
        <v>7</v>
      </c>
      <c r="P46" s="103">
        <v>130</v>
      </c>
      <c r="Q46" s="103">
        <v>881.75</v>
      </c>
      <c r="R46" s="103"/>
      <c r="S46" s="103">
        <v>0</v>
      </c>
      <c r="T46" s="103"/>
      <c r="U46" s="103">
        <v>40</v>
      </c>
      <c r="V46" s="103"/>
      <c r="W46" s="103">
        <f t="shared" si="28"/>
        <v>287.625</v>
      </c>
      <c r="X46" s="152"/>
      <c r="Y46" s="152">
        <v>7.4999999999999997E-2</v>
      </c>
      <c r="Z46" s="153">
        <v>3835</v>
      </c>
      <c r="AA46" s="103">
        <v>135</v>
      </c>
      <c r="AB46" s="103">
        <f t="shared" si="29"/>
        <v>383.70000000000005</v>
      </c>
      <c r="AC46" s="213">
        <v>0.27</v>
      </c>
      <c r="AD46" s="103">
        <v>95</v>
      </c>
      <c r="AE46" s="103">
        <f>D46-I46-N46-Q46-U46-W46-AA46-AB46-AD46-AF46-P46</f>
        <v>1095.5725000000002</v>
      </c>
      <c r="AF46" s="103">
        <f>D46*AC46</f>
        <v>2058.75</v>
      </c>
    </row>
    <row r="47" spans="1:32">
      <c r="A47" s="215" t="s">
        <v>587</v>
      </c>
      <c r="B47" s="216">
        <v>191275</v>
      </c>
      <c r="C47" s="217">
        <v>7</v>
      </c>
      <c r="D47" s="218">
        <v>7725</v>
      </c>
      <c r="E47" s="219">
        <f t="shared" si="25"/>
        <v>3414</v>
      </c>
      <c r="F47" s="217">
        <v>3008</v>
      </c>
      <c r="G47" s="217">
        <v>406</v>
      </c>
      <c r="H47" s="128">
        <f t="shared" si="42"/>
        <v>2.2627416520210897</v>
      </c>
      <c r="I47" s="220">
        <v>1779.3</v>
      </c>
      <c r="J47" s="221"/>
      <c r="K47" s="221"/>
      <c r="L47" s="221"/>
      <c r="M47" s="220">
        <v>11.96</v>
      </c>
      <c r="N47" s="218">
        <f t="shared" si="38"/>
        <v>65.662500000000009</v>
      </c>
      <c r="O47" s="218">
        <v>7</v>
      </c>
      <c r="P47" s="218"/>
      <c r="Q47" s="218">
        <v>881.75</v>
      </c>
      <c r="R47" s="218">
        <v>50</v>
      </c>
      <c r="S47" s="218">
        <v>1200</v>
      </c>
      <c r="T47" s="218">
        <v>30</v>
      </c>
      <c r="U47" s="218">
        <v>40</v>
      </c>
      <c r="V47" s="218">
        <v>300</v>
      </c>
      <c r="W47" s="218">
        <f t="shared" si="28"/>
        <v>257.09999999999997</v>
      </c>
      <c r="X47" s="218">
        <f t="shared" ref="X47:X50" si="43">0.15*Z47</f>
        <v>514.19999999999993</v>
      </c>
      <c r="Y47" s="222">
        <v>7.4999999999999997E-2</v>
      </c>
      <c r="Z47" s="219" t="s">
        <v>597</v>
      </c>
      <c r="AA47" s="218">
        <v>135</v>
      </c>
      <c r="AB47" s="218">
        <f t="shared" si="29"/>
        <v>341.40000000000003</v>
      </c>
      <c r="AC47" s="223">
        <v>0.87</v>
      </c>
      <c r="AD47" s="218">
        <v>95</v>
      </c>
      <c r="AE47" s="103">
        <f t="shared" ref="AE47:AE50" si="44">D47*13%+R47+T47+S47+V47-Q47-W47-AA47-AD47+X47-N47+M47-U47</f>
        <v>1635.8975</v>
      </c>
      <c r="AF47" s="103">
        <f t="shared" ref="AF47:AF50" si="45">D47*AC47-I47-J47-S47-R47-T47-V47-X47</f>
        <v>2847.25</v>
      </c>
    </row>
    <row r="48" spans="1:32">
      <c r="A48" s="229" t="s">
        <v>435</v>
      </c>
      <c r="B48" s="216">
        <v>191282</v>
      </c>
      <c r="C48" s="217">
        <v>7</v>
      </c>
      <c r="D48" s="218">
        <v>6900</v>
      </c>
      <c r="E48" s="219">
        <f t="shared" si="25"/>
        <v>3912</v>
      </c>
      <c r="F48" s="217">
        <v>3848</v>
      </c>
      <c r="G48" s="217">
        <v>64</v>
      </c>
      <c r="H48" s="128">
        <f t="shared" si="42"/>
        <v>1.7638036809815951</v>
      </c>
      <c r="I48" s="220">
        <v>2807.08</v>
      </c>
      <c r="J48" s="221">
        <v>268.38</v>
      </c>
      <c r="K48" s="221"/>
      <c r="L48" s="221"/>
      <c r="M48" s="220">
        <v>23.38</v>
      </c>
      <c r="N48" s="218">
        <f t="shared" si="38"/>
        <v>58.650000000000006</v>
      </c>
      <c r="O48" s="218">
        <v>7</v>
      </c>
      <c r="P48" s="218"/>
      <c r="Q48" s="218">
        <v>881.75</v>
      </c>
      <c r="R48" s="218">
        <v>50</v>
      </c>
      <c r="S48" s="218">
        <v>1200</v>
      </c>
      <c r="T48" s="218">
        <v>30</v>
      </c>
      <c r="U48" s="218">
        <v>40</v>
      </c>
      <c r="V48" s="218">
        <v>300</v>
      </c>
      <c r="W48" s="218">
        <f t="shared" si="28"/>
        <v>472.85699999999997</v>
      </c>
      <c r="X48" s="218">
        <f t="shared" si="43"/>
        <v>921.15</v>
      </c>
      <c r="Y48" s="222">
        <v>7.6999999999999999E-2</v>
      </c>
      <c r="Z48" s="219" t="s">
        <v>598</v>
      </c>
      <c r="AA48" s="218">
        <v>135</v>
      </c>
      <c r="AB48" s="218">
        <f t="shared" si="29"/>
        <v>391.20000000000005</v>
      </c>
      <c r="AC48" s="223">
        <v>0.87</v>
      </c>
      <c r="AD48" s="218">
        <v>95</v>
      </c>
      <c r="AE48" s="103">
        <f t="shared" si="44"/>
        <v>1738.2730000000001</v>
      </c>
      <c r="AF48" s="103">
        <f t="shared" si="45"/>
        <v>426.39</v>
      </c>
    </row>
    <row r="49" spans="1:32">
      <c r="A49" s="229" t="s">
        <v>590</v>
      </c>
      <c r="B49" s="216">
        <v>465184</v>
      </c>
      <c r="C49" s="217">
        <v>7</v>
      </c>
      <c r="D49" s="218">
        <v>8973</v>
      </c>
      <c r="E49" s="219">
        <f t="shared" si="25"/>
        <v>4613</v>
      </c>
      <c r="F49" s="217">
        <v>4395</v>
      </c>
      <c r="G49" s="217">
        <v>218</v>
      </c>
      <c r="H49" s="128">
        <f t="shared" si="42"/>
        <v>1.9451549967483199</v>
      </c>
      <c r="I49" s="220">
        <v>2108.35</v>
      </c>
      <c r="J49" s="221">
        <v>79.37</v>
      </c>
      <c r="K49" s="221"/>
      <c r="L49" s="221"/>
      <c r="M49" s="220">
        <v>22.86</v>
      </c>
      <c r="N49" s="218">
        <f t="shared" si="38"/>
        <v>76.270499999999998</v>
      </c>
      <c r="O49" s="218">
        <v>7</v>
      </c>
      <c r="P49" s="218"/>
      <c r="Q49" s="218">
        <v>881.75</v>
      </c>
      <c r="R49" s="218">
        <v>50</v>
      </c>
      <c r="S49" s="218">
        <v>1050</v>
      </c>
      <c r="T49" s="218">
        <v>30</v>
      </c>
      <c r="U49" s="218">
        <v>40</v>
      </c>
      <c r="V49" s="218">
        <v>400</v>
      </c>
      <c r="W49" s="218">
        <f t="shared" si="28"/>
        <v>329.94499999999999</v>
      </c>
      <c r="X49" s="218">
        <f t="shared" si="43"/>
        <v>642.75</v>
      </c>
      <c r="Y49" s="222">
        <v>7.6999999999999999E-2</v>
      </c>
      <c r="Z49" s="219" t="s">
        <v>599</v>
      </c>
      <c r="AA49" s="218">
        <v>135</v>
      </c>
      <c r="AB49" s="218">
        <f t="shared" si="29"/>
        <v>461.3</v>
      </c>
      <c r="AC49" s="223">
        <v>0.87</v>
      </c>
      <c r="AD49" s="218">
        <v>95</v>
      </c>
      <c r="AE49" s="103">
        <f t="shared" si="44"/>
        <v>1804.1344999999997</v>
      </c>
      <c r="AF49" s="103">
        <f t="shared" si="45"/>
        <v>3446.04</v>
      </c>
    </row>
    <row r="50" spans="1:32">
      <c r="A50" s="229" t="s">
        <v>568</v>
      </c>
      <c r="B50" s="216">
        <v>191278</v>
      </c>
      <c r="C50" s="217">
        <v>6</v>
      </c>
      <c r="D50" s="218">
        <v>10600</v>
      </c>
      <c r="E50" s="219">
        <f t="shared" si="25"/>
        <v>5082</v>
      </c>
      <c r="F50" s="217">
        <v>5022</v>
      </c>
      <c r="G50" s="217">
        <v>60</v>
      </c>
      <c r="H50" s="128">
        <f t="shared" si="42"/>
        <v>2.0857929948839038</v>
      </c>
      <c r="I50" s="220">
        <v>2690.31</v>
      </c>
      <c r="J50" s="221">
        <v>85.09</v>
      </c>
      <c r="K50" s="221"/>
      <c r="L50" s="221"/>
      <c r="M50" s="220">
        <v>310.58</v>
      </c>
      <c r="N50" s="218">
        <f t="shared" si="38"/>
        <v>90.100000000000009</v>
      </c>
      <c r="O50" s="218">
        <v>7</v>
      </c>
      <c r="P50" s="218"/>
      <c r="Q50" s="218">
        <v>881.75</v>
      </c>
      <c r="R50" s="218">
        <v>50</v>
      </c>
      <c r="S50" s="218">
        <v>1050</v>
      </c>
      <c r="T50" s="218">
        <v>30</v>
      </c>
      <c r="U50" s="218">
        <v>40</v>
      </c>
      <c r="V50" s="218">
        <v>400</v>
      </c>
      <c r="W50" s="218">
        <f t="shared" si="28"/>
        <v>410.79500000000002</v>
      </c>
      <c r="X50" s="218">
        <f t="shared" si="43"/>
        <v>800.25</v>
      </c>
      <c r="Y50" s="222">
        <v>7.6999999999999999E-2</v>
      </c>
      <c r="Z50" s="219" t="s">
        <v>600</v>
      </c>
      <c r="AA50" s="218">
        <v>135</v>
      </c>
      <c r="AB50" s="218">
        <f t="shared" si="29"/>
        <v>508.20000000000005</v>
      </c>
      <c r="AC50" s="223">
        <v>0.87</v>
      </c>
      <c r="AD50" s="218">
        <v>95</v>
      </c>
      <c r="AE50" s="103">
        <f t="shared" si="44"/>
        <v>2366.1849999999999</v>
      </c>
      <c r="AF50" s="103">
        <f t="shared" si="45"/>
        <v>4116.3500000000004</v>
      </c>
    </row>
    <row r="51" spans="1:32">
      <c r="A51" s="134" t="s">
        <v>462</v>
      </c>
      <c r="B51" s="135" t="s">
        <v>399</v>
      </c>
      <c r="C51" s="158">
        <v>7</v>
      </c>
      <c r="D51" s="139">
        <v>9280</v>
      </c>
      <c r="E51" s="136">
        <v>4194</v>
      </c>
      <c r="F51" s="136"/>
      <c r="G51" s="136"/>
      <c r="H51" s="128">
        <f t="shared" si="42"/>
        <v>2.2126847877920839</v>
      </c>
      <c r="I51" s="139">
        <v>2628.66</v>
      </c>
      <c r="J51" s="139">
        <v>444.6</v>
      </c>
      <c r="K51" s="139"/>
      <c r="L51" s="139"/>
      <c r="M51" s="139">
        <v>304.68</v>
      </c>
      <c r="N51" s="139">
        <f t="shared" si="38"/>
        <v>78.88000000000001</v>
      </c>
      <c r="O51" s="139">
        <v>0</v>
      </c>
      <c r="P51" s="139"/>
      <c r="Q51" s="139">
        <v>0</v>
      </c>
      <c r="R51" s="139">
        <v>0</v>
      </c>
      <c r="S51" s="139">
        <v>0</v>
      </c>
      <c r="T51" s="139">
        <v>0</v>
      </c>
      <c r="U51" s="139">
        <v>40</v>
      </c>
      <c r="V51" s="139">
        <v>0</v>
      </c>
      <c r="W51" s="139">
        <v>0</v>
      </c>
      <c r="X51" s="159"/>
      <c r="Y51" s="159">
        <v>0</v>
      </c>
      <c r="Z51" s="136">
        <v>4194</v>
      </c>
      <c r="AA51" s="139">
        <v>0</v>
      </c>
      <c r="AB51" s="139">
        <f t="shared" si="29"/>
        <v>419.40000000000003</v>
      </c>
      <c r="AC51" s="160">
        <v>0.85</v>
      </c>
      <c r="AD51" s="139">
        <v>95</v>
      </c>
      <c r="AE51" s="139">
        <f>D51*0.15-AD51-AB51+V51+T51+S51+R51-N51+M51-U51</f>
        <v>1063.3999999999999</v>
      </c>
      <c r="AF51" s="139">
        <f>D51*AC51-I51-J51-V51-T51-S51-R51</f>
        <v>4814.74</v>
      </c>
    </row>
    <row r="52" spans="1:32">
      <c r="A52" s="199" t="s">
        <v>529</v>
      </c>
      <c r="B52" s="199">
        <v>1118</v>
      </c>
      <c r="C52" s="158">
        <v>0</v>
      </c>
      <c r="D52" s="139">
        <v>0</v>
      </c>
      <c r="E52" s="136"/>
      <c r="F52" s="136"/>
      <c r="G52" s="136"/>
      <c r="H52" s="136"/>
      <c r="I52" s="139"/>
      <c r="J52" s="139"/>
      <c r="K52" s="139"/>
      <c r="L52" s="139"/>
      <c r="M52" s="139"/>
      <c r="N52" s="139">
        <f t="shared" si="38"/>
        <v>0</v>
      </c>
      <c r="O52" s="139">
        <v>0</v>
      </c>
      <c r="P52" s="139"/>
      <c r="Q52" s="139">
        <v>0</v>
      </c>
      <c r="R52" s="139">
        <v>0</v>
      </c>
      <c r="S52" s="139">
        <v>0</v>
      </c>
      <c r="T52" s="139">
        <v>0</v>
      </c>
      <c r="U52" s="139">
        <v>40</v>
      </c>
      <c r="V52" s="139">
        <v>0</v>
      </c>
      <c r="W52" s="139">
        <v>0</v>
      </c>
      <c r="X52" s="159"/>
      <c r="Y52" s="159">
        <v>0</v>
      </c>
      <c r="Z52" s="136"/>
      <c r="AA52" s="139">
        <v>0</v>
      </c>
      <c r="AB52" s="139">
        <f t="shared" si="29"/>
        <v>0</v>
      </c>
      <c r="AC52" s="160">
        <v>0.8</v>
      </c>
      <c r="AD52" s="139">
        <v>95</v>
      </c>
      <c r="AE52" s="139">
        <f>D52*0.2-AB52-N52-K52-AD52-U52</f>
        <v>-135</v>
      </c>
      <c r="AF52" s="139">
        <f>D52*AC52-I52-J52+K52</f>
        <v>0</v>
      </c>
    </row>
    <row r="53" spans="1:32">
      <c r="A53" s="199" t="s">
        <v>467</v>
      </c>
      <c r="B53" s="199">
        <v>1122</v>
      </c>
      <c r="C53" s="158">
        <v>0</v>
      </c>
      <c r="D53" s="139">
        <v>0</v>
      </c>
      <c r="E53" s="136">
        <v>40</v>
      </c>
      <c r="F53" s="136"/>
      <c r="G53" s="136"/>
      <c r="H53" s="136"/>
      <c r="I53" s="168"/>
      <c r="J53" s="139">
        <v>2.82</v>
      </c>
      <c r="K53" s="139"/>
      <c r="L53" s="139"/>
      <c r="M53" s="139"/>
      <c r="N53" s="139">
        <f t="shared" si="38"/>
        <v>0</v>
      </c>
      <c r="O53" s="139">
        <v>7</v>
      </c>
      <c r="P53" s="139"/>
      <c r="Q53" s="139">
        <v>0</v>
      </c>
      <c r="R53" s="139">
        <v>50</v>
      </c>
      <c r="S53" s="139">
        <v>199</v>
      </c>
      <c r="T53" s="139">
        <v>30</v>
      </c>
      <c r="U53" s="139">
        <v>40</v>
      </c>
      <c r="V53" s="139">
        <v>300</v>
      </c>
      <c r="W53" s="139">
        <v>0</v>
      </c>
      <c r="X53" s="159"/>
      <c r="Y53" s="159">
        <v>0</v>
      </c>
      <c r="Z53" s="136">
        <v>40</v>
      </c>
      <c r="AA53" s="139">
        <v>0</v>
      </c>
      <c r="AB53" s="139">
        <f t="shared" si="29"/>
        <v>4</v>
      </c>
      <c r="AC53" s="160">
        <v>0.87</v>
      </c>
      <c r="AD53" s="139">
        <v>95</v>
      </c>
      <c r="AE53" s="139">
        <f>D53*0.13-AD53-AB53+V53+T53+S53+R53-N53+M53-U53</f>
        <v>440</v>
      </c>
      <c r="AF53" s="139">
        <f>D53*AC53-I53-J53-V53-T53-S53-R53</f>
        <v>-581.81999999999994</v>
      </c>
    </row>
    <row r="54" spans="1:32">
      <c r="A54" s="134" t="s">
        <v>520</v>
      </c>
      <c r="B54" s="134">
        <v>1650</v>
      </c>
      <c r="C54" s="158">
        <v>3</v>
      </c>
      <c r="D54" s="139">
        <v>2500</v>
      </c>
      <c r="E54" s="136">
        <v>1312</v>
      </c>
      <c r="F54" s="136"/>
      <c r="G54" s="136"/>
      <c r="H54" s="128">
        <f>D54/E54</f>
        <v>1.9054878048780488</v>
      </c>
      <c r="I54" s="139">
        <v>1052.45</v>
      </c>
      <c r="J54" s="139"/>
      <c r="K54" s="139"/>
      <c r="L54" s="139"/>
      <c r="M54" s="139">
        <v>67.25</v>
      </c>
      <c r="N54" s="139"/>
      <c r="O54" s="139"/>
      <c r="P54" s="139"/>
      <c r="Q54" s="139">
        <v>0</v>
      </c>
      <c r="R54" s="139">
        <v>50</v>
      </c>
      <c r="S54" s="139">
        <v>0</v>
      </c>
      <c r="T54" s="139">
        <v>30</v>
      </c>
      <c r="U54" s="139">
        <v>40</v>
      </c>
      <c r="V54" s="139">
        <v>300</v>
      </c>
      <c r="W54" s="139">
        <v>0</v>
      </c>
      <c r="X54" s="159"/>
      <c r="Y54" s="159">
        <v>0</v>
      </c>
      <c r="Z54" s="136">
        <v>1312</v>
      </c>
      <c r="AA54" s="139">
        <v>0</v>
      </c>
      <c r="AB54" s="139">
        <f t="shared" si="29"/>
        <v>131.20000000000002</v>
      </c>
      <c r="AC54" s="160">
        <v>0.87</v>
      </c>
      <c r="AD54" s="139">
        <v>95</v>
      </c>
      <c r="AE54" s="139">
        <f>D54*0.13+V54+T54+S54+R54-AB54-N54+M54-U54</f>
        <v>601.04999999999995</v>
      </c>
      <c r="AF54" s="139">
        <f>D54*0.87-I54-J54-R54-S54-T54-V54+K54</f>
        <v>742.55</v>
      </c>
    </row>
    <row r="55" spans="1:32">
      <c r="A55" s="72" t="s">
        <v>89</v>
      </c>
      <c r="B55" s="72">
        <v>20</v>
      </c>
      <c r="C55" s="202">
        <f>AVERAGE(C34:C45)</f>
        <v>6.75</v>
      </c>
      <c r="D55" s="201">
        <f t="shared" ref="D55:G55" si="46">SUM(D31:D54)</f>
        <v>127886</v>
      </c>
      <c r="E55" s="201">
        <f t="shared" si="46"/>
        <v>63643</v>
      </c>
      <c r="F55" s="201">
        <f t="shared" si="46"/>
        <v>53425</v>
      </c>
      <c r="G55" s="201">
        <f t="shared" si="46"/>
        <v>2779</v>
      </c>
      <c r="H55" s="201">
        <f>AVERAGE(H31:H54)</f>
        <v>2.0226833805989806</v>
      </c>
      <c r="I55" s="201">
        <f t="shared" ref="I55:AB55" si="47">SUM(I31:I54)</f>
        <v>39151.81</v>
      </c>
      <c r="J55" s="201">
        <f t="shared" si="47"/>
        <v>2667.1800000000003</v>
      </c>
      <c r="K55" s="201">
        <f t="shared" si="47"/>
        <v>100</v>
      </c>
      <c r="L55" s="201">
        <f t="shared" si="47"/>
        <v>0</v>
      </c>
      <c r="M55" s="201">
        <f t="shared" si="47"/>
        <v>3352.5800000000004</v>
      </c>
      <c r="N55" s="201">
        <f t="shared" si="47"/>
        <v>1065.7810000000002</v>
      </c>
      <c r="O55" s="201">
        <f t="shared" si="47"/>
        <v>147</v>
      </c>
      <c r="P55" s="201">
        <f t="shared" si="47"/>
        <v>1146.58</v>
      </c>
      <c r="Q55" s="201">
        <f t="shared" si="47"/>
        <v>17635</v>
      </c>
      <c r="R55" s="201">
        <f t="shared" si="47"/>
        <v>300</v>
      </c>
      <c r="S55" s="201">
        <f t="shared" si="47"/>
        <v>4699</v>
      </c>
      <c r="T55" s="201">
        <f t="shared" si="47"/>
        <v>180</v>
      </c>
      <c r="U55" s="201">
        <f t="shared" si="47"/>
        <v>960</v>
      </c>
      <c r="V55" s="201">
        <f t="shared" si="47"/>
        <v>2000</v>
      </c>
      <c r="W55" s="201">
        <f t="shared" si="47"/>
        <v>4693.9470000000001</v>
      </c>
      <c r="X55" s="201">
        <f t="shared" si="47"/>
        <v>2878.35</v>
      </c>
      <c r="Y55" s="201">
        <f t="shared" si="47"/>
        <v>1.5219999999999996</v>
      </c>
      <c r="Z55" s="201">
        <f t="shared" si="47"/>
        <v>47878</v>
      </c>
      <c r="AA55" s="201">
        <f t="shared" si="47"/>
        <v>2700</v>
      </c>
      <c r="AB55" s="201">
        <f t="shared" si="47"/>
        <v>6364.3</v>
      </c>
      <c r="AC55" s="201"/>
      <c r="AD55" s="201">
        <f t="shared" ref="AD55:AF55" si="48">SUM(AD31:AD54)</f>
        <v>2280</v>
      </c>
      <c r="AE55" s="201">
        <f t="shared" si="48"/>
        <v>15094.382000000001</v>
      </c>
      <c r="AF55" s="201">
        <f t="shared" si="48"/>
        <v>39051.810000000005</v>
      </c>
    </row>
    <row r="57" spans="1:32">
      <c r="A57" s="461" t="s">
        <v>601</v>
      </c>
      <c r="B57" s="458"/>
      <c r="C57" s="458"/>
      <c r="D57" s="458"/>
      <c r="E57" s="458"/>
      <c r="F57" s="458"/>
      <c r="G57" s="458"/>
      <c r="H57" s="458"/>
      <c r="I57" s="458"/>
      <c r="J57" s="458"/>
      <c r="K57" s="458"/>
      <c r="L57" s="458"/>
      <c r="M57" s="458"/>
      <c r="N57" s="458"/>
      <c r="O57" s="458"/>
      <c r="P57" s="458"/>
      <c r="Q57" s="458"/>
      <c r="R57" s="458"/>
      <c r="S57" s="458"/>
      <c r="T57" s="458"/>
      <c r="U57" s="458"/>
      <c r="V57" s="458"/>
      <c r="W57" s="458"/>
      <c r="X57" s="458"/>
      <c r="Y57" s="458"/>
      <c r="Z57" s="458"/>
      <c r="AA57" s="458"/>
      <c r="AB57" s="458"/>
      <c r="AC57" s="458"/>
      <c r="AD57" s="458"/>
      <c r="AE57" s="458"/>
      <c r="AF57" s="459"/>
    </row>
    <row r="58" spans="1:32">
      <c r="A58" s="95" t="s">
        <v>0</v>
      </c>
      <c r="B58" s="95" t="s">
        <v>1</v>
      </c>
      <c r="C58" s="95" t="s">
        <v>372</v>
      </c>
      <c r="D58" s="95" t="s">
        <v>2</v>
      </c>
      <c r="E58" s="95" t="s">
        <v>413</v>
      </c>
      <c r="F58" s="150" t="s">
        <v>414</v>
      </c>
      <c r="G58" s="150" t="s">
        <v>415</v>
      </c>
      <c r="H58" s="95" t="s">
        <v>416</v>
      </c>
      <c r="I58" s="95" t="s">
        <v>7</v>
      </c>
      <c r="J58" s="95" t="s">
        <v>8</v>
      </c>
      <c r="K58" s="95" t="s">
        <v>287</v>
      </c>
      <c r="L58" s="95" t="s">
        <v>288</v>
      </c>
      <c r="M58" s="95" t="s">
        <v>257</v>
      </c>
      <c r="N58" s="95" t="s">
        <v>373</v>
      </c>
      <c r="O58" s="95" t="s">
        <v>374</v>
      </c>
      <c r="P58" s="150" t="s">
        <v>538</v>
      </c>
      <c r="Q58" s="95" t="s">
        <v>375</v>
      </c>
      <c r="R58" s="95" t="s">
        <v>376</v>
      </c>
      <c r="S58" s="95" t="s">
        <v>522</v>
      </c>
      <c r="T58" s="150" t="s">
        <v>378</v>
      </c>
      <c r="U58" s="150" t="s">
        <v>539</v>
      </c>
      <c r="V58" s="150" t="s">
        <v>379</v>
      </c>
      <c r="W58" s="150" t="s">
        <v>352</v>
      </c>
      <c r="X58" s="150" t="s">
        <v>523</v>
      </c>
      <c r="Y58" s="95" t="s">
        <v>380</v>
      </c>
      <c r="Z58" s="95" t="s">
        <v>381</v>
      </c>
      <c r="AA58" s="95" t="s">
        <v>382</v>
      </c>
      <c r="AB58" s="95" t="s">
        <v>383</v>
      </c>
      <c r="AC58" s="95" t="s">
        <v>385</v>
      </c>
      <c r="AD58" s="150" t="s">
        <v>333</v>
      </c>
      <c r="AE58" s="95" t="s">
        <v>582</v>
      </c>
      <c r="AF58" s="95" t="s">
        <v>98</v>
      </c>
    </row>
    <row r="59" spans="1:32">
      <c r="A59" s="184" t="s">
        <v>505</v>
      </c>
      <c r="B59" s="185">
        <v>191274</v>
      </c>
      <c r="C59" s="112">
        <v>7</v>
      </c>
      <c r="D59" s="103">
        <v>9250</v>
      </c>
      <c r="E59" s="102">
        <f t="shared" ref="E59:E78" si="49">F59+G59</f>
        <v>4328</v>
      </c>
      <c r="F59" s="117">
        <v>4244</v>
      </c>
      <c r="G59" s="117">
        <v>84</v>
      </c>
      <c r="H59" s="128">
        <f t="shared" ref="H59:H61" si="50">D59/E59</f>
        <v>2.1372458410351203</v>
      </c>
      <c r="I59" s="128">
        <v>2283.56</v>
      </c>
      <c r="J59" s="128">
        <v>262.89</v>
      </c>
      <c r="K59" s="103"/>
      <c r="L59" s="103"/>
      <c r="M59" s="146">
        <v>302.57</v>
      </c>
      <c r="N59" s="103">
        <f t="shared" ref="N59:N68" si="51">D59*0.0085</f>
        <v>78.625</v>
      </c>
      <c r="O59" s="103">
        <v>7</v>
      </c>
      <c r="P59" s="103"/>
      <c r="Q59" s="103">
        <v>881.75</v>
      </c>
      <c r="R59" s="103"/>
      <c r="S59" s="103">
        <v>0</v>
      </c>
      <c r="T59" s="103"/>
      <c r="U59" s="103">
        <v>40</v>
      </c>
      <c r="V59" s="103"/>
      <c r="W59" s="103">
        <f t="shared" ref="W59:W78" si="52">Z59*Y59</f>
        <v>343.65100000000001</v>
      </c>
      <c r="X59" s="152"/>
      <c r="Y59" s="152">
        <v>7.6999999999999999E-2</v>
      </c>
      <c r="Z59" s="155">
        <v>4463</v>
      </c>
      <c r="AA59" s="103">
        <v>135</v>
      </c>
      <c r="AB59" s="103">
        <f t="shared" ref="AB59:AB82" si="53">E59*0.1</f>
        <v>432.8</v>
      </c>
      <c r="AC59" s="213">
        <v>0.27</v>
      </c>
      <c r="AD59" s="103">
        <v>95</v>
      </c>
      <c r="AE59" s="103">
        <f>D59-I59-N59-Q59-U59-W59-AA59-AB59-AD59-AF59-K59</f>
        <v>2462.1140000000005</v>
      </c>
      <c r="AF59" s="103">
        <f>D59*AC59</f>
        <v>2497.5</v>
      </c>
    </row>
    <row r="60" spans="1:32">
      <c r="A60" s="187" t="s">
        <v>571</v>
      </c>
      <c r="B60" s="208">
        <v>191276</v>
      </c>
      <c r="C60" s="112">
        <v>7</v>
      </c>
      <c r="D60" s="103">
        <v>5815</v>
      </c>
      <c r="E60" s="102">
        <f t="shared" si="49"/>
        <v>3189</v>
      </c>
      <c r="F60" s="102" t="s">
        <v>602</v>
      </c>
      <c r="G60" s="102" t="s">
        <v>603</v>
      </c>
      <c r="H60" s="128">
        <f t="shared" si="50"/>
        <v>1.8234556287237378</v>
      </c>
      <c r="I60" s="128">
        <v>2080.1</v>
      </c>
      <c r="J60" s="128">
        <v>12.57</v>
      </c>
      <c r="K60" s="103"/>
      <c r="L60" s="103">
        <v>75</v>
      </c>
      <c r="M60" s="146">
        <v>262.67</v>
      </c>
      <c r="N60" s="103">
        <f t="shared" si="51"/>
        <v>49.427500000000002</v>
      </c>
      <c r="O60" s="103">
        <v>7</v>
      </c>
      <c r="P60" s="103">
        <f>192.38+53.49+272</f>
        <v>517.87</v>
      </c>
      <c r="Q60" s="103">
        <v>881.75</v>
      </c>
      <c r="R60" s="103"/>
      <c r="S60" s="103">
        <v>0</v>
      </c>
      <c r="T60" s="103"/>
      <c r="U60" s="103">
        <v>40</v>
      </c>
      <c r="V60" s="103"/>
      <c r="W60" s="103">
        <f t="shared" si="52"/>
        <v>236.02499999999998</v>
      </c>
      <c r="X60" s="152"/>
      <c r="Y60" s="152">
        <v>7.4999999999999997E-2</v>
      </c>
      <c r="Z60" s="153">
        <v>3147</v>
      </c>
      <c r="AA60" s="103">
        <v>135</v>
      </c>
      <c r="AB60" s="103">
        <f t="shared" si="53"/>
        <v>318.90000000000003</v>
      </c>
      <c r="AC60" s="154">
        <v>0.6</v>
      </c>
      <c r="AD60" s="103">
        <v>95</v>
      </c>
      <c r="AE60" s="103">
        <f>D60-I60-J60-N60-O60-Q60-W60-AA60-AB60-AD60-AC60*E60+M60-U60-P60</f>
        <v>-209.37249999999989</v>
      </c>
      <c r="AF60" s="103">
        <f t="shared" ref="AF60:AF61" si="54">AC60*E60+K60-L60</f>
        <v>1838.3999999999999</v>
      </c>
    </row>
    <row r="61" spans="1:32">
      <c r="A61" s="184" t="s">
        <v>541</v>
      </c>
      <c r="B61" s="185">
        <v>191277</v>
      </c>
      <c r="C61" s="112">
        <v>4</v>
      </c>
      <c r="D61" s="103">
        <v>3357</v>
      </c>
      <c r="E61" s="102">
        <f t="shared" si="49"/>
        <v>2108</v>
      </c>
      <c r="F61" s="117">
        <v>1982</v>
      </c>
      <c r="G61" s="117">
        <v>126</v>
      </c>
      <c r="H61" s="128">
        <f t="shared" si="50"/>
        <v>1.5925047438330171</v>
      </c>
      <c r="I61" s="128">
        <v>1631</v>
      </c>
      <c r="J61" s="128">
        <v>21.13</v>
      </c>
      <c r="K61" s="103">
        <v>100</v>
      </c>
      <c r="L61" s="103"/>
      <c r="M61" s="146">
        <v>206.44</v>
      </c>
      <c r="N61" s="103">
        <f t="shared" si="51"/>
        <v>28.534500000000001</v>
      </c>
      <c r="O61" s="103">
        <v>7</v>
      </c>
      <c r="P61" s="103"/>
      <c r="Q61" s="103">
        <v>881.75</v>
      </c>
      <c r="R61" s="103"/>
      <c r="S61" s="103">
        <v>0</v>
      </c>
      <c r="T61" s="103"/>
      <c r="U61" s="103">
        <v>40</v>
      </c>
      <c r="V61" s="103"/>
      <c r="W61" s="103">
        <f t="shared" si="52"/>
        <v>158.77500000000001</v>
      </c>
      <c r="X61" s="152"/>
      <c r="Y61" s="152">
        <v>7.4999999999999997E-2</v>
      </c>
      <c r="Z61" s="153">
        <v>2117</v>
      </c>
      <c r="AA61" s="103">
        <v>135</v>
      </c>
      <c r="AB61" s="103">
        <f t="shared" si="53"/>
        <v>210.8</v>
      </c>
      <c r="AC61" s="154">
        <v>0.6</v>
      </c>
      <c r="AD61" s="103">
        <v>95</v>
      </c>
      <c r="AE61" s="103">
        <f>D61-I61-J61-N61-O61-Q61-W61-AA61-AB61-AD61-AC61*E61+M61-U61-P61-K61</f>
        <v>-1010.3495</v>
      </c>
      <c r="AF61" s="103">
        <f t="shared" si="54"/>
        <v>1364.8</v>
      </c>
    </row>
    <row r="62" spans="1:32">
      <c r="A62" s="234" t="s">
        <v>318</v>
      </c>
      <c r="B62" s="205">
        <v>191279</v>
      </c>
      <c r="C62" s="112"/>
      <c r="D62" s="103"/>
      <c r="E62" s="102">
        <f t="shared" si="49"/>
        <v>0</v>
      </c>
      <c r="F62" s="117"/>
      <c r="G62" s="231"/>
      <c r="H62" s="128"/>
      <c r="I62" s="146"/>
      <c r="J62" s="128"/>
      <c r="K62" s="103"/>
      <c r="L62" s="103"/>
      <c r="M62" s="146"/>
      <c r="N62" s="103">
        <f t="shared" si="51"/>
        <v>0</v>
      </c>
      <c r="O62" s="103">
        <v>7</v>
      </c>
      <c r="P62" s="103">
        <v>560</v>
      </c>
      <c r="Q62" s="103">
        <v>881.75</v>
      </c>
      <c r="R62" s="103"/>
      <c r="S62" s="103">
        <v>0</v>
      </c>
      <c r="T62" s="103"/>
      <c r="U62" s="103">
        <v>40</v>
      </c>
      <c r="V62" s="103"/>
      <c r="W62" s="103">
        <f t="shared" si="52"/>
        <v>0</v>
      </c>
      <c r="X62" s="152"/>
      <c r="Y62" s="152">
        <v>7.4999999999999997E-2</v>
      </c>
      <c r="Z62" s="153">
        <v>0</v>
      </c>
      <c r="AA62" s="103">
        <v>135</v>
      </c>
      <c r="AB62" s="103">
        <f t="shared" si="53"/>
        <v>0</v>
      </c>
      <c r="AC62" s="213">
        <v>0.25</v>
      </c>
      <c r="AD62" s="103">
        <v>95</v>
      </c>
      <c r="AE62" s="226">
        <f>D62-I62-J62-N62-O62-Q62-W62-AA62-AB62-AD62-AC62*E62+M62-U62-P62</f>
        <v>-1718.75</v>
      </c>
      <c r="AF62" s="103">
        <f t="shared" ref="AF62:AF63" si="55">D62*AC62</f>
        <v>0</v>
      </c>
    </row>
    <row r="63" spans="1:32">
      <c r="A63" s="187" t="s">
        <v>574</v>
      </c>
      <c r="B63" s="208">
        <v>191280</v>
      </c>
      <c r="C63" s="112">
        <v>7</v>
      </c>
      <c r="D63" s="103">
        <v>5990</v>
      </c>
      <c r="E63" s="102">
        <f t="shared" si="49"/>
        <v>3026</v>
      </c>
      <c r="F63" s="117">
        <v>2716</v>
      </c>
      <c r="G63" s="117">
        <v>310</v>
      </c>
      <c r="H63" s="128">
        <f t="shared" ref="H63:H64" si="56">D63/E63</f>
        <v>1.9795109054857898</v>
      </c>
      <c r="I63" s="128">
        <v>2261.3200000000002</v>
      </c>
      <c r="J63" s="128">
        <v>386.65</v>
      </c>
      <c r="K63" s="103"/>
      <c r="L63" s="103"/>
      <c r="M63" s="146">
        <v>51.42</v>
      </c>
      <c r="N63" s="103">
        <f t="shared" si="51"/>
        <v>50.915000000000006</v>
      </c>
      <c r="O63" s="103">
        <v>7</v>
      </c>
      <c r="P63" s="103">
        <v>56.01</v>
      </c>
      <c r="Q63" s="103">
        <v>881.75</v>
      </c>
      <c r="R63" s="103"/>
      <c r="S63" s="103">
        <v>0</v>
      </c>
      <c r="T63" s="103"/>
      <c r="U63" s="103">
        <v>40</v>
      </c>
      <c r="V63" s="103"/>
      <c r="W63" s="103">
        <f t="shared" si="52"/>
        <v>226.72499999999999</v>
      </c>
      <c r="X63" s="152"/>
      <c r="Y63" s="152">
        <v>7.4999999999999997E-2</v>
      </c>
      <c r="Z63" s="153">
        <v>3023</v>
      </c>
      <c r="AA63" s="103">
        <v>135</v>
      </c>
      <c r="AB63" s="103">
        <f t="shared" si="53"/>
        <v>302.60000000000002</v>
      </c>
      <c r="AC63" s="213">
        <v>0.27</v>
      </c>
      <c r="AD63" s="108">
        <v>95</v>
      </c>
      <c r="AE63" s="103">
        <f>D63-I63-N63-Q63-U63-W63-AA63-AB63-AD63-AF63-P63</f>
        <v>323.37999999999988</v>
      </c>
      <c r="AF63" s="103">
        <f t="shared" si="55"/>
        <v>1617.3000000000002</v>
      </c>
    </row>
    <row r="64" spans="1:32">
      <c r="A64" s="187" t="s">
        <v>550</v>
      </c>
      <c r="B64" s="208">
        <v>191281</v>
      </c>
      <c r="C64" s="112">
        <v>7</v>
      </c>
      <c r="D64" s="103">
        <v>7015</v>
      </c>
      <c r="E64" s="102">
        <f t="shared" si="49"/>
        <v>3684</v>
      </c>
      <c r="F64" s="117">
        <v>3561</v>
      </c>
      <c r="G64" s="117">
        <v>123</v>
      </c>
      <c r="H64" s="128">
        <f t="shared" si="56"/>
        <v>1.9041802388707927</v>
      </c>
      <c r="I64" s="128">
        <v>1768.23</v>
      </c>
      <c r="J64" s="128"/>
      <c r="K64" s="103"/>
      <c r="L64" s="103"/>
      <c r="M64" s="146">
        <v>24.48</v>
      </c>
      <c r="N64" s="103">
        <f t="shared" si="51"/>
        <v>59.627500000000005</v>
      </c>
      <c r="O64" s="103">
        <v>7</v>
      </c>
      <c r="P64" s="103"/>
      <c r="Q64" s="103">
        <v>881.75</v>
      </c>
      <c r="R64" s="103"/>
      <c r="S64" s="103">
        <v>0</v>
      </c>
      <c r="T64" s="103"/>
      <c r="U64" s="103">
        <v>40</v>
      </c>
      <c r="V64" s="103"/>
      <c r="W64" s="103">
        <f t="shared" si="52"/>
        <v>254.54999999999998</v>
      </c>
      <c r="X64" s="152"/>
      <c r="Y64" s="152">
        <v>7.4999999999999997E-2</v>
      </c>
      <c r="Z64" s="153">
        <v>3394</v>
      </c>
      <c r="AA64" s="103">
        <v>135</v>
      </c>
      <c r="AB64" s="103">
        <f t="shared" si="53"/>
        <v>368.40000000000003</v>
      </c>
      <c r="AC64" s="154">
        <v>0.55000000000000004</v>
      </c>
      <c r="AD64" s="103">
        <v>95</v>
      </c>
      <c r="AE64" s="103">
        <f>D64-I64-J64-N64-O64-Q64-W64-AA64-AB64-AD64-AC64*E64+M64-U64-K64</f>
        <v>1403.7225000000003</v>
      </c>
      <c r="AF64" s="103">
        <f>AC64*E64</f>
        <v>2026.2000000000003</v>
      </c>
    </row>
    <row r="65" spans="1:32">
      <c r="A65" s="198" t="s">
        <v>585</v>
      </c>
      <c r="B65" s="205">
        <v>191283</v>
      </c>
      <c r="C65" s="112"/>
      <c r="D65" s="103"/>
      <c r="E65" s="102">
        <f t="shared" si="49"/>
        <v>0</v>
      </c>
      <c r="F65" s="112"/>
      <c r="G65" s="112"/>
      <c r="H65" s="128"/>
      <c r="I65" s="128"/>
      <c r="J65" s="128">
        <v>25.97</v>
      </c>
      <c r="K65" s="103"/>
      <c r="L65" s="103"/>
      <c r="M65" s="146"/>
      <c r="N65" s="103">
        <f t="shared" si="51"/>
        <v>0</v>
      </c>
      <c r="O65" s="103">
        <v>7</v>
      </c>
      <c r="P65" s="103"/>
      <c r="Q65" s="103">
        <v>881.75</v>
      </c>
      <c r="R65" s="103"/>
      <c r="S65" s="103">
        <v>0</v>
      </c>
      <c r="T65" s="103"/>
      <c r="U65" s="103">
        <v>40</v>
      </c>
      <c r="V65" s="103"/>
      <c r="W65" s="103">
        <f t="shared" si="52"/>
        <v>0</v>
      </c>
      <c r="X65" s="152"/>
      <c r="Y65" s="152">
        <v>7.4999999999999997E-2</v>
      </c>
      <c r="Z65" s="153">
        <v>0</v>
      </c>
      <c r="AA65" s="103">
        <v>135</v>
      </c>
      <c r="AB65" s="103">
        <f t="shared" si="53"/>
        <v>0</v>
      </c>
      <c r="AC65" s="213">
        <v>0.27</v>
      </c>
      <c r="AD65" s="103">
        <v>95</v>
      </c>
      <c r="AE65" s="103">
        <f>D65-I65-N65-Q65-U65-W65-AA65-AB65-AD65-AF65-L65-P65</f>
        <v>-1151.75</v>
      </c>
      <c r="AF65" s="103">
        <f t="shared" ref="AF65:AF66" si="57">D65*AC65+L65</f>
        <v>0</v>
      </c>
    </row>
    <row r="66" spans="1:32">
      <c r="A66" s="184" t="s">
        <v>488</v>
      </c>
      <c r="B66" s="208">
        <v>465180</v>
      </c>
      <c r="C66" s="112">
        <v>7</v>
      </c>
      <c r="D66" s="103">
        <v>6976</v>
      </c>
      <c r="E66" s="102">
        <f t="shared" si="49"/>
        <v>3736</v>
      </c>
      <c r="F66" s="117">
        <v>3421</v>
      </c>
      <c r="G66" s="117">
        <v>315</v>
      </c>
      <c r="H66" s="128">
        <f t="shared" ref="H66:H68" si="58">D66/E66</f>
        <v>1.8672376873661671</v>
      </c>
      <c r="I66" s="128">
        <v>2025.74</v>
      </c>
      <c r="J66" s="128">
        <f>155.96</f>
        <v>155.96</v>
      </c>
      <c r="K66" s="103"/>
      <c r="L66" s="103">
        <v>100</v>
      </c>
      <c r="M66" s="146">
        <v>322.60000000000002</v>
      </c>
      <c r="N66" s="103">
        <f t="shared" si="51"/>
        <v>59.296000000000006</v>
      </c>
      <c r="O66" s="103">
        <v>0</v>
      </c>
      <c r="P66" s="103"/>
      <c r="Q66" s="103">
        <v>881.75</v>
      </c>
      <c r="R66" s="103"/>
      <c r="S66" s="103">
        <v>0</v>
      </c>
      <c r="T66" s="103"/>
      <c r="U66" s="103">
        <v>40</v>
      </c>
      <c r="V66" s="103"/>
      <c r="W66" s="103">
        <f t="shared" si="52"/>
        <v>290.09999999999997</v>
      </c>
      <c r="X66" s="152"/>
      <c r="Y66" s="152">
        <v>7.4999999999999997E-2</v>
      </c>
      <c r="Z66" s="153">
        <v>3868</v>
      </c>
      <c r="AA66" s="103">
        <v>135</v>
      </c>
      <c r="AB66" s="103">
        <f t="shared" si="53"/>
        <v>373.6</v>
      </c>
      <c r="AC66" s="213">
        <v>0.27</v>
      </c>
      <c r="AD66" s="103">
        <v>95</v>
      </c>
      <c r="AE66" s="103">
        <f>D66-I66-N66-Q66-U66-W66-AA66-AB66-AD66-AF66-P66</f>
        <v>1091.9939999999999</v>
      </c>
      <c r="AF66" s="103">
        <f t="shared" si="57"/>
        <v>1983.5200000000002</v>
      </c>
    </row>
    <row r="67" spans="1:32">
      <c r="A67" s="190" t="s">
        <v>491</v>
      </c>
      <c r="B67" s="185">
        <v>465181</v>
      </c>
      <c r="C67" s="117">
        <v>7</v>
      </c>
      <c r="D67" s="103">
        <v>7975</v>
      </c>
      <c r="E67" s="102">
        <f t="shared" si="49"/>
        <v>3994</v>
      </c>
      <c r="F67" s="112">
        <v>3697</v>
      </c>
      <c r="G67" s="112">
        <v>297</v>
      </c>
      <c r="H67" s="128">
        <f t="shared" si="58"/>
        <v>1.9967451176765147</v>
      </c>
      <c r="I67" s="146">
        <v>1871.33</v>
      </c>
      <c r="J67" s="128">
        <v>169.91</v>
      </c>
      <c r="K67" s="128"/>
      <c r="L67" s="128"/>
      <c r="M67" s="146">
        <v>139.69</v>
      </c>
      <c r="N67" s="103">
        <f t="shared" si="51"/>
        <v>67.787500000000009</v>
      </c>
      <c r="O67" s="103">
        <v>7</v>
      </c>
      <c r="P67" s="103"/>
      <c r="Q67" s="103">
        <v>881.75</v>
      </c>
      <c r="R67" s="103"/>
      <c r="S67" s="103">
        <v>0</v>
      </c>
      <c r="T67" s="103"/>
      <c r="U67" s="103">
        <v>40</v>
      </c>
      <c r="V67" s="103"/>
      <c r="W67" s="103">
        <f t="shared" si="52"/>
        <v>300.06900000000002</v>
      </c>
      <c r="X67" s="152"/>
      <c r="Y67" s="152">
        <v>7.6999999999999999E-2</v>
      </c>
      <c r="Z67" s="153">
        <v>3897</v>
      </c>
      <c r="AA67" s="103">
        <v>135</v>
      </c>
      <c r="AB67" s="103">
        <f t="shared" si="53"/>
        <v>399.40000000000003</v>
      </c>
      <c r="AC67" s="154">
        <v>0.6</v>
      </c>
      <c r="AD67" s="103">
        <v>95</v>
      </c>
      <c r="AE67" s="103">
        <f>D67-I67-J67-N67-O67-Q67-W67-AA67-AB67-AD67-AC67*E67+M67-U67-P67-K67+L67</f>
        <v>1751.0434999999998</v>
      </c>
      <c r="AF67" s="103">
        <f>AC67*E67+K67</f>
        <v>2396.4</v>
      </c>
    </row>
    <row r="68" spans="1:32">
      <c r="A68" s="190" t="s">
        <v>555</v>
      </c>
      <c r="B68" s="208">
        <v>465182</v>
      </c>
      <c r="C68" s="112">
        <v>7</v>
      </c>
      <c r="D68" s="103">
        <v>6550</v>
      </c>
      <c r="E68" s="102">
        <f t="shared" si="49"/>
        <v>3250</v>
      </c>
      <c r="F68" s="112">
        <v>3047</v>
      </c>
      <c r="G68" s="112">
        <v>203</v>
      </c>
      <c r="H68" s="128">
        <f t="shared" si="58"/>
        <v>2.0153846153846153</v>
      </c>
      <c r="I68" s="128">
        <v>2020.42</v>
      </c>
      <c r="J68" s="128">
        <v>63.54</v>
      </c>
      <c r="K68" s="103"/>
      <c r="L68" s="103"/>
      <c r="M68" s="146">
        <v>3047</v>
      </c>
      <c r="N68" s="103">
        <f t="shared" si="51"/>
        <v>55.675000000000004</v>
      </c>
      <c r="O68" s="103">
        <v>7</v>
      </c>
      <c r="P68" s="103">
        <v>36.65</v>
      </c>
      <c r="Q68" s="103">
        <v>881.75</v>
      </c>
      <c r="R68" s="103"/>
      <c r="S68" s="103">
        <v>0</v>
      </c>
      <c r="T68" s="103"/>
      <c r="U68" s="103">
        <v>40</v>
      </c>
      <c r="V68" s="103"/>
      <c r="W68" s="103">
        <f t="shared" si="52"/>
        <v>268.65300000000002</v>
      </c>
      <c r="X68" s="152"/>
      <c r="Y68" s="152">
        <v>7.6999999999999999E-2</v>
      </c>
      <c r="Z68" s="153">
        <v>3489</v>
      </c>
      <c r="AA68" s="103">
        <v>135</v>
      </c>
      <c r="AB68" s="103">
        <f t="shared" si="53"/>
        <v>325</v>
      </c>
      <c r="AC68" s="213">
        <v>0.27</v>
      </c>
      <c r="AD68" s="103">
        <v>95</v>
      </c>
      <c r="AE68" s="103">
        <f>D68-I68-N68-Q68-U68-W68-AA68-AB68-AD68-AF68-P68+L68</f>
        <v>923.35199999999929</v>
      </c>
      <c r="AF68" s="103">
        <f>D68*AC68+L68</f>
        <v>1768.5000000000002</v>
      </c>
    </row>
    <row r="69" spans="1:32">
      <c r="A69" s="234" t="s">
        <v>318</v>
      </c>
      <c r="B69" s="205">
        <v>465183</v>
      </c>
      <c r="C69" s="117"/>
      <c r="D69" s="103"/>
      <c r="E69" s="102">
        <f t="shared" si="49"/>
        <v>0</v>
      </c>
      <c r="F69" s="112"/>
      <c r="G69" s="112"/>
      <c r="H69" s="128"/>
      <c r="I69" s="128"/>
      <c r="J69" s="128">
        <v>46.2</v>
      </c>
      <c r="K69" s="128"/>
      <c r="L69" s="128"/>
      <c r="M69" s="146"/>
      <c r="N69" s="103"/>
      <c r="O69" s="103">
        <v>7</v>
      </c>
      <c r="P69" s="103">
        <v>520</v>
      </c>
      <c r="Q69" s="103">
        <v>881.75</v>
      </c>
      <c r="R69" s="103"/>
      <c r="S69" s="103">
        <v>0</v>
      </c>
      <c r="T69" s="103"/>
      <c r="U69" s="103">
        <v>40</v>
      </c>
      <c r="V69" s="103"/>
      <c r="W69" s="103">
        <f t="shared" si="52"/>
        <v>2.2330000000000001</v>
      </c>
      <c r="X69" s="152"/>
      <c r="Y69" s="152">
        <v>7.6999999999999999E-2</v>
      </c>
      <c r="Z69" s="153">
        <v>29</v>
      </c>
      <c r="AA69" s="103">
        <v>135</v>
      </c>
      <c r="AB69" s="103">
        <f t="shared" si="53"/>
        <v>0</v>
      </c>
      <c r="AC69" s="213"/>
      <c r="AD69" s="103">
        <v>95</v>
      </c>
      <c r="AE69" s="226">
        <f>D69-I69-J69-N69-O69-Q69-W69-AA69-AB69-AD69-AC69*E69+M69-U69-P69</f>
        <v>-1727.183</v>
      </c>
      <c r="AF69" s="103">
        <f t="shared" ref="AF69:AF71" si="59">D69*AC69</f>
        <v>0</v>
      </c>
    </row>
    <row r="70" spans="1:32">
      <c r="A70" s="187" t="s">
        <v>575</v>
      </c>
      <c r="B70" s="208" t="s">
        <v>596</v>
      </c>
      <c r="C70" s="117">
        <v>5</v>
      </c>
      <c r="D70" s="103">
        <v>5496</v>
      </c>
      <c r="E70" s="102">
        <f t="shared" si="49"/>
        <v>2828</v>
      </c>
      <c r="F70" s="112">
        <v>2494</v>
      </c>
      <c r="G70" s="112">
        <v>334</v>
      </c>
      <c r="H70" s="128">
        <f>D70/E70</f>
        <v>1.9434229137199435</v>
      </c>
      <c r="I70" s="128">
        <v>2111.23</v>
      </c>
      <c r="J70" s="128">
        <v>52.24</v>
      </c>
      <c r="K70" s="128"/>
      <c r="L70" s="128"/>
      <c r="M70" s="146">
        <v>140.44999999999999</v>
      </c>
      <c r="N70" s="103">
        <f t="shared" ref="N70:N81" si="60">D70*0.0085</f>
        <v>46.716000000000001</v>
      </c>
      <c r="O70" s="103">
        <v>7</v>
      </c>
      <c r="P70" s="103"/>
      <c r="Q70" s="103">
        <v>881.75</v>
      </c>
      <c r="R70" s="103"/>
      <c r="S70" s="103">
        <v>0</v>
      </c>
      <c r="T70" s="103"/>
      <c r="U70" s="103">
        <v>40</v>
      </c>
      <c r="V70" s="103"/>
      <c r="W70" s="103">
        <f t="shared" si="52"/>
        <v>0</v>
      </c>
      <c r="X70" s="152"/>
      <c r="Y70" s="152">
        <v>7.6999999999999999E-2</v>
      </c>
      <c r="Z70" s="153"/>
      <c r="AA70" s="103">
        <v>135</v>
      </c>
      <c r="AB70" s="103">
        <f t="shared" si="53"/>
        <v>282.8</v>
      </c>
      <c r="AC70" s="213">
        <v>0.27</v>
      </c>
      <c r="AD70" s="103">
        <v>95</v>
      </c>
      <c r="AE70" s="103">
        <f t="shared" ref="AE70:AE71" si="61">D70-I70-N70-Q70-U70-W70-AA70-AB70-AD70-AF70-P70</f>
        <v>419.58400000000006</v>
      </c>
      <c r="AF70" s="103">
        <f t="shared" si="59"/>
        <v>1483.92</v>
      </c>
    </row>
    <row r="71" spans="1:32">
      <c r="A71" s="234" t="s">
        <v>318</v>
      </c>
      <c r="B71" s="205">
        <v>465186</v>
      </c>
      <c r="C71" s="112"/>
      <c r="D71" s="103"/>
      <c r="E71" s="102">
        <f t="shared" si="49"/>
        <v>0</v>
      </c>
      <c r="F71" s="112"/>
      <c r="G71" s="112"/>
      <c r="H71" s="128"/>
      <c r="I71" s="128"/>
      <c r="J71" s="128">
        <v>8.85</v>
      </c>
      <c r="K71" s="128"/>
      <c r="L71" s="128"/>
      <c r="M71" s="146"/>
      <c r="N71" s="103">
        <f t="shared" si="60"/>
        <v>0</v>
      </c>
      <c r="O71" s="103">
        <v>7</v>
      </c>
      <c r="P71" s="103"/>
      <c r="Q71" s="103">
        <v>881.75</v>
      </c>
      <c r="R71" s="103"/>
      <c r="S71" s="103">
        <v>0</v>
      </c>
      <c r="T71" s="103"/>
      <c r="U71" s="103">
        <v>40</v>
      </c>
      <c r="V71" s="103"/>
      <c r="W71" s="103">
        <f t="shared" si="52"/>
        <v>3.234</v>
      </c>
      <c r="X71" s="152"/>
      <c r="Y71" s="152">
        <v>7.6999999999999999E-2</v>
      </c>
      <c r="Z71" s="153">
        <v>42</v>
      </c>
      <c r="AA71" s="103">
        <v>135</v>
      </c>
      <c r="AB71" s="103">
        <f t="shared" si="53"/>
        <v>0</v>
      </c>
      <c r="AC71" s="213">
        <v>0.27</v>
      </c>
      <c r="AD71" s="103">
        <v>95</v>
      </c>
      <c r="AE71" s="103">
        <f t="shared" si="61"/>
        <v>-1154.9839999999999</v>
      </c>
      <c r="AF71" s="103">
        <f t="shared" si="59"/>
        <v>0</v>
      </c>
    </row>
    <row r="72" spans="1:32">
      <c r="A72" s="187" t="s">
        <v>439</v>
      </c>
      <c r="B72" s="185">
        <v>465187</v>
      </c>
      <c r="C72" s="117">
        <v>7</v>
      </c>
      <c r="D72" s="103">
        <v>7550</v>
      </c>
      <c r="E72" s="102">
        <f t="shared" si="49"/>
        <v>3459</v>
      </c>
      <c r="F72" s="112">
        <v>3403</v>
      </c>
      <c r="G72" s="112">
        <v>56</v>
      </c>
      <c r="H72" s="128">
        <f t="shared" ref="H72:H79" si="62">D72/E72</f>
        <v>2.1827117664064759</v>
      </c>
      <c r="I72" s="128"/>
      <c r="J72" s="128">
        <v>46.48</v>
      </c>
      <c r="K72" s="128"/>
      <c r="L72" s="128"/>
      <c r="M72" s="146"/>
      <c r="N72" s="103">
        <f t="shared" si="60"/>
        <v>64.175000000000011</v>
      </c>
      <c r="O72" s="103">
        <v>7</v>
      </c>
      <c r="P72" s="103"/>
      <c r="Q72" s="103">
        <v>881.75</v>
      </c>
      <c r="R72" s="103"/>
      <c r="S72" s="103">
        <v>0</v>
      </c>
      <c r="T72" s="103"/>
      <c r="U72" s="103">
        <v>40</v>
      </c>
      <c r="V72" s="103"/>
      <c r="W72" s="103">
        <f t="shared" si="52"/>
        <v>276.661</v>
      </c>
      <c r="X72" s="152"/>
      <c r="Y72" s="152">
        <v>7.6999999999999999E-2</v>
      </c>
      <c r="Z72" s="153">
        <v>3593</v>
      </c>
      <c r="AA72" s="103">
        <v>135</v>
      </c>
      <c r="AB72" s="103">
        <f t="shared" si="53"/>
        <v>345.90000000000003</v>
      </c>
      <c r="AC72" s="154">
        <v>0.6</v>
      </c>
      <c r="AD72" s="103">
        <v>95</v>
      </c>
      <c r="AE72" s="103">
        <f t="shared" ref="AE72:AE73" si="63">D72-I72-J72-N72-O72-Q72-W72-AA72-AB72-AD72-AC72*E72+M72-U72-P72</f>
        <v>3582.6340000000005</v>
      </c>
      <c r="AF72" s="103">
        <f t="shared" ref="AF72:AF73" si="64">AC72*E72</f>
        <v>2075.4</v>
      </c>
    </row>
    <row r="73" spans="1:32">
      <c r="A73" s="190" t="s">
        <v>427</v>
      </c>
      <c r="B73" s="185">
        <v>465188</v>
      </c>
      <c r="C73" s="112">
        <v>4</v>
      </c>
      <c r="D73" s="103">
        <v>3050</v>
      </c>
      <c r="E73" s="102">
        <f t="shared" si="49"/>
        <v>1933</v>
      </c>
      <c r="F73" s="117">
        <v>1678</v>
      </c>
      <c r="G73" s="117">
        <v>255</v>
      </c>
      <c r="H73" s="128">
        <f t="shared" si="62"/>
        <v>1.5778582514226591</v>
      </c>
      <c r="I73" s="128">
        <v>1498.34</v>
      </c>
      <c r="J73" s="128">
        <v>485.52</v>
      </c>
      <c r="K73" s="128"/>
      <c r="L73" s="128"/>
      <c r="M73" s="146">
        <v>51.83</v>
      </c>
      <c r="N73" s="103">
        <f t="shared" si="60"/>
        <v>25.925000000000001</v>
      </c>
      <c r="O73" s="103">
        <v>7</v>
      </c>
      <c r="P73" s="103">
        <f>86.98+146.04</f>
        <v>233.01999999999998</v>
      </c>
      <c r="Q73" s="103">
        <v>881.75</v>
      </c>
      <c r="R73" s="103"/>
      <c r="S73" s="103">
        <v>0</v>
      </c>
      <c r="T73" s="103"/>
      <c r="U73" s="103">
        <v>40</v>
      </c>
      <c r="V73" s="103"/>
      <c r="W73" s="103">
        <f t="shared" si="52"/>
        <v>156.77199999999999</v>
      </c>
      <c r="X73" s="152"/>
      <c r="Y73" s="152">
        <v>7.6999999999999999E-2</v>
      </c>
      <c r="Z73" s="153">
        <v>2036</v>
      </c>
      <c r="AA73" s="103">
        <v>135</v>
      </c>
      <c r="AB73" s="103">
        <f t="shared" si="53"/>
        <v>193.3</v>
      </c>
      <c r="AC73" s="154">
        <v>0.6</v>
      </c>
      <c r="AD73" s="103">
        <v>95</v>
      </c>
      <c r="AE73" s="103">
        <f t="shared" si="63"/>
        <v>-1809.5969999999998</v>
      </c>
      <c r="AF73" s="103">
        <f t="shared" si="64"/>
        <v>1159.8</v>
      </c>
    </row>
    <row r="74" spans="1:32">
      <c r="A74" s="198" t="s">
        <v>540</v>
      </c>
      <c r="B74" s="208">
        <v>465189</v>
      </c>
      <c r="C74" s="112">
        <v>7</v>
      </c>
      <c r="D74" s="103">
        <v>7600</v>
      </c>
      <c r="E74" s="102">
        <f t="shared" si="49"/>
        <v>3874</v>
      </c>
      <c r="F74" s="117">
        <v>3706</v>
      </c>
      <c r="G74" s="112">
        <v>168</v>
      </c>
      <c r="H74" s="128">
        <f t="shared" si="62"/>
        <v>1.9617965926690759</v>
      </c>
      <c r="I74" s="146">
        <v>2506.06</v>
      </c>
      <c r="J74" s="128">
        <v>36.99</v>
      </c>
      <c r="K74" s="103"/>
      <c r="L74" s="103"/>
      <c r="M74" s="146">
        <v>46.33</v>
      </c>
      <c r="N74" s="103">
        <f t="shared" si="60"/>
        <v>64.600000000000009</v>
      </c>
      <c r="O74" s="103">
        <v>7</v>
      </c>
      <c r="P74" s="103">
        <v>26.2</v>
      </c>
      <c r="Q74" s="103">
        <v>881.75</v>
      </c>
      <c r="R74" s="103"/>
      <c r="S74" s="103">
        <v>0</v>
      </c>
      <c r="T74" s="103"/>
      <c r="U74" s="103">
        <v>40</v>
      </c>
      <c r="V74" s="103"/>
      <c r="W74" s="103">
        <f t="shared" si="52"/>
        <v>306.07499999999999</v>
      </c>
      <c r="X74" s="152"/>
      <c r="Y74" s="152">
        <v>7.4999999999999997E-2</v>
      </c>
      <c r="Z74" s="153">
        <v>4081</v>
      </c>
      <c r="AA74" s="103">
        <v>135</v>
      </c>
      <c r="AB74" s="103">
        <f t="shared" si="53"/>
        <v>387.40000000000003</v>
      </c>
      <c r="AC74" s="213">
        <v>0.27</v>
      </c>
      <c r="AD74" s="103">
        <v>95</v>
      </c>
      <c r="AE74" s="103">
        <f>D74-I74-N74-Q74-U74-W74-AA74-AB74-AD74-AF74-P74</f>
        <v>1105.9150000000002</v>
      </c>
      <c r="AF74" s="103">
        <f>D74*AC74</f>
        <v>2052</v>
      </c>
    </row>
    <row r="75" spans="1:32">
      <c r="A75" s="215" t="s">
        <v>587</v>
      </c>
      <c r="B75" s="216">
        <v>191275</v>
      </c>
      <c r="C75" s="217">
        <v>4</v>
      </c>
      <c r="D75" s="218">
        <v>2720</v>
      </c>
      <c r="E75" s="219">
        <f t="shared" si="49"/>
        <v>2110</v>
      </c>
      <c r="F75" s="217">
        <v>1930</v>
      </c>
      <c r="G75" s="217">
        <v>180</v>
      </c>
      <c r="H75" s="128">
        <f t="shared" si="62"/>
        <v>1.2890995260663507</v>
      </c>
      <c r="I75" s="220">
        <v>999.85</v>
      </c>
      <c r="J75" s="221">
        <v>154.84</v>
      </c>
      <c r="K75" s="221"/>
      <c r="L75" s="221"/>
      <c r="M75" s="220">
        <v>15.96</v>
      </c>
      <c r="N75" s="218">
        <f t="shared" si="60"/>
        <v>23.12</v>
      </c>
      <c r="O75" s="218">
        <v>7</v>
      </c>
      <c r="P75" s="218"/>
      <c r="Q75" s="218">
        <v>881.75</v>
      </c>
      <c r="R75" s="218">
        <v>50</v>
      </c>
      <c r="S75" s="218">
        <v>1200</v>
      </c>
      <c r="T75" s="218">
        <v>30</v>
      </c>
      <c r="U75" s="218">
        <v>40</v>
      </c>
      <c r="V75" s="218">
        <v>300</v>
      </c>
      <c r="W75" s="218">
        <f t="shared" si="52"/>
        <v>176.1</v>
      </c>
      <c r="X75" s="218">
        <f t="shared" ref="X75:X78" si="65">0.15*Z75</f>
        <v>352.2</v>
      </c>
      <c r="Y75" s="222">
        <v>7.4999999999999997E-2</v>
      </c>
      <c r="Z75" s="219" t="s">
        <v>604</v>
      </c>
      <c r="AA75" s="218">
        <v>135</v>
      </c>
      <c r="AB75" s="218">
        <f t="shared" si="53"/>
        <v>211</v>
      </c>
      <c r="AC75" s="223">
        <v>0.87</v>
      </c>
      <c r="AD75" s="218">
        <v>95</v>
      </c>
      <c r="AE75" s="103">
        <f t="shared" ref="AE75:AE78" si="66">D75*13%+R75+T75+S75+V75-Q75-W75-AA75-AD75+X75-N75+M75-U75</f>
        <v>950.78999999999985</v>
      </c>
      <c r="AF75" s="103">
        <f t="shared" ref="AF75:AF78" si="67">D75*AC75-I75-J75-S75-R75-T75-V75-X75</f>
        <v>-720.48999999999978</v>
      </c>
    </row>
    <row r="76" spans="1:32">
      <c r="A76" s="229" t="s">
        <v>435</v>
      </c>
      <c r="B76" s="216">
        <v>191282</v>
      </c>
      <c r="C76" s="217">
        <v>1</v>
      </c>
      <c r="D76" s="218">
        <v>2705</v>
      </c>
      <c r="E76" s="219">
        <f t="shared" si="49"/>
        <v>1491</v>
      </c>
      <c r="F76" s="217">
        <v>1438</v>
      </c>
      <c r="G76" s="217">
        <v>53</v>
      </c>
      <c r="H76" s="128">
        <f t="shared" si="62"/>
        <v>1.8142186452045608</v>
      </c>
      <c r="I76" s="220">
        <v>607.55999999999995</v>
      </c>
      <c r="J76" s="221">
        <v>131.91</v>
      </c>
      <c r="K76" s="221"/>
      <c r="L76" s="221"/>
      <c r="M76" s="220">
        <v>4.8600000000000003</v>
      </c>
      <c r="N76" s="218">
        <f t="shared" si="60"/>
        <v>22.992500000000003</v>
      </c>
      <c r="O76" s="218">
        <v>7</v>
      </c>
      <c r="P76" s="218">
        <v>165</v>
      </c>
      <c r="Q76" s="218">
        <v>881.75</v>
      </c>
      <c r="R76" s="218">
        <v>50</v>
      </c>
      <c r="S76" s="218">
        <v>1200</v>
      </c>
      <c r="T76" s="218">
        <v>30</v>
      </c>
      <c r="U76" s="218">
        <v>40</v>
      </c>
      <c r="V76" s="218">
        <v>300</v>
      </c>
      <c r="W76" s="218">
        <f t="shared" si="52"/>
        <v>129.43700000000001</v>
      </c>
      <c r="X76" s="218">
        <f t="shared" si="65"/>
        <v>252.14999999999998</v>
      </c>
      <c r="Y76" s="222">
        <v>7.6999999999999999E-2</v>
      </c>
      <c r="Z76" s="219" t="s">
        <v>605</v>
      </c>
      <c r="AA76" s="218">
        <v>135</v>
      </c>
      <c r="AB76" s="218">
        <f t="shared" si="53"/>
        <v>149.1</v>
      </c>
      <c r="AC76" s="223">
        <v>0.87</v>
      </c>
      <c r="AD76" s="218">
        <v>95</v>
      </c>
      <c r="AE76" s="103">
        <f t="shared" si="66"/>
        <v>884.48050000000012</v>
      </c>
      <c r="AF76" s="103">
        <f t="shared" si="67"/>
        <v>-218.2700000000001</v>
      </c>
    </row>
    <row r="77" spans="1:32">
      <c r="A77" s="229" t="s">
        <v>590</v>
      </c>
      <c r="B77" s="216">
        <v>465184</v>
      </c>
      <c r="C77" s="217">
        <v>7</v>
      </c>
      <c r="D77" s="218">
        <v>7233</v>
      </c>
      <c r="E77" s="219">
        <f t="shared" si="49"/>
        <v>3558</v>
      </c>
      <c r="F77" s="217">
        <v>3381</v>
      </c>
      <c r="G77" s="217">
        <v>177</v>
      </c>
      <c r="H77" s="128">
        <f t="shared" si="62"/>
        <v>2.0328836424957841</v>
      </c>
      <c r="I77" s="220">
        <v>2310.62</v>
      </c>
      <c r="J77" s="221">
        <v>109.47</v>
      </c>
      <c r="K77" s="221"/>
      <c r="L77" s="221"/>
      <c r="M77" s="220">
        <v>91.89</v>
      </c>
      <c r="N77" s="218">
        <f t="shared" si="60"/>
        <v>61.480500000000006</v>
      </c>
      <c r="O77" s="218">
        <v>7</v>
      </c>
      <c r="P77" s="218"/>
      <c r="Q77" s="218">
        <v>881.75</v>
      </c>
      <c r="R77" s="218">
        <v>50</v>
      </c>
      <c r="S77" s="218">
        <v>1050</v>
      </c>
      <c r="T77" s="218">
        <v>30</v>
      </c>
      <c r="U77" s="218">
        <v>40</v>
      </c>
      <c r="V77" s="218">
        <v>400</v>
      </c>
      <c r="W77" s="218">
        <f t="shared" si="52"/>
        <v>311.15699999999998</v>
      </c>
      <c r="X77" s="218">
        <f t="shared" si="65"/>
        <v>606.15</v>
      </c>
      <c r="Y77" s="222">
        <v>7.6999999999999999E-2</v>
      </c>
      <c r="Z77" s="219" t="s">
        <v>606</v>
      </c>
      <c r="AA77" s="218">
        <v>135</v>
      </c>
      <c r="AB77" s="218">
        <f t="shared" si="53"/>
        <v>355.8</v>
      </c>
      <c r="AC77" s="223">
        <v>0.87</v>
      </c>
      <c r="AD77" s="218">
        <v>95</v>
      </c>
      <c r="AE77" s="103">
        <f t="shared" si="66"/>
        <v>1643.9424999999999</v>
      </c>
      <c r="AF77" s="103">
        <f t="shared" si="67"/>
        <v>1736.4700000000003</v>
      </c>
    </row>
    <row r="78" spans="1:32">
      <c r="A78" s="229" t="s">
        <v>568</v>
      </c>
      <c r="B78" s="216">
        <v>191278</v>
      </c>
      <c r="C78" s="217">
        <v>7</v>
      </c>
      <c r="D78" s="218">
        <v>5460</v>
      </c>
      <c r="E78" s="219">
        <f t="shared" si="49"/>
        <v>3068</v>
      </c>
      <c r="F78" s="217">
        <v>2650</v>
      </c>
      <c r="G78" s="217">
        <v>418</v>
      </c>
      <c r="H78" s="128">
        <f t="shared" si="62"/>
        <v>1.7796610169491525</v>
      </c>
      <c r="I78" s="220">
        <v>1508.98</v>
      </c>
      <c r="J78" s="221">
        <v>202.9</v>
      </c>
      <c r="K78" s="221"/>
      <c r="L78" s="221"/>
      <c r="M78" s="220">
        <v>150.87</v>
      </c>
      <c r="N78" s="218">
        <f t="shared" si="60"/>
        <v>46.410000000000004</v>
      </c>
      <c r="O78" s="218">
        <v>7</v>
      </c>
      <c r="P78" s="218"/>
      <c r="Q78" s="218">
        <v>881.75</v>
      </c>
      <c r="R78" s="218">
        <v>50</v>
      </c>
      <c r="S78" s="218">
        <v>1050</v>
      </c>
      <c r="T78" s="218">
        <v>30</v>
      </c>
      <c r="U78" s="218">
        <v>40</v>
      </c>
      <c r="V78" s="218">
        <v>400</v>
      </c>
      <c r="W78" s="218">
        <f t="shared" si="52"/>
        <v>248.24799999999999</v>
      </c>
      <c r="X78" s="218">
        <f t="shared" si="65"/>
        <v>483.59999999999997</v>
      </c>
      <c r="Y78" s="222">
        <v>7.6999999999999999E-2</v>
      </c>
      <c r="Z78" s="219" t="s">
        <v>607</v>
      </c>
      <c r="AA78" s="218">
        <v>135</v>
      </c>
      <c r="AB78" s="218">
        <f t="shared" si="53"/>
        <v>306.8</v>
      </c>
      <c r="AC78" s="223">
        <v>0.87</v>
      </c>
      <c r="AD78" s="218">
        <v>95</v>
      </c>
      <c r="AE78" s="103">
        <f t="shared" si="66"/>
        <v>1427.8620000000001</v>
      </c>
      <c r="AF78" s="103">
        <f t="shared" si="67"/>
        <v>1024.7199999999998</v>
      </c>
    </row>
    <row r="79" spans="1:32">
      <c r="A79" s="134" t="s">
        <v>462</v>
      </c>
      <c r="B79" s="135" t="s">
        <v>399</v>
      </c>
      <c r="C79" s="158">
        <v>3</v>
      </c>
      <c r="D79" s="139">
        <v>2500</v>
      </c>
      <c r="E79" s="136">
        <v>1288</v>
      </c>
      <c r="F79" s="136"/>
      <c r="G79" s="136"/>
      <c r="H79" s="128">
        <f t="shared" si="62"/>
        <v>1.9409937888198758</v>
      </c>
      <c r="I79" s="139">
        <v>354.34</v>
      </c>
      <c r="J79" s="139">
        <v>125.78</v>
      </c>
      <c r="K79" s="139"/>
      <c r="L79" s="139"/>
      <c r="M79" s="139">
        <v>46.24</v>
      </c>
      <c r="N79" s="139">
        <f t="shared" si="60"/>
        <v>21.25</v>
      </c>
      <c r="O79" s="139">
        <v>0</v>
      </c>
      <c r="P79" s="139"/>
      <c r="Q79" s="139">
        <v>0</v>
      </c>
      <c r="R79" s="139">
        <v>0</v>
      </c>
      <c r="S79" s="139">
        <v>0</v>
      </c>
      <c r="T79" s="139">
        <v>0</v>
      </c>
      <c r="U79" s="139">
        <v>40</v>
      </c>
      <c r="V79" s="139">
        <v>0</v>
      </c>
      <c r="W79" s="139">
        <v>0</v>
      </c>
      <c r="X79" s="159"/>
      <c r="Y79" s="159">
        <v>0</v>
      </c>
      <c r="Z79" s="136">
        <v>1288</v>
      </c>
      <c r="AA79" s="139">
        <v>0</v>
      </c>
      <c r="AB79" s="139">
        <f t="shared" si="53"/>
        <v>128.80000000000001</v>
      </c>
      <c r="AC79" s="160">
        <v>0.85</v>
      </c>
      <c r="AD79" s="139">
        <v>95</v>
      </c>
      <c r="AE79" s="139">
        <f>D79*0.15-AD79-AB79+V79+T79+S79+R79-N79+M79-U79</f>
        <v>136.19</v>
      </c>
      <c r="AF79" s="139">
        <f>D79*AC79-I79-J79-V79-T79-S79-R79</f>
        <v>1644.88</v>
      </c>
    </row>
    <row r="80" spans="1:32">
      <c r="A80" s="199" t="s">
        <v>529</v>
      </c>
      <c r="B80" s="199">
        <v>1118</v>
      </c>
      <c r="C80" s="158"/>
      <c r="D80" s="139"/>
      <c r="E80" s="136"/>
      <c r="F80" s="136"/>
      <c r="G80" s="136"/>
      <c r="H80" s="136"/>
      <c r="I80" s="139"/>
      <c r="J80" s="139"/>
      <c r="K80" s="139"/>
      <c r="L80" s="139"/>
      <c r="M80" s="139"/>
      <c r="N80" s="139">
        <f t="shared" si="60"/>
        <v>0</v>
      </c>
      <c r="O80" s="139">
        <v>0</v>
      </c>
      <c r="P80" s="139"/>
      <c r="Q80" s="139">
        <v>0</v>
      </c>
      <c r="R80" s="139">
        <v>0</v>
      </c>
      <c r="S80" s="139">
        <v>0</v>
      </c>
      <c r="T80" s="139">
        <v>0</v>
      </c>
      <c r="U80" s="139">
        <v>40</v>
      </c>
      <c r="V80" s="139">
        <v>0</v>
      </c>
      <c r="W80" s="139">
        <v>0</v>
      </c>
      <c r="X80" s="159"/>
      <c r="Y80" s="159">
        <v>0</v>
      </c>
      <c r="Z80" s="136"/>
      <c r="AA80" s="139">
        <v>0</v>
      </c>
      <c r="AB80" s="139">
        <f t="shared" si="53"/>
        <v>0</v>
      </c>
      <c r="AC80" s="160">
        <v>0.8</v>
      </c>
      <c r="AD80" s="139">
        <v>95</v>
      </c>
      <c r="AE80" s="139">
        <f>D80*0.2-AB80-N80-K80-AD80-U80</f>
        <v>-135</v>
      </c>
      <c r="AF80" s="139">
        <f>D80*AC80-I80-J80+K80</f>
        <v>0</v>
      </c>
    </row>
    <row r="81" spans="1:32">
      <c r="A81" s="199" t="s">
        <v>467</v>
      </c>
      <c r="B81" s="199">
        <v>1122</v>
      </c>
      <c r="C81" s="158"/>
      <c r="D81" s="139"/>
      <c r="E81" s="136"/>
      <c r="F81" s="136"/>
      <c r="G81" s="136"/>
      <c r="H81" s="136"/>
      <c r="I81" s="168"/>
      <c r="J81" s="139"/>
      <c r="K81" s="139"/>
      <c r="L81" s="139"/>
      <c r="M81" s="139"/>
      <c r="N81" s="139">
        <f t="shared" si="60"/>
        <v>0</v>
      </c>
      <c r="O81" s="139">
        <v>7</v>
      </c>
      <c r="P81" s="139"/>
      <c r="Q81" s="139">
        <v>0</v>
      </c>
      <c r="R81" s="139">
        <v>50</v>
      </c>
      <c r="S81" s="139">
        <v>199</v>
      </c>
      <c r="T81" s="139">
        <v>30</v>
      </c>
      <c r="U81" s="139">
        <v>40</v>
      </c>
      <c r="V81" s="139">
        <v>300</v>
      </c>
      <c r="W81" s="139">
        <v>0</v>
      </c>
      <c r="X81" s="159"/>
      <c r="Y81" s="159">
        <v>0</v>
      </c>
      <c r="Z81" s="136"/>
      <c r="AA81" s="139">
        <v>0</v>
      </c>
      <c r="AB81" s="139">
        <f t="shared" si="53"/>
        <v>0</v>
      </c>
      <c r="AC81" s="160">
        <v>0.87</v>
      </c>
      <c r="AD81" s="139">
        <v>95</v>
      </c>
      <c r="AE81" s="139">
        <f>D81*0.13-AD81-AB81+V81+T81+S81+R81-N81+M81-U81</f>
        <v>444</v>
      </c>
      <c r="AF81" s="139">
        <f>D81*AC81-I81-J81-V81-T81-S81-R81</f>
        <v>-579</v>
      </c>
    </row>
    <row r="82" spans="1:32">
      <c r="A82" s="134" t="s">
        <v>520</v>
      </c>
      <c r="B82" s="134">
        <v>1650</v>
      </c>
      <c r="C82" s="158">
        <v>7</v>
      </c>
      <c r="D82" s="139">
        <v>4750</v>
      </c>
      <c r="E82" s="136">
        <v>2372</v>
      </c>
      <c r="F82" s="136"/>
      <c r="G82" s="136"/>
      <c r="H82" s="128">
        <f>D82/E82</f>
        <v>2.0025295109612142</v>
      </c>
      <c r="I82" s="139">
        <v>1501.57</v>
      </c>
      <c r="J82" s="139"/>
      <c r="K82" s="139"/>
      <c r="L82" s="139"/>
      <c r="M82" s="139">
        <v>150.32</v>
      </c>
      <c r="N82" s="139"/>
      <c r="O82" s="139"/>
      <c r="P82" s="139"/>
      <c r="Q82" s="139">
        <v>0</v>
      </c>
      <c r="R82" s="139">
        <v>50</v>
      </c>
      <c r="S82" s="139">
        <v>0</v>
      </c>
      <c r="T82" s="139">
        <v>30</v>
      </c>
      <c r="U82" s="139">
        <v>40</v>
      </c>
      <c r="V82" s="139">
        <v>300</v>
      </c>
      <c r="W82" s="139">
        <v>0</v>
      </c>
      <c r="X82" s="159"/>
      <c r="Y82" s="159">
        <v>0</v>
      </c>
      <c r="Z82" s="136">
        <v>2372</v>
      </c>
      <c r="AA82" s="139">
        <v>0</v>
      </c>
      <c r="AB82" s="139">
        <f t="shared" si="53"/>
        <v>237.20000000000002</v>
      </c>
      <c r="AC82" s="160">
        <v>0.87</v>
      </c>
      <c r="AD82" s="139">
        <v>95</v>
      </c>
      <c r="AE82" s="139">
        <f>D82*0.13+V82+T82+S82+R82-AB82-N82+M82-U82</f>
        <v>870.61999999999989</v>
      </c>
      <c r="AF82" s="139">
        <f>D82*0.87-I82-J82-R82-S82-T82-V82+K82</f>
        <v>2250.9300000000003</v>
      </c>
    </row>
    <row r="83" spans="1:32">
      <c r="A83" s="72" t="s">
        <v>89</v>
      </c>
      <c r="B83" s="72">
        <v>20</v>
      </c>
      <c r="C83" s="202">
        <f>AVERAGE(C62:C73)</f>
        <v>6.375</v>
      </c>
      <c r="D83" s="201">
        <f t="shared" ref="D83:G83" si="68">SUM(D59:D82)</f>
        <v>101992</v>
      </c>
      <c r="E83" s="201">
        <f t="shared" si="68"/>
        <v>53296</v>
      </c>
      <c r="F83" s="201">
        <f t="shared" si="68"/>
        <v>43348</v>
      </c>
      <c r="G83" s="201">
        <f t="shared" si="68"/>
        <v>3099</v>
      </c>
      <c r="H83" s="201">
        <f>AVERAGE(H59:H82)</f>
        <v>1.8800800240606026</v>
      </c>
      <c r="I83" s="201">
        <f t="shared" ref="I83:AB83" si="69">SUM(I59:I82)</f>
        <v>29340.25</v>
      </c>
      <c r="J83" s="201">
        <f t="shared" si="69"/>
        <v>2499.8000000000002</v>
      </c>
      <c r="K83" s="201">
        <f t="shared" si="69"/>
        <v>100</v>
      </c>
      <c r="L83" s="201">
        <f t="shared" si="69"/>
        <v>175</v>
      </c>
      <c r="M83" s="201">
        <f t="shared" si="69"/>
        <v>5055.619999999999</v>
      </c>
      <c r="N83" s="201">
        <f t="shared" si="69"/>
        <v>826.5569999999999</v>
      </c>
      <c r="O83" s="201">
        <f t="shared" si="69"/>
        <v>140</v>
      </c>
      <c r="P83" s="201">
        <f t="shared" si="69"/>
        <v>2114.75</v>
      </c>
      <c r="Q83" s="201">
        <f t="shared" si="69"/>
        <v>17635</v>
      </c>
      <c r="R83" s="201">
        <f t="shared" si="69"/>
        <v>300</v>
      </c>
      <c r="S83" s="201">
        <f t="shared" si="69"/>
        <v>4699</v>
      </c>
      <c r="T83" s="201">
        <f t="shared" si="69"/>
        <v>180</v>
      </c>
      <c r="U83" s="201">
        <f t="shared" si="69"/>
        <v>960</v>
      </c>
      <c r="V83" s="201">
        <f t="shared" si="69"/>
        <v>2000</v>
      </c>
      <c r="W83" s="201">
        <f t="shared" si="69"/>
        <v>3688.4649999999997</v>
      </c>
      <c r="X83" s="201">
        <f t="shared" si="69"/>
        <v>1694.1</v>
      </c>
      <c r="Y83" s="201">
        <f t="shared" si="69"/>
        <v>1.5219999999999996</v>
      </c>
      <c r="Z83" s="201">
        <f t="shared" si="69"/>
        <v>40839</v>
      </c>
      <c r="AA83" s="201">
        <f t="shared" si="69"/>
        <v>2700</v>
      </c>
      <c r="AB83" s="201">
        <f t="shared" si="69"/>
        <v>5329.6000000000013</v>
      </c>
      <c r="AC83" s="201"/>
      <c r="AD83" s="201">
        <f t="shared" ref="AD83:AF83" si="70">SUM(AD59:AD82)</f>
        <v>2280</v>
      </c>
      <c r="AE83" s="201">
        <f t="shared" si="70"/>
        <v>10504.638000000003</v>
      </c>
      <c r="AF83" s="201">
        <f t="shared" si="70"/>
        <v>27402.980000000003</v>
      </c>
    </row>
    <row r="85" spans="1:32">
      <c r="A85" s="461" t="s">
        <v>608</v>
      </c>
      <c r="B85" s="458"/>
      <c r="C85" s="458"/>
      <c r="D85" s="458"/>
      <c r="E85" s="458"/>
      <c r="F85" s="458"/>
      <c r="G85" s="458"/>
      <c r="H85" s="458"/>
      <c r="I85" s="458"/>
      <c r="J85" s="458"/>
      <c r="K85" s="458"/>
      <c r="L85" s="458"/>
      <c r="M85" s="458"/>
      <c r="N85" s="458"/>
      <c r="O85" s="458"/>
      <c r="P85" s="458"/>
      <c r="Q85" s="458"/>
      <c r="R85" s="458"/>
      <c r="S85" s="458"/>
      <c r="T85" s="458"/>
      <c r="U85" s="458"/>
      <c r="V85" s="458"/>
      <c r="W85" s="458"/>
      <c r="X85" s="458"/>
      <c r="Y85" s="458"/>
      <c r="Z85" s="458"/>
      <c r="AA85" s="458"/>
      <c r="AB85" s="458"/>
      <c r="AC85" s="458"/>
      <c r="AD85" s="458"/>
      <c r="AE85" s="458"/>
      <c r="AF85" s="459"/>
    </row>
    <row r="86" spans="1:32">
      <c r="A86" s="95" t="s">
        <v>0</v>
      </c>
      <c r="B86" s="95" t="s">
        <v>1</v>
      </c>
      <c r="C86" s="95" t="s">
        <v>372</v>
      </c>
      <c r="D86" s="95" t="s">
        <v>2</v>
      </c>
      <c r="E86" s="95" t="s">
        <v>413</v>
      </c>
      <c r="F86" s="150" t="s">
        <v>414</v>
      </c>
      <c r="G86" s="150" t="s">
        <v>415</v>
      </c>
      <c r="H86" s="95" t="s">
        <v>416</v>
      </c>
      <c r="I86" s="95" t="s">
        <v>7</v>
      </c>
      <c r="J86" s="95" t="s">
        <v>8</v>
      </c>
      <c r="K86" s="95" t="s">
        <v>287</v>
      </c>
      <c r="L86" s="95" t="s">
        <v>288</v>
      </c>
      <c r="M86" s="95" t="s">
        <v>257</v>
      </c>
      <c r="N86" s="95" t="s">
        <v>373</v>
      </c>
      <c r="O86" s="95" t="s">
        <v>374</v>
      </c>
      <c r="P86" s="150" t="s">
        <v>538</v>
      </c>
      <c r="Q86" s="95" t="s">
        <v>375</v>
      </c>
      <c r="R86" s="95" t="s">
        <v>376</v>
      </c>
      <c r="S86" s="95" t="s">
        <v>522</v>
      </c>
      <c r="T86" s="150" t="s">
        <v>378</v>
      </c>
      <c r="U86" s="150" t="s">
        <v>539</v>
      </c>
      <c r="V86" s="150" t="s">
        <v>379</v>
      </c>
      <c r="W86" s="150" t="s">
        <v>352</v>
      </c>
      <c r="X86" s="150" t="s">
        <v>523</v>
      </c>
      <c r="Y86" s="95" t="s">
        <v>380</v>
      </c>
      <c r="Z86" s="95" t="s">
        <v>381</v>
      </c>
      <c r="AA86" s="95" t="s">
        <v>382</v>
      </c>
      <c r="AB86" s="95" t="s">
        <v>383</v>
      </c>
      <c r="AC86" s="95" t="s">
        <v>385</v>
      </c>
      <c r="AD86" s="150" t="s">
        <v>333</v>
      </c>
      <c r="AE86" s="95" t="s">
        <v>582</v>
      </c>
      <c r="AF86" s="95" t="s">
        <v>98</v>
      </c>
    </row>
    <row r="87" spans="1:32">
      <c r="A87" s="184" t="s">
        <v>505</v>
      </c>
      <c r="B87" s="185">
        <v>191274</v>
      </c>
      <c r="C87" s="112">
        <v>5</v>
      </c>
      <c r="D87" s="103">
        <v>7500</v>
      </c>
      <c r="E87" s="102">
        <f t="shared" ref="E87:E105" si="71">F87+G87</f>
        <v>3805</v>
      </c>
      <c r="F87" s="117">
        <v>3742</v>
      </c>
      <c r="G87" s="117">
        <v>63</v>
      </c>
      <c r="H87" s="128">
        <f t="shared" ref="H87:H91" si="72">D87/E87</f>
        <v>1.971090670170828</v>
      </c>
      <c r="I87" s="128">
        <v>2616.48</v>
      </c>
      <c r="J87" s="128">
        <v>94.3</v>
      </c>
      <c r="K87" s="103"/>
      <c r="L87" s="103"/>
      <c r="M87" s="146">
        <v>330.64</v>
      </c>
      <c r="N87" s="103">
        <f t="shared" ref="N87:N95" si="73">D87*0.0085</f>
        <v>63.750000000000007</v>
      </c>
      <c r="O87" s="103">
        <v>7</v>
      </c>
      <c r="P87" s="103">
        <v>226.9</v>
      </c>
      <c r="Q87" s="103">
        <v>881.75</v>
      </c>
      <c r="R87" s="103"/>
      <c r="S87" s="103">
        <v>0</v>
      </c>
      <c r="T87" s="103"/>
      <c r="U87" s="103">
        <v>40</v>
      </c>
      <c r="V87" s="103"/>
      <c r="W87" s="103">
        <f t="shared" ref="W87:W105" si="74">Z87*Y87</f>
        <v>303.68799999999999</v>
      </c>
      <c r="X87" s="152"/>
      <c r="Y87" s="152">
        <v>7.6999999999999999E-2</v>
      </c>
      <c r="Z87" s="155">
        <v>3944</v>
      </c>
      <c r="AA87" s="103">
        <v>135</v>
      </c>
      <c r="AB87" s="103">
        <f t="shared" ref="AB87:AB109" si="75">E87*0.1</f>
        <v>380.5</v>
      </c>
      <c r="AC87" s="213">
        <v>0.27</v>
      </c>
      <c r="AD87" s="103">
        <v>95</v>
      </c>
      <c r="AE87" s="103">
        <f>D87-I87-N87-Q87-U87-W87-AA87-AB87-AD87-AF87-K87-P87</f>
        <v>731.93200000000013</v>
      </c>
      <c r="AF87" s="103">
        <f>D87*AC87</f>
        <v>2025.0000000000002</v>
      </c>
    </row>
    <row r="88" spans="1:32">
      <c r="A88" s="187" t="s">
        <v>571</v>
      </c>
      <c r="B88" s="208">
        <v>191276</v>
      </c>
      <c r="C88" s="112">
        <v>7</v>
      </c>
      <c r="D88" s="103">
        <v>6650</v>
      </c>
      <c r="E88" s="102">
        <f t="shared" si="71"/>
        <v>3688</v>
      </c>
      <c r="F88" s="102" t="s">
        <v>609</v>
      </c>
      <c r="G88" s="102" t="s">
        <v>610</v>
      </c>
      <c r="H88" s="128">
        <f t="shared" si="72"/>
        <v>1.8031453362255965</v>
      </c>
      <c r="I88" s="235">
        <v>1974.2</v>
      </c>
      <c r="J88" s="128">
        <v>19.399999999999999</v>
      </c>
      <c r="K88" s="103"/>
      <c r="L88" s="103"/>
      <c r="M88" s="146">
        <v>222.8</v>
      </c>
      <c r="N88" s="103">
        <f t="shared" si="73"/>
        <v>56.525000000000006</v>
      </c>
      <c r="O88" s="103">
        <v>7</v>
      </c>
      <c r="P88" s="103">
        <v>49.03</v>
      </c>
      <c r="Q88" s="103">
        <v>881.75</v>
      </c>
      <c r="R88" s="103"/>
      <c r="S88" s="103">
        <v>0</v>
      </c>
      <c r="T88" s="103"/>
      <c r="U88" s="103">
        <v>40</v>
      </c>
      <c r="V88" s="103"/>
      <c r="W88" s="103">
        <f t="shared" si="74"/>
        <v>279</v>
      </c>
      <c r="X88" s="152"/>
      <c r="Y88" s="152">
        <v>7.4999999999999997E-2</v>
      </c>
      <c r="Z88" s="153">
        <v>3720</v>
      </c>
      <c r="AA88" s="103">
        <v>135</v>
      </c>
      <c r="AB88" s="103">
        <f t="shared" si="75"/>
        <v>368.8</v>
      </c>
      <c r="AC88" s="154">
        <v>0.6</v>
      </c>
      <c r="AD88" s="103">
        <v>95</v>
      </c>
      <c r="AE88" s="103">
        <f>D88-I88-J88-N88-O88-Q88-W88-AA88-AB88-AD88-AC88*E88+M88-U88-P88</f>
        <v>754.29500000000098</v>
      </c>
      <c r="AF88" s="103">
        <f t="shared" ref="AF88:AF89" si="76">AC88*E88+K88-L88</f>
        <v>2212.7999999999997</v>
      </c>
    </row>
    <row r="89" spans="1:32">
      <c r="A89" s="184" t="s">
        <v>541</v>
      </c>
      <c r="B89" s="185">
        <v>191277</v>
      </c>
      <c r="C89" s="112">
        <v>3</v>
      </c>
      <c r="D89" s="103">
        <v>3050</v>
      </c>
      <c r="E89" s="102">
        <f t="shared" si="71"/>
        <v>1542</v>
      </c>
      <c r="F89" s="117">
        <v>1489</v>
      </c>
      <c r="G89" s="117">
        <v>53</v>
      </c>
      <c r="H89" s="128">
        <f t="shared" si="72"/>
        <v>1.9779507133592737</v>
      </c>
      <c r="I89" s="128">
        <v>1096.2</v>
      </c>
      <c r="J89" s="128">
        <v>129.72</v>
      </c>
      <c r="K89" s="103"/>
      <c r="L89" s="103"/>
      <c r="M89" s="146">
        <v>143.1</v>
      </c>
      <c r="N89" s="103">
        <f t="shared" si="73"/>
        <v>25.925000000000001</v>
      </c>
      <c r="O89" s="103">
        <v>7</v>
      </c>
      <c r="P89" s="103"/>
      <c r="Q89" s="103">
        <v>881.75</v>
      </c>
      <c r="R89" s="103"/>
      <c r="S89" s="103">
        <v>0</v>
      </c>
      <c r="T89" s="103"/>
      <c r="U89" s="103">
        <v>40</v>
      </c>
      <c r="V89" s="103"/>
      <c r="W89" s="103">
        <f t="shared" si="74"/>
        <v>129.67499999999998</v>
      </c>
      <c r="X89" s="152"/>
      <c r="Y89" s="152">
        <v>7.4999999999999997E-2</v>
      </c>
      <c r="Z89" s="153">
        <v>1729</v>
      </c>
      <c r="AA89" s="103">
        <v>135</v>
      </c>
      <c r="AB89" s="103">
        <f t="shared" si="75"/>
        <v>154.20000000000002</v>
      </c>
      <c r="AC89" s="154">
        <v>0.6</v>
      </c>
      <c r="AD89" s="103">
        <v>95</v>
      </c>
      <c r="AE89" s="103">
        <f>D89-I89-J89-N89-O89-Q89-W89-AA89-AB89-AD89-AC89*E89+M89-U89-P89-K89</f>
        <v>-426.56999999999994</v>
      </c>
      <c r="AF89" s="103">
        <f t="shared" si="76"/>
        <v>925.19999999999993</v>
      </c>
    </row>
    <row r="90" spans="1:32">
      <c r="A90" s="187" t="s">
        <v>574</v>
      </c>
      <c r="B90" s="208">
        <v>191280</v>
      </c>
      <c r="C90" s="112">
        <v>7</v>
      </c>
      <c r="D90" s="103">
        <v>6390</v>
      </c>
      <c r="E90" s="102">
        <f t="shared" si="71"/>
        <v>3073</v>
      </c>
      <c r="F90" s="117">
        <v>2894</v>
      </c>
      <c r="G90" s="117">
        <v>179</v>
      </c>
      <c r="H90" s="128">
        <f t="shared" si="72"/>
        <v>2.079401236576635</v>
      </c>
      <c r="I90" s="128">
        <v>2184.11</v>
      </c>
      <c r="J90" s="128">
        <v>288.05</v>
      </c>
      <c r="K90" s="103"/>
      <c r="L90" s="103"/>
      <c r="M90" s="146">
        <v>240.97</v>
      </c>
      <c r="N90" s="103">
        <f t="shared" si="73"/>
        <v>54.315000000000005</v>
      </c>
      <c r="O90" s="103">
        <v>7</v>
      </c>
      <c r="P90" s="103"/>
      <c r="Q90" s="103">
        <v>881.75</v>
      </c>
      <c r="R90" s="103"/>
      <c r="S90" s="103">
        <v>0</v>
      </c>
      <c r="T90" s="103"/>
      <c r="U90" s="103">
        <v>40</v>
      </c>
      <c r="V90" s="103"/>
      <c r="W90" s="103">
        <f t="shared" si="74"/>
        <v>268.57499999999999</v>
      </c>
      <c r="X90" s="152"/>
      <c r="Y90" s="152">
        <v>7.4999999999999997E-2</v>
      </c>
      <c r="Z90" s="153">
        <v>3581</v>
      </c>
      <c r="AA90" s="103">
        <v>135</v>
      </c>
      <c r="AB90" s="103">
        <f t="shared" si="75"/>
        <v>307.3</v>
      </c>
      <c r="AC90" s="213">
        <v>0.27</v>
      </c>
      <c r="AD90" s="108">
        <v>95</v>
      </c>
      <c r="AE90" s="103">
        <f>D90-I90-N90-Q90-U90-W90-AA90-AB90-AD90-AF90-P90</f>
        <v>698.64999999999964</v>
      </c>
      <c r="AF90" s="103">
        <f>D90*AC90</f>
        <v>1725.3000000000002</v>
      </c>
    </row>
    <row r="91" spans="1:32">
      <c r="A91" s="187" t="s">
        <v>611</v>
      </c>
      <c r="B91" s="208">
        <v>191281</v>
      </c>
      <c r="C91" s="112">
        <v>7</v>
      </c>
      <c r="D91" s="103">
        <v>6750</v>
      </c>
      <c r="E91" s="102">
        <f t="shared" si="71"/>
        <v>3639</v>
      </c>
      <c r="F91" s="117">
        <v>3356</v>
      </c>
      <c r="G91" s="117">
        <v>283</v>
      </c>
      <c r="H91" s="128">
        <f t="shared" si="72"/>
        <v>1.8549051937345424</v>
      </c>
      <c r="I91" s="128">
        <v>1561.38</v>
      </c>
      <c r="J91" s="128">
        <v>12.33</v>
      </c>
      <c r="K91" s="103"/>
      <c r="L91" s="103">
        <v>100</v>
      </c>
      <c r="M91" s="146">
        <v>0</v>
      </c>
      <c r="N91" s="103">
        <f t="shared" si="73"/>
        <v>57.375000000000007</v>
      </c>
      <c r="O91" s="103">
        <v>7</v>
      </c>
      <c r="P91" s="103"/>
      <c r="Q91" s="103">
        <v>881.75</v>
      </c>
      <c r="R91" s="103"/>
      <c r="S91" s="103">
        <v>0</v>
      </c>
      <c r="T91" s="103"/>
      <c r="U91" s="103">
        <v>40</v>
      </c>
      <c r="V91" s="103"/>
      <c r="W91" s="103">
        <f t="shared" si="74"/>
        <v>296.09999999999997</v>
      </c>
      <c r="X91" s="152"/>
      <c r="Y91" s="152">
        <v>7.4999999999999997E-2</v>
      </c>
      <c r="Z91" s="153">
        <v>3948</v>
      </c>
      <c r="AA91" s="103">
        <v>135</v>
      </c>
      <c r="AB91" s="103">
        <f t="shared" si="75"/>
        <v>363.90000000000003</v>
      </c>
      <c r="AC91" s="154">
        <v>0.55000000000000004</v>
      </c>
      <c r="AD91" s="103">
        <v>95</v>
      </c>
      <c r="AE91" s="103">
        <f>D91-I91-J91-N91-O91-Q91-W91-AA91-AB91-AD91-AC91*E91+M91-U91-K91</f>
        <v>1298.7149999999997</v>
      </c>
      <c r="AF91" s="103">
        <f>AC91*E91+L91</f>
        <v>2101.4500000000003</v>
      </c>
    </row>
    <row r="92" spans="1:32">
      <c r="A92" s="196" t="s">
        <v>585</v>
      </c>
      <c r="B92" s="205">
        <v>191283</v>
      </c>
      <c r="C92" s="112"/>
      <c r="D92" s="103"/>
      <c r="E92" s="102">
        <f t="shared" si="71"/>
        <v>0</v>
      </c>
      <c r="F92" s="112"/>
      <c r="G92" s="112"/>
      <c r="H92" s="128"/>
      <c r="I92" s="128"/>
      <c r="J92" s="128"/>
      <c r="K92" s="103"/>
      <c r="L92" s="103"/>
      <c r="M92" s="146"/>
      <c r="N92" s="103">
        <f t="shared" si="73"/>
        <v>0</v>
      </c>
      <c r="O92" s="103">
        <v>7</v>
      </c>
      <c r="P92" s="103">
        <v>320</v>
      </c>
      <c r="Q92" s="103">
        <v>881.75</v>
      </c>
      <c r="R92" s="103"/>
      <c r="S92" s="103">
        <v>0</v>
      </c>
      <c r="T92" s="103"/>
      <c r="U92" s="103">
        <v>40</v>
      </c>
      <c r="V92" s="103"/>
      <c r="W92" s="103">
        <f t="shared" si="74"/>
        <v>0</v>
      </c>
      <c r="X92" s="152"/>
      <c r="Y92" s="152">
        <v>7.4999999999999997E-2</v>
      </c>
      <c r="Z92" s="153"/>
      <c r="AA92" s="103">
        <v>135</v>
      </c>
      <c r="AB92" s="103">
        <f t="shared" si="75"/>
        <v>0</v>
      </c>
      <c r="AC92" s="213">
        <v>0.27</v>
      </c>
      <c r="AD92" s="103">
        <v>95</v>
      </c>
      <c r="AE92" s="103">
        <f>D92-I92-N92-Q92-U92-W92-AA92-AB92-AD92-AF92-L92-P92</f>
        <v>-1471.75</v>
      </c>
      <c r="AF92" s="103">
        <f t="shared" ref="AF92:AF93" si="77">D92*AC92+L92</f>
        <v>0</v>
      </c>
    </row>
    <row r="93" spans="1:32">
      <c r="A93" s="184" t="s">
        <v>488</v>
      </c>
      <c r="B93" s="208">
        <v>465180</v>
      </c>
      <c r="C93" s="112">
        <v>7</v>
      </c>
      <c r="D93" s="103">
        <v>8000</v>
      </c>
      <c r="E93" s="102">
        <f t="shared" si="71"/>
        <v>4318</v>
      </c>
      <c r="F93" s="117">
        <v>4048</v>
      </c>
      <c r="G93" s="117">
        <v>270</v>
      </c>
      <c r="H93" s="128"/>
      <c r="I93" s="128">
        <v>3499.09</v>
      </c>
      <c r="J93" s="128">
        <v>5.5</v>
      </c>
      <c r="K93" s="103"/>
      <c r="L93" s="103"/>
      <c r="M93" s="146">
        <v>436.52</v>
      </c>
      <c r="N93" s="103">
        <f t="shared" si="73"/>
        <v>68</v>
      </c>
      <c r="O93" s="103">
        <v>7</v>
      </c>
      <c r="P93" s="103"/>
      <c r="Q93" s="103">
        <v>881.75</v>
      </c>
      <c r="R93" s="103"/>
      <c r="S93" s="103">
        <v>0</v>
      </c>
      <c r="T93" s="103"/>
      <c r="U93" s="103">
        <v>40</v>
      </c>
      <c r="V93" s="103"/>
      <c r="W93" s="103">
        <f t="shared" si="74"/>
        <v>332.77499999999998</v>
      </c>
      <c r="X93" s="152"/>
      <c r="Y93" s="152">
        <v>7.4999999999999997E-2</v>
      </c>
      <c r="Z93" s="153">
        <v>4437</v>
      </c>
      <c r="AA93" s="103">
        <v>135</v>
      </c>
      <c r="AB93" s="103">
        <f t="shared" si="75"/>
        <v>431.8</v>
      </c>
      <c r="AC93" s="213">
        <v>0.27</v>
      </c>
      <c r="AD93" s="103">
        <v>95</v>
      </c>
      <c r="AE93" s="103">
        <f>D93-I93-N93-Q93-U93-W93-AA93-AB93-AD93-AF93-P93</f>
        <v>356.58499999999958</v>
      </c>
      <c r="AF93" s="103">
        <f t="shared" si="77"/>
        <v>2160</v>
      </c>
    </row>
    <row r="94" spans="1:32">
      <c r="A94" s="190" t="s">
        <v>491</v>
      </c>
      <c r="B94" s="185">
        <v>465181</v>
      </c>
      <c r="C94" s="117">
        <v>6</v>
      </c>
      <c r="D94" s="103">
        <v>5609</v>
      </c>
      <c r="E94" s="102">
        <f t="shared" si="71"/>
        <v>2944</v>
      </c>
      <c r="F94" s="112">
        <v>2601</v>
      </c>
      <c r="G94" s="112">
        <v>343</v>
      </c>
      <c r="H94" s="128">
        <f t="shared" ref="H94:H95" si="78">D94/E94</f>
        <v>1.9052309782608696</v>
      </c>
      <c r="I94" s="146">
        <v>2216.86</v>
      </c>
      <c r="J94" s="128">
        <v>2</v>
      </c>
      <c r="K94" s="128"/>
      <c r="L94" s="128"/>
      <c r="M94" s="146">
        <v>252.78</v>
      </c>
      <c r="N94" s="103">
        <f t="shared" si="73"/>
        <v>47.676500000000004</v>
      </c>
      <c r="O94" s="103">
        <v>7</v>
      </c>
      <c r="P94" s="103"/>
      <c r="Q94" s="103">
        <v>881.75</v>
      </c>
      <c r="R94" s="103"/>
      <c r="S94" s="103">
        <v>0</v>
      </c>
      <c r="T94" s="103"/>
      <c r="U94" s="103">
        <v>40</v>
      </c>
      <c r="V94" s="103"/>
      <c r="W94" s="103">
        <f t="shared" si="74"/>
        <v>250.63499999999999</v>
      </c>
      <c r="X94" s="152"/>
      <c r="Y94" s="152">
        <v>7.6999999999999999E-2</v>
      </c>
      <c r="Z94" s="153">
        <v>3255</v>
      </c>
      <c r="AA94" s="103">
        <v>135</v>
      </c>
      <c r="AB94" s="103">
        <f t="shared" si="75"/>
        <v>294.40000000000003</v>
      </c>
      <c r="AC94" s="154">
        <v>0.6</v>
      </c>
      <c r="AD94" s="103">
        <v>95</v>
      </c>
      <c r="AE94" s="103">
        <f>D94-I94-J94-N94-O94-Q94-W94-AA94-AB94-AD94-AC94*E94+M94-U94-P94-K94+L94</f>
        <v>125.05849999999967</v>
      </c>
      <c r="AF94" s="103">
        <f>AC94*E94+K94</f>
        <v>1766.3999999999999</v>
      </c>
    </row>
    <row r="95" spans="1:32">
      <c r="A95" s="190" t="s">
        <v>555</v>
      </c>
      <c r="B95" s="208">
        <v>465182</v>
      </c>
      <c r="C95" s="112">
        <v>7</v>
      </c>
      <c r="D95" s="103">
        <v>6647</v>
      </c>
      <c r="E95" s="102">
        <f t="shared" si="71"/>
        <v>3200</v>
      </c>
      <c r="F95" s="112">
        <v>3156</v>
      </c>
      <c r="G95" s="112">
        <v>44</v>
      </c>
      <c r="H95" s="128">
        <f t="shared" si="78"/>
        <v>2.0771875</v>
      </c>
      <c r="I95" s="128">
        <v>2082.48</v>
      </c>
      <c r="J95" s="128"/>
      <c r="K95" s="103"/>
      <c r="L95" s="103"/>
      <c r="M95" s="146">
        <v>52.56</v>
      </c>
      <c r="N95" s="103">
        <f t="shared" si="73"/>
        <v>56.499500000000005</v>
      </c>
      <c r="O95" s="103">
        <v>7</v>
      </c>
      <c r="P95" s="103"/>
      <c r="Q95" s="103">
        <v>881.75</v>
      </c>
      <c r="R95" s="103"/>
      <c r="S95" s="103">
        <v>0</v>
      </c>
      <c r="T95" s="103"/>
      <c r="U95" s="103">
        <v>40</v>
      </c>
      <c r="V95" s="103"/>
      <c r="W95" s="103">
        <f t="shared" si="74"/>
        <v>248.941</v>
      </c>
      <c r="X95" s="152"/>
      <c r="Y95" s="152">
        <v>7.6999999999999999E-2</v>
      </c>
      <c r="Z95" s="153">
        <v>3233</v>
      </c>
      <c r="AA95" s="103">
        <v>135</v>
      </c>
      <c r="AB95" s="103">
        <f t="shared" si="75"/>
        <v>320</v>
      </c>
      <c r="AC95" s="213">
        <v>0.27</v>
      </c>
      <c r="AD95" s="103">
        <v>95</v>
      </c>
      <c r="AE95" s="103">
        <f>D95-I95-N95-Q95-U95-W95-AA95-AB95-AD95-AF95-P95+L95</f>
        <v>992.63950000000068</v>
      </c>
      <c r="AF95" s="103">
        <f>D95*AC95+L95</f>
        <v>1794.69</v>
      </c>
    </row>
    <row r="96" spans="1:32">
      <c r="A96" s="196" t="s">
        <v>318</v>
      </c>
      <c r="B96" s="205">
        <v>465183</v>
      </c>
      <c r="C96" s="117"/>
      <c r="D96" s="103"/>
      <c r="E96" s="102">
        <f t="shared" si="71"/>
        <v>0</v>
      </c>
      <c r="F96" s="112"/>
      <c r="G96" s="112"/>
      <c r="H96" s="128"/>
      <c r="I96" s="128"/>
      <c r="J96" s="128">
        <v>7.2</v>
      </c>
      <c r="K96" s="128"/>
      <c r="L96" s="128"/>
      <c r="M96" s="146"/>
      <c r="N96" s="103"/>
      <c r="O96" s="103">
        <v>7</v>
      </c>
      <c r="P96" s="103"/>
      <c r="Q96" s="103">
        <v>881.75</v>
      </c>
      <c r="R96" s="103"/>
      <c r="S96" s="103">
        <v>0</v>
      </c>
      <c r="T96" s="103"/>
      <c r="U96" s="103">
        <v>40</v>
      </c>
      <c r="V96" s="103"/>
      <c r="W96" s="103">
        <f t="shared" si="74"/>
        <v>0</v>
      </c>
      <c r="X96" s="152"/>
      <c r="Y96" s="152">
        <v>7.6999999999999999E-2</v>
      </c>
      <c r="Z96" s="153"/>
      <c r="AA96" s="103">
        <v>135</v>
      </c>
      <c r="AB96" s="103">
        <f t="shared" si="75"/>
        <v>0</v>
      </c>
      <c r="AC96" s="213"/>
      <c r="AD96" s="103">
        <v>95</v>
      </c>
      <c r="AE96" s="108">
        <f>D96-I96-J96-N96-O96-Q96-W96-AA96-AB96-AD96-AC96*E96+M96-U96-P96</f>
        <v>-1165.95</v>
      </c>
      <c r="AF96" s="103">
        <f t="shared" ref="AF96:AF98" si="79">D96*AC96</f>
        <v>0</v>
      </c>
    </row>
    <row r="97" spans="1:32">
      <c r="A97" s="197" t="s">
        <v>575</v>
      </c>
      <c r="B97" s="205" t="s">
        <v>596</v>
      </c>
      <c r="C97" s="117"/>
      <c r="D97" s="103"/>
      <c r="E97" s="102">
        <f t="shared" si="71"/>
        <v>0</v>
      </c>
      <c r="F97" s="112"/>
      <c r="G97" s="112"/>
      <c r="H97" s="128"/>
      <c r="I97" s="128"/>
      <c r="J97" s="128">
        <v>52.37</v>
      </c>
      <c r="K97" s="128"/>
      <c r="L97" s="128"/>
      <c r="M97" s="146"/>
      <c r="N97" s="103">
        <f t="shared" ref="N97:N108" si="80">D97*0.0085</f>
        <v>0</v>
      </c>
      <c r="O97" s="103">
        <v>7</v>
      </c>
      <c r="P97" s="103"/>
      <c r="Q97" s="103">
        <v>881.75</v>
      </c>
      <c r="R97" s="103"/>
      <c r="S97" s="103">
        <v>0</v>
      </c>
      <c r="T97" s="103"/>
      <c r="U97" s="103">
        <v>40</v>
      </c>
      <c r="V97" s="103"/>
      <c r="W97" s="103">
        <f t="shared" si="74"/>
        <v>0</v>
      </c>
      <c r="X97" s="152"/>
      <c r="Y97" s="152">
        <v>7.6999999999999999E-2</v>
      </c>
      <c r="Z97" s="153"/>
      <c r="AA97" s="103">
        <v>135</v>
      </c>
      <c r="AB97" s="103">
        <f t="shared" si="75"/>
        <v>0</v>
      </c>
      <c r="AC97" s="213">
        <v>0.27</v>
      </c>
      <c r="AD97" s="103">
        <v>95</v>
      </c>
      <c r="AE97" s="103">
        <f t="shared" ref="AE97:AE98" si="81">D97-I97-N97-Q97-U97-W97-AA97-AB97-AD97-AF97-P97</f>
        <v>-1151.75</v>
      </c>
      <c r="AF97" s="103">
        <f t="shared" si="79"/>
        <v>0</v>
      </c>
    </row>
    <row r="98" spans="1:32">
      <c r="A98" s="196" t="s">
        <v>318</v>
      </c>
      <c r="B98" s="205">
        <v>465186</v>
      </c>
      <c r="C98" s="112"/>
      <c r="D98" s="103"/>
      <c r="E98" s="102">
        <f t="shared" si="71"/>
        <v>0</v>
      </c>
      <c r="F98" s="112"/>
      <c r="G98" s="112"/>
      <c r="H98" s="128"/>
      <c r="I98" s="128"/>
      <c r="J98" s="128"/>
      <c r="K98" s="128"/>
      <c r="L98" s="128"/>
      <c r="M98" s="146"/>
      <c r="N98" s="103">
        <f t="shared" si="80"/>
        <v>0</v>
      </c>
      <c r="O98" s="103">
        <v>7</v>
      </c>
      <c r="P98" s="103"/>
      <c r="Q98" s="103">
        <v>881.75</v>
      </c>
      <c r="R98" s="103"/>
      <c r="S98" s="103">
        <v>0</v>
      </c>
      <c r="T98" s="103"/>
      <c r="U98" s="103">
        <v>40</v>
      </c>
      <c r="V98" s="103"/>
      <c r="W98" s="103">
        <f t="shared" si="74"/>
        <v>0</v>
      </c>
      <c r="X98" s="152"/>
      <c r="Y98" s="152">
        <v>7.6999999999999999E-2</v>
      </c>
      <c r="Z98" s="153"/>
      <c r="AA98" s="103">
        <v>135</v>
      </c>
      <c r="AB98" s="103">
        <f t="shared" si="75"/>
        <v>0</v>
      </c>
      <c r="AC98" s="213">
        <v>0.27</v>
      </c>
      <c r="AD98" s="103">
        <v>95</v>
      </c>
      <c r="AE98" s="103">
        <f t="shared" si="81"/>
        <v>-1151.75</v>
      </c>
      <c r="AF98" s="103">
        <f t="shared" si="79"/>
        <v>0</v>
      </c>
    </row>
    <row r="99" spans="1:32">
      <c r="A99" s="187" t="s">
        <v>439</v>
      </c>
      <c r="B99" s="185">
        <v>465187</v>
      </c>
      <c r="C99" s="117">
        <v>1</v>
      </c>
      <c r="D99" s="103">
        <v>1900</v>
      </c>
      <c r="E99" s="102">
        <f t="shared" si="71"/>
        <v>1184</v>
      </c>
      <c r="F99" s="112">
        <v>1081</v>
      </c>
      <c r="G99" s="112">
        <v>103</v>
      </c>
      <c r="H99" s="128">
        <f>D99/E99</f>
        <v>1.6047297297297298</v>
      </c>
      <c r="I99" s="128">
        <v>477.6</v>
      </c>
      <c r="J99" s="128">
        <v>124.94</v>
      </c>
      <c r="K99" s="128"/>
      <c r="L99" s="128"/>
      <c r="M99" s="146">
        <v>0</v>
      </c>
      <c r="N99" s="103">
        <f t="shared" si="80"/>
        <v>16.150000000000002</v>
      </c>
      <c r="O99" s="103">
        <v>7</v>
      </c>
      <c r="P99" s="103"/>
      <c r="Q99" s="103">
        <v>881.75</v>
      </c>
      <c r="R99" s="103"/>
      <c r="S99" s="103">
        <v>0</v>
      </c>
      <c r="T99" s="103"/>
      <c r="U99" s="103">
        <v>40</v>
      </c>
      <c r="V99" s="103"/>
      <c r="W99" s="103">
        <f t="shared" si="74"/>
        <v>89.935999999999993</v>
      </c>
      <c r="X99" s="152"/>
      <c r="Y99" s="152">
        <v>7.6999999999999999E-2</v>
      </c>
      <c r="Z99" s="153">
        <v>1168</v>
      </c>
      <c r="AA99" s="103">
        <v>135</v>
      </c>
      <c r="AB99" s="103">
        <f t="shared" si="75"/>
        <v>118.4</v>
      </c>
      <c r="AC99" s="154">
        <v>0.6</v>
      </c>
      <c r="AD99" s="103">
        <v>95</v>
      </c>
      <c r="AE99" s="103">
        <f t="shared" ref="AE99:AE100" si="82">D99-I99-J99-N99-O99-Q99-W99-AA99-AB99-AD99-AC99*E99+M99-U99-P99</f>
        <v>-796.17600000000004</v>
      </c>
      <c r="AF99" s="103">
        <f t="shared" ref="AF99:AF100" si="83">AC99*E99</f>
        <v>710.4</v>
      </c>
    </row>
    <row r="100" spans="1:32">
      <c r="A100" s="197" t="s">
        <v>427</v>
      </c>
      <c r="B100" s="205">
        <v>465188</v>
      </c>
      <c r="C100" s="112"/>
      <c r="D100" s="103"/>
      <c r="E100" s="102">
        <f t="shared" si="71"/>
        <v>0</v>
      </c>
      <c r="F100" s="117"/>
      <c r="G100" s="117"/>
      <c r="H100" s="128"/>
      <c r="I100" s="128"/>
      <c r="J100" s="128">
        <v>9.4499999999999993</v>
      </c>
      <c r="K100" s="128"/>
      <c r="L100" s="128"/>
      <c r="M100" s="146"/>
      <c r="N100" s="103">
        <f t="shared" si="80"/>
        <v>0</v>
      </c>
      <c r="O100" s="103">
        <v>7</v>
      </c>
      <c r="P100" s="103"/>
      <c r="Q100" s="103">
        <v>881.75</v>
      </c>
      <c r="R100" s="103"/>
      <c r="S100" s="103">
        <v>0</v>
      </c>
      <c r="T100" s="103"/>
      <c r="U100" s="103">
        <v>40</v>
      </c>
      <c r="V100" s="103"/>
      <c r="W100" s="103">
        <f t="shared" si="74"/>
        <v>0</v>
      </c>
      <c r="X100" s="152"/>
      <c r="Y100" s="152">
        <v>7.6999999999999999E-2</v>
      </c>
      <c r="Z100" s="153"/>
      <c r="AA100" s="103">
        <v>135</v>
      </c>
      <c r="AB100" s="103">
        <f t="shared" si="75"/>
        <v>0</v>
      </c>
      <c r="AC100" s="154">
        <v>0.6</v>
      </c>
      <c r="AD100" s="103">
        <v>95</v>
      </c>
      <c r="AE100" s="103">
        <f t="shared" si="82"/>
        <v>-1168.2</v>
      </c>
      <c r="AF100" s="103">
        <f t="shared" si="83"/>
        <v>0</v>
      </c>
    </row>
    <row r="101" spans="1:32">
      <c r="A101" s="198" t="s">
        <v>540</v>
      </c>
      <c r="B101" s="208" t="s">
        <v>612</v>
      </c>
      <c r="C101" s="112">
        <v>7</v>
      </c>
      <c r="D101" s="103">
        <v>7850</v>
      </c>
      <c r="E101" s="102">
        <f t="shared" si="71"/>
        <v>0</v>
      </c>
      <c r="F101" s="117"/>
      <c r="G101" s="112"/>
      <c r="H101" s="128"/>
      <c r="I101" s="146">
        <v>2934.02</v>
      </c>
      <c r="J101" s="128">
        <v>152.19999999999999</v>
      </c>
      <c r="K101" s="103"/>
      <c r="L101" s="103"/>
      <c r="M101" s="146">
        <v>59.54</v>
      </c>
      <c r="N101" s="103">
        <f t="shared" si="80"/>
        <v>66.725000000000009</v>
      </c>
      <c r="O101" s="103">
        <v>7</v>
      </c>
      <c r="P101" s="103"/>
      <c r="Q101" s="103">
        <v>881.75</v>
      </c>
      <c r="R101" s="103"/>
      <c r="S101" s="103">
        <v>0</v>
      </c>
      <c r="T101" s="103"/>
      <c r="U101" s="103">
        <v>40</v>
      </c>
      <c r="V101" s="103"/>
      <c r="W101" s="103">
        <f t="shared" si="74"/>
        <v>215.77500000000001</v>
      </c>
      <c r="X101" s="152"/>
      <c r="Y101" s="152">
        <v>7.4999999999999997E-2</v>
      </c>
      <c r="Z101" s="153">
        <v>2877</v>
      </c>
      <c r="AA101" s="103">
        <v>135</v>
      </c>
      <c r="AB101" s="103">
        <f t="shared" si="75"/>
        <v>0</v>
      </c>
      <c r="AC101" s="213">
        <v>0.27</v>
      </c>
      <c r="AD101" s="103">
        <v>95</v>
      </c>
      <c r="AE101" s="103">
        <f>D101-I101-N101-Q101-U101-W101-AA101-AB101-AD101-AF101-P101</f>
        <v>1362.2299999999991</v>
      </c>
      <c r="AF101" s="103">
        <f>D101*AC101</f>
        <v>2119.5</v>
      </c>
    </row>
    <row r="102" spans="1:32">
      <c r="A102" s="215" t="s">
        <v>587</v>
      </c>
      <c r="B102" s="216">
        <v>191275</v>
      </c>
      <c r="C102" s="217">
        <v>6</v>
      </c>
      <c r="D102" s="218">
        <v>7300</v>
      </c>
      <c r="E102" s="219">
        <f t="shared" si="71"/>
        <v>3706</v>
      </c>
      <c r="F102" s="217">
        <v>3603</v>
      </c>
      <c r="G102" s="217">
        <v>103</v>
      </c>
      <c r="H102" s="128">
        <f t="shared" ref="H102:H107" si="84">D102/E102</f>
        <v>1.9697787371829465</v>
      </c>
      <c r="I102" s="220">
        <v>1950.41</v>
      </c>
      <c r="J102" s="221"/>
      <c r="K102" s="221"/>
      <c r="L102" s="221"/>
      <c r="M102" s="220">
        <v>0</v>
      </c>
      <c r="N102" s="218">
        <f t="shared" si="80"/>
        <v>62.050000000000004</v>
      </c>
      <c r="O102" s="218">
        <v>7</v>
      </c>
      <c r="P102" s="218"/>
      <c r="Q102" s="218">
        <v>881.75</v>
      </c>
      <c r="R102" s="218">
        <v>50</v>
      </c>
      <c r="S102" s="218">
        <v>1200</v>
      </c>
      <c r="T102" s="218">
        <v>30</v>
      </c>
      <c r="U102" s="218">
        <v>40</v>
      </c>
      <c r="V102" s="218">
        <v>300</v>
      </c>
      <c r="W102" s="218">
        <f t="shared" si="74"/>
        <v>283.57499999999999</v>
      </c>
      <c r="X102" s="218">
        <f t="shared" ref="X102:X105" si="85">0.15*Z102</f>
        <v>567.15</v>
      </c>
      <c r="Y102" s="222">
        <v>7.4999999999999997E-2</v>
      </c>
      <c r="Z102" s="219" t="s">
        <v>613</v>
      </c>
      <c r="AA102" s="218">
        <v>135</v>
      </c>
      <c r="AB102" s="218">
        <f t="shared" si="75"/>
        <v>370.6</v>
      </c>
      <c r="AC102" s="223">
        <v>0.87</v>
      </c>
      <c r="AD102" s="218">
        <v>95</v>
      </c>
      <c r="AE102" s="103">
        <f t="shared" ref="AE102:AE105" si="86">D102*13%+R102+T102+S102+V102-Q102-W102-AA102-AD102+X102-N102+M102-U102</f>
        <v>1598.7749999999999</v>
      </c>
      <c r="AF102" s="103">
        <f t="shared" ref="AF102:AF105" si="87">D102*AC102-I102-J102-S102-R102-T102-V102-X102</f>
        <v>2253.44</v>
      </c>
    </row>
    <row r="103" spans="1:32">
      <c r="A103" s="229" t="s">
        <v>435</v>
      </c>
      <c r="B103" s="216">
        <v>191282</v>
      </c>
      <c r="C103" s="217">
        <v>5</v>
      </c>
      <c r="D103" s="218">
        <v>5800</v>
      </c>
      <c r="E103" s="219">
        <f t="shared" si="71"/>
        <v>2269</v>
      </c>
      <c r="F103" s="217">
        <v>1737</v>
      </c>
      <c r="G103" s="217">
        <v>532</v>
      </c>
      <c r="H103" s="128">
        <f t="shared" si="84"/>
        <v>2.5561921551344207</v>
      </c>
      <c r="I103" s="220">
        <v>1546.5</v>
      </c>
      <c r="J103" s="221"/>
      <c r="K103" s="221"/>
      <c r="L103" s="221"/>
      <c r="M103" s="220">
        <v>37.29</v>
      </c>
      <c r="N103" s="218">
        <f t="shared" si="80"/>
        <v>49.300000000000004</v>
      </c>
      <c r="O103" s="218">
        <v>7</v>
      </c>
      <c r="P103" s="218"/>
      <c r="Q103" s="218">
        <v>881.75</v>
      </c>
      <c r="R103" s="218">
        <v>50</v>
      </c>
      <c r="S103" s="218">
        <v>1200</v>
      </c>
      <c r="T103" s="218">
        <v>30</v>
      </c>
      <c r="U103" s="218">
        <v>40</v>
      </c>
      <c r="V103" s="218">
        <v>300</v>
      </c>
      <c r="W103" s="218">
        <f t="shared" si="74"/>
        <v>182.56700000000001</v>
      </c>
      <c r="X103" s="218">
        <f t="shared" si="85"/>
        <v>355.65</v>
      </c>
      <c r="Y103" s="222">
        <v>7.6999999999999999E-2</v>
      </c>
      <c r="Z103" s="219" t="s">
        <v>614</v>
      </c>
      <c r="AA103" s="218">
        <v>135</v>
      </c>
      <c r="AB103" s="218">
        <f t="shared" si="75"/>
        <v>226.9</v>
      </c>
      <c r="AC103" s="223">
        <v>0.87</v>
      </c>
      <c r="AD103" s="218">
        <v>95</v>
      </c>
      <c r="AE103" s="103">
        <f t="shared" si="86"/>
        <v>1343.3230000000001</v>
      </c>
      <c r="AF103" s="103">
        <f t="shared" si="87"/>
        <v>1563.85</v>
      </c>
    </row>
    <row r="104" spans="1:32">
      <c r="A104" s="229" t="s">
        <v>615</v>
      </c>
      <c r="B104" s="216">
        <v>465184</v>
      </c>
      <c r="C104" s="217">
        <v>7</v>
      </c>
      <c r="D104" s="218">
        <v>7295</v>
      </c>
      <c r="E104" s="219">
        <f t="shared" si="71"/>
        <v>3774</v>
      </c>
      <c r="F104" s="217">
        <v>3527</v>
      </c>
      <c r="G104" s="217">
        <v>247</v>
      </c>
      <c r="H104" s="128">
        <f t="shared" si="84"/>
        <v>1.9329623741388446</v>
      </c>
      <c r="I104" s="220">
        <v>1514.17</v>
      </c>
      <c r="J104" s="221">
        <v>100.85</v>
      </c>
      <c r="K104" s="221"/>
      <c r="L104" s="221"/>
      <c r="M104" s="220">
        <v>6.46</v>
      </c>
      <c r="N104" s="218">
        <f t="shared" si="80"/>
        <v>62.007500000000007</v>
      </c>
      <c r="O104" s="218">
        <v>7</v>
      </c>
      <c r="P104" s="218"/>
      <c r="Q104" s="218">
        <v>881.75</v>
      </c>
      <c r="R104" s="218">
        <v>50</v>
      </c>
      <c r="S104" s="218">
        <v>1050</v>
      </c>
      <c r="T104" s="218">
        <v>30</v>
      </c>
      <c r="U104" s="218">
        <v>40</v>
      </c>
      <c r="V104" s="218">
        <v>400</v>
      </c>
      <c r="W104" s="218">
        <f t="shared" si="74"/>
        <v>262.108</v>
      </c>
      <c r="X104" s="218">
        <f t="shared" si="85"/>
        <v>510.59999999999997</v>
      </c>
      <c r="Y104" s="222">
        <v>7.6999999999999999E-2</v>
      </c>
      <c r="Z104" s="219" t="s">
        <v>616</v>
      </c>
      <c r="AA104" s="218">
        <v>135</v>
      </c>
      <c r="AB104" s="218">
        <f t="shared" si="75"/>
        <v>377.40000000000003</v>
      </c>
      <c r="AC104" s="223">
        <v>0.87</v>
      </c>
      <c r="AD104" s="218">
        <v>95</v>
      </c>
      <c r="AE104" s="103">
        <f t="shared" si="86"/>
        <v>1519.5445</v>
      </c>
      <c r="AF104" s="103">
        <f t="shared" si="87"/>
        <v>2691.0299999999993</v>
      </c>
    </row>
    <row r="105" spans="1:32">
      <c r="A105" s="229" t="s">
        <v>568</v>
      </c>
      <c r="B105" s="216">
        <v>191278</v>
      </c>
      <c r="C105" s="217">
        <v>7</v>
      </c>
      <c r="D105" s="218">
        <v>11840</v>
      </c>
      <c r="E105" s="219">
        <f t="shared" si="71"/>
        <v>5240</v>
      </c>
      <c r="F105" s="217">
        <v>5198</v>
      </c>
      <c r="G105" s="217">
        <v>42</v>
      </c>
      <c r="H105" s="128">
        <f t="shared" si="84"/>
        <v>2.2595419847328246</v>
      </c>
      <c r="I105" s="220">
        <v>3031.15</v>
      </c>
      <c r="J105" s="221"/>
      <c r="K105" s="221"/>
      <c r="L105" s="221"/>
      <c r="M105" s="220">
        <v>188.58</v>
      </c>
      <c r="N105" s="218">
        <f t="shared" si="80"/>
        <v>100.64</v>
      </c>
      <c r="O105" s="218">
        <v>7</v>
      </c>
      <c r="P105" s="218"/>
      <c r="Q105" s="218">
        <v>881.75</v>
      </c>
      <c r="R105" s="218">
        <v>50</v>
      </c>
      <c r="S105" s="218">
        <v>1050</v>
      </c>
      <c r="T105" s="218">
        <v>30</v>
      </c>
      <c r="U105" s="218">
        <v>40</v>
      </c>
      <c r="V105" s="218">
        <v>400</v>
      </c>
      <c r="W105" s="218">
        <f t="shared" si="74"/>
        <v>359.82099999999997</v>
      </c>
      <c r="X105" s="218">
        <f t="shared" si="85"/>
        <v>700.94999999999993</v>
      </c>
      <c r="Y105" s="222">
        <v>7.6999999999999999E-2</v>
      </c>
      <c r="Z105" s="219" t="s">
        <v>617</v>
      </c>
      <c r="AA105" s="218">
        <v>135</v>
      </c>
      <c r="AB105" s="218">
        <f t="shared" si="75"/>
        <v>524</v>
      </c>
      <c r="AC105" s="223">
        <v>0.87</v>
      </c>
      <c r="AD105" s="218">
        <v>95</v>
      </c>
      <c r="AE105" s="103">
        <f t="shared" si="86"/>
        <v>2346.5189999999998</v>
      </c>
      <c r="AF105" s="103">
        <f t="shared" si="87"/>
        <v>5038.7</v>
      </c>
    </row>
    <row r="106" spans="1:32">
      <c r="A106" s="134" t="s">
        <v>462</v>
      </c>
      <c r="B106" s="135" t="s">
        <v>618</v>
      </c>
      <c r="C106" s="158">
        <v>2</v>
      </c>
      <c r="D106" s="139">
        <v>2600</v>
      </c>
      <c r="E106" s="136">
        <v>1377</v>
      </c>
      <c r="F106" s="136"/>
      <c r="G106" s="136"/>
      <c r="H106" s="128">
        <f t="shared" si="84"/>
        <v>1.888162672476398</v>
      </c>
      <c r="I106" s="139">
        <v>544.96</v>
      </c>
      <c r="J106" s="139">
        <v>20.149999999999999</v>
      </c>
      <c r="K106" s="139"/>
      <c r="L106" s="139"/>
      <c r="M106" s="139">
        <v>0</v>
      </c>
      <c r="N106" s="139">
        <f t="shared" si="80"/>
        <v>22.1</v>
      </c>
      <c r="O106" s="139">
        <v>0</v>
      </c>
      <c r="P106" s="139"/>
      <c r="Q106" s="139">
        <v>0</v>
      </c>
      <c r="R106" s="139">
        <v>0</v>
      </c>
      <c r="S106" s="139">
        <v>0</v>
      </c>
      <c r="T106" s="139">
        <v>0</v>
      </c>
      <c r="U106" s="139">
        <v>40</v>
      </c>
      <c r="V106" s="139">
        <v>0</v>
      </c>
      <c r="W106" s="139">
        <v>0</v>
      </c>
      <c r="X106" s="159"/>
      <c r="Y106" s="159">
        <v>0</v>
      </c>
      <c r="Z106" s="136">
        <v>1377</v>
      </c>
      <c r="AA106" s="139">
        <v>0</v>
      </c>
      <c r="AB106" s="139">
        <f t="shared" si="75"/>
        <v>137.70000000000002</v>
      </c>
      <c r="AC106" s="160">
        <v>0.85</v>
      </c>
      <c r="AD106" s="139">
        <v>95</v>
      </c>
      <c r="AE106" s="139">
        <f>D106*0.15-AD106-AB106+V106+T106+S106+R106-N106+M106-U106</f>
        <v>95.199999999999989</v>
      </c>
      <c r="AF106" s="139">
        <f>D106*AC106-I106-J106-V106-T106-S106-R106</f>
        <v>1644.8899999999999</v>
      </c>
    </row>
    <row r="107" spans="1:32">
      <c r="A107" s="134" t="s">
        <v>529</v>
      </c>
      <c r="B107" s="134">
        <v>1118</v>
      </c>
      <c r="C107" s="158">
        <v>1</v>
      </c>
      <c r="D107" s="139">
        <v>50</v>
      </c>
      <c r="E107" s="136">
        <v>74</v>
      </c>
      <c r="F107" s="136"/>
      <c r="G107" s="136"/>
      <c r="H107" s="128">
        <f t="shared" si="84"/>
        <v>0.67567567567567566</v>
      </c>
      <c r="I107" s="139"/>
      <c r="J107" s="139"/>
      <c r="K107" s="139"/>
      <c r="L107" s="139"/>
      <c r="M107" s="139"/>
      <c r="N107" s="139">
        <f t="shared" si="80"/>
        <v>0.42500000000000004</v>
      </c>
      <c r="O107" s="139">
        <v>0</v>
      </c>
      <c r="P107" s="139"/>
      <c r="Q107" s="139">
        <v>0</v>
      </c>
      <c r="R107" s="139">
        <v>0</v>
      </c>
      <c r="S107" s="139">
        <v>0</v>
      </c>
      <c r="T107" s="139">
        <v>0</v>
      </c>
      <c r="U107" s="139">
        <v>40</v>
      </c>
      <c r="V107" s="139">
        <v>0</v>
      </c>
      <c r="W107" s="139">
        <v>0</v>
      </c>
      <c r="X107" s="159"/>
      <c r="Y107" s="159">
        <v>0</v>
      </c>
      <c r="Z107" s="136">
        <v>74</v>
      </c>
      <c r="AA107" s="139">
        <v>0</v>
      </c>
      <c r="AB107" s="139">
        <f t="shared" si="75"/>
        <v>7.4</v>
      </c>
      <c r="AC107" s="160">
        <v>0.8</v>
      </c>
      <c r="AD107" s="139">
        <v>95</v>
      </c>
      <c r="AE107" s="139">
        <f>D107*0.2-AB107-N107-K107-AD107-U107</f>
        <v>-132.82499999999999</v>
      </c>
      <c r="AF107" s="139">
        <f>D107*AC107-I107-J107+K107</f>
        <v>40</v>
      </c>
    </row>
    <row r="108" spans="1:32">
      <c r="A108" s="199" t="s">
        <v>467</v>
      </c>
      <c r="B108" s="199">
        <v>1122</v>
      </c>
      <c r="C108" s="158"/>
      <c r="D108" s="139"/>
      <c r="E108" s="136">
        <v>8</v>
      </c>
      <c r="F108" s="136"/>
      <c r="G108" s="136"/>
      <c r="H108" s="136"/>
      <c r="I108" s="168"/>
      <c r="J108" s="139">
        <v>2.82</v>
      </c>
      <c r="K108" s="139"/>
      <c r="L108" s="139"/>
      <c r="M108" s="139"/>
      <c r="N108" s="139">
        <f t="shared" si="80"/>
        <v>0</v>
      </c>
      <c r="O108" s="139">
        <v>7</v>
      </c>
      <c r="P108" s="139"/>
      <c r="Q108" s="139">
        <v>0</v>
      </c>
      <c r="R108" s="139">
        <v>50</v>
      </c>
      <c r="S108" s="139">
        <v>199</v>
      </c>
      <c r="T108" s="139">
        <v>30</v>
      </c>
      <c r="U108" s="139">
        <v>40</v>
      </c>
      <c r="V108" s="139">
        <v>300</v>
      </c>
      <c r="W108" s="139">
        <v>0</v>
      </c>
      <c r="X108" s="159"/>
      <c r="Y108" s="159">
        <v>0</v>
      </c>
      <c r="Z108" s="136">
        <v>8</v>
      </c>
      <c r="AA108" s="139">
        <v>0</v>
      </c>
      <c r="AB108" s="139">
        <f t="shared" si="75"/>
        <v>0.8</v>
      </c>
      <c r="AC108" s="160">
        <v>0.87</v>
      </c>
      <c r="AD108" s="139">
        <v>95</v>
      </c>
      <c r="AE108" s="139">
        <f>D108*0.13-AD108-AB108+V108+T108+S108+R108-N108+M108-U108</f>
        <v>443.2</v>
      </c>
      <c r="AF108" s="139">
        <f>D108*AC108-I108-J108-V108-T108-S108-R108</f>
        <v>-581.81999999999994</v>
      </c>
    </row>
    <row r="109" spans="1:32">
      <c r="A109" s="199" t="s">
        <v>520</v>
      </c>
      <c r="B109" s="199">
        <v>1650</v>
      </c>
      <c r="C109" s="158"/>
      <c r="D109" s="139"/>
      <c r="E109" s="136">
        <v>136</v>
      </c>
      <c r="F109" s="136"/>
      <c r="G109" s="136"/>
      <c r="H109" s="136"/>
      <c r="I109" s="139"/>
      <c r="J109" s="139"/>
      <c r="K109" s="139"/>
      <c r="L109" s="139"/>
      <c r="M109" s="139"/>
      <c r="N109" s="139"/>
      <c r="O109" s="139"/>
      <c r="P109" s="139"/>
      <c r="Q109" s="139">
        <v>0</v>
      </c>
      <c r="R109" s="139">
        <v>50</v>
      </c>
      <c r="S109" s="139">
        <v>0</v>
      </c>
      <c r="T109" s="139">
        <v>30</v>
      </c>
      <c r="U109" s="139">
        <v>40</v>
      </c>
      <c r="V109" s="139">
        <v>300</v>
      </c>
      <c r="W109" s="139">
        <v>0</v>
      </c>
      <c r="X109" s="159"/>
      <c r="Y109" s="159">
        <v>0</v>
      </c>
      <c r="Z109" s="136">
        <v>136</v>
      </c>
      <c r="AA109" s="139">
        <v>0</v>
      </c>
      <c r="AB109" s="139">
        <f t="shared" si="75"/>
        <v>13.600000000000001</v>
      </c>
      <c r="AC109" s="160">
        <v>0.87</v>
      </c>
      <c r="AD109" s="139">
        <v>95</v>
      </c>
      <c r="AE109" s="139">
        <f>D109*0.13+V109+T109+S109+R109-AB109-N109+M109-U109</f>
        <v>326.39999999999998</v>
      </c>
      <c r="AF109" s="139">
        <f>D109*0.87-I109-J109-R109-S109-T109-V109+K109</f>
        <v>-380</v>
      </c>
    </row>
    <row r="110" spans="1:32">
      <c r="A110" s="72" t="s">
        <v>89</v>
      </c>
      <c r="B110" s="72">
        <v>16</v>
      </c>
      <c r="C110" s="202">
        <f>AVERAGE(C90:C100)</f>
        <v>5.833333333333333</v>
      </c>
      <c r="D110" s="201">
        <f t="shared" ref="D110:G110" si="88">SUM(D87:D109)</f>
        <v>95231</v>
      </c>
      <c r="E110" s="201">
        <f t="shared" si="88"/>
        <v>43977</v>
      </c>
      <c r="F110" s="201">
        <f t="shared" si="88"/>
        <v>36432</v>
      </c>
      <c r="G110" s="201">
        <f t="shared" si="88"/>
        <v>2262</v>
      </c>
      <c r="H110" s="201">
        <f>AVERAGE(H86:H109)</f>
        <v>1.8968539255284704</v>
      </c>
      <c r="I110" s="201">
        <f t="shared" ref="I110:AB110" si="89">SUM(I87:I109)</f>
        <v>29229.61</v>
      </c>
      <c r="J110" s="201">
        <f t="shared" si="89"/>
        <v>1021.2800000000003</v>
      </c>
      <c r="K110" s="201">
        <f t="shared" si="89"/>
        <v>0</v>
      </c>
      <c r="L110" s="201">
        <f t="shared" si="89"/>
        <v>100</v>
      </c>
      <c r="M110" s="201">
        <f t="shared" si="89"/>
        <v>1971.24</v>
      </c>
      <c r="N110" s="201">
        <f t="shared" si="89"/>
        <v>809.46349999999995</v>
      </c>
      <c r="O110" s="201">
        <f t="shared" si="89"/>
        <v>140</v>
      </c>
      <c r="P110" s="201">
        <f t="shared" si="89"/>
        <v>595.93000000000006</v>
      </c>
      <c r="Q110" s="201">
        <f t="shared" si="89"/>
        <v>16753.25</v>
      </c>
      <c r="R110" s="201">
        <f t="shared" si="89"/>
        <v>300</v>
      </c>
      <c r="S110" s="201">
        <f t="shared" si="89"/>
        <v>4699</v>
      </c>
      <c r="T110" s="201">
        <f t="shared" si="89"/>
        <v>180</v>
      </c>
      <c r="U110" s="201">
        <f t="shared" si="89"/>
        <v>920</v>
      </c>
      <c r="V110" s="201">
        <f t="shared" si="89"/>
        <v>2000</v>
      </c>
      <c r="W110" s="201">
        <f t="shared" si="89"/>
        <v>3503.1709999999998</v>
      </c>
      <c r="X110" s="201">
        <f t="shared" si="89"/>
        <v>2134.35</v>
      </c>
      <c r="Y110" s="201">
        <f t="shared" si="89"/>
        <v>1.4469999999999996</v>
      </c>
      <c r="Z110" s="201">
        <f t="shared" si="89"/>
        <v>33487</v>
      </c>
      <c r="AA110" s="201">
        <f t="shared" si="89"/>
        <v>2565</v>
      </c>
      <c r="AB110" s="201">
        <f t="shared" si="89"/>
        <v>4397.7000000000007</v>
      </c>
      <c r="AC110" s="201"/>
      <c r="AD110" s="201">
        <f t="shared" ref="AD110:AF110" si="90">SUM(AD87:AD109)</f>
        <v>2185</v>
      </c>
      <c r="AE110" s="201">
        <f t="shared" si="90"/>
        <v>6528.0954999999985</v>
      </c>
      <c r="AF110" s="201">
        <f t="shared" si="90"/>
        <v>29810.829999999994</v>
      </c>
    </row>
  </sheetData>
  <mergeCells count="4">
    <mergeCell ref="A1:AF1"/>
    <mergeCell ref="A29:AF29"/>
    <mergeCell ref="A57:AF57"/>
    <mergeCell ref="A85:AF85"/>
  </mergeCells>
  <conditionalFormatting sqref="AE2:AF26 AE30:AF54 AE58:AF82 AE86:AF109">
    <cfRule type="colorScale" priority="1">
      <colorScale>
        <cfvo type="min"/>
        <cfvo type="percent" val="50"/>
        <cfvo type="max"/>
        <color rgb="FFCC0000"/>
        <color rgb="FFE68080"/>
        <color rgb="FFFFFFFF"/>
      </colorScale>
    </cfRule>
  </conditionalFormatting>
  <conditionalFormatting sqref="H2:H23 H30:H51 H54 H58:H79 H82 H86:H107"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F133"/>
  <sheetViews>
    <sheetView tabSelected="1" topLeftCell="A105" zoomScale="90" zoomScaleNormal="90" workbookViewId="0">
      <selection activeCell="W125" sqref="W125"/>
    </sheetView>
  </sheetViews>
  <sheetFormatPr baseColWidth="10" defaultColWidth="12.6640625" defaultRowHeight="15.75" customHeight="1"/>
  <cols>
    <col min="1" max="1" width="20.6640625" customWidth="1"/>
    <col min="2" max="2" width="6.5" customWidth="1"/>
    <col min="3" max="3" width="11.1640625" bestFit="1" customWidth="1"/>
    <col min="4" max="4" width="11" bestFit="1" customWidth="1"/>
    <col min="5" max="6" width="10" bestFit="1" customWidth="1"/>
    <col min="7" max="7" width="9" bestFit="1" customWidth="1"/>
    <col min="8" max="8" width="6.6640625" customWidth="1"/>
    <col min="9" max="9" width="10" bestFit="1" customWidth="1"/>
    <col min="10" max="10" width="9" bestFit="1" customWidth="1"/>
    <col min="11" max="11" width="8.33203125" customWidth="1"/>
    <col min="12" max="12" width="7.83203125" customWidth="1"/>
    <col min="13" max="13" width="9" bestFit="1" customWidth="1"/>
    <col min="14" max="14" width="16.83203125" bestFit="1" customWidth="1"/>
    <col min="15" max="15" width="14.5" bestFit="1" customWidth="1"/>
    <col min="16" max="16" width="11.1640625" customWidth="1"/>
    <col min="17" max="17" width="13" bestFit="1" customWidth="1"/>
    <col min="18" max="18" width="8.1640625" customWidth="1"/>
    <col min="19" max="19" width="8.5" customWidth="1"/>
    <col min="20" max="20" width="6.83203125" customWidth="1"/>
    <col min="21" max="21" width="7.1640625" customWidth="1"/>
    <col min="22" max="22" width="11.33203125" bestFit="1" customWidth="1"/>
    <col min="23" max="23" width="19" bestFit="1" customWidth="1"/>
    <col min="24" max="24" width="9" bestFit="1" customWidth="1"/>
    <col min="25" max="25" width="8.83203125" customWidth="1"/>
    <col min="26" max="26" width="5.83203125" customWidth="1"/>
    <col min="27" max="27" width="8.33203125" customWidth="1"/>
    <col min="28" max="28" width="9" bestFit="1" customWidth="1"/>
    <col min="29" max="29" width="6.5" customWidth="1"/>
  </cols>
  <sheetData>
    <row r="1" spans="1:32">
      <c r="A1" s="461" t="s">
        <v>619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  <c r="AC1" s="458"/>
      <c r="AD1" s="458"/>
      <c r="AE1" s="458"/>
      <c r="AF1" s="459"/>
    </row>
    <row r="2" spans="1:32">
      <c r="A2" s="95" t="s">
        <v>0</v>
      </c>
      <c r="B2" s="95" t="s">
        <v>1</v>
      </c>
      <c r="C2" s="95" t="s">
        <v>372</v>
      </c>
      <c r="D2" s="95" t="s">
        <v>2</v>
      </c>
      <c r="E2" s="95" t="s">
        <v>413</v>
      </c>
      <c r="F2" s="150" t="s">
        <v>414</v>
      </c>
      <c r="G2" s="150" t="s">
        <v>415</v>
      </c>
      <c r="H2" s="95" t="s">
        <v>416</v>
      </c>
      <c r="I2" s="95" t="s">
        <v>7</v>
      </c>
      <c r="J2" s="95" t="s">
        <v>8</v>
      </c>
      <c r="K2" s="95" t="s">
        <v>287</v>
      </c>
      <c r="L2" s="95" t="s">
        <v>288</v>
      </c>
      <c r="M2" s="95" t="s">
        <v>257</v>
      </c>
      <c r="N2" s="95" t="s">
        <v>373</v>
      </c>
      <c r="O2" s="95" t="s">
        <v>374</v>
      </c>
      <c r="P2" s="150" t="s">
        <v>538</v>
      </c>
      <c r="Q2" s="95" t="s">
        <v>375</v>
      </c>
      <c r="R2" s="95" t="s">
        <v>376</v>
      </c>
      <c r="S2" s="95" t="s">
        <v>522</v>
      </c>
      <c r="T2" s="150" t="s">
        <v>378</v>
      </c>
      <c r="U2" s="150" t="s">
        <v>539</v>
      </c>
      <c r="V2" s="150" t="s">
        <v>379</v>
      </c>
      <c r="W2" s="150" t="s">
        <v>352</v>
      </c>
      <c r="X2" s="150" t="s">
        <v>523</v>
      </c>
      <c r="Y2" s="95" t="s">
        <v>380</v>
      </c>
      <c r="Z2" s="95" t="s">
        <v>381</v>
      </c>
      <c r="AA2" s="95" t="s">
        <v>382</v>
      </c>
      <c r="AB2" s="95" t="s">
        <v>383</v>
      </c>
      <c r="AC2" s="95" t="s">
        <v>385</v>
      </c>
      <c r="AD2" s="150" t="s">
        <v>333</v>
      </c>
      <c r="AE2" s="95" t="s">
        <v>582</v>
      </c>
      <c r="AF2" s="95" t="s">
        <v>98</v>
      </c>
    </row>
    <row r="3" spans="1:32">
      <c r="A3" s="184" t="s">
        <v>620</v>
      </c>
      <c r="B3" s="185">
        <v>191274</v>
      </c>
      <c r="C3" s="112">
        <v>3</v>
      </c>
      <c r="D3" s="103">
        <v>2100</v>
      </c>
      <c r="E3" s="102">
        <f t="shared" ref="E3:E23" si="0">F3+G3</f>
        <v>1140</v>
      </c>
      <c r="F3" s="117">
        <v>1026</v>
      </c>
      <c r="G3" s="117">
        <v>114</v>
      </c>
      <c r="H3" s="128">
        <f t="shared" ref="H3:H7" si="1">D3/E3</f>
        <v>1.8421052631578947</v>
      </c>
      <c r="I3" s="128">
        <v>642.16999999999996</v>
      </c>
      <c r="J3" s="128">
        <v>74.5</v>
      </c>
      <c r="K3" s="103"/>
      <c r="L3" s="103"/>
      <c r="M3" s="146">
        <v>75.8</v>
      </c>
      <c r="N3" s="103">
        <f t="shared" ref="N3:N26" si="2">D3*0.0085</f>
        <v>17.850000000000001</v>
      </c>
      <c r="O3" s="103">
        <v>7</v>
      </c>
      <c r="P3" s="103"/>
      <c r="Q3" s="103">
        <v>881.75</v>
      </c>
      <c r="R3" s="103"/>
      <c r="S3" s="103">
        <v>0</v>
      </c>
      <c r="T3" s="103"/>
      <c r="U3" s="103">
        <v>40</v>
      </c>
      <c r="V3" s="103"/>
      <c r="W3" s="103">
        <f t="shared" ref="W3:W23" si="3">Z3*Y3</f>
        <v>83.775999999999996</v>
      </c>
      <c r="X3" s="152"/>
      <c r="Y3" s="152">
        <v>7.6999999999999999E-2</v>
      </c>
      <c r="Z3" s="155">
        <v>1088</v>
      </c>
      <c r="AA3" s="103">
        <v>135</v>
      </c>
      <c r="AB3" s="103">
        <f t="shared" ref="AB3:AB26" si="4">E3*0.1</f>
        <v>114</v>
      </c>
      <c r="AC3" s="213">
        <v>0.27</v>
      </c>
      <c r="AD3" s="103">
        <v>95</v>
      </c>
      <c r="AE3" s="103">
        <f>D3-I3-N3-Q3-U3-W3-AA3-AB3-AD3-AF3-K3</f>
        <v>-476.54599999999999</v>
      </c>
      <c r="AF3" s="103">
        <f>D3*AC3</f>
        <v>567</v>
      </c>
    </row>
    <row r="4" spans="1:32">
      <c r="A4" s="184" t="s">
        <v>434</v>
      </c>
      <c r="B4" s="185">
        <v>191276</v>
      </c>
      <c r="C4" s="112">
        <v>3</v>
      </c>
      <c r="D4" s="103">
        <v>1450</v>
      </c>
      <c r="E4" s="102">
        <f t="shared" si="0"/>
        <v>833</v>
      </c>
      <c r="F4" s="117">
        <v>713</v>
      </c>
      <c r="G4" s="117">
        <v>120</v>
      </c>
      <c r="H4" s="128">
        <f t="shared" si="1"/>
        <v>1.7406962785114046</v>
      </c>
      <c r="I4" s="128">
        <v>2641.66</v>
      </c>
      <c r="J4" s="128"/>
      <c r="K4" s="103"/>
      <c r="L4" s="103"/>
      <c r="M4" s="146">
        <v>213.53</v>
      </c>
      <c r="N4" s="103">
        <f t="shared" si="2"/>
        <v>12.325000000000001</v>
      </c>
      <c r="O4" s="103">
        <v>7</v>
      </c>
      <c r="P4" s="103"/>
      <c r="Q4" s="103">
        <v>881.75</v>
      </c>
      <c r="R4" s="103"/>
      <c r="S4" s="103">
        <v>0</v>
      </c>
      <c r="T4" s="103"/>
      <c r="U4" s="103">
        <v>40</v>
      </c>
      <c r="V4" s="103"/>
      <c r="W4" s="103">
        <f t="shared" si="3"/>
        <v>79.078999999999994</v>
      </c>
      <c r="X4" s="152"/>
      <c r="Y4" s="152">
        <v>7.6999999999999999E-2</v>
      </c>
      <c r="Z4" s="153">
        <v>1027</v>
      </c>
      <c r="AA4" s="103">
        <v>135</v>
      </c>
      <c r="AB4" s="103">
        <f t="shared" si="4"/>
        <v>83.300000000000011</v>
      </c>
      <c r="AC4" s="154">
        <v>0.6</v>
      </c>
      <c r="AD4" s="103">
        <v>95</v>
      </c>
      <c r="AE4" s="103">
        <f t="shared" ref="AE4:AE6" si="5">D4-I4-J4-N4-O4-Q4-W4-AA4-AB4-AD4-AC4*E4+M4-U4-P4</f>
        <v>-2811.3839999999996</v>
      </c>
      <c r="AF4" s="103">
        <f t="shared" ref="AF4:AF6" si="6">AC4*E4+K4-L4</f>
        <v>499.79999999999995</v>
      </c>
    </row>
    <row r="5" spans="1:32">
      <c r="A5" s="184" t="s">
        <v>621</v>
      </c>
      <c r="B5" s="185">
        <v>191277</v>
      </c>
      <c r="C5" s="112">
        <v>3</v>
      </c>
      <c r="D5" s="103">
        <v>2550</v>
      </c>
      <c r="E5" s="102">
        <f t="shared" si="0"/>
        <v>1627</v>
      </c>
      <c r="F5" s="117">
        <v>1289</v>
      </c>
      <c r="G5" s="117">
        <v>338</v>
      </c>
      <c r="H5" s="128">
        <f t="shared" si="1"/>
        <v>1.5673017824216349</v>
      </c>
      <c r="I5" s="128">
        <v>1247.0999999999999</v>
      </c>
      <c r="J5" s="128">
        <v>3.44</v>
      </c>
      <c r="K5" s="103"/>
      <c r="L5" s="103"/>
      <c r="M5" s="146">
        <v>79.63</v>
      </c>
      <c r="N5" s="103">
        <f t="shared" si="2"/>
        <v>21.675000000000001</v>
      </c>
      <c r="O5" s="103">
        <v>7</v>
      </c>
      <c r="P5" s="103"/>
      <c r="Q5" s="103">
        <v>881.75</v>
      </c>
      <c r="R5" s="103"/>
      <c r="S5" s="103">
        <v>0</v>
      </c>
      <c r="T5" s="103"/>
      <c r="U5" s="103">
        <v>40</v>
      </c>
      <c r="V5" s="103"/>
      <c r="W5" s="103">
        <f t="shared" si="3"/>
        <v>127.27499999999999</v>
      </c>
      <c r="X5" s="152"/>
      <c r="Y5" s="152">
        <v>7.4999999999999997E-2</v>
      </c>
      <c r="Z5" s="153">
        <v>1697</v>
      </c>
      <c r="AA5" s="103">
        <v>135</v>
      </c>
      <c r="AB5" s="103">
        <f t="shared" si="4"/>
        <v>162.70000000000002</v>
      </c>
      <c r="AC5" s="154">
        <v>0.6</v>
      </c>
      <c r="AD5" s="103">
        <v>95</v>
      </c>
      <c r="AE5" s="103">
        <f t="shared" si="5"/>
        <v>-1067.5099999999998</v>
      </c>
      <c r="AF5" s="103">
        <f t="shared" si="6"/>
        <v>976.19999999999993</v>
      </c>
    </row>
    <row r="6" spans="1:32">
      <c r="A6" s="187" t="s">
        <v>574</v>
      </c>
      <c r="B6" s="208">
        <v>191280</v>
      </c>
      <c r="C6" s="112">
        <v>3</v>
      </c>
      <c r="D6" s="103">
        <v>1700</v>
      </c>
      <c r="E6" s="102">
        <f t="shared" si="0"/>
        <v>1233</v>
      </c>
      <c r="F6" s="117">
        <v>1107</v>
      </c>
      <c r="G6" s="117">
        <v>126</v>
      </c>
      <c r="H6" s="128">
        <f t="shared" si="1"/>
        <v>1.3787510137875101</v>
      </c>
      <c r="I6" s="128">
        <v>1180.22</v>
      </c>
      <c r="J6" s="128">
        <v>46.24</v>
      </c>
      <c r="K6" s="103"/>
      <c r="L6" s="103"/>
      <c r="M6" s="146">
        <v>103.42</v>
      </c>
      <c r="N6" s="103">
        <f t="shared" si="2"/>
        <v>14.450000000000001</v>
      </c>
      <c r="O6" s="103">
        <v>7</v>
      </c>
      <c r="P6" s="103"/>
      <c r="Q6" s="103">
        <v>881.75</v>
      </c>
      <c r="R6" s="103"/>
      <c r="S6" s="103">
        <v>0</v>
      </c>
      <c r="T6" s="103"/>
      <c r="U6" s="103">
        <v>40</v>
      </c>
      <c r="V6" s="103"/>
      <c r="W6" s="103">
        <f t="shared" si="3"/>
        <v>96.3</v>
      </c>
      <c r="X6" s="152"/>
      <c r="Y6" s="152">
        <v>7.4999999999999997E-2</v>
      </c>
      <c r="Z6" s="153">
        <v>1284</v>
      </c>
      <c r="AA6" s="103">
        <v>135</v>
      </c>
      <c r="AB6" s="103">
        <f t="shared" si="4"/>
        <v>123.30000000000001</v>
      </c>
      <c r="AC6" s="154">
        <v>0.6</v>
      </c>
      <c r="AD6" s="108">
        <v>95</v>
      </c>
      <c r="AE6" s="103">
        <f t="shared" si="5"/>
        <v>-1555.6399999999999</v>
      </c>
      <c r="AF6" s="103">
        <f t="shared" si="6"/>
        <v>739.8</v>
      </c>
    </row>
    <row r="7" spans="1:32">
      <c r="A7" s="187" t="s">
        <v>550</v>
      </c>
      <c r="B7" s="208">
        <v>191281</v>
      </c>
      <c r="C7" s="112">
        <v>7</v>
      </c>
      <c r="D7" s="103">
        <v>6500</v>
      </c>
      <c r="E7" s="102">
        <f t="shared" si="0"/>
        <v>3377</v>
      </c>
      <c r="F7" s="117">
        <v>3219</v>
      </c>
      <c r="G7" s="117">
        <v>158</v>
      </c>
      <c r="H7" s="128">
        <f t="shared" si="1"/>
        <v>1.9247853124074623</v>
      </c>
      <c r="I7" s="128">
        <v>2165.86</v>
      </c>
      <c r="J7" s="128">
        <v>61.65</v>
      </c>
      <c r="K7" s="103"/>
      <c r="L7" s="103"/>
      <c r="M7" s="146">
        <v>58.31</v>
      </c>
      <c r="N7" s="103">
        <f t="shared" si="2"/>
        <v>55.250000000000007</v>
      </c>
      <c r="O7" s="103">
        <v>7</v>
      </c>
      <c r="P7" s="103"/>
      <c r="Q7" s="103">
        <v>881.75</v>
      </c>
      <c r="R7" s="103"/>
      <c r="S7" s="103">
        <v>0</v>
      </c>
      <c r="T7" s="103"/>
      <c r="U7" s="103">
        <v>40</v>
      </c>
      <c r="V7" s="103"/>
      <c r="W7" s="103">
        <f t="shared" si="3"/>
        <v>266.92500000000001</v>
      </c>
      <c r="X7" s="152"/>
      <c r="Y7" s="152">
        <v>7.4999999999999997E-2</v>
      </c>
      <c r="Z7" s="153">
        <v>3559</v>
      </c>
      <c r="AA7" s="103">
        <v>135</v>
      </c>
      <c r="AB7" s="103">
        <f t="shared" si="4"/>
        <v>337.70000000000005</v>
      </c>
      <c r="AC7" s="154">
        <v>0.55000000000000004</v>
      </c>
      <c r="AD7" s="103">
        <v>95</v>
      </c>
      <c r="AE7" s="103">
        <f>D7-I7-J7-N7-O7-Q7-W7-AA7-AB7-AD7-AC7*E7+M7-U7</f>
        <v>654.82499999999959</v>
      </c>
      <c r="AF7" s="103">
        <f>AC7*E7</f>
        <v>1857.3500000000001</v>
      </c>
    </row>
    <row r="8" spans="1:32">
      <c r="A8" s="196" t="s">
        <v>585</v>
      </c>
      <c r="B8" s="205">
        <v>191283</v>
      </c>
      <c r="C8" s="112"/>
      <c r="D8" s="103"/>
      <c r="E8" s="102">
        <f t="shared" si="0"/>
        <v>0</v>
      </c>
      <c r="F8" s="112"/>
      <c r="G8" s="112"/>
      <c r="H8" s="128"/>
      <c r="I8" s="128"/>
      <c r="J8" s="128"/>
      <c r="K8" s="103"/>
      <c r="L8" s="103"/>
      <c r="M8" s="146"/>
      <c r="N8" s="103">
        <f t="shared" si="2"/>
        <v>0</v>
      </c>
      <c r="O8" s="103">
        <v>7</v>
      </c>
      <c r="P8" s="103"/>
      <c r="Q8" s="103">
        <v>881.75</v>
      </c>
      <c r="R8" s="103"/>
      <c r="S8" s="103">
        <v>0</v>
      </c>
      <c r="T8" s="103"/>
      <c r="U8" s="103">
        <v>40</v>
      </c>
      <c r="V8" s="103"/>
      <c r="W8" s="103">
        <f t="shared" si="3"/>
        <v>0</v>
      </c>
      <c r="X8" s="152"/>
      <c r="Y8" s="152">
        <v>7.4999999999999997E-2</v>
      </c>
      <c r="Z8" s="153"/>
      <c r="AA8" s="103">
        <v>135</v>
      </c>
      <c r="AB8" s="103">
        <f t="shared" si="4"/>
        <v>0</v>
      </c>
      <c r="AC8" s="213">
        <v>0.27</v>
      </c>
      <c r="AD8" s="103">
        <v>95</v>
      </c>
      <c r="AE8" s="103">
        <f t="shared" ref="AE8:AE9" si="7">D8-I8-N8-Q8-U8-W8-AA8-AB8-AD8-AF8-L8-P8</f>
        <v>-1151.75</v>
      </c>
      <c r="AF8" s="103">
        <f t="shared" ref="AF8:AF9" si="8">D8*AC8+L8</f>
        <v>0</v>
      </c>
    </row>
    <row r="9" spans="1:32">
      <c r="A9" s="184" t="s">
        <v>622</v>
      </c>
      <c r="B9" s="208">
        <v>465180</v>
      </c>
      <c r="C9" s="112">
        <v>7</v>
      </c>
      <c r="D9" s="103">
        <v>9345</v>
      </c>
      <c r="E9" s="102">
        <f t="shared" si="0"/>
        <v>4434</v>
      </c>
      <c r="F9" s="117">
        <v>4134</v>
      </c>
      <c r="G9" s="117">
        <v>300</v>
      </c>
      <c r="H9" s="128">
        <f t="shared" ref="H9:H12" si="9">D9/E9</f>
        <v>2.1075778078484437</v>
      </c>
      <c r="I9" s="128">
        <v>2444.36</v>
      </c>
      <c r="J9" s="128">
        <v>195.09</v>
      </c>
      <c r="K9" s="103"/>
      <c r="L9" s="103"/>
      <c r="M9" s="146">
        <v>268.95</v>
      </c>
      <c r="N9" s="103">
        <f t="shared" si="2"/>
        <v>79.432500000000005</v>
      </c>
      <c r="O9" s="103">
        <v>7</v>
      </c>
      <c r="P9" s="103"/>
      <c r="Q9" s="103">
        <v>881.75</v>
      </c>
      <c r="R9" s="103"/>
      <c r="S9" s="103">
        <v>0</v>
      </c>
      <c r="T9" s="103"/>
      <c r="U9" s="103">
        <v>40</v>
      </c>
      <c r="V9" s="103"/>
      <c r="W9" s="103">
        <f t="shared" si="3"/>
        <v>332.7</v>
      </c>
      <c r="X9" s="152"/>
      <c r="Y9" s="152">
        <v>7.4999999999999997E-2</v>
      </c>
      <c r="Z9" s="153">
        <v>4436</v>
      </c>
      <c r="AA9" s="103">
        <v>135</v>
      </c>
      <c r="AB9" s="103">
        <f t="shared" si="4"/>
        <v>443.40000000000003</v>
      </c>
      <c r="AC9" s="213">
        <v>0.27</v>
      </c>
      <c r="AD9" s="103">
        <v>95</v>
      </c>
      <c r="AE9" s="103">
        <f t="shared" si="7"/>
        <v>2370.2075</v>
      </c>
      <c r="AF9" s="103">
        <f t="shared" si="8"/>
        <v>2523.15</v>
      </c>
    </row>
    <row r="10" spans="1:32">
      <c r="A10" s="190" t="s">
        <v>491</v>
      </c>
      <c r="B10" s="185">
        <v>465181</v>
      </c>
      <c r="C10" s="117">
        <v>4</v>
      </c>
      <c r="D10" s="103">
        <v>3500</v>
      </c>
      <c r="E10" s="102">
        <f t="shared" si="0"/>
        <v>1830</v>
      </c>
      <c r="F10" s="112">
        <v>1681</v>
      </c>
      <c r="G10" s="112">
        <v>149</v>
      </c>
      <c r="H10" s="128">
        <f t="shared" si="9"/>
        <v>1.9125683060109289</v>
      </c>
      <c r="I10" s="146">
        <v>1379.75</v>
      </c>
      <c r="J10" s="128">
        <v>20.3</v>
      </c>
      <c r="K10" s="128"/>
      <c r="L10" s="128"/>
      <c r="M10" s="146">
        <v>99.63</v>
      </c>
      <c r="N10" s="103">
        <f t="shared" si="2"/>
        <v>29.750000000000004</v>
      </c>
      <c r="O10" s="103">
        <v>7</v>
      </c>
      <c r="P10" s="103">
        <v>2832</v>
      </c>
      <c r="Q10" s="103">
        <v>881.75</v>
      </c>
      <c r="R10" s="103"/>
      <c r="S10" s="103">
        <v>0</v>
      </c>
      <c r="T10" s="103"/>
      <c r="U10" s="103">
        <v>40</v>
      </c>
      <c r="V10" s="103"/>
      <c r="W10" s="103">
        <f t="shared" si="3"/>
        <v>159.08199999999999</v>
      </c>
      <c r="X10" s="152"/>
      <c r="Y10" s="152">
        <v>7.6999999999999999E-2</v>
      </c>
      <c r="Z10" s="153">
        <v>2066</v>
      </c>
      <c r="AA10" s="103">
        <v>135</v>
      </c>
      <c r="AB10" s="103">
        <f t="shared" si="4"/>
        <v>183</v>
      </c>
      <c r="AC10" s="154">
        <v>0.6</v>
      </c>
      <c r="AD10" s="103">
        <v>95</v>
      </c>
      <c r="AE10" s="103">
        <f>D10-I10-J10-N10-O10-Q10-W10-AA10-AB10-AD10-AC10*E10+M10-U10-P10-K10+L10</f>
        <v>-3261.0020000000004</v>
      </c>
      <c r="AF10" s="103">
        <f>AC10*E10+K10</f>
        <v>1098</v>
      </c>
    </row>
    <row r="11" spans="1:32">
      <c r="A11" s="190" t="s">
        <v>555</v>
      </c>
      <c r="B11" s="208">
        <v>465182</v>
      </c>
      <c r="C11" s="112">
        <v>6</v>
      </c>
      <c r="D11" s="103">
        <v>5494</v>
      </c>
      <c r="E11" s="102">
        <f t="shared" si="0"/>
        <v>2902</v>
      </c>
      <c r="F11" s="112">
        <v>2721</v>
      </c>
      <c r="G11" s="112">
        <v>181</v>
      </c>
      <c r="H11" s="128">
        <f t="shared" si="9"/>
        <v>1.8931771192281186</v>
      </c>
      <c r="I11" s="128">
        <v>2139.06</v>
      </c>
      <c r="J11" s="128"/>
      <c r="K11" s="103"/>
      <c r="L11" s="103"/>
      <c r="M11" s="146">
        <v>49.52</v>
      </c>
      <c r="N11" s="103">
        <f t="shared" si="2"/>
        <v>46.699000000000005</v>
      </c>
      <c r="O11" s="103">
        <v>7</v>
      </c>
      <c r="P11" s="103"/>
      <c r="Q11" s="103">
        <v>881.75</v>
      </c>
      <c r="R11" s="103"/>
      <c r="S11" s="103">
        <v>0</v>
      </c>
      <c r="T11" s="103"/>
      <c r="U11" s="103">
        <v>40</v>
      </c>
      <c r="V11" s="103"/>
      <c r="W11" s="103">
        <f t="shared" si="3"/>
        <v>245.16800000000001</v>
      </c>
      <c r="X11" s="152"/>
      <c r="Y11" s="152">
        <v>7.6999999999999999E-2</v>
      </c>
      <c r="Z11" s="153">
        <v>3184</v>
      </c>
      <c r="AA11" s="103">
        <v>135</v>
      </c>
      <c r="AB11" s="103">
        <f t="shared" si="4"/>
        <v>290.2</v>
      </c>
      <c r="AC11" s="213">
        <v>0.27</v>
      </c>
      <c r="AD11" s="103">
        <v>95</v>
      </c>
      <c r="AE11" s="103">
        <f t="shared" ref="AE11:AE12" si="10">D11-I11-N11-Q11-U11-W11-AA11-AB11-AD11-AF11-P11+L11</f>
        <v>137.74299999999971</v>
      </c>
      <c r="AF11" s="103">
        <f t="shared" ref="AF11:AF12" si="11">D11*AC11+L11</f>
        <v>1483.38</v>
      </c>
    </row>
    <row r="12" spans="1:32">
      <c r="A12" s="198" t="s">
        <v>540</v>
      </c>
      <c r="B12" s="208">
        <v>465183</v>
      </c>
      <c r="C12" s="117">
        <v>7</v>
      </c>
      <c r="D12" s="103">
        <v>6350</v>
      </c>
      <c r="E12" s="102">
        <f t="shared" si="0"/>
        <v>3138</v>
      </c>
      <c r="F12" s="112">
        <v>2956</v>
      </c>
      <c r="G12" s="112">
        <v>182</v>
      </c>
      <c r="H12" s="128">
        <f t="shared" si="9"/>
        <v>2.0235818992989163</v>
      </c>
      <c r="I12" s="128">
        <v>2364.8200000000002</v>
      </c>
      <c r="J12" s="128">
        <v>9.15</v>
      </c>
      <c r="K12" s="128"/>
      <c r="L12" s="128"/>
      <c r="M12" s="146">
        <v>53.35</v>
      </c>
      <c r="N12" s="103">
        <f t="shared" si="2"/>
        <v>53.975000000000001</v>
      </c>
      <c r="O12" s="103">
        <v>7</v>
      </c>
      <c r="P12" s="103"/>
      <c r="Q12" s="103">
        <v>881.75</v>
      </c>
      <c r="R12" s="103"/>
      <c r="S12" s="103">
        <v>0</v>
      </c>
      <c r="T12" s="103"/>
      <c r="U12" s="103">
        <v>40</v>
      </c>
      <c r="V12" s="103"/>
      <c r="W12" s="103">
        <f t="shared" si="3"/>
        <v>295.834</v>
      </c>
      <c r="X12" s="152"/>
      <c r="Y12" s="152">
        <v>7.6999999999999999E-2</v>
      </c>
      <c r="Z12" s="153">
        <v>3842</v>
      </c>
      <c r="AA12" s="103">
        <v>135</v>
      </c>
      <c r="AB12" s="103">
        <f t="shared" si="4"/>
        <v>313.8</v>
      </c>
      <c r="AC12" s="213">
        <v>0.27</v>
      </c>
      <c r="AD12" s="103">
        <v>95</v>
      </c>
      <c r="AE12" s="103">
        <f t="shared" si="10"/>
        <v>455.32099999999991</v>
      </c>
      <c r="AF12" s="103">
        <f t="shared" si="11"/>
        <v>1714.5</v>
      </c>
    </row>
    <row r="13" spans="1:32">
      <c r="A13" s="187"/>
      <c r="B13" s="205">
        <v>465185</v>
      </c>
      <c r="C13" s="117"/>
      <c r="D13" s="103"/>
      <c r="E13" s="102">
        <f t="shared" si="0"/>
        <v>0</v>
      </c>
      <c r="F13" s="112"/>
      <c r="G13" s="112"/>
      <c r="H13" s="128"/>
      <c r="I13" s="128"/>
      <c r="J13" s="128"/>
      <c r="K13" s="128"/>
      <c r="L13" s="128"/>
      <c r="M13" s="146"/>
      <c r="N13" s="103">
        <f t="shared" si="2"/>
        <v>0</v>
      </c>
      <c r="O13" s="103">
        <v>7</v>
      </c>
      <c r="P13" s="103"/>
      <c r="Q13" s="103">
        <v>881.75</v>
      </c>
      <c r="R13" s="103"/>
      <c r="S13" s="103">
        <v>0</v>
      </c>
      <c r="T13" s="103"/>
      <c r="U13" s="103">
        <v>40</v>
      </c>
      <c r="V13" s="103"/>
      <c r="W13" s="103">
        <f t="shared" si="3"/>
        <v>0</v>
      </c>
      <c r="X13" s="152"/>
      <c r="Y13" s="152">
        <v>7.6999999999999999E-2</v>
      </c>
      <c r="Z13" s="153"/>
      <c r="AA13" s="103">
        <v>135</v>
      </c>
      <c r="AB13" s="103">
        <f t="shared" si="4"/>
        <v>0</v>
      </c>
      <c r="AC13" s="213">
        <v>0.27</v>
      </c>
      <c r="AD13" s="103">
        <v>95</v>
      </c>
      <c r="AE13" s="103">
        <f t="shared" ref="AE13:AE14" si="12">D13-I13-N13-Q13-U13-W13-AA13-AB13-AD13-AF13-P13</f>
        <v>-1151.75</v>
      </c>
      <c r="AF13" s="103">
        <f t="shared" ref="AF13:AF14" si="13">D13*AC13</f>
        <v>0</v>
      </c>
    </row>
    <row r="14" spans="1:32">
      <c r="A14" s="236" t="s">
        <v>318</v>
      </c>
      <c r="B14" s="205">
        <v>465186</v>
      </c>
      <c r="C14" s="112"/>
      <c r="D14" s="103"/>
      <c r="E14" s="102">
        <f t="shared" si="0"/>
        <v>0</v>
      </c>
      <c r="F14" s="112"/>
      <c r="G14" s="112"/>
      <c r="H14" s="128"/>
      <c r="I14" s="128"/>
      <c r="J14" s="128">
        <v>60.1</v>
      </c>
      <c r="K14" s="128"/>
      <c r="L14" s="128"/>
      <c r="M14" s="146"/>
      <c r="N14" s="103">
        <f t="shared" si="2"/>
        <v>0</v>
      </c>
      <c r="O14" s="103">
        <v>7</v>
      </c>
      <c r="P14" s="103"/>
      <c r="Q14" s="103">
        <v>881.75</v>
      </c>
      <c r="R14" s="103"/>
      <c r="S14" s="103">
        <v>0</v>
      </c>
      <c r="T14" s="103"/>
      <c r="U14" s="103">
        <v>40</v>
      </c>
      <c r="V14" s="103"/>
      <c r="W14" s="103">
        <f t="shared" si="3"/>
        <v>14.244999999999999</v>
      </c>
      <c r="X14" s="152"/>
      <c r="Y14" s="152">
        <v>7.6999999999999999E-2</v>
      </c>
      <c r="Z14" s="153">
        <v>185</v>
      </c>
      <c r="AA14" s="103">
        <v>135</v>
      </c>
      <c r="AB14" s="103">
        <f t="shared" si="4"/>
        <v>0</v>
      </c>
      <c r="AC14" s="213">
        <v>0.27</v>
      </c>
      <c r="AD14" s="103">
        <v>95</v>
      </c>
      <c r="AE14" s="103">
        <f t="shared" si="12"/>
        <v>-1165.9949999999999</v>
      </c>
      <c r="AF14" s="103">
        <f t="shared" si="13"/>
        <v>0</v>
      </c>
    </row>
    <row r="15" spans="1:32">
      <c r="A15" s="187" t="s">
        <v>439</v>
      </c>
      <c r="B15" s="185">
        <v>465187</v>
      </c>
      <c r="C15" s="117">
        <v>6</v>
      </c>
      <c r="D15" s="103">
        <v>4700</v>
      </c>
      <c r="E15" s="102">
        <f t="shared" si="0"/>
        <v>2201</v>
      </c>
      <c r="F15" s="112">
        <v>2097</v>
      </c>
      <c r="G15" s="112">
        <v>104</v>
      </c>
      <c r="H15" s="128">
        <f>D15/E15</f>
        <v>2.1353930031803725</v>
      </c>
      <c r="I15" s="128">
        <v>1709.3</v>
      </c>
      <c r="J15" s="128">
        <v>28.56</v>
      </c>
      <c r="K15" s="128">
        <v>200</v>
      </c>
      <c r="L15" s="128"/>
      <c r="M15" s="146">
        <v>109.42</v>
      </c>
      <c r="N15" s="103">
        <f t="shared" si="2"/>
        <v>39.950000000000003</v>
      </c>
      <c r="O15" s="103">
        <v>7</v>
      </c>
      <c r="P15" s="103"/>
      <c r="Q15" s="103">
        <v>881.75</v>
      </c>
      <c r="R15" s="103"/>
      <c r="S15" s="103">
        <v>0</v>
      </c>
      <c r="T15" s="103"/>
      <c r="U15" s="103">
        <v>40</v>
      </c>
      <c r="V15" s="103"/>
      <c r="W15" s="103">
        <f t="shared" si="3"/>
        <v>176.56100000000001</v>
      </c>
      <c r="X15" s="152"/>
      <c r="Y15" s="152">
        <v>7.6999999999999999E-2</v>
      </c>
      <c r="Z15" s="153">
        <v>2293</v>
      </c>
      <c r="AA15" s="103">
        <v>135</v>
      </c>
      <c r="AB15" s="103">
        <f t="shared" si="4"/>
        <v>220.10000000000002</v>
      </c>
      <c r="AC15" s="154">
        <v>0.6</v>
      </c>
      <c r="AD15" s="103">
        <v>95</v>
      </c>
      <c r="AE15" s="103">
        <f>D15-I15-J15-N15-O15-Q15-W15-AA15-AB15-AD15-AC15*E15+M15-U15-P15-K15</f>
        <v>-44.400999999999897</v>
      </c>
      <c r="AF15" s="103">
        <f>AC15*E15</f>
        <v>1320.6</v>
      </c>
    </row>
    <row r="16" spans="1:32">
      <c r="A16" s="236" t="s">
        <v>318</v>
      </c>
      <c r="B16" s="205">
        <v>465189</v>
      </c>
      <c r="C16" s="112"/>
      <c r="D16" s="103"/>
      <c r="E16" s="102">
        <f t="shared" si="0"/>
        <v>0</v>
      </c>
      <c r="F16" s="117"/>
      <c r="G16" s="112"/>
      <c r="H16" s="128"/>
      <c r="I16" s="146"/>
      <c r="J16" s="128"/>
      <c r="K16" s="103"/>
      <c r="L16" s="103"/>
      <c r="M16" s="146"/>
      <c r="N16" s="103">
        <f t="shared" si="2"/>
        <v>0</v>
      </c>
      <c r="O16" s="103">
        <v>7</v>
      </c>
      <c r="P16" s="103"/>
      <c r="Q16" s="103">
        <v>881.75</v>
      </c>
      <c r="R16" s="103"/>
      <c r="S16" s="103">
        <v>0</v>
      </c>
      <c r="T16" s="103"/>
      <c r="U16" s="103">
        <v>40</v>
      </c>
      <c r="V16" s="103"/>
      <c r="W16" s="103">
        <f t="shared" si="3"/>
        <v>4.2749999999999995</v>
      </c>
      <c r="X16" s="152"/>
      <c r="Y16" s="152">
        <v>7.4999999999999997E-2</v>
      </c>
      <c r="Z16" s="153">
        <v>57</v>
      </c>
      <c r="AA16" s="103">
        <v>135</v>
      </c>
      <c r="AB16" s="103">
        <f t="shared" si="4"/>
        <v>0</v>
      </c>
      <c r="AC16" s="213">
        <v>0.27</v>
      </c>
      <c r="AD16" s="103">
        <v>95</v>
      </c>
      <c r="AE16" s="103">
        <f>D16-I16-N16-Q16-U16-W16-AA16-AB16-AD16-AF16-P16</f>
        <v>-1156.0250000000001</v>
      </c>
      <c r="AF16" s="103">
        <f>D16*AC16</f>
        <v>0</v>
      </c>
    </row>
    <row r="17" spans="1:32">
      <c r="A17" s="215" t="s">
        <v>587</v>
      </c>
      <c r="B17" s="216">
        <v>191275</v>
      </c>
      <c r="C17" s="217">
        <v>7</v>
      </c>
      <c r="D17" s="218">
        <v>4975</v>
      </c>
      <c r="E17" s="237">
        <f t="shared" si="0"/>
        <v>2742</v>
      </c>
      <c r="F17" s="217">
        <v>2687</v>
      </c>
      <c r="G17" s="217">
        <v>55</v>
      </c>
      <c r="H17" s="128">
        <f t="shared" ref="H17:H24" si="14">D17/E17</f>
        <v>1.8143690736688549</v>
      </c>
      <c r="I17" s="220">
        <v>1748.91</v>
      </c>
      <c r="J17" s="221"/>
      <c r="K17" s="221"/>
      <c r="L17" s="221"/>
      <c r="M17" s="220">
        <v>8.06</v>
      </c>
      <c r="N17" s="218">
        <f t="shared" si="2"/>
        <v>42.287500000000001</v>
      </c>
      <c r="O17" s="218">
        <v>7</v>
      </c>
      <c r="P17" s="218"/>
      <c r="Q17" s="218">
        <v>881.75</v>
      </c>
      <c r="R17" s="218">
        <v>50</v>
      </c>
      <c r="S17" s="218">
        <v>1200</v>
      </c>
      <c r="T17" s="218">
        <v>30</v>
      </c>
      <c r="U17" s="218">
        <v>40</v>
      </c>
      <c r="V17" s="218">
        <v>300</v>
      </c>
      <c r="W17" s="218">
        <f t="shared" si="3"/>
        <v>212.85</v>
      </c>
      <c r="X17" s="218">
        <f t="shared" ref="X17:X23" si="15">0.15*Z17</f>
        <v>425.7</v>
      </c>
      <c r="Y17" s="222">
        <v>7.4999999999999997E-2</v>
      </c>
      <c r="Z17" s="219" t="s">
        <v>623</v>
      </c>
      <c r="AA17" s="218">
        <v>135</v>
      </c>
      <c r="AB17" s="218">
        <f t="shared" si="4"/>
        <v>274.2</v>
      </c>
      <c r="AC17" s="223">
        <v>0.87</v>
      </c>
      <c r="AD17" s="218">
        <v>95</v>
      </c>
      <c r="AE17" s="103">
        <f t="shared" ref="AE17:AE23" si="16">D17*13%+R17+T17+S17+V17-Q17-W17-AA17-AD17+X17-N17+M17-U17</f>
        <v>1253.6225000000002</v>
      </c>
      <c r="AF17" s="103">
        <f t="shared" ref="AF17:AF23" si="17">D17*AC17-I17-J17-S17-R17-T17-V17-X17</f>
        <v>573.6400000000001</v>
      </c>
    </row>
    <row r="18" spans="1:32">
      <c r="A18" s="229" t="s">
        <v>624</v>
      </c>
      <c r="B18" s="216">
        <v>191276</v>
      </c>
      <c r="C18" s="217">
        <v>4</v>
      </c>
      <c r="D18" s="218">
        <v>3998</v>
      </c>
      <c r="E18" s="237">
        <f t="shared" si="0"/>
        <v>2044</v>
      </c>
      <c r="F18" s="217">
        <v>1833</v>
      </c>
      <c r="G18" s="217">
        <v>211</v>
      </c>
      <c r="H18" s="128">
        <f t="shared" si="14"/>
        <v>1.9559686888454011</v>
      </c>
      <c r="I18" s="220">
        <v>1883.52</v>
      </c>
      <c r="J18" s="221">
        <v>40.47</v>
      </c>
      <c r="K18" s="221"/>
      <c r="L18" s="221"/>
      <c r="M18" s="220">
        <v>114.3</v>
      </c>
      <c r="N18" s="218">
        <f t="shared" si="2"/>
        <v>33.983000000000004</v>
      </c>
      <c r="O18" s="218"/>
      <c r="P18" s="218"/>
      <c r="Q18" s="218">
        <v>881.75</v>
      </c>
      <c r="R18" s="218">
        <v>50</v>
      </c>
      <c r="S18" s="218">
        <v>1050</v>
      </c>
      <c r="T18" s="218">
        <v>30</v>
      </c>
      <c r="U18" s="218">
        <v>40</v>
      </c>
      <c r="V18" s="218">
        <v>300</v>
      </c>
      <c r="W18" s="218">
        <f t="shared" si="3"/>
        <v>134.77500000000001</v>
      </c>
      <c r="X18" s="218">
        <f t="shared" si="15"/>
        <v>269.55</v>
      </c>
      <c r="Y18" s="222">
        <v>7.4999999999999997E-2</v>
      </c>
      <c r="Z18" s="219" t="s">
        <v>625</v>
      </c>
      <c r="AA18" s="218">
        <v>135</v>
      </c>
      <c r="AB18" s="218">
        <f t="shared" si="4"/>
        <v>204.4</v>
      </c>
      <c r="AC18" s="223">
        <v>0.87</v>
      </c>
      <c r="AD18" s="218">
        <v>95</v>
      </c>
      <c r="AE18" s="103">
        <f t="shared" si="16"/>
        <v>1013.0820000000001</v>
      </c>
      <c r="AF18" s="103">
        <f t="shared" si="17"/>
        <v>-145.28000000000026</v>
      </c>
    </row>
    <row r="19" spans="1:32">
      <c r="A19" s="229" t="s">
        <v>435</v>
      </c>
      <c r="B19" s="216">
        <v>191282</v>
      </c>
      <c r="C19" s="217">
        <v>7</v>
      </c>
      <c r="D19" s="218">
        <v>10666</v>
      </c>
      <c r="E19" s="237">
        <f t="shared" si="0"/>
        <v>5478</v>
      </c>
      <c r="F19" s="217">
        <v>5253</v>
      </c>
      <c r="G19" s="217">
        <v>225</v>
      </c>
      <c r="H19" s="128">
        <f t="shared" si="14"/>
        <v>1.9470609711573568</v>
      </c>
      <c r="I19" s="220">
        <v>3173.85</v>
      </c>
      <c r="J19" s="221">
        <v>78.010000000000005</v>
      </c>
      <c r="K19" s="221"/>
      <c r="L19" s="221"/>
      <c r="M19" s="220">
        <v>113.9</v>
      </c>
      <c r="N19" s="218">
        <f t="shared" si="2"/>
        <v>90.661000000000001</v>
      </c>
      <c r="O19" s="218">
        <v>7</v>
      </c>
      <c r="P19" s="218">
        <v>233.7</v>
      </c>
      <c r="Q19" s="218">
        <v>881.75</v>
      </c>
      <c r="R19" s="218">
        <v>50</v>
      </c>
      <c r="S19" s="218">
        <v>1200</v>
      </c>
      <c r="T19" s="218">
        <v>30</v>
      </c>
      <c r="U19" s="218">
        <v>40</v>
      </c>
      <c r="V19" s="218">
        <v>300</v>
      </c>
      <c r="W19" s="218">
        <f t="shared" si="3"/>
        <v>409.64</v>
      </c>
      <c r="X19" s="218">
        <f t="shared" si="15"/>
        <v>798</v>
      </c>
      <c r="Y19" s="222">
        <v>7.6999999999999999E-2</v>
      </c>
      <c r="Z19" s="219" t="s">
        <v>626</v>
      </c>
      <c r="AA19" s="218">
        <v>135</v>
      </c>
      <c r="AB19" s="218">
        <f t="shared" si="4"/>
        <v>547.80000000000007</v>
      </c>
      <c r="AC19" s="223">
        <v>0.87</v>
      </c>
      <c r="AD19" s="218">
        <v>95</v>
      </c>
      <c r="AE19" s="103">
        <f t="shared" si="16"/>
        <v>2226.4290000000001</v>
      </c>
      <c r="AF19" s="103">
        <f t="shared" si="17"/>
        <v>3649.5599999999995</v>
      </c>
    </row>
    <row r="20" spans="1:32">
      <c r="A20" s="229" t="s">
        <v>590</v>
      </c>
      <c r="B20" s="216">
        <v>465184</v>
      </c>
      <c r="C20" s="217">
        <v>6</v>
      </c>
      <c r="D20" s="218">
        <v>6575</v>
      </c>
      <c r="E20" s="237">
        <f t="shared" si="0"/>
        <v>2998</v>
      </c>
      <c r="F20" s="217">
        <v>2888</v>
      </c>
      <c r="G20" s="217">
        <v>110</v>
      </c>
      <c r="H20" s="128">
        <f t="shared" si="14"/>
        <v>2.1931287525016678</v>
      </c>
      <c r="I20" s="220">
        <v>2250.9299999999998</v>
      </c>
      <c r="J20" s="221">
        <v>40.99</v>
      </c>
      <c r="K20" s="221"/>
      <c r="L20" s="221"/>
      <c r="M20" s="220">
        <v>0</v>
      </c>
      <c r="N20" s="218">
        <f t="shared" si="2"/>
        <v>55.887500000000003</v>
      </c>
      <c r="O20" s="218">
        <v>7</v>
      </c>
      <c r="P20" s="218"/>
      <c r="Q20" s="218">
        <v>881.75</v>
      </c>
      <c r="R20" s="218">
        <v>50</v>
      </c>
      <c r="S20" s="218">
        <v>1050</v>
      </c>
      <c r="T20" s="218">
        <v>30</v>
      </c>
      <c r="U20" s="218">
        <v>40</v>
      </c>
      <c r="V20" s="218">
        <v>400</v>
      </c>
      <c r="W20" s="218">
        <f t="shared" si="3"/>
        <v>278.971</v>
      </c>
      <c r="X20" s="218">
        <f t="shared" si="15"/>
        <v>543.44999999999993</v>
      </c>
      <c r="Y20" s="222">
        <v>7.6999999999999999E-2</v>
      </c>
      <c r="Z20" s="219" t="s">
        <v>627</v>
      </c>
      <c r="AA20" s="218">
        <v>135</v>
      </c>
      <c r="AB20" s="218">
        <f t="shared" si="4"/>
        <v>299.8</v>
      </c>
      <c r="AC20" s="223">
        <v>0.87</v>
      </c>
      <c r="AD20" s="218">
        <v>95</v>
      </c>
      <c r="AE20" s="103">
        <f t="shared" si="16"/>
        <v>1441.5914999999998</v>
      </c>
      <c r="AF20" s="103">
        <f t="shared" si="17"/>
        <v>1354.8800000000006</v>
      </c>
    </row>
    <row r="21" spans="1:32">
      <c r="A21" s="229" t="s">
        <v>628</v>
      </c>
      <c r="B21" s="216">
        <v>191278</v>
      </c>
      <c r="C21" s="217">
        <v>3</v>
      </c>
      <c r="D21" s="218">
        <v>2900</v>
      </c>
      <c r="E21" s="237">
        <f t="shared" si="0"/>
        <v>1186</v>
      </c>
      <c r="F21" s="217">
        <v>1065</v>
      </c>
      <c r="G21" s="217">
        <v>121</v>
      </c>
      <c r="H21" s="128">
        <f t="shared" si="14"/>
        <v>2.4451939291736933</v>
      </c>
      <c r="I21" s="220">
        <v>986.99</v>
      </c>
      <c r="J21" s="221">
        <v>124.8</v>
      </c>
      <c r="K21" s="221"/>
      <c r="L21" s="221"/>
      <c r="M21" s="220">
        <v>16.260000000000002</v>
      </c>
      <c r="N21" s="218">
        <f t="shared" si="2"/>
        <v>24.650000000000002</v>
      </c>
      <c r="O21" s="218">
        <v>7</v>
      </c>
      <c r="P21" s="218"/>
      <c r="Q21" s="218">
        <v>881.75</v>
      </c>
      <c r="R21" s="218">
        <v>50</v>
      </c>
      <c r="S21" s="218">
        <v>1050</v>
      </c>
      <c r="T21" s="218">
        <v>30</v>
      </c>
      <c r="U21" s="218">
        <v>40</v>
      </c>
      <c r="V21" s="218">
        <v>400</v>
      </c>
      <c r="W21" s="218">
        <f t="shared" si="3"/>
        <v>150.84299999999999</v>
      </c>
      <c r="X21" s="218">
        <f t="shared" si="15"/>
        <v>293.84999999999997</v>
      </c>
      <c r="Y21" s="222">
        <v>7.6999999999999999E-2</v>
      </c>
      <c r="Z21" s="219" t="s">
        <v>629</v>
      </c>
      <c r="AA21" s="218">
        <v>135</v>
      </c>
      <c r="AB21" s="218">
        <f t="shared" si="4"/>
        <v>118.60000000000001</v>
      </c>
      <c r="AC21" s="223">
        <v>0.87</v>
      </c>
      <c r="AD21" s="218">
        <v>95</v>
      </c>
      <c r="AE21" s="103">
        <f t="shared" si="16"/>
        <v>889.86700000000008</v>
      </c>
      <c r="AF21" s="103">
        <f t="shared" si="17"/>
        <v>-412.63999999999993</v>
      </c>
    </row>
    <row r="22" spans="1:32">
      <c r="A22" s="229" t="s">
        <v>462</v>
      </c>
      <c r="B22" s="216">
        <v>191279</v>
      </c>
      <c r="C22" s="217">
        <v>4</v>
      </c>
      <c r="D22" s="218">
        <v>4250</v>
      </c>
      <c r="E22" s="237">
        <f t="shared" si="0"/>
        <v>2397</v>
      </c>
      <c r="F22" s="238">
        <v>2297</v>
      </c>
      <c r="G22" s="217">
        <v>100</v>
      </c>
      <c r="H22" s="128">
        <f t="shared" si="14"/>
        <v>1.7730496453900708</v>
      </c>
      <c r="I22" s="220">
        <v>1858.34</v>
      </c>
      <c r="J22" s="221">
        <v>157.13999999999999</v>
      </c>
      <c r="K22" s="221"/>
      <c r="L22" s="221"/>
      <c r="M22" s="220">
        <v>63.16</v>
      </c>
      <c r="N22" s="218">
        <f t="shared" si="2"/>
        <v>36.125</v>
      </c>
      <c r="O22" s="218"/>
      <c r="P22" s="218"/>
      <c r="Q22" s="218">
        <v>881.75</v>
      </c>
      <c r="R22" s="218">
        <v>50</v>
      </c>
      <c r="S22" s="218">
        <v>1200</v>
      </c>
      <c r="T22" s="218">
        <v>30</v>
      </c>
      <c r="U22" s="218">
        <v>40</v>
      </c>
      <c r="V22" s="218">
        <v>300</v>
      </c>
      <c r="W22" s="218">
        <f t="shared" si="3"/>
        <v>188.804</v>
      </c>
      <c r="X22" s="218">
        <f t="shared" si="15"/>
        <v>367.8</v>
      </c>
      <c r="Y22" s="222">
        <v>7.6999999999999999E-2</v>
      </c>
      <c r="Z22" s="219" t="s">
        <v>630</v>
      </c>
      <c r="AA22" s="218">
        <v>135</v>
      </c>
      <c r="AB22" s="218">
        <f t="shared" si="4"/>
        <v>239.70000000000002</v>
      </c>
      <c r="AC22" s="223">
        <v>0.87</v>
      </c>
      <c r="AD22" s="218">
        <v>95</v>
      </c>
      <c r="AE22" s="103">
        <f t="shared" si="16"/>
        <v>1186.7809999999999</v>
      </c>
      <c r="AF22" s="103">
        <f t="shared" si="17"/>
        <v>-265.78000000000003</v>
      </c>
    </row>
    <row r="23" spans="1:32">
      <c r="A23" s="229" t="s">
        <v>631</v>
      </c>
      <c r="B23" s="216">
        <v>465188</v>
      </c>
      <c r="C23" s="217">
        <v>6</v>
      </c>
      <c r="D23" s="218">
        <v>7352</v>
      </c>
      <c r="E23" s="237">
        <f t="shared" si="0"/>
        <v>3692</v>
      </c>
      <c r="F23" s="217">
        <v>3518</v>
      </c>
      <c r="G23" s="217">
        <v>174</v>
      </c>
      <c r="H23" s="128">
        <f t="shared" si="14"/>
        <v>1.9913326110509209</v>
      </c>
      <c r="I23" s="220">
        <v>1753.09</v>
      </c>
      <c r="J23" s="221">
        <v>40.47</v>
      </c>
      <c r="K23" s="221"/>
      <c r="L23" s="221"/>
      <c r="M23" s="220">
        <v>86.35</v>
      </c>
      <c r="N23" s="218">
        <f t="shared" si="2"/>
        <v>62.492000000000004</v>
      </c>
      <c r="O23" s="218"/>
      <c r="P23" s="218"/>
      <c r="Q23" s="218">
        <v>881.75</v>
      </c>
      <c r="R23" s="218">
        <v>50</v>
      </c>
      <c r="S23" s="218">
        <v>1050</v>
      </c>
      <c r="T23" s="218">
        <v>30</v>
      </c>
      <c r="U23" s="218">
        <v>40</v>
      </c>
      <c r="V23" s="218">
        <v>300</v>
      </c>
      <c r="W23" s="218">
        <f t="shared" si="3"/>
        <v>176.792</v>
      </c>
      <c r="X23" s="218">
        <f t="shared" si="15"/>
        <v>344.4</v>
      </c>
      <c r="Y23" s="222">
        <v>7.6999999999999999E-2</v>
      </c>
      <c r="Z23" s="219" t="s">
        <v>632</v>
      </c>
      <c r="AA23" s="218">
        <v>135</v>
      </c>
      <c r="AB23" s="218">
        <f t="shared" si="4"/>
        <v>369.20000000000005</v>
      </c>
      <c r="AC23" s="223">
        <v>0.87</v>
      </c>
      <c r="AD23" s="218">
        <v>95</v>
      </c>
      <c r="AE23" s="103">
        <f t="shared" si="16"/>
        <v>1425.4760000000003</v>
      </c>
      <c r="AF23" s="103">
        <f t="shared" si="17"/>
        <v>2828.2799999999993</v>
      </c>
    </row>
    <row r="24" spans="1:32">
      <c r="A24" s="134" t="s">
        <v>529</v>
      </c>
      <c r="B24" s="134">
        <v>1118</v>
      </c>
      <c r="C24" s="158">
        <v>5</v>
      </c>
      <c r="D24" s="139">
        <v>4650</v>
      </c>
      <c r="E24" s="136">
        <v>2767</v>
      </c>
      <c r="F24" s="136"/>
      <c r="G24" s="136"/>
      <c r="H24" s="128">
        <f t="shared" si="14"/>
        <v>1.6805204192265992</v>
      </c>
      <c r="I24" s="139">
        <v>1725.01</v>
      </c>
      <c r="J24" s="139">
        <v>43.15</v>
      </c>
      <c r="K24" s="139"/>
      <c r="L24" s="139"/>
      <c r="M24" s="139">
        <v>0</v>
      </c>
      <c r="N24" s="139">
        <f t="shared" si="2"/>
        <v>39.525000000000006</v>
      </c>
      <c r="O24" s="139">
        <v>0</v>
      </c>
      <c r="P24" s="139"/>
      <c r="Q24" s="139">
        <v>0</v>
      </c>
      <c r="R24" s="139">
        <v>0</v>
      </c>
      <c r="S24" s="139">
        <v>0</v>
      </c>
      <c r="T24" s="139">
        <v>0</v>
      </c>
      <c r="U24" s="139">
        <v>40</v>
      </c>
      <c r="V24" s="139">
        <v>0</v>
      </c>
      <c r="W24" s="139">
        <v>0</v>
      </c>
      <c r="X24" s="159"/>
      <c r="Y24" s="159">
        <v>0</v>
      </c>
      <c r="Z24" s="136">
        <v>2767</v>
      </c>
      <c r="AA24" s="139">
        <v>0</v>
      </c>
      <c r="AB24" s="139">
        <f t="shared" si="4"/>
        <v>276.7</v>
      </c>
      <c r="AC24" s="160">
        <v>0.8</v>
      </c>
      <c r="AD24" s="139">
        <v>95</v>
      </c>
      <c r="AE24" s="139">
        <f>D24*0.2-AB24-N24-K24-AD24-U24</f>
        <v>478.77499999999998</v>
      </c>
      <c r="AF24" s="139">
        <f>D24*AC24-I24-J24+K24</f>
        <v>1951.84</v>
      </c>
    </row>
    <row r="25" spans="1:32">
      <c r="A25" s="134" t="s">
        <v>467</v>
      </c>
      <c r="B25" s="134">
        <v>1122</v>
      </c>
      <c r="C25" s="158">
        <v>0</v>
      </c>
      <c r="D25" s="139">
        <v>0</v>
      </c>
      <c r="E25" s="136">
        <v>21</v>
      </c>
      <c r="F25" s="136"/>
      <c r="G25" s="136"/>
      <c r="H25" s="136"/>
      <c r="I25" s="168"/>
      <c r="J25" s="139">
        <v>24.18</v>
      </c>
      <c r="K25" s="139"/>
      <c r="L25" s="139"/>
      <c r="M25" s="139"/>
      <c r="N25" s="139">
        <f t="shared" si="2"/>
        <v>0</v>
      </c>
      <c r="O25" s="139">
        <v>7</v>
      </c>
      <c r="P25" s="139"/>
      <c r="Q25" s="139">
        <v>0</v>
      </c>
      <c r="R25" s="139">
        <v>50</v>
      </c>
      <c r="S25" s="139">
        <v>199</v>
      </c>
      <c r="T25" s="139">
        <v>30</v>
      </c>
      <c r="U25" s="139">
        <v>40</v>
      </c>
      <c r="V25" s="139">
        <v>300</v>
      </c>
      <c r="W25" s="139">
        <v>0</v>
      </c>
      <c r="X25" s="159"/>
      <c r="Y25" s="159">
        <v>0</v>
      </c>
      <c r="Z25" s="136">
        <v>21</v>
      </c>
      <c r="AA25" s="139">
        <v>0</v>
      </c>
      <c r="AB25" s="139">
        <f t="shared" si="4"/>
        <v>2.1</v>
      </c>
      <c r="AC25" s="160">
        <v>0.87</v>
      </c>
      <c r="AD25" s="139">
        <v>95</v>
      </c>
      <c r="AE25" s="139">
        <f>D25*0.13-AD25-AB25+V25+T25+S25+R25-N25+M25-U25</f>
        <v>441.9</v>
      </c>
      <c r="AF25" s="139">
        <f>D25*AC25-I25-J25-V25-T25-S25-R25</f>
        <v>-603.18000000000006</v>
      </c>
    </row>
    <row r="26" spans="1:32">
      <c r="A26" s="134" t="s">
        <v>520</v>
      </c>
      <c r="B26" s="134">
        <v>1650</v>
      </c>
      <c r="C26" s="158">
        <v>5</v>
      </c>
      <c r="D26" s="139">
        <v>4150</v>
      </c>
      <c r="E26" s="136">
        <v>2163</v>
      </c>
      <c r="F26" s="136"/>
      <c r="G26" s="136"/>
      <c r="H26" s="128">
        <f>D26/E26</f>
        <v>1.9186315302820158</v>
      </c>
      <c r="I26" s="139">
        <v>1360.86</v>
      </c>
      <c r="J26" s="139"/>
      <c r="K26" s="139"/>
      <c r="L26" s="139"/>
      <c r="M26" s="139">
        <v>97.05</v>
      </c>
      <c r="N26" s="139">
        <f t="shared" si="2"/>
        <v>35.275000000000006</v>
      </c>
      <c r="O26" s="139"/>
      <c r="P26" s="139"/>
      <c r="Q26" s="139">
        <v>0</v>
      </c>
      <c r="R26" s="139">
        <v>50</v>
      </c>
      <c r="S26" s="139">
        <v>0</v>
      </c>
      <c r="T26" s="139">
        <v>30</v>
      </c>
      <c r="U26" s="139">
        <v>40</v>
      </c>
      <c r="V26" s="139">
        <v>300</v>
      </c>
      <c r="W26" s="139">
        <v>0</v>
      </c>
      <c r="X26" s="159"/>
      <c r="Y26" s="159">
        <v>0</v>
      </c>
      <c r="Z26" s="136">
        <v>2163</v>
      </c>
      <c r="AA26" s="139">
        <v>0</v>
      </c>
      <c r="AB26" s="139">
        <f t="shared" si="4"/>
        <v>216.3</v>
      </c>
      <c r="AC26" s="160">
        <v>0.87</v>
      </c>
      <c r="AD26" s="139">
        <v>95</v>
      </c>
      <c r="AE26" s="139">
        <f>D26*0.13+V26+T26+S26+R26-AB26-N26+M26-U26</f>
        <v>724.97500000000002</v>
      </c>
      <c r="AF26" s="139">
        <f>D26*0.87-I26-J26-R26-S26-T26-V26+K26</f>
        <v>1869.6400000000003</v>
      </c>
    </row>
    <row r="27" spans="1:32">
      <c r="A27" s="72" t="s">
        <v>89</v>
      </c>
      <c r="B27" s="72">
        <v>19</v>
      </c>
      <c r="C27" s="202">
        <f>AVERAGE(C3:C26)</f>
        <v>4.8</v>
      </c>
      <c r="D27" s="201">
        <f t="shared" ref="D27:G27" si="18">SUM(D3:D26)</f>
        <v>93205</v>
      </c>
      <c r="E27" s="201">
        <f t="shared" si="18"/>
        <v>48203</v>
      </c>
      <c r="F27" s="201">
        <f t="shared" si="18"/>
        <v>40484</v>
      </c>
      <c r="G27" s="201">
        <f t="shared" si="18"/>
        <v>2768</v>
      </c>
      <c r="H27" s="201">
        <f>AVERAGE(H3:H26)</f>
        <v>1.9076417582710137</v>
      </c>
      <c r="I27" s="201">
        <f t="shared" ref="I27:AB27" si="19">SUM(I3:I26)</f>
        <v>34655.800000000003</v>
      </c>
      <c r="J27" s="201">
        <f t="shared" si="19"/>
        <v>1048.24</v>
      </c>
      <c r="K27" s="201">
        <f t="shared" si="19"/>
        <v>200</v>
      </c>
      <c r="L27" s="201">
        <f t="shared" si="19"/>
        <v>0</v>
      </c>
      <c r="M27" s="201">
        <f t="shared" si="19"/>
        <v>1610.64</v>
      </c>
      <c r="N27" s="201">
        <f t="shared" si="19"/>
        <v>792.24249999999995</v>
      </c>
      <c r="O27" s="201">
        <f t="shared" si="19"/>
        <v>133</v>
      </c>
      <c r="P27" s="201">
        <f t="shared" si="19"/>
        <v>3065.7</v>
      </c>
      <c r="Q27" s="201">
        <f t="shared" si="19"/>
        <v>18516.75</v>
      </c>
      <c r="R27" s="201">
        <f t="shared" si="19"/>
        <v>450</v>
      </c>
      <c r="S27" s="201">
        <f t="shared" si="19"/>
        <v>7999</v>
      </c>
      <c r="T27" s="201">
        <f t="shared" si="19"/>
        <v>270</v>
      </c>
      <c r="U27" s="201">
        <f t="shared" si="19"/>
        <v>960</v>
      </c>
      <c r="V27" s="201">
        <f t="shared" si="19"/>
        <v>2900</v>
      </c>
      <c r="W27" s="201">
        <f t="shared" si="19"/>
        <v>3433.895</v>
      </c>
      <c r="X27" s="201">
        <f t="shared" si="19"/>
        <v>3042.75</v>
      </c>
      <c r="Y27" s="201">
        <f t="shared" si="19"/>
        <v>1.6009999999999995</v>
      </c>
      <c r="Z27" s="201">
        <f t="shared" si="19"/>
        <v>29669</v>
      </c>
      <c r="AA27" s="201">
        <f t="shared" si="19"/>
        <v>2835</v>
      </c>
      <c r="AB27" s="201">
        <f t="shared" si="19"/>
        <v>4820.3</v>
      </c>
      <c r="AC27" s="201"/>
      <c r="AD27" s="201">
        <f t="shared" ref="AD27:AF27" si="20">SUM(AD3:AD26)</f>
        <v>2280</v>
      </c>
      <c r="AE27" s="201">
        <f t="shared" si="20"/>
        <v>858.59250000000077</v>
      </c>
      <c r="AF27" s="201">
        <f t="shared" si="20"/>
        <v>23580.739999999998</v>
      </c>
    </row>
    <row r="29" spans="1:32">
      <c r="A29" s="461" t="s">
        <v>633</v>
      </c>
      <c r="B29" s="458"/>
      <c r="C29" s="458"/>
      <c r="D29" s="458"/>
      <c r="E29" s="458"/>
      <c r="F29" s="458"/>
      <c r="G29" s="458"/>
      <c r="H29" s="458"/>
      <c r="I29" s="458"/>
      <c r="J29" s="458"/>
      <c r="K29" s="458"/>
      <c r="L29" s="458"/>
      <c r="M29" s="458"/>
      <c r="N29" s="458"/>
      <c r="O29" s="458"/>
      <c r="P29" s="458"/>
      <c r="Q29" s="458"/>
      <c r="R29" s="458"/>
      <c r="S29" s="458"/>
      <c r="T29" s="458"/>
      <c r="U29" s="458"/>
      <c r="V29" s="458"/>
      <c r="W29" s="458"/>
      <c r="X29" s="458"/>
      <c r="Y29" s="458"/>
      <c r="Z29" s="458"/>
      <c r="AA29" s="458"/>
      <c r="AB29" s="458"/>
      <c r="AC29" s="458"/>
      <c r="AD29" s="458"/>
      <c r="AE29" s="458"/>
      <c r="AF29" s="459"/>
    </row>
    <row r="30" spans="1:32">
      <c r="A30" s="95" t="s">
        <v>0</v>
      </c>
      <c r="B30" s="95" t="s">
        <v>1</v>
      </c>
      <c r="C30" s="95" t="s">
        <v>372</v>
      </c>
      <c r="D30" s="95" t="s">
        <v>2</v>
      </c>
      <c r="E30" s="95" t="s">
        <v>413</v>
      </c>
      <c r="F30" s="150" t="s">
        <v>414</v>
      </c>
      <c r="G30" s="150" t="s">
        <v>415</v>
      </c>
      <c r="H30" s="95" t="s">
        <v>416</v>
      </c>
      <c r="I30" s="95" t="s">
        <v>7</v>
      </c>
      <c r="J30" s="95" t="s">
        <v>8</v>
      </c>
      <c r="K30" s="95" t="s">
        <v>287</v>
      </c>
      <c r="L30" s="95" t="s">
        <v>288</v>
      </c>
      <c r="M30" s="95" t="s">
        <v>257</v>
      </c>
      <c r="N30" s="95" t="s">
        <v>373</v>
      </c>
      <c r="O30" s="95" t="s">
        <v>374</v>
      </c>
      <c r="P30" s="150" t="s">
        <v>538</v>
      </c>
      <c r="Q30" s="95" t="s">
        <v>375</v>
      </c>
      <c r="R30" s="95" t="s">
        <v>376</v>
      </c>
      <c r="S30" s="95" t="s">
        <v>522</v>
      </c>
      <c r="T30" s="150" t="s">
        <v>378</v>
      </c>
      <c r="U30" s="150" t="s">
        <v>539</v>
      </c>
      <c r="V30" s="150" t="s">
        <v>379</v>
      </c>
      <c r="W30" s="150" t="s">
        <v>352</v>
      </c>
      <c r="X30" s="150" t="s">
        <v>523</v>
      </c>
      <c r="Y30" s="95" t="s">
        <v>380</v>
      </c>
      <c r="Z30" s="95" t="s">
        <v>381</v>
      </c>
      <c r="AA30" s="95" t="s">
        <v>382</v>
      </c>
      <c r="AB30" s="95" t="s">
        <v>383</v>
      </c>
      <c r="AC30" s="95" t="s">
        <v>385</v>
      </c>
      <c r="AD30" s="150" t="s">
        <v>333</v>
      </c>
      <c r="AE30" s="95" t="s">
        <v>582</v>
      </c>
      <c r="AF30" s="95" t="s">
        <v>98</v>
      </c>
    </row>
    <row r="31" spans="1:32">
      <c r="A31" s="184" t="s">
        <v>620</v>
      </c>
      <c r="B31" s="185">
        <v>191274</v>
      </c>
      <c r="C31" s="112">
        <v>7</v>
      </c>
      <c r="D31" s="103">
        <v>8275</v>
      </c>
      <c r="E31" s="102">
        <f t="shared" ref="E31:E50" si="21">F31+G31</f>
        <v>3926</v>
      </c>
      <c r="F31" s="117">
        <v>3728</v>
      </c>
      <c r="G31" s="117">
        <v>198</v>
      </c>
      <c r="H31" s="128">
        <f t="shared" ref="H31:H34" si="22">D31/E31</f>
        <v>2.1077432501273563</v>
      </c>
      <c r="I31" s="128">
        <v>2864.12</v>
      </c>
      <c r="J31" s="128">
        <v>279.88</v>
      </c>
      <c r="K31" s="103">
        <v>100</v>
      </c>
      <c r="L31" s="103"/>
      <c r="M31" s="146">
        <v>388.25</v>
      </c>
      <c r="N31" s="103">
        <f t="shared" ref="N31:N53" si="23">D31*0.0085</f>
        <v>70.337500000000006</v>
      </c>
      <c r="O31" s="103">
        <v>7</v>
      </c>
      <c r="P31" s="103"/>
      <c r="Q31" s="103">
        <v>881.75</v>
      </c>
      <c r="R31" s="103"/>
      <c r="S31" s="103">
        <v>0</v>
      </c>
      <c r="T31" s="103"/>
      <c r="U31" s="103">
        <v>40</v>
      </c>
      <c r="V31" s="103"/>
      <c r="W31" s="103">
        <f t="shared" ref="W31:W50" si="24">Z31*Y31</f>
        <v>315.7</v>
      </c>
      <c r="X31" s="152"/>
      <c r="Y31" s="152">
        <v>7.6999999999999999E-2</v>
      </c>
      <c r="Z31" s="155">
        <v>4100</v>
      </c>
      <c r="AA31" s="103">
        <v>135</v>
      </c>
      <c r="AB31" s="103">
        <f t="shared" ref="AB31:AB53" si="25">E31*0.1</f>
        <v>392.6</v>
      </c>
      <c r="AC31" s="213">
        <v>0.27</v>
      </c>
      <c r="AD31" s="103">
        <v>95</v>
      </c>
      <c r="AE31" s="103">
        <f>D31-I31-N31-Q31-U31-W31-AA31-AB31-AD31-AF31-K31</f>
        <v>1146.2425000000007</v>
      </c>
      <c r="AF31" s="103">
        <f>D31*AC31</f>
        <v>2234.25</v>
      </c>
    </row>
    <row r="32" spans="1:32">
      <c r="A32" s="184" t="s">
        <v>621</v>
      </c>
      <c r="B32" s="185">
        <v>191277</v>
      </c>
      <c r="C32" s="112">
        <v>7</v>
      </c>
      <c r="D32" s="103">
        <v>7415</v>
      </c>
      <c r="E32" s="102">
        <f t="shared" si="21"/>
        <v>3765</v>
      </c>
      <c r="F32" s="117">
        <v>3609</v>
      </c>
      <c r="G32" s="117">
        <v>156</v>
      </c>
      <c r="H32" s="128">
        <f t="shared" si="22"/>
        <v>1.9694555112881806</v>
      </c>
      <c r="I32" s="128">
        <v>2347.37</v>
      </c>
      <c r="J32" s="128">
        <v>164.88</v>
      </c>
      <c r="K32" s="103"/>
      <c r="L32" s="103"/>
      <c r="M32" s="146">
        <v>50.69</v>
      </c>
      <c r="N32" s="103">
        <f t="shared" si="23"/>
        <v>63.027500000000003</v>
      </c>
      <c r="O32" s="103">
        <v>7</v>
      </c>
      <c r="P32" s="103"/>
      <c r="Q32" s="103">
        <v>881.75</v>
      </c>
      <c r="R32" s="103"/>
      <c r="S32" s="103">
        <v>0</v>
      </c>
      <c r="T32" s="103"/>
      <c r="U32" s="103">
        <v>40</v>
      </c>
      <c r="V32" s="103"/>
      <c r="W32" s="103">
        <f t="shared" si="24"/>
        <v>281.77499999999998</v>
      </c>
      <c r="X32" s="152"/>
      <c r="Y32" s="152">
        <v>7.4999999999999997E-2</v>
      </c>
      <c r="Z32" s="153">
        <v>3757</v>
      </c>
      <c r="AA32" s="103">
        <v>135</v>
      </c>
      <c r="AB32" s="103">
        <f t="shared" si="25"/>
        <v>376.5</v>
      </c>
      <c r="AC32" s="154">
        <v>0.6</v>
      </c>
      <c r="AD32" s="103">
        <v>95</v>
      </c>
      <c r="AE32" s="103">
        <f t="shared" ref="AE32:AE33" si="26">D32-I32-J32-N32-O32-Q32-W32-AA32-AB32-AD32-AC32*E32+M32-U32-P32</f>
        <v>814.38749999999982</v>
      </c>
      <c r="AF32" s="103">
        <f t="shared" ref="AF32:AF33" si="27">AC32*E32+K32-L32</f>
        <v>2259</v>
      </c>
    </row>
    <row r="33" spans="1:32">
      <c r="A33" s="187" t="s">
        <v>574</v>
      </c>
      <c r="B33" s="208">
        <v>191280</v>
      </c>
      <c r="C33" s="112">
        <v>7</v>
      </c>
      <c r="D33" s="103">
        <v>6082</v>
      </c>
      <c r="E33" s="102">
        <f t="shared" si="21"/>
        <v>3130</v>
      </c>
      <c r="F33" s="117">
        <v>2981</v>
      </c>
      <c r="G33" s="117">
        <v>149</v>
      </c>
      <c r="H33" s="128">
        <f t="shared" si="22"/>
        <v>1.9431309904153355</v>
      </c>
      <c r="I33" s="128">
        <v>2531.11</v>
      </c>
      <c r="J33" s="128">
        <v>31.86</v>
      </c>
      <c r="K33" s="103"/>
      <c r="L33" s="103"/>
      <c r="M33" s="146">
        <v>155.44999999999999</v>
      </c>
      <c r="N33" s="103">
        <f t="shared" si="23"/>
        <v>51.697000000000003</v>
      </c>
      <c r="O33" s="103">
        <v>7</v>
      </c>
      <c r="P33" s="103"/>
      <c r="Q33" s="103">
        <v>881.75</v>
      </c>
      <c r="R33" s="103"/>
      <c r="S33" s="103">
        <v>0</v>
      </c>
      <c r="T33" s="103"/>
      <c r="U33" s="103">
        <v>40</v>
      </c>
      <c r="V33" s="103"/>
      <c r="W33" s="103">
        <f t="shared" si="24"/>
        <v>238.57499999999999</v>
      </c>
      <c r="X33" s="152"/>
      <c r="Y33" s="152">
        <v>7.4999999999999997E-2</v>
      </c>
      <c r="Z33" s="153">
        <v>3181</v>
      </c>
      <c r="AA33" s="103">
        <v>135</v>
      </c>
      <c r="AB33" s="103">
        <f t="shared" si="25"/>
        <v>313</v>
      </c>
      <c r="AC33" s="154">
        <v>0.6</v>
      </c>
      <c r="AD33" s="108">
        <v>95</v>
      </c>
      <c r="AE33" s="103">
        <f t="shared" si="26"/>
        <v>34.457999999999799</v>
      </c>
      <c r="AF33" s="103">
        <f t="shared" si="27"/>
        <v>1878</v>
      </c>
    </row>
    <row r="34" spans="1:32">
      <c r="A34" s="187" t="s">
        <v>550</v>
      </c>
      <c r="B34" s="208">
        <v>191281</v>
      </c>
      <c r="C34" s="112">
        <v>7</v>
      </c>
      <c r="D34" s="103">
        <v>7660</v>
      </c>
      <c r="E34" s="102">
        <f t="shared" si="21"/>
        <v>3859</v>
      </c>
      <c r="F34" s="117">
        <v>3711</v>
      </c>
      <c r="G34" s="117">
        <v>148</v>
      </c>
      <c r="H34" s="128">
        <f t="shared" si="22"/>
        <v>1.984970199533558</v>
      </c>
      <c r="I34" s="128">
        <v>2531.4499999999998</v>
      </c>
      <c r="J34" s="128">
        <v>124.51</v>
      </c>
      <c r="K34" s="103"/>
      <c r="L34" s="103"/>
      <c r="M34" s="146">
        <v>35.549999999999997</v>
      </c>
      <c r="N34" s="103">
        <f t="shared" si="23"/>
        <v>65.11</v>
      </c>
      <c r="O34" s="103">
        <v>7</v>
      </c>
      <c r="P34" s="103"/>
      <c r="Q34" s="103">
        <v>881.75</v>
      </c>
      <c r="R34" s="103"/>
      <c r="S34" s="103">
        <v>0</v>
      </c>
      <c r="T34" s="103"/>
      <c r="U34" s="103">
        <v>40</v>
      </c>
      <c r="V34" s="103"/>
      <c r="W34" s="103">
        <f t="shared" si="24"/>
        <v>297.45</v>
      </c>
      <c r="X34" s="152"/>
      <c r="Y34" s="152">
        <v>7.4999999999999997E-2</v>
      </c>
      <c r="Z34" s="153">
        <v>3966</v>
      </c>
      <c r="AA34" s="103">
        <v>135</v>
      </c>
      <c r="AB34" s="103">
        <f t="shared" si="25"/>
        <v>385.90000000000003</v>
      </c>
      <c r="AC34" s="154">
        <v>0.55000000000000004</v>
      </c>
      <c r="AD34" s="103">
        <v>95</v>
      </c>
      <c r="AE34" s="103">
        <f>D34-I34-J34-N34-O34-Q34-W34-AA34-AB34-AD34-AC34*E34+M34-U34</f>
        <v>1009.9300000000001</v>
      </c>
      <c r="AF34" s="103">
        <f>AC34*E34</f>
        <v>2122.4500000000003</v>
      </c>
    </row>
    <row r="35" spans="1:32">
      <c r="A35" s="196" t="s">
        <v>585</v>
      </c>
      <c r="B35" s="205">
        <v>191283</v>
      </c>
      <c r="C35" s="112"/>
      <c r="D35" s="103"/>
      <c r="E35" s="102">
        <f t="shared" si="21"/>
        <v>0</v>
      </c>
      <c r="F35" s="112"/>
      <c r="G35" s="112"/>
      <c r="H35" s="128"/>
      <c r="I35" s="128"/>
      <c r="J35" s="128"/>
      <c r="K35" s="103"/>
      <c r="L35" s="103"/>
      <c r="M35" s="146"/>
      <c r="N35" s="103">
        <f t="shared" si="23"/>
        <v>0</v>
      </c>
      <c r="O35" s="103">
        <v>7</v>
      </c>
      <c r="P35" s="103">
        <v>1500</v>
      </c>
      <c r="Q35" s="103">
        <v>881.75</v>
      </c>
      <c r="R35" s="103"/>
      <c r="S35" s="103">
        <v>0</v>
      </c>
      <c r="T35" s="103"/>
      <c r="U35" s="103">
        <v>40</v>
      </c>
      <c r="V35" s="103"/>
      <c r="W35" s="103">
        <f t="shared" si="24"/>
        <v>0</v>
      </c>
      <c r="X35" s="152"/>
      <c r="Y35" s="152">
        <v>7.4999999999999997E-2</v>
      </c>
      <c r="Z35" s="153"/>
      <c r="AA35" s="103">
        <v>135</v>
      </c>
      <c r="AB35" s="103">
        <f t="shared" si="25"/>
        <v>0</v>
      </c>
      <c r="AC35" s="213">
        <v>0.27</v>
      </c>
      <c r="AD35" s="103">
        <v>95</v>
      </c>
      <c r="AE35" s="103">
        <f t="shared" ref="AE35:AE36" si="28">D35-I35-N35-Q35-U35-W35-AA35-AB35-AD35-AF35-L35-P35</f>
        <v>-2651.75</v>
      </c>
      <c r="AF35" s="103">
        <f t="shared" ref="AF35:AF36" si="29">D35*AC35+L35</f>
        <v>0</v>
      </c>
    </row>
    <row r="36" spans="1:32">
      <c r="A36" s="184" t="s">
        <v>634</v>
      </c>
      <c r="B36" s="208">
        <v>465180</v>
      </c>
      <c r="C36" s="112"/>
      <c r="D36" s="103">
        <v>3400</v>
      </c>
      <c r="E36" s="102">
        <f t="shared" si="21"/>
        <v>1881</v>
      </c>
      <c r="F36" s="117">
        <v>1784</v>
      </c>
      <c r="G36" s="117">
        <v>97</v>
      </c>
      <c r="H36" s="128">
        <f t="shared" ref="H36:H39" si="30">D36/E36</f>
        <v>1.8075491759702287</v>
      </c>
      <c r="I36" s="128">
        <v>1464.09</v>
      </c>
      <c r="J36" s="128">
        <v>156.1</v>
      </c>
      <c r="K36" s="103"/>
      <c r="L36" s="103"/>
      <c r="M36" s="146">
        <v>130.72</v>
      </c>
      <c r="N36" s="103">
        <f t="shared" si="23"/>
        <v>28.900000000000002</v>
      </c>
      <c r="O36" s="103">
        <v>7</v>
      </c>
      <c r="P36" s="103"/>
      <c r="Q36" s="103">
        <v>881.75</v>
      </c>
      <c r="R36" s="103"/>
      <c r="S36" s="103">
        <v>0</v>
      </c>
      <c r="T36" s="103"/>
      <c r="U36" s="103">
        <v>40</v>
      </c>
      <c r="V36" s="103"/>
      <c r="W36" s="103">
        <f t="shared" si="24"/>
        <v>173.77500000000001</v>
      </c>
      <c r="X36" s="152"/>
      <c r="Y36" s="152">
        <v>7.4999999999999997E-2</v>
      </c>
      <c r="Z36" s="153">
        <v>2317</v>
      </c>
      <c r="AA36" s="103">
        <v>135</v>
      </c>
      <c r="AB36" s="103">
        <f t="shared" si="25"/>
        <v>188.10000000000002</v>
      </c>
      <c r="AC36" s="213">
        <v>0.27</v>
      </c>
      <c r="AD36" s="103">
        <v>95</v>
      </c>
      <c r="AE36" s="103">
        <f t="shared" si="28"/>
        <v>-524.61500000000012</v>
      </c>
      <c r="AF36" s="103">
        <f t="shared" si="29"/>
        <v>918.00000000000011</v>
      </c>
    </row>
    <row r="37" spans="1:32">
      <c r="A37" s="190" t="s">
        <v>491</v>
      </c>
      <c r="B37" s="185">
        <v>465181</v>
      </c>
      <c r="C37" s="117">
        <v>6</v>
      </c>
      <c r="D37" s="103">
        <v>7825</v>
      </c>
      <c r="E37" s="102">
        <f t="shared" si="21"/>
        <v>3714</v>
      </c>
      <c r="F37" s="112">
        <v>3502</v>
      </c>
      <c r="G37" s="112">
        <v>212</v>
      </c>
      <c r="H37" s="128">
        <f t="shared" si="30"/>
        <v>2.1068928379106087</v>
      </c>
      <c r="I37" s="146">
        <v>2150.5100000000002</v>
      </c>
      <c r="J37" s="128">
        <v>332.92</v>
      </c>
      <c r="K37" s="128"/>
      <c r="L37" s="128"/>
      <c r="M37" s="146">
        <v>12.9</v>
      </c>
      <c r="N37" s="103">
        <f t="shared" si="23"/>
        <v>66.512500000000003</v>
      </c>
      <c r="O37" s="103">
        <v>7</v>
      </c>
      <c r="P37" s="103"/>
      <c r="Q37" s="103">
        <v>881.75</v>
      </c>
      <c r="R37" s="103"/>
      <c r="S37" s="103">
        <v>0</v>
      </c>
      <c r="T37" s="103"/>
      <c r="U37" s="103">
        <v>40</v>
      </c>
      <c r="V37" s="103"/>
      <c r="W37" s="103">
        <f t="shared" si="24"/>
        <v>270.96300000000002</v>
      </c>
      <c r="X37" s="152"/>
      <c r="Y37" s="152">
        <v>7.6999999999999999E-2</v>
      </c>
      <c r="Z37" s="153">
        <v>3519</v>
      </c>
      <c r="AA37" s="103">
        <v>135</v>
      </c>
      <c r="AB37" s="103">
        <f t="shared" si="25"/>
        <v>371.40000000000003</v>
      </c>
      <c r="AC37" s="154">
        <v>0.6</v>
      </c>
      <c r="AD37" s="103">
        <v>95</v>
      </c>
      <c r="AE37" s="103">
        <f>D37-I37-J37-N37-O37-Q37-W37-AA37-AB37-AD37-AC37*E37+M37-U37-P37-K37+L37</f>
        <v>1258.4445000000001</v>
      </c>
      <c r="AF37" s="103">
        <f>AC37*E37+K37</f>
        <v>2228.4</v>
      </c>
    </row>
    <row r="38" spans="1:32">
      <c r="A38" s="190" t="s">
        <v>555</v>
      </c>
      <c r="B38" s="208">
        <v>465182</v>
      </c>
      <c r="C38" s="112">
        <v>7</v>
      </c>
      <c r="D38" s="103">
        <v>6600</v>
      </c>
      <c r="E38" s="102">
        <f t="shared" si="21"/>
        <v>3186</v>
      </c>
      <c r="F38" s="112">
        <v>3005</v>
      </c>
      <c r="G38" s="112">
        <v>181</v>
      </c>
      <c r="H38" s="128">
        <f t="shared" si="30"/>
        <v>2.0715630885122409</v>
      </c>
      <c r="I38" s="128">
        <v>1700.84</v>
      </c>
      <c r="J38" s="128">
        <v>146.19999999999999</v>
      </c>
      <c r="K38" s="103"/>
      <c r="L38" s="103"/>
      <c r="M38" s="146">
        <v>40.1</v>
      </c>
      <c r="N38" s="103">
        <f t="shared" si="23"/>
        <v>56.1</v>
      </c>
      <c r="O38" s="103">
        <v>7</v>
      </c>
      <c r="P38" s="103">
        <v>185</v>
      </c>
      <c r="Q38" s="103">
        <v>881.75</v>
      </c>
      <c r="R38" s="103"/>
      <c r="S38" s="103">
        <v>0</v>
      </c>
      <c r="T38" s="103"/>
      <c r="U38" s="103">
        <v>40</v>
      </c>
      <c r="V38" s="103"/>
      <c r="W38" s="103">
        <f t="shared" si="24"/>
        <v>255.33199999999999</v>
      </c>
      <c r="X38" s="152"/>
      <c r="Y38" s="152">
        <v>7.6999999999999999E-2</v>
      </c>
      <c r="Z38" s="153">
        <v>3316</v>
      </c>
      <c r="AA38" s="103">
        <v>135</v>
      </c>
      <c r="AB38" s="103">
        <f t="shared" si="25"/>
        <v>318.60000000000002</v>
      </c>
      <c r="AC38" s="213">
        <v>0.27</v>
      </c>
      <c r="AD38" s="103">
        <v>95</v>
      </c>
      <c r="AE38" s="103">
        <f t="shared" ref="AE38:AE39" si="31">D38-I38-N38-Q38-U38-W38-AA38-AB38-AD38-AF38-P38+L38</f>
        <v>1150.3779999999995</v>
      </c>
      <c r="AF38" s="103">
        <f t="shared" ref="AF38:AF39" si="32">D38*AC38+L38</f>
        <v>1782.0000000000002</v>
      </c>
    </row>
    <row r="39" spans="1:32">
      <c r="A39" s="198" t="s">
        <v>540</v>
      </c>
      <c r="B39" s="208">
        <v>465183</v>
      </c>
      <c r="C39" s="117"/>
      <c r="D39" s="103">
        <v>7175</v>
      </c>
      <c r="E39" s="102">
        <f t="shared" si="21"/>
        <v>3688</v>
      </c>
      <c r="F39" s="112">
        <v>3391</v>
      </c>
      <c r="G39" s="112">
        <v>297</v>
      </c>
      <c r="H39" s="128">
        <f t="shared" si="30"/>
        <v>1.9454989154013016</v>
      </c>
      <c r="I39" s="128">
        <v>3416.82</v>
      </c>
      <c r="J39" s="128">
        <v>68.290000000000006</v>
      </c>
      <c r="K39" s="128"/>
      <c r="L39" s="128"/>
      <c r="M39" s="146">
        <v>129.53</v>
      </c>
      <c r="N39" s="103">
        <f t="shared" si="23"/>
        <v>60.987500000000004</v>
      </c>
      <c r="O39" s="103">
        <v>7</v>
      </c>
      <c r="P39" s="103">
        <v>176.29</v>
      </c>
      <c r="Q39" s="103">
        <v>881.75</v>
      </c>
      <c r="R39" s="103"/>
      <c r="S39" s="103">
        <v>0</v>
      </c>
      <c r="T39" s="103"/>
      <c r="U39" s="103">
        <v>40</v>
      </c>
      <c r="V39" s="103"/>
      <c r="W39" s="103">
        <f t="shared" si="24"/>
        <v>291.52199999999999</v>
      </c>
      <c r="X39" s="152"/>
      <c r="Y39" s="152">
        <v>7.6999999999999999E-2</v>
      </c>
      <c r="Z39" s="153">
        <v>3786</v>
      </c>
      <c r="AA39" s="103">
        <v>135</v>
      </c>
      <c r="AB39" s="103">
        <f t="shared" si="25"/>
        <v>368.8</v>
      </c>
      <c r="AC39" s="213">
        <v>0.27</v>
      </c>
      <c r="AD39" s="103">
        <v>95</v>
      </c>
      <c r="AE39" s="103">
        <f t="shared" si="31"/>
        <v>-228.41950000000045</v>
      </c>
      <c r="AF39" s="103">
        <f t="shared" si="32"/>
        <v>1937.2500000000002</v>
      </c>
    </row>
    <row r="40" spans="1:32">
      <c r="A40" s="187"/>
      <c r="B40" s="205">
        <v>465185</v>
      </c>
      <c r="C40" s="117"/>
      <c r="D40" s="103"/>
      <c r="E40" s="102">
        <f t="shared" si="21"/>
        <v>0</v>
      </c>
      <c r="F40" s="112"/>
      <c r="G40" s="112"/>
      <c r="H40" s="128"/>
      <c r="I40" s="128"/>
      <c r="J40" s="128"/>
      <c r="K40" s="128"/>
      <c r="L40" s="128"/>
      <c r="M40" s="146"/>
      <c r="N40" s="103">
        <f t="shared" si="23"/>
        <v>0</v>
      </c>
      <c r="O40" s="103">
        <v>7</v>
      </c>
      <c r="P40" s="103"/>
      <c r="Q40" s="103">
        <v>881.75</v>
      </c>
      <c r="R40" s="103"/>
      <c r="S40" s="103">
        <v>0</v>
      </c>
      <c r="T40" s="103"/>
      <c r="U40" s="103">
        <v>40</v>
      </c>
      <c r="V40" s="103"/>
      <c r="W40" s="103">
        <f t="shared" si="24"/>
        <v>0</v>
      </c>
      <c r="X40" s="152"/>
      <c r="Y40" s="152">
        <v>7.6999999999999999E-2</v>
      </c>
      <c r="Z40" s="153"/>
      <c r="AA40" s="103">
        <v>135</v>
      </c>
      <c r="AB40" s="103">
        <f t="shared" si="25"/>
        <v>0</v>
      </c>
      <c r="AC40" s="213">
        <v>0.27</v>
      </c>
      <c r="AD40" s="103">
        <v>95</v>
      </c>
      <c r="AE40" s="103">
        <f t="shared" ref="AE40:AE41" si="33">D40-I40-N40-Q40-U40-W40-AA40-AB40-AD40-AF40-P40</f>
        <v>-1151.75</v>
      </c>
      <c r="AF40" s="103">
        <f t="shared" ref="AF40:AF41" si="34">D40*AC40</f>
        <v>0</v>
      </c>
    </row>
    <row r="41" spans="1:32">
      <c r="A41" s="198" t="s">
        <v>635</v>
      </c>
      <c r="B41" s="208">
        <v>465186</v>
      </c>
      <c r="C41" s="112">
        <v>3</v>
      </c>
      <c r="D41" s="103">
        <v>1900</v>
      </c>
      <c r="E41" s="102">
        <f t="shared" si="21"/>
        <v>819</v>
      </c>
      <c r="F41" s="112">
        <v>800</v>
      </c>
      <c r="G41" s="112">
        <v>19</v>
      </c>
      <c r="H41" s="128">
        <f t="shared" ref="H41:H51" si="35">D41/E41</f>
        <v>2.3199023199023201</v>
      </c>
      <c r="I41" s="128">
        <v>1558.94</v>
      </c>
      <c r="J41" s="128">
        <v>17</v>
      </c>
      <c r="K41" s="128"/>
      <c r="L41" s="128"/>
      <c r="M41" s="146">
        <v>142.63999999999999</v>
      </c>
      <c r="N41" s="103">
        <f t="shared" si="23"/>
        <v>16.150000000000002</v>
      </c>
      <c r="O41" s="103">
        <v>7</v>
      </c>
      <c r="P41" s="103"/>
      <c r="Q41" s="103">
        <v>881.75</v>
      </c>
      <c r="R41" s="103"/>
      <c r="S41" s="103">
        <v>0</v>
      </c>
      <c r="T41" s="103"/>
      <c r="U41" s="103">
        <v>40</v>
      </c>
      <c r="V41" s="103"/>
      <c r="W41" s="103">
        <f t="shared" si="24"/>
        <v>48.894999999999996</v>
      </c>
      <c r="X41" s="152"/>
      <c r="Y41" s="152">
        <v>7.6999999999999999E-2</v>
      </c>
      <c r="Z41" s="153">
        <v>635</v>
      </c>
      <c r="AA41" s="103">
        <v>135</v>
      </c>
      <c r="AB41" s="103">
        <f t="shared" si="25"/>
        <v>81.900000000000006</v>
      </c>
      <c r="AC41" s="213">
        <v>0.27</v>
      </c>
      <c r="AD41" s="103">
        <v>95</v>
      </c>
      <c r="AE41" s="103">
        <f t="shared" si="33"/>
        <v>-1470.635</v>
      </c>
      <c r="AF41" s="103">
        <f t="shared" si="34"/>
        <v>513</v>
      </c>
    </row>
    <row r="42" spans="1:32">
      <c r="A42" s="187" t="s">
        <v>439</v>
      </c>
      <c r="B42" s="185">
        <v>465187</v>
      </c>
      <c r="C42" s="117">
        <v>7</v>
      </c>
      <c r="D42" s="103">
        <v>13325</v>
      </c>
      <c r="E42" s="102">
        <f t="shared" si="21"/>
        <v>6516</v>
      </c>
      <c r="F42" s="112">
        <v>5924</v>
      </c>
      <c r="G42" s="112">
        <v>592</v>
      </c>
      <c r="H42" s="128">
        <f t="shared" si="35"/>
        <v>2.0449662369551871</v>
      </c>
      <c r="I42" s="128">
        <v>3985.91</v>
      </c>
      <c r="J42" s="128"/>
      <c r="K42" s="128"/>
      <c r="L42" s="128"/>
      <c r="M42" s="146">
        <v>172.59</v>
      </c>
      <c r="N42" s="103">
        <f t="shared" si="23"/>
        <v>113.2625</v>
      </c>
      <c r="O42" s="103">
        <v>7</v>
      </c>
      <c r="P42" s="103">
        <v>557.75</v>
      </c>
      <c r="Q42" s="103">
        <v>881.75</v>
      </c>
      <c r="R42" s="103"/>
      <c r="S42" s="103">
        <v>0</v>
      </c>
      <c r="T42" s="103"/>
      <c r="U42" s="103">
        <v>40</v>
      </c>
      <c r="V42" s="103"/>
      <c r="W42" s="103">
        <f t="shared" si="24"/>
        <v>510.35599999999999</v>
      </c>
      <c r="X42" s="152"/>
      <c r="Y42" s="152">
        <v>7.6999999999999999E-2</v>
      </c>
      <c r="Z42" s="153">
        <v>6628</v>
      </c>
      <c r="AA42" s="103">
        <v>135</v>
      </c>
      <c r="AB42" s="103">
        <f t="shared" si="25"/>
        <v>651.6</v>
      </c>
      <c r="AC42" s="154">
        <v>0.6</v>
      </c>
      <c r="AD42" s="103">
        <v>95</v>
      </c>
      <c r="AE42" s="103">
        <f>D42-I42-J42-N42-O42-Q42-W42-AA42-AB42-AD42-AC42*E42+M42-U42-P42-K42</f>
        <v>2610.3614999999995</v>
      </c>
      <c r="AF42" s="103">
        <f>AC42*E42</f>
        <v>3909.6</v>
      </c>
    </row>
    <row r="43" spans="1:32">
      <c r="A43" s="187" t="s">
        <v>636</v>
      </c>
      <c r="B43" s="208">
        <v>465189</v>
      </c>
      <c r="C43" s="112">
        <v>3</v>
      </c>
      <c r="D43" s="103">
        <v>2800</v>
      </c>
      <c r="E43" s="102">
        <f t="shared" si="21"/>
        <v>1175</v>
      </c>
      <c r="F43" s="117">
        <v>1032</v>
      </c>
      <c r="G43" s="112">
        <v>143</v>
      </c>
      <c r="H43" s="128">
        <f t="shared" si="35"/>
        <v>2.3829787234042552</v>
      </c>
      <c r="I43" s="146">
        <v>1536.13</v>
      </c>
      <c r="J43" s="128">
        <v>16.850000000000001</v>
      </c>
      <c r="K43" s="103"/>
      <c r="L43" s="103"/>
      <c r="M43" s="146">
        <v>87.35</v>
      </c>
      <c r="N43" s="103">
        <f t="shared" si="23"/>
        <v>23.8</v>
      </c>
      <c r="O43" s="103">
        <v>7</v>
      </c>
      <c r="P43" s="103">
        <v>55.19</v>
      </c>
      <c r="Q43" s="103">
        <v>881.75</v>
      </c>
      <c r="R43" s="103"/>
      <c r="S43" s="103">
        <v>0</v>
      </c>
      <c r="T43" s="103"/>
      <c r="U43" s="103">
        <v>40</v>
      </c>
      <c r="V43" s="103"/>
      <c r="W43" s="103">
        <f t="shared" si="24"/>
        <v>96.524999999999991</v>
      </c>
      <c r="X43" s="152"/>
      <c r="Y43" s="152">
        <v>7.4999999999999997E-2</v>
      </c>
      <c r="Z43" s="153">
        <v>1287</v>
      </c>
      <c r="AA43" s="103">
        <v>135</v>
      </c>
      <c r="AB43" s="103">
        <f t="shared" si="25"/>
        <v>117.5</v>
      </c>
      <c r="AC43" s="213">
        <v>0.27</v>
      </c>
      <c r="AD43" s="103">
        <v>95</v>
      </c>
      <c r="AE43" s="103">
        <f>D43-I43-N43-Q43-U43-W43-AA43-AB43-AD43-AF43-P43</f>
        <v>-936.89499999999998</v>
      </c>
      <c r="AF43" s="103">
        <f>D43*AC43</f>
        <v>756</v>
      </c>
    </row>
    <row r="44" spans="1:32">
      <c r="A44" s="215" t="s">
        <v>587</v>
      </c>
      <c r="B44" s="216">
        <v>191275</v>
      </c>
      <c r="C44" s="217">
        <v>7</v>
      </c>
      <c r="D44" s="218">
        <v>6915</v>
      </c>
      <c r="E44" s="237">
        <f t="shared" si="21"/>
        <v>3471</v>
      </c>
      <c r="F44" s="217">
        <v>3371</v>
      </c>
      <c r="G44" s="217">
        <v>100</v>
      </c>
      <c r="H44" s="128">
        <f t="shared" si="35"/>
        <v>1.9922212618841832</v>
      </c>
      <c r="I44" s="220">
        <v>2048.25</v>
      </c>
      <c r="J44" s="221"/>
      <c r="K44" s="221"/>
      <c r="L44" s="221"/>
      <c r="M44" s="220">
        <v>7.79</v>
      </c>
      <c r="N44" s="218">
        <f t="shared" si="23"/>
        <v>58.777500000000003</v>
      </c>
      <c r="O44" s="218">
        <v>7</v>
      </c>
      <c r="P44" s="218"/>
      <c r="Q44" s="218">
        <v>881.75</v>
      </c>
      <c r="R44" s="218">
        <v>50</v>
      </c>
      <c r="S44" s="218">
        <v>1200</v>
      </c>
      <c r="T44" s="218">
        <v>30</v>
      </c>
      <c r="U44" s="218">
        <v>40</v>
      </c>
      <c r="V44" s="218">
        <v>300</v>
      </c>
      <c r="W44" s="218">
        <f t="shared" si="24"/>
        <v>260.47499999999997</v>
      </c>
      <c r="X44" s="218">
        <f t="shared" ref="X44:X50" si="36">0.15*Z44</f>
        <v>520.94999999999993</v>
      </c>
      <c r="Y44" s="222">
        <v>7.4999999999999997E-2</v>
      </c>
      <c r="Z44" s="219" t="s">
        <v>637</v>
      </c>
      <c r="AA44" s="218">
        <v>135</v>
      </c>
      <c r="AB44" s="218">
        <f t="shared" si="25"/>
        <v>347.1</v>
      </c>
      <c r="AC44" s="223">
        <v>0.87</v>
      </c>
      <c r="AD44" s="218">
        <v>95</v>
      </c>
      <c r="AE44" s="103">
        <f t="shared" ref="AE44:AE50" si="37">D44*13%+R44+T44+S44+V44-Q44-W44-AA44-AD44+X44-N44+M44-U44</f>
        <v>1536.6874999999998</v>
      </c>
      <c r="AF44" s="103">
        <f t="shared" ref="AF44:AF50" si="38">D44*AC44-I44-J44-S44-R44-T44-V44-X44</f>
        <v>1866.8500000000004</v>
      </c>
    </row>
    <row r="45" spans="1:32">
      <c r="A45" s="229" t="s">
        <v>624</v>
      </c>
      <c r="B45" s="216">
        <v>191276</v>
      </c>
      <c r="C45" s="217">
        <v>7</v>
      </c>
      <c r="D45" s="218">
        <v>7400</v>
      </c>
      <c r="E45" s="237">
        <f t="shared" si="21"/>
        <v>3177</v>
      </c>
      <c r="F45" s="217">
        <v>3038</v>
      </c>
      <c r="G45" s="217">
        <v>139</v>
      </c>
      <c r="H45" s="128">
        <f t="shared" si="35"/>
        <v>2.329241422725842</v>
      </c>
      <c r="I45" s="220">
        <v>2201.84</v>
      </c>
      <c r="J45" s="221">
        <v>146.13999999999999</v>
      </c>
      <c r="K45" s="221"/>
      <c r="L45" s="221"/>
      <c r="M45" s="220">
        <v>161.49</v>
      </c>
      <c r="N45" s="218">
        <f t="shared" si="23"/>
        <v>62.900000000000006</v>
      </c>
      <c r="O45" s="218"/>
      <c r="P45" s="218"/>
      <c r="Q45" s="218">
        <v>881.75</v>
      </c>
      <c r="R45" s="218">
        <v>50</v>
      </c>
      <c r="S45" s="218">
        <v>1050</v>
      </c>
      <c r="T45" s="218">
        <v>30</v>
      </c>
      <c r="U45" s="218">
        <v>40</v>
      </c>
      <c r="V45" s="218">
        <v>400</v>
      </c>
      <c r="W45" s="218">
        <f t="shared" si="24"/>
        <v>289.27499999999998</v>
      </c>
      <c r="X45" s="218">
        <f t="shared" si="36"/>
        <v>578.54999999999995</v>
      </c>
      <c r="Y45" s="222">
        <v>7.4999999999999997E-2</v>
      </c>
      <c r="Z45" s="219" t="s">
        <v>638</v>
      </c>
      <c r="AA45" s="218">
        <v>135</v>
      </c>
      <c r="AB45" s="218">
        <f t="shared" si="25"/>
        <v>317.70000000000005</v>
      </c>
      <c r="AC45" s="223">
        <v>0.87</v>
      </c>
      <c r="AD45" s="218">
        <v>95</v>
      </c>
      <c r="AE45" s="103">
        <f t="shared" si="37"/>
        <v>1728.1149999999998</v>
      </c>
      <c r="AF45" s="103">
        <f t="shared" si="38"/>
        <v>1981.47</v>
      </c>
    </row>
    <row r="46" spans="1:32">
      <c r="A46" s="229" t="s">
        <v>435</v>
      </c>
      <c r="B46" s="216">
        <v>191282</v>
      </c>
      <c r="C46" s="217">
        <v>7</v>
      </c>
      <c r="D46" s="218">
        <v>9100</v>
      </c>
      <c r="E46" s="237">
        <f t="shared" si="21"/>
        <v>4541</v>
      </c>
      <c r="F46" s="217">
        <v>4328</v>
      </c>
      <c r="G46" s="217">
        <v>213</v>
      </c>
      <c r="H46" s="128">
        <f t="shared" si="35"/>
        <v>2.003963884606915</v>
      </c>
      <c r="I46" s="220">
        <v>2976.78</v>
      </c>
      <c r="J46" s="221">
        <v>177.95</v>
      </c>
      <c r="K46" s="221"/>
      <c r="L46" s="221"/>
      <c r="M46" s="220">
        <v>32.520000000000003</v>
      </c>
      <c r="N46" s="218">
        <f t="shared" si="23"/>
        <v>77.350000000000009</v>
      </c>
      <c r="O46" s="218">
        <v>7</v>
      </c>
      <c r="P46" s="218"/>
      <c r="Q46" s="218">
        <v>881.75</v>
      </c>
      <c r="R46" s="218">
        <v>50</v>
      </c>
      <c r="S46" s="218">
        <v>1200</v>
      </c>
      <c r="T46" s="218">
        <v>30</v>
      </c>
      <c r="U46" s="218">
        <v>40</v>
      </c>
      <c r="V46" s="218">
        <v>300</v>
      </c>
      <c r="W46" s="218">
        <f t="shared" si="24"/>
        <v>370.83199999999999</v>
      </c>
      <c r="X46" s="218">
        <f t="shared" si="36"/>
        <v>722.4</v>
      </c>
      <c r="Y46" s="222">
        <v>7.6999999999999999E-2</v>
      </c>
      <c r="Z46" s="219" t="s">
        <v>639</v>
      </c>
      <c r="AA46" s="218">
        <v>135</v>
      </c>
      <c r="AB46" s="218">
        <f t="shared" si="25"/>
        <v>454.1</v>
      </c>
      <c r="AC46" s="223">
        <v>0.87</v>
      </c>
      <c r="AD46" s="218">
        <v>95</v>
      </c>
      <c r="AE46" s="103">
        <f t="shared" si="37"/>
        <v>1917.9880000000003</v>
      </c>
      <c r="AF46" s="103">
        <f t="shared" si="38"/>
        <v>2459.8699999999994</v>
      </c>
    </row>
    <row r="47" spans="1:32">
      <c r="A47" s="229" t="s">
        <v>590</v>
      </c>
      <c r="B47" s="216">
        <v>465184</v>
      </c>
      <c r="C47" s="217">
        <v>5</v>
      </c>
      <c r="D47" s="218">
        <v>6977</v>
      </c>
      <c r="E47" s="237">
        <f t="shared" si="21"/>
        <v>3437</v>
      </c>
      <c r="F47" s="217">
        <v>3393</v>
      </c>
      <c r="G47" s="217">
        <v>44</v>
      </c>
      <c r="H47" s="128">
        <f t="shared" si="35"/>
        <v>2.0299679953447773</v>
      </c>
      <c r="I47" s="220">
        <v>1987.69</v>
      </c>
      <c r="J47" s="221">
        <v>132.85</v>
      </c>
      <c r="K47" s="221"/>
      <c r="L47" s="221"/>
      <c r="M47" s="220">
        <v>46.73</v>
      </c>
      <c r="N47" s="218">
        <f t="shared" si="23"/>
        <v>59.304500000000004</v>
      </c>
      <c r="O47" s="218">
        <v>7</v>
      </c>
      <c r="P47" s="218"/>
      <c r="Q47" s="218">
        <v>881.75</v>
      </c>
      <c r="R47" s="218">
        <v>50</v>
      </c>
      <c r="S47" s="218">
        <v>1050</v>
      </c>
      <c r="T47" s="218">
        <v>30</v>
      </c>
      <c r="U47" s="218">
        <v>40</v>
      </c>
      <c r="V47" s="218">
        <v>400</v>
      </c>
      <c r="W47" s="218">
        <f t="shared" si="24"/>
        <v>246.01499999999999</v>
      </c>
      <c r="X47" s="218">
        <f t="shared" si="36"/>
        <v>479.25</v>
      </c>
      <c r="Y47" s="222">
        <v>7.6999999999999999E-2</v>
      </c>
      <c r="Z47" s="219" t="s">
        <v>640</v>
      </c>
      <c r="AA47" s="218">
        <v>135</v>
      </c>
      <c r="AB47" s="218">
        <f t="shared" si="25"/>
        <v>343.70000000000005</v>
      </c>
      <c r="AC47" s="223">
        <v>0.87</v>
      </c>
      <c r="AD47" s="218">
        <v>95</v>
      </c>
      <c r="AE47" s="103">
        <f t="shared" si="37"/>
        <v>1505.9205000000004</v>
      </c>
      <c r="AF47" s="103">
        <f t="shared" si="38"/>
        <v>1940.1999999999998</v>
      </c>
    </row>
    <row r="48" spans="1:32">
      <c r="A48" s="229" t="s">
        <v>628</v>
      </c>
      <c r="B48" s="216">
        <v>191278</v>
      </c>
      <c r="C48" s="217">
        <v>7</v>
      </c>
      <c r="D48" s="218">
        <v>4170</v>
      </c>
      <c r="E48" s="237">
        <f t="shared" si="21"/>
        <v>2219</v>
      </c>
      <c r="F48" s="217">
        <v>1957</v>
      </c>
      <c r="G48" s="217">
        <v>262</v>
      </c>
      <c r="H48" s="128">
        <f t="shared" si="35"/>
        <v>1.8792248760703019</v>
      </c>
      <c r="I48" s="220">
        <v>1836.13</v>
      </c>
      <c r="J48" s="221">
        <v>66.599999999999994</v>
      </c>
      <c r="K48" s="221"/>
      <c r="L48" s="221"/>
      <c r="M48" s="220">
        <v>31.77</v>
      </c>
      <c r="N48" s="218">
        <f t="shared" si="23"/>
        <v>35.445</v>
      </c>
      <c r="O48" s="218">
        <v>7</v>
      </c>
      <c r="P48" s="218">
        <v>324</v>
      </c>
      <c r="Q48" s="218">
        <v>881.75</v>
      </c>
      <c r="R48" s="218">
        <v>50</v>
      </c>
      <c r="S48" s="218">
        <v>1050</v>
      </c>
      <c r="T48" s="218">
        <v>30</v>
      </c>
      <c r="U48" s="218">
        <v>40</v>
      </c>
      <c r="V48" s="218">
        <v>400</v>
      </c>
      <c r="W48" s="218">
        <f t="shared" si="24"/>
        <v>182.56700000000001</v>
      </c>
      <c r="X48" s="218">
        <f t="shared" si="36"/>
        <v>355.65</v>
      </c>
      <c r="Y48" s="222">
        <v>7.6999999999999999E-2</v>
      </c>
      <c r="Z48" s="219" t="s">
        <v>614</v>
      </c>
      <c r="AA48" s="218">
        <v>135</v>
      </c>
      <c r="AB48" s="218">
        <f t="shared" si="25"/>
        <v>221.9</v>
      </c>
      <c r="AC48" s="223">
        <v>0.87</v>
      </c>
      <c r="AD48" s="218">
        <v>95</v>
      </c>
      <c r="AE48" s="103">
        <f t="shared" si="37"/>
        <v>1089.758</v>
      </c>
      <c r="AF48" s="103">
        <f t="shared" si="38"/>
        <v>-160.4799999999999</v>
      </c>
    </row>
    <row r="49" spans="1:32">
      <c r="A49" s="229" t="s">
        <v>462</v>
      </c>
      <c r="B49" s="216">
        <v>191279</v>
      </c>
      <c r="C49" s="217">
        <v>7</v>
      </c>
      <c r="D49" s="218">
        <v>5878</v>
      </c>
      <c r="E49" s="237">
        <f t="shared" si="21"/>
        <v>4000</v>
      </c>
      <c r="F49" s="238">
        <v>3576</v>
      </c>
      <c r="G49" s="217">
        <v>424</v>
      </c>
      <c r="H49" s="128">
        <f t="shared" si="35"/>
        <v>1.4695</v>
      </c>
      <c r="I49" s="220">
        <v>2164.06</v>
      </c>
      <c r="J49" s="221"/>
      <c r="K49" s="221"/>
      <c r="L49" s="221"/>
      <c r="M49" s="220">
        <v>128.6</v>
      </c>
      <c r="N49" s="218">
        <f t="shared" si="23"/>
        <v>49.963000000000001</v>
      </c>
      <c r="O49" s="218"/>
      <c r="P49" s="218"/>
      <c r="Q49" s="218">
        <v>881.75</v>
      </c>
      <c r="R49" s="218">
        <v>50</v>
      </c>
      <c r="S49" s="218">
        <v>1200</v>
      </c>
      <c r="T49" s="218">
        <v>30</v>
      </c>
      <c r="U49" s="218">
        <v>40</v>
      </c>
      <c r="V49" s="218">
        <v>300</v>
      </c>
      <c r="W49" s="218">
        <f t="shared" si="24"/>
        <v>276.12200000000001</v>
      </c>
      <c r="X49" s="218">
        <f t="shared" si="36"/>
        <v>537.9</v>
      </c>
      <c r="Y49" s="222">
        <v>7.6999999999999999E-2</v>
      </c>
      <c r="Z49" s="219" t="s">
        <v>641</v>
      </c>
      <c r="AA49" s="218">
        <v>135</v>
      </c>
      <c r="AB49" s="218">
        <f t="shared" si="25"/>
        <v>400</v>
      </c>
      <c r="AC49" s="223">
        <v>0.87</v>
      </c>
      <c r="AD49" s="218">
        <v>95</v>
      </c>
      <c r="AE49" s="103">
        <f t="shared" si="37"/>
        <v>1532.8049999999996</v>
      </c>
      <c r="AF49" s="103">
        <f t="shared" si="38"/>
        <v>831.89999999999975</v>
      </c>
    </row>
    <row r="50" spans="1:32">
      <c r="A50" s="229" t="s">
        <v>631</v>
      </c>
      <c r="B50" s="216">
        <v>465188</v>
      </c>
      <c r="C50" s="217">
        <v>6</v>
      </c>
      <c r="D50" s="218">
        <v>5800</v>
      </c>
      <c r="E50" s="237">
        <f t="shared" si="21"/>
        <v>2948</v>
      </c>
      <c r="F50" s="217">
        <v>2739</v>
      </c>
      <c r="G50" s="217">
        <v>209</v>
      </c>
      <c r="H50" s="128">
        <f t="shared" si="35"/>
        <v>1.9674355495251017</v>
      </c>
      <c r="I50" s="220">
        <v>1732.78</v>
      </c>
      <c r="J50" s="221">
        <v>433.9</v>
      </c>
      <c r="K50" s="221"/>
      <c r="L50" s="221"/>
      <c r="M50" s="220">
        <v>38.74</v>
      </c>
      <c r="N50" s="218">
        <f t="shared" si="23"/>
        <v>49.300000000000004</v>
      </c>
      <c r="O50" s="218"/>
      <c r="P50" s="218"/>
      <c r="Q50" s="218">
        <v>881.75</v>
      </c>
      <c r="R50" s="218">
        <v>50</v>
      </c>
      <c r="S50" s="218">
        <v>1050</v>
      </c>
      <c r="T50" s="218">
        <v>30</v>
      </c>
      <c r="U50" s="218">
        <v>40</v>
      </c>
      <c r="V50" s="218">
        <v>400</v>
      </c>
      <c r="W50" s="218">
        <f t="shared" si="24"/>
        <v>392.62299999999999</v>
      </c>
      <c r="X50" s="218">
        <f t="shared" si="36"/>
        <v>764.85</v>
      </c>
      <c r="Y50" s="222">
        <v>7.6999999999999999E-2</v>
      </c>
      <c r="Z50" s="219" t="s">
        <v>642</v>
      </c>
      <c r="AA50" s="218">
        <v>135</v>
      </c>
      <c r="AB50" s="218">
        <f t="shared" si="25"/>
        <v>294.8</v>
      </c>
      <c r="AC50" s="223">
        <v>0.87</v>
      </c>
      <c r="AD50" s="218">
        <v>95</v>
      </c>
      <c r="AE50" s="103">
        <f t="shared" si="37"/>
        <v>1493.9169999999999</v>
      </c>
      <c r="AF50" s="103">
        <f t="shared" si="38"/>
        <v>584.47000000000014</v>
      </c>
    </row>
    <row r="51" spans="1:32">
      <c r="A51" s="134" t="s">
        <v>529</v>
      </c>
      <c r="B51" s="134">
        <v>1118</v>
      </c>
      <c r="C51" s="158">
        <v>7</v>
      </c>
      <c r="D51" s="139">
        <v>7225</v>
      </c>
      <c r="E51" s="136">
        <v>3364</v>
      </c>
      <c r="F51" s="136">
        <f>Z51</f>
        <v>3364</v>
      </c>
      <c r="G51" s="136"/>
      <c r="H51" s="128">
        <f t="shared" si="35"/>
        <v>2.1477407847800238</v>
      </c>
      <c r="I51" s="139">
        <v>1985.02</v>
      </c>
      <c r="J51" s="139"/>
      <c r="K51" s="139"/>
      <c r="L51" s="139"/>
      <c r="M51" s="139">
        <v>0</v>
      </c>
      <c r="N51" s="139">
        <f t="shared" si="23"/>
        <v>61.412500000000001</v>
      </c>
      <c r="O51" s="139">
        <v>0</v>
      </c>
      <c r="P51" s="139"/>
      <c r="Q51" s="139">
        <v>0</v>
      </c>
      <c r="R51" s="139">
        <v>0</v>
      </c>
      <c r="S51" s="139">
        <v>0</v>
      </c>
      <c r="T51" s="139">
        <v>0</v>
      </c>
      <c r="U51" s="139">
        <v>40</v>
      </c>
      <c r="V51" s="139">
        <v>0</v>
      </c>
      <c r="W51" s="139">
        <v>0</v>
      </c>
      <c r="X51" s="159"/>
      <c r="Y51" s="159">
        <v>0</v>
      </c>
      <c r="Z51" s="136">
        <v>3364</v>
      </c>
      <c r="AA51" s="139">
        <v>0</v>
      </c>
      <c r="AB51" s="139">
        <f t="shared" si="25"/>
        <v>336.40000000000003</v>
      </c>
      <c r="AC51" s="160">
        <v>0.8</v>
      </c>
      <c r="AD51" s="139">
        <v>95</v>
      </c>
      <c r="AE51" s="139">
        <f>D51*0.2-AB51-N51-K51-AD51-U51</f>
        <v>912.1875</v>
      </c>
      <c r="AF51" s="139">
        <f>D51*AC51-I51-J51+K51</f>
        <v>3794.98</v>
      </c>
    </row>
    <row r="52" spans="1:32">
      <c r="A52" s="199" t="s">
        <v>467</v>
      </c>
      <c r="B52" s="199">
        <v>1122</v>
      </c>
      <c r="C52" s="158"/>
      <c r="D52" s="139"/>
      <c r="E52" s="136"/>
      <c r="F52" s="136"/>
      <c r="G52" s="136"/>
      <c r="H52" s="136"/>
      <c r="I52" s="168"/>
      <c r="J52" s="139"/>
      <c r="K52" s="139"/>
      <c r="L52" s="139"/>
      <c r="M52" s="139">
        <v>0</v>
      </c>
      <c r="N52" s="139">
        <f t="shared" si="23"/>
        <v>0</v>
      </c>
      <c r="O52" s="139">
        <v>7</v>
      </c>
      <c r="P52" s="139">
        <v>590.35</v>
      </c>
      <c r="Q52" s="139">
        <v>0</v>
      </c>
      <c r="R52" s="139">
        <v>50</v>
      </c>
      <c r="S52" s="139">
        <v>199</v>
      </c>
      <c r="T52" s="139">
        <v>30</v>
      </c>
      <c r="U52" s="139">
        <v>40</v>
      </c>
      <c r="V52" s="139">
        <v>300</v>
      </c>
      <c r="W52" s="139">
        <v>0</v>
      </c>
      <c r="X52" s="159"/>
      <c r="Y52" s="159">
        <v>0</v>
      </c>
      <c r="Z52" s="136"/>
      <c r="AA52" s="139">
        <v>0</v>
      </c>
      <c r="AB52" s="139">
        <f t="shared" si="25"/>
        <v>0</v>
      </c>
      <c r="AC52" s="160">
        <v>0.87</v>
      </c>
      <c r="AD52" s="139">
        <v>95</v>
      </c>
      <c r="AE52" s="139">
        <f>D52*0.13-AD52-AB52+V52+T52+S52+R52-N52+M52-U52-P52</f>
        <v>-146.35000000000002</v>
      </c>
      <c r="AF52" s="139">
        <f>D52*AC52-I52-J52-V52-T52-S52-R52</f>
        <v>-579</v>
      </c>
    </row>
    <row r="53" spans="1:32">
      <c r="A53" s="134" t="s">
        <v>520</v>
      </c>
      <c r="B53" s="134">
        <v>1650</v>
      </c>
      <c r="C53" s="158">
        <v>7</v>
      </c>
      <c r="D53" s="139">
        <v>6125</v>
      </c>
      <c r="E53" s="136">
        <v>3225</v>
      </c>
      <c r="F53" s="136">
        <f>Z53</f>
        <v>3225</v>
      </c>
      <c r="G53" s="136"/>
      <c r="H53" s="128">
        <f>D53/E53</f>
        <v>1.8992248062015504</v>
      </c>
      <c r="I53" s="139">
        <v>2080.31</v>
      </c>
      <c r="J53" s="139"/>
      <c r="K53" s="139"/>
      <c r="L53" s="139"/>
      <c r="M53" s="139">
        <v>135.99</v>
      </c>
      <c r="N53" s="139">
        <f t="shared" si="23"/>
        <v>52.062500000000007</v>
      </c>
      <c r="O53" s="139"/>
      <c r="P53" s="139"/>
      <c r="Q53" s="139">
        <v>0</v>
      </c>
      <c r="R53" s="139">
        <v>50</v>
      </c>
      <c r="S53" s="139">
        <v>0</v>
      </c>
      <c r="T53" s="139">
        <v>30</v>
      </c>
      <c r="U53" s="139">
        <v>40</v>
      </c>
      <c r="V53" s="139">
        <v>300</v>
      </c>
      <c r="W53" s="139">
        <v>0</v>
      </c>
      <c r="X53" s="159"/>
      <c r="Y53" s="159">
        <v>0</v>
      </c>
      <c r="Z53" s="136">
        <v>3225</v>
      </c>
      <c r="AA53" s="139">
        <v>0</v>
      </c>
      <c r="AB53" s="139">
        <f t="shared" si="25"/>
        <v>322.5</v>
      </c>
      <c r="AC53" s="160">
        <v>0.87</v>
      </c>
      <c r="AD53" s="139">
        <v>95</v>
      </c>
      <c r="AE53" s="139">
        <f>D53*0.13+V53+T53+S53+R53-AB53-N53+M53-U53</f>
        <v>897.67750000000001</v>
      </c>
      <c r="AF53" s="139">
        <f>D53*0.87-I53-J53-R53-S53-T53-V53+K53</f>
        <v>2868.44</v>
      </c>
    </row>
    <row r="54" spans="1:32">
      <c r="A54" s="72" t="s">
        <v>89</v>
      </c>
      <c r="B54" s="72">
        <v>22</v>
      </c>
      <c r="C54" s="202">
        <f>AVERAGE(C31:C53)</f>
        <v>6.333333333333333</v>
      </c>
      <c r="D54" s="201">
        <f t="shared" ref="D54:G54" si="39">SUM(D31:D53)</f>
        <v>132047</v>
      </c>
      <c r="E54" s="201">
        <f t="shared" si="39"/>
        <v>66041</v>
      </c>
      <c r="F54" s="201">
        <f t="shared" si="39"/>
        <v>62458</v>
      </c>
      <c r="G54" s="201">
        <f t="shared" si="39"/>
        <v>3583</v>
      </c>
      <c r="H54" s="201">
        <f>AVERAGE(H30:H53)</f>
        <v>2.020158591527963</v>
      </c>
      <c r="I54" s="201">
        <f t="shared" ref="I54:AB54" si="40">SUM(I31:I53)</f>
        <v>45100.149999999994</v>
      </c>
      <c r="J54" s="201">
        <f t="shared" si="40"/>
        <v>2295.9299999999998</v>
      </c>
      <c r="K54" s="201">
        <f t="shared" si="40"/>
        <v>100</v>
      </c>
      <c r="L54" s="201">
        <f t="shared" si="40"/>
        <v>0</v>
      </c>
      <c r="M54" s="201">
        <f t="shared" si="40"/>
        <v>1929.3999999999996</v>
      </c>
      <c r="N54" s="201">
        <f t="shared" si="40"/>
        <v>1122.3995</v>
      </c>
      <c r="O54" s="201">
        <f t="shared" si="40"/>
        <v>126</v>
      </c>
      <c r="P54" s="201">
        <f t="shared" si="40"/>
        <v>3388.58</v>
      </c>
      <c r="Q54" s="201">
        <f t="shared" si="40"/>
        <v>17635</v>
      </c>
      <c r="R54" s="201">
        <f t="shared" si="40"/>
        <v>450</v>
      </c>
      <c r="S54" s="201">
        <f t="shared" si="40"/>
        <v>7999</v>
      </c>
      <c r="T54" s="201">
        <f t="shared" si="40"/>
        <v>270</v>
      </c>
      <c r="U54" s="201">
        <f t="shared" si="40"/>
        <v>920</v>
      </c>
      <c r="V54" s="201">
        <f t="shared" si="40"/>
        <v>3100</v>
      </c>
      <c r="W54" s="201">
        <f t="shared" si="40"/>
        <v>4798.7769999999991</v>
      </c>
      <c r="X54" s="201">
        <f t="shared" si="40"/>
        <v>3959.55</v>
      </c>
      <c r="Y54" s="201">
        <f t="shared" si="40"/>
        <v>1.5239999999999996</v>
      </c>
      <c r="Z54" s="201">
        <f t="shared" si="40"/>
        <v>43081</v>
      </c>
      <c r="AA54" s="201">
        <f t="shared" si="40"/>
        <v>2700</v>
      </c>
      <c r="AB54" s="201">
        <f t="shared" si="40"/>
        <v>6604.0999999999995</v>
      </c>
      <c r="AC54" s="201"/>
      <c r="AD54" s="201">
        <f t="shared" ref="AD54:AF54" si="41">SUM(AD31:AD53)</f>
        <v>2185</v>
      </c>
      <c r="AE54" s="201">
        <f t="shared" si="41"/>
        <v>13528.843499999999</v>
      </c>
      <c r="AF54" s="201">
        <f t="shared" si="41"/>
        <v>36126.650000000009</v>
      </c>
    </row>
    <row r="56" spans="1:32">
      <c r="A56" s="461" t="s">
        <v>643</v>
      </c>
      <c r="B56" s="458"/>
      <c r="C56" s="458"/>
      <c r="D56" s="458"/>
      <c r="E56" s="458"/>
      <c r="F56" s="458"/>
      <c r="G56" s="458"/>
      <c r="H56" s="458"/>
      <c r="I56" s="458"/>
      <c r="J56" s="458"/>
      <c r="K56" s="458"/>
      <c r="L56" s="458"/>
      <c r="M56" s="458"/>
      <c r="N56" s="458"/>
      <c r="O56" s="458"/>
      <c r="P56" s="458"/>
      <c r="Q56" s="458"/>
      <c r="R56" s="458"/>
      <c r="S56" s="458"/>
      <c r="T56" s="458"/>
      <c r="U56" s="458"/>
      <c r="V56" s="458"/>
      <c r="W56" s="458"/>
      <c r="X56" s="458"/>
      <c r="Y56" s="458"/>
      <c r="Z56" s="458"/>
      <c r="AA56" s="458"/>
      <c r="AB56" s="458"/>
      <c r="AC56" s="458"/>
      <c r="AD56" s="458"/>
      <c r="AE56" s="458"/>
      <c r="AF56" s="459"/>
    </row>
    <row r="57" spans="1:32">
      <c r="A57" s="95" t="s">
        <v>0</v>
      </c>
      <c r="B57" s="95" t="s">
        <v>1</v>
      </c>
      <c r="C57" s="95" t="s">
        <v>372</v>
      </c>
      <c r="D57" s="95" t="s">
        <v>2</v>
      </c>
      <c r="E57" s="95" t="s">
        <v>413</v>
      </c>
      <c r="F57" s="150" t="s">
        <v>414</v>
      </c>
      <c r="G57" s="150" t="s">
        <v>415</v>
      </c>
      <c r="H57" s="95" t="s">
        <v>416</v>
      </c>
      <c r="I57" s="95" t="s">
        <v>7</v>
      </c>
      <c r="J57" s="95" t="s">
        <v>8</v>
      </c>
      <c r="K57" s="95" t="s">
        <v>287</v>
      </c>
      <c r="L57" s="95" t="s">
        <v>288</v>
      </c>
      <c r="M57" s="95" t="s">
        <v>257</v>
      </c>
      <c r="N57" s="95" t="s">
        <v>373</v>
      </c>
      <c r="O57" s="95" t="s">
        <v>374</v>
      </c>
      <c r="P57" s="150" t="s">
        <v>538</v>
      </c>
      <c r="Q57" s="95" t="s">
        <v>375</v>
      </c>
      <c r="R57" s="95" t="s">
        <v>376</v>
      </c>
      <c r="S57" s="95" t="s">
        <v>522</v>
      </c>
      <c r="T57" s="150" t="s">
        <v>378</v>
      </c>
      <c r="U57" s="150" t="s">
        <v>539</v>
      </c>
      <c r="V57" s="150" t="s">
        <v>379</v>
      </c>
      <c r="W57" s="150" t="s">
        <v>352</v>
      </c>
      <c r="X57" s="150" t="s">
        <v>523</v>
      </c>
      <c r="Y57" s="95" t="s">
        <v>380</v>
      </c>
      <c r="Z57" s="95" t="s">
        <v>381</v>
      </c>
      <c r="AA57" s="95" t="s">
        <v>382</v>
      </c>
      <c r="AB57" s="95" t="s">
        <v>383</v>
      </c>
      <c r="AC57" s="95" t="s">
        <v>385</v>
      </c>
      <c r="AD57" s="150" t="s">
        <v>333</v>
      </c>
      <c r="AE57" s="95" t="s">
        <v>582</v>
      </c>
      <c r="AF57" s="95" t="s">
        <v>98</v>
      </c>
    </row>
    <row r="58" spans="1:32">
      <c r="A58" s="184" t="s">
        <v>620</v>
      </c>
      <c r="B58" s="185">
        <v>191274</v>
      </c>
      <c r="C58" s="112">
        <v>6</v>
      </c>
      <c r="D58" s="103">
        <v>8030</v>
      </c>
      <c r="E58" s="102">
        <f t="shared" ref="E58:E62" si="42">F58+G58</f>
        <v>3865</v>
      </c>
      <c r="F58" s="117">
        <v>3609</v>
      </c>
      <c r="G58" s="117">
        <v>256</v>
      </c>
      <c r="H58" s="128">
        <f t="shared" ref="H58:H61" si="43">D58/E58</f>
        <v>2.0776196636481243</v>
      </c>
      <c r="I58" s="128">
        <v>2862</v>
      </c>
      <c r="J58" s="128">
        <v>292.14</v>
      </c>
      <c r="K58" s="103"/>
      <c r="L58" s="103"/>
      <c r="M58" s="146">
        <v>250.16</v>
      </c>
      <c r="N58" s="103">
        <f t="shared" ref="N58:N80" si="44">D58*0.0085</f>
        <v>68.25500000000001</v>
      </c>
      <c r="O58" s="103">
        <v>7</v>
      </c>
      <c r="P58" s="103">
        <v>376.33</v>
      </c>
      <c r="Q58" s="103">
        <v>881.75</v>
      </c>
      <c r="R58" s="103"/>
      <c r="S58" s="103">
        <v>0</v>
      </c>
      <c r="T58" s="103"/>
      <c r="U58" s="103">
        <v>40</v>
      </c>
      <c r="V58" s="103"/>
      <c r="W58" s="103">
        <f t="shared" ref="W58:W77" si="45">Z58*Y58</f>
        <v>277.04599999999999</v>
      </c>
      <c r="X58" s="152"/>
      <c r="Y58" s="152">
        <v>7.6999999999999999E-2</v>
      </c>
      <c r="Z58" s="155">
        <v>3598</v>
      </c>
      <c r="AA58" s="103">
        <v>135</v>
      </c>
      <c r="AB58" s="103">
        <f t="shared" ref="AB58:AB80" si="46">E58*0.1</f>
        <v>386.5</v>
      </c>
      <c r="AC58" s="213">
        <v>0.27</v>
      </c>
      <c r="AD58" s="103">
        <v>95</v>
      </c>
      <c r="AE58" s="103">
        <f>D58-I58-N58-Q58-U58-W58-AA58-AB58-AD58-AF58-K58-P58</f>
        <v>740.01899999999978</v>
      </c>
      <c r="AF58" s="103">
        <f>D58*AC58</f>
        <v>2168.1000000000004</v>
      </c>
    </row>
    <row r="59" spans="1:32">
      <c r="A59" s="184" t="s">
        <v>621</v>
      </c>
      <c r="B59" s="185">
        <v>191277</v>
      </c>
      <c r="C59" s="112">
        <v>7</v>
      </c>
      <c r="D59" s="103">
        <v>7450</v>
      </c>
      <c r="E59" s="102">
        <f t="shared" si="42"/>
        <v>3797</v>
      </c>
      <c r="F59" s="117">
        <v>3320</v>
      </c>
      <c r="G59" s="117">
        <v>477</v>
      </c>
      <c r="H59" s="128">
        <f t="shared" si="43"/>
        <v>1.9620753226231236</v>
      </c>
      <c r="I59" s="128">
        <v>2685.24</v>
      </c>
      <c r="J59" s="128">
        <v>122.62</v>
      </c>
      <c r="K59" s="103"/>
      <c r="L59" s="103"/>
      <c r="M59" s="146">
        <v>49.68</v>
      </c>
      <c r="N59" s="103">
        <f t="shared" si="44"/>
        <v>63.325000000000003</v>
      </c>
      <c r="O59" s="103">
        <v>7</v>
      </c>
      <c r="P59" s="103"/>
      <c r="Q59" s="103">
        <v>881.75</v>
      </c>
      <c r="R59" s="103"/>
      <c r="S59" s="103">
        <v>0</v>
      </c>
      <c r="T59" s="103"/>
      <c r="U59" s="103">
        <v>40</v>
      </c>
      <c r="V59" s="103"/>
      <c r="W59" s="103">
        <f t="shared" si="45"/>
        <v>298.72499999999997</v>
      </c>
      <c r="X59" s="152"/>
      <c r="Y59" s="152">
        <v>7.4999999999999997E-2</v>
      </c>
      <c r="Z59" s="153">
        <v>3983</v>
      </c>
      <c r="AA59" s="103">
        <v>135</v>
      </c>
      <c r="AB59" s="103">
        <f t="shared" si="46"/>
        <v>379.70000000000005</v>
      </c>
      <c r="AC59" s="154">
        <v>0.6</v>
      </c>
      <c r="AD59" s="103">
        <v>95</v>
      </c>
      <c r="AE59" s="103">
        <f t="shared" ref="AE59:AE60" si="47">D59-I59-J59-N59-O59-Q59-W59-AA59-AB59-AD59-AC59*E59+M59-U59-P59</f>
        <v>513.12000000000046</v>
      </c>
      <c r="AF59" s="103">
        <f t="shared" ref="AF59:AF60" si="48">AC59*E59+K59-L59</f>
        <v>2278.1999999999998</v>
      </c>
    </row>
    <row r="60" spans="1:32">
      <c r="A60" s="187" t="s">
        <v>574</v>
      </c>
      <c r="B60" s="208">
        <v>191280</v>
      </c>
      <c r="C60" s="112">
        <v>7</v>
      </c>
      <c r="D60" s="103">
        <v>7876</v>
      </c>
      <c r="E60" s="102">
        <f t="shared" si="42"/>
        <v>3649</v>
      </c>
      <c r="F60" s="117">
        <v>3309</v>
      </c>
      <c r="G60" s="117">
        <v>340</v>
      </c>
      <c r="H60" s="128">
        <f t="shared" si="43"/>
        <v>2.158399561523705</v>
      </c>
      <c r="I60" s="128">
        <v>2164.52</v>
      </c>
      <c r="J60" s="128">
        <v>319.83999999999997</v>
      </c>
      <c r="K60" s="103"/>
      <c r="L60" s="103"/>
      <c r="M60" s="146">
        <v>144.04</v>
      </c>
      <c r="N60" s="103">
        <f t="shared" si="44"/>
        <v>66.945999999999998</v>
      </c>
      <c r="O60" s="103">
        <v>7</v>
      </c>
      <c r="P60" s="103"/>
      <c r="Q60" s="103">
        <v>881.75</v>
      </c>
      <c r="R60" s="103"/>
      <c r="S60" s="103">
        <v>0</v>
      </c>
      <c r="T60" s="103"/>
      <c r="U60" s="103">
        <v>40</v>
      </c>
      <c r="V60" s="103"/>
      <c r="W60" s="103">
        <f t="shared" si="45"/>
        <v>280.27499999999998</v>
      </c>
      <c r="X60" s="152"/>
      <c r="Y60" s="152">
        <v>7.4999999999999997E-2</v>
      </c>
      <c r="Z60" s="153">
        <v>3737</v>
      </c>
      <c r="AA60" s="103">
        <v>135</v>
      </c>
      <c r="AB60" s="103">
        <f t="shared" si="46"/>
        <v>364.90000000000003</v>
      </c>
      <c r="AC60" s="154">
        <v>0.6</v>
      </c>
      <c r="AD60" s="108">
        <v>95</v>
      </c>
      <c r="AE60" s="103">
        <f t="shared" si="47"/>
        <v>1475.4089999999997</v>
      </c>
      <c r="AF60" s="103">
        <f t="shared" si="48"/>
        <v>2189.4</v>
      </c>
    </row>
    <row r="61" spans="1:32">
      <c r="A61" s="187" t="s">
        <v>550</v>
      </c>
      <c r="B61" s="208">
        <v>191281</v>
      </c>
      <c r="C61" s="112">
        <v>4</v>
      </c>
      <c r="D61" s="103">
        <v>3544</v>
      </c>
      <c r="E61" s="102">
        <f t="shared" si="42"/>
        <v>1844</v>
      </c>
      <c r="F61" s="117">
        <v>1673</v>
      </c>
      <c r="G61" s="117">
        <v>171</v>
      </c>
      <c r="H61" s="128">
        <f t="shared" si="43"/>
        <v>1.9219088937093276</v>
      </c>
      <c r="I61" s="128">
        <v>1152.98</v>
      </c>
      <c r="J61" s="128">
        <v>26.5</v>
      </c>
      <c r="K61" s="103"/>
      <c r="L61" s="103">
        <v>75</v>
      </c>
      <c r="M61" s="146">
        <v>36.06</v>
      </c>
      <c r="N61" s="103">
        <f t="shared" si="44"/>
        <v>30.124000000000002</v>
      </c>
      <c r="O61" s="103">
        <v>7</v>
      </c>
      <c r="P61" s="103">
        <v>385</v>
      </c>
      <c r="Q61" s="103">
        <v>881.75</v>
      </c>
      <c r="R61" s="103"/>
      <c r="S61" s="103">
        <v>0</v>
      </c>
      <c r="T61" s="103"/>
      <c r="U61" s="103">
        <v>40</v>
      </c>
      <c r="V61" s="103"/>
      <c r="W61" s="103">
        <f t="shared" si="45"/>
        <v>150.9</v>
      </c>
      <c r="X61" s="152"/>
      <c r="Y61" s="152">
        <v>7.4999999999999997E-2</v>
      </c>
      <c r="Z61" s="153">
        <v>2012</v>
      </c>
      <c r="AA61" s="103">
        <v>135</v>
      </c>
      <c r="AB61" s="103">
        <f t="shared" si="46"/>
        <v>184.4</v>
      </c>
      <c r="AC61" s="154">
        <v>0.6</v>
      </c>
      <c r="AD61" s="103">
        <v>95</v>
      </c>
      <c r="AE61" s="103">
        <f>D61-I61-J61-N61-O61-Q61-W61-AA61-AB61-AD61-AC61*E61+M61-U61-P61-L61</f>
        <v>-689.99399999999969</v>
      </c>
      <c r="AF61" s="103">
        <f>AC61*E61</f>
        <v>1106.3999999999999</v>
      </c>
    </row>
    <row r="62" spans="1:32">
      <c r="A62" s="196" t="s">
        <v>585</v>
      </c>
      <c r="B62" s="205">
        <v>191283</v>
      </c>
      <c r="C62" s="112"/>
      <c r="D62" s="103"/>
      <c r="E62" s="102">
        <f t="shared" si="42"/>
        <v>0</v>
      </c>
      <c r="F62" s="112"/>
      <c r="G62" s="112"/>
      <c r="H62" s="128"/>
      <c r="I62" s="128"/>
      <c r="J62" s="128"/>
      <c r="K62" s="103"/>
      <c r="L62" s="103"/>
      <c r="M62" s="146"/>
      <c r="N62" s="103">
        <f t="shared" si="44"/>
        <v>0</v>
      </c>
      <c r="O62" s="103">
        <v>7</v>
      </c>
      <c r="P62" s="103">
        <v>939.18</v>
      </c>
      <c r="Q62" s="103">
        <v>881.75</v>
      </c>
      <c r="R62" s="103"/>
      <c r="S62" s="103">
        <v>0</v>
      </c>
      <c r="T62" s="103"/>
      <c r="U62" s="103">
        <v>40</v>
      </c>
      <c r="V62" s="103"/>
      <c r="W62" s="103">
        <f t="shared" si="45"/>
        <v>0</v>
      </c>
      <c r="X62" s="152"/>
      <c r="Y62" s="152">
        <v>7.4999999999999997E-2</v>
      </c>
      <c r="Z62" s="153"/>
      <c r="AA62" s="103">
        <v>135</v>
      </c>
      <c r="AB62" s="103">
        <f t="shared" si="46"/>
        <v>0</v>
      </c>
      <c r="AC62" s="213">
        <v>0.27</v>
      </c>
      <c r="AD62" s="103">
        <v>95</v>
      </c>
      <c r="AE62" s="103">
        <f t="shared" ref="AE62:AE63" si="49">D62-I62-N62-Q62-U62-W62-AA62-AB62-AD62-AF62-L62-P62</f>
        <v>-2090.9299999999998</v>
      </c>
      <c r="AF62" s="103">
        <f t="shared" ref="AF62:AF63" si="50">D62*AC62+L62</f>
        <v>0</v>
      </c>
    </row>
    <row r="63" spans="1:32">
      <c r="A63" s="184" t="s">
        <v>634</v>
      </c>
      <c r="B63" s="208">
        <v>465180</v>
      </c>
      <c r="C63" s="112"/>
      <c r="D63" s="103">
        <v>0</v>
      </c>
      <c r="E63" s="102" t="s">
        <v>586</v>
      </c>
      <c r="F63" s="117">
        <v>0</v>
      </c>
      <c r="G63" s="117">
        <v>0</v>
      </c>
      <c r="H63" s="128"/>
      <c r="I63" s="128"/>
      <c r="J63" s="128">
        <v>51.3</v>
      </c>
      <c r="K63" s="103"/>
      <c r="L63" s="103"/>
      <c r="M63" s="146"/>
      <c r="N63" s="103">
        <f t="shared" si="44"/>
        <v>0</v>
      </c>
      <c r="O63" s="103">
        <v>7</v>
      </c>
      <c r="P63" s="103"/>
      <c r="Q63" s="103">
        <v>881.75</v>
      </c>
      <c r="R63" s="103"/>
      <c r="S63" s="103">
        <v>0</v>
      </c>
      <c r="T63" s="103"/>
      <c r="U63" s="103">
        <v>40</v>
      </c>
      <c r="V63" s="103"/>
      <c r="W63" s="103">
        <f t="shared" si="45"/>
        <v>11.924999999999999</v>
      </c>
      <c r="X63" s="152"/>
      <c r="Y63" s="152">
        <v>7.4999999999999997E-2</v>
      </c>
      <c r="Z63" s="153">
        <v>159</v>
      </c>
      <c r="AA63" s="103">
        <v>135</v>
      </c>
      <c r="AB63" s="103">
        <f t="shared" si="46"/>
        <v>0</v>
      </c>
      <c r="AC63" s="213">
        <v>0.27</v>
      </c>
      <c r="AD63" s="103">
        <v>95</v>
      </c>
      <c r="AE63" s="103">
        <f t="shared" si="49"/>
        <v>-1163.675</v>
      </c>
      <c r="AF63" s="103">
        <f t="shared" si="50"/>
        <v>0</v>
      </c>
    </row>
    <row r="64" spans="1:32">
      <c r="A64" s="190" t="s">
        <v>491</v>
      </c>
      <c r="B64" s="185">
        <v>465181</v>
      </c>
      <c r="C64" s="117">
        <v>5</v>
      </c>
      <c r="D64" s="103">
        <v>6625</v>
      </c>
      <c r="E64" s="102">
        <f t="shared" ref="E64:E77" si="51">F64+G64</f>
        <v>3260</v>
      </c>
      <c r="F64" s="112">
        <v>3117</v>
      </c>
      <c r="G64" s="112">
        <v>143</v>
      </c>
      <c r="H64" s="128">
        <f t="shared" ref="H64:H66" si="52">D64/E64</f>
        <v>2.0322085889570554</v>
      </c>
      <c r="I64" s="146">
        <v>2772.36</v>
      </c>
      <c r="J64" s="128">
        <v>426.86</v>
      </c>
      <c r="K64" s="128"/>
      <c r="L64" s="128"/>
      <c r="M64" s="146">
        <v>321.08</v>
      </c>
      <c r="N64" s="103">
        <f t="shared" si="44"/>
        <v>56.312500000000007</v>
      </c>
      <c r="O64" s="103">
        <v>7</v>
      </c>
      <c r="P64" s="103"/>
      <c r="Q64" s="103">
        <v>881.75</v>
      </c>
      <c r="R64" s="103"/>
      <c r="S64" s="103">
        <v>0</v>
      </c>
      <c r="T64" s="103"/>
      <c r="U64" s="103">
        <v>40</v>
      </c>
      <c r="V64" s="103"/>
      <c r="W64" s="103">
        <f t="shared" si="45"/>
        <v>280.35699999999997</v>
      </c>
      <c r="X64" s="152"/>
      <c r="Y64" s="152">
        <v>7.6999999999999999E-2</v>
      </c>
      <c r="Z64" s="153">
        <v>3641</v>
      </c>
      <c r="AA64" s="103">
        <v>135</v>
      </c>
      <c r="AB64" s="103">
        <f t="shared" si="46"/>
        <v>326</v>
      </c>
      <c r="AC64" s="154">
        <v>0.6</v>
      </c>
      <c r="AD64" s="103">
        <v>95</v>
      </c>
      <c r="AE64" s="103">
        <f>D64-I64-J64-N64-O64-Q64-W64-AA64-AB64-AD64-AC64*E64+M64-U64-P64-K64+L64</f>
        <v>-30.559500000000241</v>
      </c>
      <c r="AF64" s="103">
        <f>AC64*E64+K64</f>
        <v>1956</v>
      </c>
    </row>
    <row r="65" spans="1:32">
      <c r="A65" s="190" t="s">
        <v>555</v>
      </c>
      <c r="B65" s="208">
        <v>465182</v>
      </c>
      <c r="C65" s="112">
        <v>7</v>
      </c>
      <c r="D65" s="103">
        <v>5370</v>
      </c>
      <c r="E65" s="102">
        <f t="shared" si="51"/>
        <v>3085</v>
      </c>
      <c r="F65" s="112">
        <v>2790</v>
      </c>
      <c r="G65" s="112">
        <v>295</v>
      </c>
      <c r="H65" s="128">
        <f t="shared" si="52"/>
        <v>1.7406807131280388</v>
      </c>
      <c r="I65" s="128">
        <v>2531.87</v>
      </c>
      <c r="J65" s="128">
        <v>155.03</v>
      </c>
      <c r="K65" s="103"/>
      <c r="L65" s="103">
        <v>100</v>
      </c>
      <c r="M65" s="146">
        <v>58.05</v>
      </c>
      <c r="N65" s="103">
        <f t="shared" si="44"/>
        <v>45.645000000000003</v>
      </c>
      <c r="O65" s="103">
        <v>7</v>
      </c>
      <c r="P65" s="103">
        <f>56.4+13.77</f>
        <v>70.17</v>
      </c>
      <c r="Q65" s="103">
        <v>881.75</v>
      </c>
      <c r="R65" s="103"/>
      <c r="S65" s="103">
        <v>0</v>
      </c>
      <c r="T65" s="103"/>
      <c r="U65" s="103">
        <v>40</v>
      </c>
      <c r="V65" s="103"/>
      <c r="W65" s="103">
        <f t="shared" si="45"/>
        <v>266.03499999999997</v>
      </c>
      <c r="X65" s="152"/>
      <c r="Y65" s="152">
        <v>7.6999999999999999E-2</v>
      </c>
      <c r="Z65" s="153">
        <v>3455</v>
      </c>
      <c r="AA65" s="103">
        <v>135</v>
      </c>
      <c r="AB65" s="103">
        <f t="shared" si="46"/>
        <v>308.5</v>
      </c>
      <c r="AC65" s="213">
        <v>0.27</v>
      </c>
      <c r="AD65" s="103">
        <v>95</v>
      </c>
      <c r="AE65" s="103">
        <f t="shared" ref="AE65:AE66" si="53">D65-I65-N65-Q65-U65-W65-AA65-AB65-AD65-AF65-P65+L65</f>
        <v>-453.86999999999978</v>
      </c>
      <c r="AF65" s="103">
        <f t="shared" ref="AF65:AF66" si="54">D65*AC65+L65</f>
        <v>1549.9</v>
      </c>
    </row>
    <row r="66" spans="1:32">
      <c r="A66" s="198" t="s">
        <v>540</v>
      </c>
      <c r="B66" s="208">
        <v>465183</v>
      </c>
      <c r="C66" s="117">
        <v>5</v>
      </c>
      <c r="D66" s="103">
        <v>5423</v>
      </c>
      <c r="E66" s="102">
        <f t="shared" si="51"/>
        <v>3270</v>
      </c>
      <c r="F66" s="112">
        <v>2989</v>
      </c>
      <c r="G66" s="112">
        <v>281</v>
      </c>
      <c r="H66" s="128">
        <f t="shared" si="52"/>
        <v>1.6584097859327218</v>
      </c>
      <c r="I66" s="128">
        <v>2024.24</v>
      </c>
      <c r="J66" s="128">
        <v>23.8</v>
      </c>
      <c r="K66" s="128"/>
      <c r="L66" s="128">
        <v>50</v>
      </c>
      <c r="M66" s="146">
        <v>29.5</v>
      </c>
      <c r="N66" s="103">
        <f t="shared" si="44"/>
        <v>46.095500000000001</v>
      </c>
      <c r="O66" s="103">
        <v>7</v>
      </c>
      <c r="P66" s="103"/>
      <c r="Q66" s="103">
        <v>881.75</v>
      </c>
      <c r="R66" s="103"/>
      <c r="S66" s="103">
        <v>0</v>
      </c>
      <c r="T66" s="103"/>
      <c r="U66" s="103">
        <v>40</v>
      </c>
      <c r="V66" s="103"/>
      <c r="W66" s="103">
        <f t="shared" si="45"/>
        <v>263.72500000000002</v>
      </c>
      <c r="X66" s="152"/>
      <c r="Y66" s="152">
        <v>7.6999999999999999E-2</v>
      </c>
      <c r="Z66" s="153">
        <v>3425</v>
      </c>
      <c r="AA66" s="103">
        <v>135</v>
      </c>
      <c r="AB66" s="103">
        <f t="shared" si="46"/>
        <v>327</v>
      </c>
      <c r="AC66" s="213">
        <v>0.27</v>
      </c>
      <c r="AD66" s="103">
        <v>95</v>
      </c>
      <c r="AE66" s="103">
        <f t="shared" si="53"/>
        <v>145.97950000000037</v>
      </c>
      <c r="AF66" s="103">
        <f t="shared" si="54"/>
        <v>1514.21</v>
      </c>
    </row>
    <row r="67" spans="1:32">
      <c r="A67" s="187"/>
      <c r="B67" s="205">
        <v>465185</v>
      </c>
      <c r="C67" s="117"/>
      <c r="D67" s="103"/>
      <c r="E67" s="102">
        <f t="shared" si="51"/>
        <v>0</v>
      </c>
      <c r="F67" s="112"/>
      <c r="G67" s="112"/>
      <c r="H67" s="128"/>
      <c r="I67" s="128"/>
      <c r="J67" s="128"/>
      <c r="K67" s="128"/>
      <c r="L67" s="128"/>
      <c r="M67" s="146"/>
      <c r="N67" s="103">
        <f t="shared" si="44"/>
        <v>0</v>
      </c>
      <c r="O67" s="103">
        <v>7</v>
      </c>
      <c r="P67" s="103"/>
      <c r="Q67" s="103">
        <v>881.75</v>
      </c>
      <c r="R67" s="103"/>
      <c r="S67" s="103">
        <v>0</v>
      </c>
      <c r="T67" s="103"/>
      <c r="U67" s="103">
        <v>40</v>
      </c>
      <c r="V67" s="103"/>
      <c r="W67" s="103">
        <f t="shared" si="45"/>
        <v>0</v>
      </c>
      <c r="X67" s="152"/>
      <c r="Y67" s="152">
        <v>7.6999999999999999E-2</v>
      </c>
      <c r="Z67" s="153"/>
      <c r="AA67" s="103">
        <v>135</v>
      </c>
      <c r="AB67" s="103">
        <f t="shared" si="46"/>
        <v>0</v>
      </c>
      <c r="AC67" s="213">
        <v>0.27</v>
      </c>
      <c r="AD67" s="103">
        <v>95</v>
      </c>
      <c r="AE67" s="103">
        <f t="shared" ref="AE67:AE68" si="55">D67-I67-N67-Q67-U67-W67-AA67-AB67-AD67-AF67-P67</f>
        <v>-1151.75</v>
      </c>
      <c r="AF67" s="103">
        <f t="shared" ref="AF67:AF68" si="56">D67*AC67</f>
        <v>0</v>
      </c>
    </row>
    <row r="68" spans="1:32">
      <c r="A68" s="198" t="s">
        <v>644</v>
      </c>
      <c r="B68" s="208">
        <v>465186</v>
      </c>
      <c r="C68" s="112">
        <v>7</v>
      </c>
      <c r="D68" s="103">
        <v>6500</v>
      </c>
      <c r="E68" s="102">
        <f t="shared" si="51"/>
        <v>2378</v>
      </c>
      <c r="F68" s="112">
        <v>2307</v>
      </c>
      <c r="G68" s="112">
        <v>71</v>
      </c>
      <c r="H68" s="128">
        <f t="shared" ref="H68:H78" si="57">D68/E68</f>
        <v>2.733389402859546</v>
      </c>
      <c r="I68" s="128">
        <v>2666.97</v>
      </c>
      <c r="J68" s="128">
        <v>718.69</v>
      </c>
      <c r="K68" s="128"/>
      <c r="L68" s="128"/>
      <c r="M68" s="128">
        <v>372.78</v>
      </c>
      <c r="N68" s="103">
        <f t="shared" si="44"/>
        <v>55.250000000000007</v>
      </c>
      <c r="O68" s="103">
        <v>7</v>
      </c>
      <c r="P68" s="103"/>
      <c r="Q68" s="103">
        <v>881.75</v>
      </c>
      <c r="R68" s="103"/>
      <c r="S68" s="103">
        <v>0</v>
      </c>
      <c r="T68" s="103"/>
      <c r="U68" s="103">
        <v>40</v>
      </c>
      <c r="V68" s="103"/>
      <c r="W68" s="103">
        <f t="shared" si="45"/>
        <v>297.60500000000002</v>
      </c>
      <c r="X68" s="152"/>
      <c r="Y68" s="152">
        <v>7.6999999999999999E-2</v>
      </c>
      <c r="Z68" s="153">
        <v>3865</v>
      </c>
      <c r="AA68" s="103">
        <v>135</v>
      </c>
      <c r="AB68" s="103">
        <f t="shared" si="46"/>
        <v>237.8</v>
      </c>
      <c r="AC68" s="213">
        <v>0.27</v>
      </c>
      <c r="AD68" s="103">
        <v>95</v>
      </c>
      <c r="AE68" s="103">
        <f t="shared" si="55"/>
        <v>335.62499999999977</v>
      </c>
      <c r="AF68" s="103">
        <f t="shared" si="56"/>
        <v>1755.0000000000002</v>
      </c>
    </row>
    <row r="69" spans="1:32">
      <c r="A69" s="187" t="s">
        <v>439</v>
      </c>
      <c r="B69" s="185">
        <v>465187</v>
      </c>
      <c r="C69" s="117">
        <v>2</v>
      </c>
      <c r="D69" s="103">
        <v>1650</v>
      </c>
      <c r="E69" s="102">
        <f t="shared" si="51"/>
        <v>945</v>
      </c>
      <c r="F69" s="112">
        <v>907</v>
      </c>
      <c r="G69" s="112">
        <v>38</v>
      </c>
      <c r="H69" s="128">
        <f t="shared" si="57"/>
        <v>1.746031746031746</v>
      </c>
      <c r="I69" s="128">
        <v>2286.04</v>
      </c>
      <c r="J69" s="128">
        <v>250.23</v>
      </c>
      <c r="K69" s="128"/>
      <c r="L69" s="128"/>
      <c r="M69" s="128">
        <v>127.48</v>
      </c>
      <c r="N69" s="103">
        <f t="shared" si="44"/>
        <v>14.025</v>
      </c>
      <c r="O69" s="103">
        <v>7</v>
      </c>
      <c r="P69" s="103"/>
      <c r="Q69" s="103">
        <v>881.75</v>
      </c>
      <c r="R69" s="103"/>
      <c r="S69" s="103">
        <v>0</v>
      </c>
      <c r="T69" s="103"/>
      <c r="U69" s="103">
        <v>40</v>
      </c>
      <c r="V69" s="103"/>
      <c r="W69" s="103">
        <f t="shared" si="45"/>
        <v>77.923999999999992</v>
      </c>
      <c r="X69" s="152"/>
      <c r="Y69" s="152">
        <v>7.6999999999999999E-2</v>
      </c>
      <c r="Z69" s="153">
        <v>1012</v>
      </c>
      <c r="AA69" s="103">
        <v>135</v>
      </c>
      <c r="AB69" s="103">
        <f t="shared" si="46"/>
        <v>94.5</v>
      </c>
      <c r="AC69" s="154">
        <v>0.6</v>
      </c>
      <c r="AD69" s="103">
        <v>95</v>
      </c>
      <c r="AE69" s="103">
        <f>D69-I69-J69-N69-O69-Q69-W69-AA69-AB69-AD69-AC69*E69+M69-U69-P69-K69</f>
        <v>-2670.989</v>
      </c>
      <c r="AF69" s="103">
        <f>AC69*E69</f>
        <v>567</v>
      </c>
    </row>
    <row r="70" spans="1:32">
      <c r="A70" s="187" t="s">
        <v>636</v>
      </c>
      <c r="B70" s="208">
        <v>465189</v>
      </c>
      <c r="C70" s="112">
        <v>7</v>
      </c>
      <c r="D70" s="103">
        <v>10350</v>
      </c>
      <c r="E70" s="102">
        <f t="shared" si="51"/>
        <v>5098</v>
      </c>
      <c r="F70" s="117">
        <v>4888</v>
      </c>
      <c r="G70" s="112">
        <v>210</v>
      </c>
      <c r="H70" s="128">
        <f t="shared" si="57"/>
        <v>2.0302079246763438</v>
      </c>
      <c r="I70" s="128">
        <v>3293.62</v>
      </c>
      <c r="J70" s="128">
        <v>91.66</v>
      </c>
      <c r="K70" s="103"/>
      <c r="L70" s="103"/>
      <c r="M70" s="128"/>
      <c r="N70" s="103">
        <f t="shared" si="44"/>
        <v>87.975000000000009</v>
      </c>
      <c r="O70" s="103">
        <v>7</v>
      </c>
      <c r="P70" s="103"/>
      <c r="Q70" s="103">
        <v>881.75</v>
      </c>
      <c r="R70" s="103"/>
      <c r="S70" s="103">
        <v>0</v>
      </c>
      <c r="T70" s="103"/>
      <c r="U70" s="103">
        <v>40</v>
      </c>
      <c r="V70" s="103"/>
      <c r="W70" s="103">
        <f t="shared" si="45"/>
        <v>390.67500000000001</v>
      </c>
      <c r="X70" s="152"/>
      <c r="Y70" s="152">
        <v>7.4999999999999997E-2</v>
      </c>
      <c r="Z70" s="153">
        <v>5209</v>
      </c>
      <c r="AA70" s="103">
        <v>135</v>
      </c>
      <c r="AB70" s="103">
        <f t="shared" si="46"/>
        <v>509.8</v>
      </c>
      <c r="AC70" s="213">
        <v>0.27</v>
      </c>
      <c r="AD70" s="103">
        <v>95</v>
      </c>
      <c r="AE70" s="103">
        <f>D70-I70-N70-Q70-U70-W70-AA70-AB70-AD70-AF70-P70</f>
        <v>2121.6799999999994</v>
      </c>
      <c r="AF70" s="103">
        <f>D70*AC70</f>
        <v>2794.5</v>
      </c>
    </row>
    <row r="71" spans="1:32">
      <c r="A71" s="215" t="s">
        <v>587</v>
      </c>
      <c r="B71" s="216">
        <v>191275</v>
      </c>
      <c r="C71" s="217">
        <v>7</v>
      </c>
      <c r="D71" s="218">
        <v>6100</v>
      </c>
      <c r="E71" s="237">
        <f t="shared" si="51"/>
        <v>3002</v>
      </c>
      <c r="F71" s="217">
        <v>2793</v>
      </c>
      <c r="G71" s="217">
        <v>209</v>
      </c>
      <c r="H71" s="221">
        <f t="shared" si="57"/>
        <v>2.0319786808794138</v>
      </c>
      <c r="I71" s="221">
        <v>2659.55</v>
      </c>
      <c r="J71" s="221">
        <v>130.69999999999999</v>
      </c>
      <c r="K71" s="221"/>
      <c r="L71" s="221"/>
      <c r="M71" s="221">
        <v>8.82</v>
      </c>
      <c r="N71" s="218">
        <f t="shared" si="44"/>
        <v>51.85</v>
      </c>
      <c r="O71" s="218">
        <v>7</v>
      </c>
      <c r="P71" s="218"/>
      <c r="Q71" s="218">
        <v>881.75</v>
      </c>
      <c r="R71" s="218">
        <v>50</v>
      </c>
      <c r="S71" s="218">
        <v>1200</v>
      </c>
      <c r="T71" s="218">
        <v>30</v>
      </c>
      <c r="U71" s="218">
        <v>40</v>
      </c>
      <c r="V71" s="218">
        <v>300</v>
      </c>
      <c r="W71" s="218">
        <f t="shared" si="45"/>
        <v>261</v>
      </c>
      <c r="X71" s="218">
        <f t="shared" ref="X71:X77" si="58">0.15*Z71</f>
        <v>522</v>
      </c>
      <c r="Y71" s="222">
        <v>7.4999999999999997E-2</v>
      </c>
      <c r="Z71" s="219" t="s">
        <v>645</v>
      </c>
      <c r="AA71" s="218">
        <v>135</v>
      </c>
      <c r="AB71" s="218">
        <f t="shared" si="46"/>
        <v>300.2</v>
      </c>
      <c r="AC71" s="223">
        <v>0.87</v>
      </c>
      <c r="AD71" s="218">
        <v>95</v>
      </c>
      <c r="AE71" s="103">
        <f t="shared" ref="AE71:AE74" si="59">D71*13%+R71+T71+S71+V71-Q71-W71-AA71-AD71+X71-N71+M71-U71</f>
        <v>1439.22</v>
      </c>
      <c r="AF71" s="103">
        <f t="shared" ref="AF71:AF77" si="60">D71*AC71-I71-J71-S71-R71-T71-V71-X71</f>
        <v>414.75</v>
      </c>
    </row>
    <row r="72" spans="1:32">
      <c r="A72" s="229" t="s">
        <v>624</v>
      </c>
      <c r="B72" s="216">
        <v>191276</v>
      </c>
      <c r="C72" s="217">
        <v>7</v>
      </c>
      <c r="D72" s="218">
        <v>9700</v>
      </c>
      <c r="E72" s="237">
        <f t="shared" si="51"/>
        <v>5069</v>
      </c>
      <c r="F72" s="217">
        <v>4765</v>
      </c>
      <c r="G72" s="217">
        <v>304</v>
      </c>
      <c r="H72" s="221">
        <f t="shared" si="57"/>
        <v>1.9135924245413296</v>
      </c>
      <c r="I72" s="221">
        <v>3157.89</v>
      </c>
      <c r="J72" s="221">
        <v>12.57</v>
      </c>
      <c r="K72" s="221"/>
      <c r="L72" s="221"/>
      <c r="M72" s="221">
        <v>293.92</v>
      </c>
      <c r="N72" s="218">
        <f t="shared" si="44"/>
        <v>82.45</v>
      </c>
      <c r="O72" s="218"/>
      <c r="P72" s="218"/>
      <c r="Q72" s="218">
        <v>881.75</v>
      </c>
      <c r="R72" s="218">
        <v>50</v>
      </c>
      <c r="S72" s="218">
        <v>1050</v>
      </c>
      <c r="T72" s="218">
        <v>30</v>
      </c>
      <c r="U72" s="218">
        <v>40</v>
      </c>
      <c r="V72" s="218">
        <v>400</v>
      </c>
      <c r="W72" s="218">
        <f t="shared" si="45"/>
        <v>356.55</v>
      </c>
      <c r="X72" s="218">
        <f t="shared" si="58"/>
        <v>713.1</v>
      </c>
      <c r="Y72" s="222">
        <v>7.4999999999999997E-2</v>
      </c>
      <c r="Z72" s="219" t="s">
        <v>646</v>
      </c>
      <c r="AA72" s="218">
        <v>135</v>
      </c>
      <c r="AB72" s="218">
        <f t="shared" si="46"/>
        <v>506.90000000000003</v>
      </c>
      <c r="AC72" s="223">
        <v>0.87</v>
      </c>
      <c r="AD72" s="218">
        <v>95</v>
      </c>
      <c r="AE72" s="103">
        <f t="shared" si="59"/>
        <v>2207.27</v>
      </c>
      <c r="AF72" s="103">
        <f t="shared" si="60"/>
        <v>3025.440000000001</v>
      </c>
    </row>
    <row r="73" spans="1:32">
      <c r="A73" s="229" t="s">
        <v>435</v>
      </c>
      <c r="B73" s="216">
        <v>191282</v>
      </c>
      <c r="C73" s="217">
        <v>5</v>
      </c>
      <c r="D73" s="218">
        <v>7010</v>
      </c>
      <c r="E73" s="237">
        <f t="shared" si="51"/>
        <v>3355</v>
      </c>
      <c r="F73" s="217">
        <v>3290</v>
      </c>
      <c r="G73" s="217">
        <v>65</v>
      </c>
      <c r="H73" s="221">
        <f t="shared" si="57"/>
        <v>2.0894187779433682</v>
      </c>
      <c r="I73" s="221">
        <v>2279.54</v>
      </c>
      <c r="J73" s="221">
        <v>72</v>
      </c>
      <c r="K73" s="221"/>
      <c r="L73" s="221"/>
      <c r="M73" s="221">
        <v>49.81</v>
      </c>
      <c r="N73" s="218">
        <f t="shared" si="44"/>
        <v>59.585000000000001</v>
      </c>
      <c r="O73" s="218">
        <v>7</v>
      </c>
      <c r="P73" s="218"/>
      <c r="Q73" s="218">
        <v>881.75</v>
      </c>
      <c r="R73" s="218">
        <v>50</v>
      </c>
      <c r="S73" s="218">
        <v>1200</v>
      </c>
      <c r="T73" s="218">
        <v>30</v>
      </c>
      <c r="U73" s="218">
        <v>40</v>
      </c>
      <c r="V73" s="218">
        <v>300</v>
      </c>
      <c r="W73" s="218">
        <f t="shared" si="45"/>
        <v>268.96100000000001</v>
      </c>
      <c r="X73" s="218">
        <f t="shared" si="58"/>
        <v>523.94999999999993</v>
      </c>
      <c r="Y73" s="222">
        <v>7.6999999999999999E-2</v>
      </c>
      <c r="Z73" s="219" t="s">
        <v>647</v>
      </c>
      <c r="AA73" s="218">
        <v>135</v>
      </c>
      <c r="AB73" s="218">
        <f t="shared" si="46"/>
        <v>335.5</v>
      </c>
      <c r="AC73" s="223">
        <v>0.87</v>
      </c>
      <c r="AD73" s="218">
        <v>95</v>
      </c>
      <c r="AE73" s="103">
        <f t="shared" si="59"/>
        <v>1584.7640000000001</v>
      </c>
      <c r="AF73" s="103">
        <f t="shared" si="60"/>
        <v>1643.21</v>
      </c>
    </row>
    <row r="74" spans="1:32">
      <c r="A74" s="229" t="s">
        <v>590</v>
      </c>
      <c r="B74" s="216">
        <v>465184</v>
      </c>
      <c r="C74" s="217">
        <v>3</v>
      </c>
      <c r="D74" s="218">
        <v>3050</v>
      </c>
      <c r="E74" s="237">
        <f t="shared" si="51"/>
        <v>2052</v>
      </c>
      <c r="F74" s="217">
        <v>1885</v>
      </c>
      <c r="G74" s="217">
        <v>167</v>
      </c>
      <c r="H74" s="221">
        <f t="shared" si="57"/>
        <v>1.4863547758284601</v>
      </c>
      <c r="I74" s="221">
        <v>1327.85</v>
      </c>
      <c r="J74" s="221">
        <v>118.9</v>
      </c>
      <c r="K74" s="221"/>
      <c r="L74" s="221"/>
      <c r="M74" s="221">
        <v>13.78</v>
      </c>
      <c r="N74" s="218">
        <f t="shared" si="44"/>
        <v>25.925000000000001</v>
      </c>
      <c r="O74" s="218">
        <v>7</v>
      </c>
      <c r="P74" s="218"/>
      <c r="Q74" s="218">
        <v>881.75</v>
      </c>
      <c r="R74" s="218">
        <v>50</v>
      </c>
      <c r="S74" s="218">
        <v>1050</v>
      </c>
      <c r="T74" s="218">
        <v>30</v>
      </c>
      <c r="U74" s="218">
        <v>40</v>
      </c>
      <c r="V74" s="218">
        <v>400</v>
      </c>
      <c r="W74" s="218">
        <f t="shared" si="45"/>
        <v>203.04900000000001</v>
      </c>
      <c r="X74" s="218">
        <f t="shared" si="58"/>
        <v>395.55</v>
      </c>
      <c r="Y74" s="222">
        <v>7.6999999999999999E-2</v>
      </c>
      <c r="Z74" s="219" t="s">
        <v>648</v>
      </c>
      <c r="AA74" s="218">
        <v>135</v>
      </c>
      <c r="AB74" s="218">
        <f t="shared" si="46"/>
        <v>205.20000000000002</v>
      </c>
      <c r="AC74" s="223">
        <v>0.87</v>
      </c>
      <c r="AD74" s="218">
        <v>95</v>
      </c>
      <c r="AE74" s="103">
        <f t="shared" si="59"/>
        <v>955.10599999999999</v>
      </c>
      <c r="AF74" s="103">
        <f t="shared" si="60"/>
        <v>-718.8</v>
      </c>
    </row>
    <row r="75" spans="1:32">
      <c r="A75" s="229" t="s">
        <v>628</v>
      </c>
      <c r="B75" s="216">
        <v>191278</v>
      </c>
      <c r="C75" s="217">
        <v>7</v>
      </c>
      <c r="D75" s="218">
        <v>7200</v>
      </c>
      <c r="E75" s="237">
        <f t="shared" si="51"/>
        <v>3798</v>
      </c>
      <c r="F75" s="217">
        <v>3678</v>
      </c>
      <c r="G75" s="217">
        <v>120</v>
      </c>
      <c r="H75" s="221">
        <f t="shared" si="57"/>
        <v>1.8957345971563981</v>
      </c>
      <c r="I75" s="221">
        <v>2537.42</v>
      </c>
      <c r="J75" s="221">
        <v>82</v>
      </c>
      <c r="K75" s="221"/>
      <c r="L75" s="221"/>
      <c r="M75" s="221">
        <v>87.54</v>
      </c>
      <c r="N75" s="218">
        <f t="shared" si="44"/>
        <v>61.2</v>
      </c>
      <c r="O75" s="218">
        <v>7</v>
      </c>
      <c r="P75" s="218">
        <v>162</v>
      </c>
      <c r="Q75" s="218">
        <v>881.75</v>
      </c>
      <c r="R75" s="218">
        <v>50</v>
      </c>
      <c r="S75" s="218">
        <v>1050</v>
      </c>
      <c r="T75" s="218">
        <v>30</v>
      </c>
      <c r="U75" s="218">
        <v>40</v>
      </c>
      <c r="V75" s="218">
        <v>400</v>
      </c>
      <c r="W75" s="218">
        <f t="shared" si="45"/>
        <v>288.28800000000001</v>
      </c>
      <c r="X75" s="218">
        <f t="shared" si="58"/>
        <v>561.6</v>
      </c>
      <c r="Y75" s="222">
        <v>7.6999999999999999E-2</v>
      </c>
      <c r="Z75" s="219" t="s">
        <v>649</v>
      </c>
      <c r="AA75" s="218">
        <v>135</v>
      </c>
      <c r="AB75" s="218">
        <f t="shared" si="46"/>
        <v>379.8</v>
      </c>
      <c r="AC75" s="223">
        <v>0.87</v>
      </c>
      <c r="AD75" s="218">
        <v>95</v>
      </c>
      <c r="AE75" s="103">
        <f>D75*13%+R75+T75+S75+V75-Q75-W75-AA75-AD75+X75-N75+M75-U75-P75</f>
        <v>1451.9019999999998</v>
      </c>
      <c r="AF75" s="103">
        <f t="shared" si="60"/>
        <v>1552.98</v>
      </c>
    </row>
    <row r="76" spans="1:32">
      <c r="A76" s="229" t="s">
        <v>462</v>
      </c>
      <c r="B76" s="216">
        <v>191279</v>
      </c>
      <c r="C76" s="217">
        <v>7</v>
      </c>
      <c r="D76" s="218">
        <v>9800</v>
      </c>
      <c r="E76" s="237">
        <f t="shared" si="51"/>
        <v>4054</v>
      </c>
      <c r="F76" s="238">
        <v>3638</v>
      </c>
      <c r="G76" s="217">
        <v>416</v>
      </c>
      <c r="H76" s="221">
        <f t="shared" si="57"/>
        <v>2.4173655648741983</v>
      </c>
      <c r="I76" s="221">
        <v>2262.7399999999998</v>
      </c>
      <c r="J76" s="221">
        <v>174.07</v>
      </c>
      <c r="K76" s="221"/>
      <c r="L76" s="221"/>
      <c r="M76" s="221">
        <v>163.66</v>
      </c>
      <c r="N76" s="218">
        <f t="shared" si="44"/>
        <v>83.300000000000011</v>
      </c>
      <c r="O76" s="218"/>
      <c r="P76" s="218">
        <f>340.72+255.85</f>
        <v>596.57000000000005</v>
      </c>
      <c r="Q76" s="218">
        <v>881.75</v>
      </c>
      <c r="R76" s="218">
        <v>50</v>
      </c>
      <c r="S76" s="218">
        <v>1200</v>
      </c>
      <c r="T76" s="218">
        <v>30</v>
      </c>
      <c r="U76" s="218">
        <v>40</v>
      </c>
      <c r="V76" s="218">
        <v>300</v>
      </c>
      <c r="W76" s="218">
        <f t="shared" si="45"/>
        <v>251.02</v>
      </c>
      <c r="X76" s="218">
        <f t="shared" si="58"/>
        <v>489</v>
      </c>
      <c r="Y76" s="222">
        <v>7.6999999999999999E-2</v>
      </c>
      <c r="Z76" s="219" t="s">
        <v>650</v>
      </c>
      <c r="AA76" s="218">
        <v>135</v>
      </c>
      <c r="AB76" s="218">
        <f t="shared" si="46"/>
        <v>405.40000000000003</v>
      </c>
      <c r="AC76" s="223">
        <v>0.87</v>
      </c>
      <c r="AD76" s="218">
        <v>95</v>
      </c>
      <c r="AE76" s="103">
        <f t="shared" ref="AE76:AE77" si="61">D76*13%+R76+T76+S76+V76-Q76-W76-AA76-AD76+X76-N76+M76-U76</f>
        <v>2020.5900000000001</v>
      </c>
      <c r="AF76" s="103">
        <f t="shared" si="60"/>
        <v>4020.1900000000005</v>
      </c>
    </row>
    <row r="77" spans="1:32">
      <c r="A77" s="229" t="s">
        <v>631</v>
      </c>
      <c r="B77" s="239">
        <v>465188</v>
      </c>
      <c r="C77" s="217">
        <v>1</v>
      </c>
      <c r="D77" s="218">
        <v>1000</v>
      </c>
      <c r="E77" s="237">
        <f t="shared" si="51"/>
        <v>532</v>
      </c>
      <c r="F77" s="217">
        <v>470</v>
      </c>
      <c r="G77" s="217">
        <v>62</v>
      </c>
      <c r="H77" s="221">
        <f t="shared" si="57"/>
        <v>1.8796992481203008</v>
      </c>
      <c r="I77" s="221">
        <v>537.77</v>
      </c>
      <c r="J77" s="221">
        <v>7.8</v>
      </c>
      <c r="K77" s="221"/>
      <c r="L77" s="221"/>
      <c r="M77" s="221">
        <v>4.46</v>
      </c>
      <c r="N77" s="218">
        <f t="shared" si="44"/>
        <v>8.5</v>
      </c>
      <c r="O77" s="218"/>
      <c r="P77" s="218"/>
      <c r="Q77" s="218">
        <v>881.75</v>
      </c>
      <c r="R77" s="218">
        <v>50</v>
      </c>
      <c r="S77" s="218">
        <v>1050</v>
      </c>
      <c r="T77" s="218">
        <v>30</v>
      </c>
      <c r="U77" s="218">
        <v>40</v>
      </c>
      <c r="V77" s="218">
        <v>400</v>
      </c>
      <c r="W77" s="218">
        <f t="shared" si="45"/>
        <v>0</v>
      </c>
      <c r="X77" s="218">
        <f t="shared" si="58"/>
        <v>0</v>
      </c>
      <c r="Y77" s="222">
        <v>7.6999999999999999E-2</v>
      </c>
      <c r="Z77" s="219"/>
      <c r="AA77" s="218">
        <v>135</v>
      </c>
      <c r="AB77" s="218">
        <f t="shared" si="46"/>
        <v>53.2</v>
      </c>
      <c r="AC77" s="223">
        <v>0.87</v>
      </c>
      <c r="AD77" s="218">
        <v>95</v>
      </c>
      <c r="AE77" s="103">
        <f t="shared" si="61"/>
        <v>504.21000000000004</v>
      </c>
      <c r="AF77" s="103">
        <f t="shared" si="60"/>
        <v>-1205.57</v>
      </c>
    </row>
    <row r="78" spans="1:32">
      <c r="A78" s="134" t="s">
        <v>529</v>
      </c>
      <c r="B78" s="134">
        <v>1118</v>
      </c>
      <c r="C78" s="158">
        <v>5</v>
      </c>
      <c r="D78" s="139">
        <v>5800</v>
      </c>
      <c r="E78" s="136">
        <f t="shared" ref="E78:E80" si="62">Z78</f>
        <v>3492</v>
      </c>
      <c r="F78" s="136"/>
      <c r="G78" s="136"/>
      <c r="H78" s="168">
        <f t="shared" si="57"/>
        <v>1.6609392898052693</v>
      </c>
      <c r="I78" s="139">
        <v>1886.04</v>
      </c>
      <c r="J78" s="139">
        <v>51.64</v>
      </c>
      <c r="K78" s="139"/>
      <c r="L78" s="139"/>
      <c r="M78" s="139">
        <v>0</v>
      </c>
      <c r="N78" s="139">
        <f t="shared" si="44"/>
        <v>49.300000000000004</v>
      </c>
      <c r="O78" s="139">
        <v>0</v>
      </c>
      <c r="P78" s="139">
        <v>290</v>
      </c>
      <c r="Q78" s="139">
        <v>0</v>
      </c>
      <c r="R78" s="139">
        <v>0</v>
      </c>
      <c r="S78" s="139">
        <v>0</v>
      </c>
      <c r="T78" s="139">
        <v>0</v>
      </c>
      <c r="U78" s="139">
        <v>40</v>
      </c>
      <c r="V78" s="139">
        <v>0</v>
      </c>
      <c r="W78" s="139">
        <v>0</v>
      </c>
      <c r="X78" s="159"/>
      <c r="Y78" s="159">
        <v>0</v>
      </c>
      <c r="Z78" s="136">
        <v>3492</v>
      </c>
      <c r="AA78" s="139">
        <v>0</v>
      </c>
      <c r="AB78" s="139">
        <f t="shared" si="46"/>
        <v>349.20000000000005</v>
      </c>
      <c r="AC78" s="160">
        <v>0.8</v>
      </c>
      <c r="AD78" s="139">
        <v>95</v>
      </c>
      <c r="AE78" s="139">
        <f>D78*0.2-AB78-N78-K78-AD78-U78-P78</f>
        <v>336.5</v>
      </c>
      <c r="AF78" s="139">
        <f>D78*AC78-I78-J78+K78</f>
        <v>2702.32</v>
      </c>
    </row>
    <row r="79" spans="1:32">
      <c r="A79" s="199" t="s">
        <v>467</v>
      </c>
      <c r="B79" s="199">
        <v>1122</v>
      </c>
      <c r="C79" s="158"/>
      <c r="D79" s="139"/>
      <c r="E79" s="136">
        <f t="shared" si="62"/>
        <v>0</v>
      </c>
      <c r="F79" s="136"/>
      <c r="G79" s="136"/>
      <c r="H79" s="168"/>
      <c r="I79" s="168"/>
      <c r="J79" s="139"/>
      <c r="K79" s="139"/>
      <c r="L79" s="139"/>
      <c r="M79" s="139"/>
      <c r="N79" s="139">
        <f t="shared" si="44"/>
        <v>0</v>
      </c>
      <c r="O79" s="139">
        <v>7</v>
      </c>
      <c r="P79" s="139"/>
      <c r="Q79" s="139">
        <v>0</v>
      </c>
      <c r="R79" s="139">
        <v>50</v>
      </c>
      <c r="S79" s="139">
        <v>199</v>
      </c>
      <c r="T79" s="139">
        <v>30</v>
      </c>
      <c r="U79" s="139">
        <v>40</v>
      </c>
      <c r="V79" s="139">
        <v>300</v>
      </c>
      <c r="W79" s="139">
        <v>0</v>
      </c>
      <c r="X79" s="159"/>
      <c r="Y79" s="159">
        <v>0</v>
      </c>
      <c r="Z79" s="136"/>
      <c r="AA79" s="139">
        <v>0</v>
      </c>
      <c r="AB79" s="139">
        <f t="shared" si="46"/>
        <v>0</v>
      </c>
      <c r="AC79" s="160">
        <v>0.87</v>
      </c>
      <c r="AD79" s="139">
        <v>95</v>
      </c>
      <c r="AE79" s="139">
        <f>D79*0.13-AD79-AB79+V79+T79+S79+R79-N79+M79-U79-P79</f>
        <v>444</v>
      </c>
      <c r="AF79" s="139">
        <f>D79*AC79-I79-J79-V79-T79-S79-R79</f>
        <v>-579</v>
      </c>
    </row>
    <row r="80" spans="1:32">
      <c r="A80" s="134" t="s">
        <v>520</v>
      </c>
      <c r="B80" s="134">
        <v>1650</v>
      </c>
      <c r="C80" s="158">
        <v>4</v>
      </c>
      <c r="D80" s="139">
        <v>1600</v>
      </c>
      <c r="E80" s="136">
        <f t="shared" si="62"/>
        <v>916</v>
      </c>
      <c r="F80" s="136"/>
      <c r="G80" s="136"/>
      <c r="H80" s="168">
        <f>D80/E80</f>
        <v>1.7467248908296944</v>
      </c>
      <c r="I80" s="139">
        <v>851.76</v>
      </c>
      <c r="J80" s="139"/>
      <c r="K80" s="139"/>
      <c r="L80" s="139"/>
      <c r="M80" s="139">
        <v>66.39</v>
      </c>
      <c r="N80" s="139">
        <f t="shared" si="44"/>
        <v>13.600000000000001</v>
      </c>
      <c r="O80" s="139"/>
      <c r="P80" s="139"/>
      <c r="Q80" s="139">
        <v>0</v>
      </c>
      <c r="R80" s="139">
        <v>50</v>
      </c>
      <c r="S80" s="139">
        <v>0</v>
      </c>
      <c r="T80" s="139">
        <v>30</v>
      </c>
      <c r="U80" s="139">
        <v>40</v>
      </c>
      <c r="V80" s="139">
        <v>300</v>
      </c>
      <c r="W80" s="139">
        <v>0</v>
      </c>
      <c r="X80" s="159"/>
      <c r="Y80" s="159">
        <v>0</v>
      </c>
      <c r="Z80" s="136">
        <v>916</v>
      </c>
      <c r="AA80" s="139">
        <v>0</v>
      </c>
      <c r="AB80" s="139">
        <f t="shared" si="46"/>
        <v>91.600000000000009</v>
      </c>
      <c r="AC80" s="160">
        <v>0.87</v>
      </c>
      <c r="AD80" s="139">
        <v>95</v>
      </c>
      <c r="AE80" s="139">
        <f>D80*0.13+V80+T80+S80+R80-AB80-N80+M80-U80</f>
        <v>509.18999999999994</v>
      </c>
      <c r="AF80" s="139">
        <f>D80*0.87-I80-J80-R80-S80-T80-V80+K80</f>
        <v>160.24</v>
      </c>
    </row>
    <row r="81" spans="1:32">
      <c r="A81" s="72" t="s">
        <v>89</v>
      </c>
      <c r="B81" s="72">
        <v>20</v>
      </c>
      <c r="C81" s="202">
        <f>AVERAGE(C58:C80)</f>
        <v>5.4210526315789478</v>
      </c>
      <c r="D81" s="201">
        <f t="shared" ref="D81:G81" si="63">SUM(D58:D80)</f>
        <v>114078</v>
      </c>
      <c r="E81" s="201">
        <f t="shared" si="63"/>
        <v>57461</v>
      </c>
      <c r="F81" s="201">
        <f t="shared" si="63"/>
        <v>49428</v>
      </c>
      <c r="G81" s="201">
        <f t="shared" si="63"/>
        <v>3625</v>
      </c>
      <c r="H81" s="201">
        <f>AVERAGE(H57:H80)</f>
        <v>1.9569863080562195</v>
      </c>
      <c r="I81" s="201">
        <f t="shared" ref="I81:AB81" si="64">SUM(I58:I80)</f>
        <v>41940.399999999994</v>
      </c>
      <c r="J81" s="201">
        <f t="shared" si="64"/>
        <v>3128.35</v>
      </c>
      <c r="K81" s="201">
        <f t="shared" si="64"/>
        <v>0</v>
      </c>
      <c r="L81" s="201">
        <f t="shared" si="64"/>
        <v>225</v>
      </c>
      <c r="M81" s="201">
        <f t="shared" si="64"/>
        <v>2077.21</v>
      </c>
      <c r="N81" s="201">
        <f t="shared" si="64"/>
        <v>969.66300000000012</v>
      </c>
      <c r="O81" s="201">
        <f t="shared" si="64"/>
        <v>126</v>
      </c>
      <c r="P81" s="201">
        <f t="shared" si="64"/>
        <v>2819.25</v>
      </c>
      <c r="Q81" s="201">
        <f t="shared" si="64"/>
        <v>17635</v>
      </c>
      <c r="R81" s="201">
        <f t="shared" si="64"/>
        <v>450</v>
      </c>
      <c r="S81" s="201">
        <f t="shared" si="64"/>
        <v>7999</v>
      </c>
      <c r="T81" s="201">
        <f t="shared" si="64"/>
        <v>270</v>
      </c>
      <c r="U81" s="201">
        <f t="shared" si="64"/>
        <v>920</v>
      </c>
      <c r="V81" s="201">
        <f t="shared" si="64"/>
        <v>3100</v>
      </c>
      <c r="W81" s="201">
        <f t="shared" si="64"/>
        <v>4224.0600000000004</v>
      </c>
      <c r="X81" s="201">
        <f t="shared" si="64"/>
        <v>3205.2</v>
      </c>
      <c r="Y81" s="201">
        <f t="shared" si="64"/>
        <v>1.5239999999999996</v>
      </c>
      <c r="Z81" s="201">
        <f t="shared" si="64"/>
        <v>38504</v>
      </c>
      <c r="AA81" s="201">
        <f t="shared" si="64"/>
        <v>2700</v>
      </c>
      <c r="AB81" s="201">
        <f t="shared" si="64"/>
        <v>5746.1</v>
      </c>
      <c r="AC81" s="201"/>
      <c r="AD81" s="201">
        <f t="shared" ref="AD81:AF81" si="65">SUM(AD58:AD80)</f>
        <v>2185</v>
      </c>
      <c r="AE81" s="201">
        <f t="shared" si="65"/>
        <v>8532.8169999999991</v>
      </c>
      <c r="AF81" s="201">
        <f t="shared" si="65"/>
        <v>28894.470000000005</v>
      </c>
    </row>
    <row r="83" spans="1:32">
      <c r="A83" s="461" t="s">
        <v>651</v>
      </c>
      <c r="B83" s="458"/>
      <c r="C83" s="458"/>
      <c r="D83" s="458"/>
      <c r="E83" s="458"/>
      <c r="F83" s="458"/>
      <c r="G83" s="458"/>
      <c r="H83" s="458"/>
      <c r="I83" s="458"/>
      <c r="J83" s="458"/>
      <c r="K83" s="458"/>
      <c r="L83" s="458"/>
      <c r="M83" s="458"/>
      <c r="N83" s="458"/>
      <c r="O83" s="458"/>
      <c r="P83" s="458"/>
      <c r="Q83" s="458"/>
      <c r="R83" s="458"/>
      <c r="S83" s="458"/>
      <c r="T83" s="458"/>
      <c r="U83" s="458"/>
      <c r="V83" s="458"/>
      <c r="W83" s="458"/>
      <c r="X83" s="458"/>
      <c r="Y83" s="458"/>
      <c r="Z83" s="458"/>
      <c r="AA83" s="458"/>
      <c r="AB83" s="458"/>
      <c r="AC83" s="458"/>
      <c r="AD83" s="458"/>
      <c r="AE83" s="458"/>
      <c r="AF83" s="459"/>
    </row>
    <row r="84" spans="1:32">
      <c r="A84" s="95" t="s">
        <v>0</v>
      </c>
      <c r="B84" s="95" t="s">
        <v>1</v>
      </c>
      <c r="C84" s="95" t="s">
        <v>372</v>
      </c>
      <c r="D84" s="95" t="s">
        <v>2</v>
      </c>
      <c r="E84" s="95" t="s">
        <v>413</v>
      </c>
      <c r="F84" s="150" t="s">
        <v>414</v>
      </c>
      <c r="G84" s="150" t="s">
        <v>415</v>
      </c>
      <c r="H84" s="95" t="s">
        <v>416</v>
      </c>
      <c r="I84" s="95" t="s">
        <v>7</v>
      </c>
      <c r="J84" s="95" t="s">
        <v>8</v>
      </c>
      <c r="K84" s="95" t="s">
        <v>287</v>
      </c>
      <c r="L84" s="95" t="s">
        <v>288</v>
      </c>
      <c r="M84" s="95" t="s">
        <v>257</v>
      </c>
      <c r="N84" s="95" t="s">
        <v>373</v>
      </c>
      <c r="O84" s="95" t="s">
        <v>374</v>
      </c>
      <c r="P84" s="150" t="s">
        <v>538</v>
      </c>
      <c r="Q84" s="95" t="s">
        <v>375</v>
      </c>
      <c r="R84" s="95" t="s">
        <v>376</v>
      </c>
      <c r="S84" s="95" t="s">
        <v>522</v>
      </c>
      <c r="T84" s="150" t="s">
        <v>378</v>
      </c>
      <c r="U84" s="150" t="s">
        <v>539</v>
      </c>
      <c r="V84" s="150" t="s">
        <v>379</v>
      </c>
      <c r="W84" s="150" t="s">
        <v>352</v>
      </c>
      <c r="X84" s="150" t="s">
        <v>523</v>
      </c>
      <c r="Y84" s="95" t="s">
        <v>380</v>
      </c>
      <c r="Z84" s="95" t="s">
        <v>381</v>
      </c>
      <c r="AA84" s="95" t="s">
        <v>382</v>
      </c>
      <c r="AB84" s="95" t="s">
        <v>383</v>
      </c>
      <c r="AC84" s="95" t="s">
        <v>385</v>
      </c>
      <c r="AD84" s="150" t="s">
        <v>333</v>
      </c>
      <c r="AE84" s="95" t="s">
        <v>582</v>
      </c>
      <c r="AF84" s="95" t="s">
        <v>98</v>
      </c>
    </row>
    <row r="85" spans="1:32">
      <c r="A85" s="184" t="s">
        <v>620</v>
      </c>
      <c r="B85" s="185">
        <v>191274</v>
      </c>
      <c r="C85" s="112">
        <v>7</v>
      </c>
      <c r="D85" s="103">
        <v>11450</v>
      </c>
      <c r="E85" s="102">
        <f t="shared" ref="E85:E104" si="66">F85+G85</f>
        <v>5310</v>
      </c>
      <c r="F85" s="117">
        <v>4953</v>
      </c>
      <c r="G85" s="117">
        <v>357</v>
      </c>
      <c r="H85" s="128">
        <f t="shared" ref="H85:H88" si="67">D85/E85</f>
        <v>2.1563088512241055</v>
      </c>
      <c r="I85" s="128">
        <v>3398.95</v>
      </c>
      <c r="J85" s="128">
        <v>374.08</v>
      </c>
      <c r="K85" s="103"/>
      <c r="L85" s="103"/>
      <c r="M85" s="146">
        <v>244.78</v>
      </c>
      <c r="N85" s="103">
        <f t="shared" ref="N85:N103" si="68">D85*0.0085</f>
        <v>97.325000000000003</v>
      </c>
      <c r="O85" s="103">
        <v>7</v>
      </c>
      <c r="P85" s="103">
        <v>376.33</v>
      </c>
      <c r="Q85" s="103">
        <v>881.75</v>
      </c>
      <c r="R85" s="103"/>
      <c r="S85" s="103">
        <v>0</v>
      </c>
      <c r="T85" s="103"/>
      <c r="U85" s="103">
        <v>40</v>
      </c>
      <c r="V85" s="103"/>
      <c r="W85" s="103">
        <f t="shared" ref="W85:W104" si="69">Z85*Y85</f>
        <v>430.27600000000001</v>
      </c>
      <c r="X85" s="152"/>
      <c r="Y85" s="152">
        <v>7.6999999999999999E-2</v>
      </c>
      <c r="Z85" s="155">
        <v>5588</v>
      </c>
      <c r="AA85" s="103">
        <v>135</v>
      </c>
      <c r="AB85" s="103">
        <f t="shared" ref="AB85:AB106" si="70">E85*0.1</f>
        <v>531</v>
      </c>
      <c r="AC85" s="213">
        <v>0.27</v>
      </c>
      <c r="AD85" s="103">
        <v>95</v>
      </c>
      <c r="AE85" s="103">
        <f>D85-I85-N85-Q85-U85-W85-AA85-AB85-AD85-AF85-K85-P85</f>
        <v>2372.8690000000006</v>
      </c>
      <c r="AF85" s="103">
        <f>D85*AC85</f>
        <v>3091.5</v>
      </c>
    </row>
    <row r="86" spans="1:32">
      <c r="A86" s="184" t="s">
        <v>621</v>
      </c>
      <c r="B86" s="185">
        <v>191277</v>
      </c>
      <c r="C86" s="112">
        <v>7</v>
      </c>
      <c r="D86" s="103">
        <v>7337</v>
      </c>
      <c r="E86" s="102">
        <f t="shared" si="66"/>
        <v>3621</v>
      </c>
      <c r="F86" s="117">
        <v>3360</v>
      </c>
      <c r="G86" s="117">
        <v>261</v>
      </c>
      <c r="H86" s="128">
        <f t="shared" si="67"/>
        <v>2.0262358464512564</v>
      </c>
      <c r="I86" s="128">
        <v>2938.69</v>
      </c>
      <c r="J86" s="128">
        <v>68.989999999999995</v>
      </c>
      <c r="K86" s="103"/>
      <c r="L86" s="103"/>
      <c r="M86" s="146">
        <v>107.08</v>
      </c>
      <c r="N86" s="103">
        <f t="shared" si="68"/>
        <v>62.364500000000007</v>
      </c>
      <c r="O86" s="103">
        <v>7</v>
      </c>
      <c r="P86" s="103"/>
      <c r="Q86" s="103">
        <v>881.75</v>
      </c>
      <c r="R86" s="103"/>
      <c r="S86" s="103">
        <v>0</v>
      </c>
      <c r="T86" s="103"/>
      <c r="U86" s="103">
        <v>40</v>
      </c>
      <c r="V86" s="103"/>
      <c r="W86" s="103">
        <f t="shared" si="69"/>
        <v>275.625</v>
      </c>
      <c r="X86" s="152"/>
      <c r="Y86" s="152">
        <v>7.4999999999999997E-2</v>
      </c>
      <c r="Z86" s="153">
        <v>3675</v>
      </c>
      <c r="AA86" s="103">
        <v>135</v>
      </c>
      <c r="AB86" s="103">
        <f t="shared" si="70"/>
        <v>362.1</v>
      </c>
      <c r="AC86" s="154">
        <v>0.6</v>
      </c>
      <c r="AD86" s="103">
        <v>95</v>
      </c>
      <c r="AE86" s="103">
        <f t="shared" ref="AE86:AE87" si="71">D86-I86-J86-N86-O86-Q86-W86-AA86-AB86-AD86-AC86*E86+M86-U86-P86</f>
        <v>404.9605000000002</v>
      </c>
      <c r="AF86" s="103">
        <f t="shared" ref="AF86:AF87" si="72">AC86*E86+K86-L86</f>
        <v>2172.6</v>
      </c>
    </row>
    <row r="87" spans="1:32">
      <c r="A87" s="187" t="s">
        <v>574</v>
      </c>
      <c r="B87" s="208">
        <v>191280</v>
      </c>
      <c r="C87" s="112">
        <v>7</v>
      </c>
      <c r="D87" s="103">
        <v>5950</v>
      </c>
      <c r="E87" s="102">
        <f t="shared" si="66"/>
        <v>3111</v>
      </c>
      <c r="F87" s="117">
        <v>2936</v>
      </c>
      <c r="G87" s="117">
        <v>175</v>
      </c>
      <c r="H87" s="128">
        <f t="shared" si="67"/>
        <v>1.9125683060109289</v>
      </c>
      <c r="I87" s="128">
        <v>2514.59</v>
      </c>
      <c r="J87" s="128">
        <v>167.96</v>
      </c>
      <c r="K87" s="103"/>
      <c r="L87" s="103"/>
      <c r="M87" s="146">
        <v>150.81</v>
      </c>
      <c r="N87" s="103">
        <f t="shared" si="68"/>
        <v>50.575000000000003</v>
      </c>
      <c r="O87" s="103">
        <v>7</v>
      </c>
      <c r="P87" s="103"/>
      <c r="Q87" s="103">
        <v>881.75</v>
      </c>
      <c r="R87" s="103"/>
      <c r="S87" s="103">
        <v>0</v>
      </c>
      <c r="T87" s="103"/>
      <c r="U87" s="103">
        <v>40</v>
      </c>
      <c r="V87" s="103"/>
      <c r="W87" s="103">
        <f t="shared" si="69"/>
        <v>239.77499999999998</v>
      </c>
      <c r="X87" s="152"/>
      <c r="Y87" s="152">
        <v>7.4999999999999997E-2</v>
      </c>
      <c r="Z87" s="153">
        <v>3197</v>
      </c>
      <c r="AA87" s="103">
        <v>135</v>
      </c>
      <c r="AB87" s="103">
        <f t="shared" si="70"/>
        <v>311.10000000000002</v>
      </c>
      <c r="AC87" s="154">
        <v>0.6</v>
      </c>
      <c r="AD87" s="108">
        <v>95</v>
      </c>
      <c r="AE87" s="103">
        <f t="shared" si="71"/>
        <v>-208.53999999999991</v>
      </c>
      <c r="AF87" s="103">
        <f t="shared" si="72"/>
        <v>1866.6</v>
      </c>
    </row>
    <row r="88" spans="1:32">
      <c r="A88" s="187" t="s">
        <v>652</v>
      </c>
      <c r="B88" s="208">
        <v>191281</v>
      </c>
      <c r="C88" s="112">
        <v>7</v>
      </c>
      <c r="D88" s="103">
        <v>12231</v>
      </c>
      <c r="E88" s="102">
        <f t="shared" si="66"/>
        <v>5646</v>
      </c>
      <c r="F88" s="117">
        <v>5411</v>
      </c>
      <c r="G88" s="117">
        <v>235</v>
      </c>
      <c r="H88" s="128">
        <f t="shared" si="67"/>
        <v>2.1663124335812967</v>
      </c>
      <c r="I88" s="128">
        <v>2946.98</v>
      </c>
      <c r="J88" s="128">
        <v>98.86</v>
      </c>
      <c r="K88" s="103"/>
      <c r="L88" s="103"/>
      <c r="M88" s="146">
        <v>75.680000000000007</v>
      </c>
      <c r="N88" s="103">
        <f t="shared" si="68"/>
        <v>103.96350000000001</v>
      </c>
      <c r="O88" s="103">
        <v>7</v>
      </c>
      <c r="P88" s="103">
        <v>385</v>
      </c>
      <c r="Q88" s="103">
        <v>881.75</v>
      </c>
      <c r="R88" s="103"/>
      <c r="S88" s="103">
        <v>0</v>
      </c>
      <c r="T88" s="103"/>
      <c r="U88" s="103">
        <v>40</v>
      </c>
      <c r="V88" s="103"/>
      <c r="W88" s="103">
        <f t="shared" si="69"/>
        <v>416.55</v>
      </c>
      <c r="X88" s="152"/>
      <c r="Y88" s="152">
        <v>7.4999999999999997E-2</v>
      </c>
      <c r="Z88" s="153">
        <v>5554</v>
      </c>
      <c r="AA88" s="103">
        <v>135</v>
      </c>
      <c r="AB88" s="103">
        <f t="shared" si="70"/>
        <v>564.6</v>
      </c>
      <c r="AC88" s="154">
        <v>0.6</v>
      </c>
      <c r="AD88" s="103">
        <v>95</v>
      </c>
      <c r="AE88" s="103">
        <f>D88-I88-J88-N88-O88-Q88-W88-AA88-AB88-AD88-AC88*E88+M88-U88-P88-L88</f>
        <v>3244.3764999999994</v>
      </c>
      <c r="AF88" s="103">
        <f>AC88*E88</f>
        <v>3387.6</v>
      </c>
    </row>
    <row r="89" spans="1:32">
      <c r="A89" s="196" t="s">
        <v>585</v>
      </c>
      <c r="B89" s="205">
        <v>191283</v>
      </c>
      <c r="C89" s="112"/>
      <c r="D89" s="103"/>
      <c r="E89" s="102">
        <f t="shared" si="66"/>
        <v>0</v>
      </c>
      <c r="F89" s="112"/>
      <c r="G89" s="112"/>
      <c r="H89" s="128"/>
      <c r="I89" s="128"/>
      <c r="J89" s="128"/>
      <c r="K89" s="103"/>
      <c r="L89" s="103"/>
      <c r="M89" s="146"/>
      <c r="N89" s="103">
        <f t="shared" si="68"/>
        <v>0</v>
      </c>
      <c r="O89" s="103">
        <v>7</v>
      </c>
      <c r="P89" s="103">
        <v>939.18</v>
      </c>
      <c r="Q89" s="103">
        <v>881.75</v>
      </c>
      <c r="R89" s="103"/>
      <c r="S89" s="103">
        <v>0</v>
      </c>
      <c r="T89" s="103"/>
      <c r="U89" s="103">
        <v>40</v>
      </c>
      <c r="V89" s="103"/>
      <c r="W89" s="103">
        <f t="shared" si="69"/>
        <v>0</v>
      </c>
      <c r="X89" s="152"/>
      <c r="Y89" s="152">
        <v>7.4999999999999997E-2</v>
      </c>
      <c r="Z89" s="153"/>
      <c r="AA89" s="103">
        <v>135</v>
      </c>
      <c r="AB89" s="103">
        <f t="shared" si="70"/>
        <v>0</v>
      </c>
      <c r="AC89" s="213">
        <v>0.27</v>
      </c>
      <c r="AD89" s="103">
        <v>95</v>
      </c>
      <c r="AE89" s="103">
        <f t="shared" ref="AE89:AE90" si="73">D89-I89-N89-Q89-U89-W89-AA89-AB89-AD89-AF89-L89-P89</f>
        <v>-2090.9299999999998</v>
      </c>
      <c r="AF89" s="103">
        <f t="shared" ref="AF89:AF90" si="74">D89*AC89+L89</f>
        <v>0</v>
      </c>
    </row>
    <row r="90" spans="1:32">
      <c r="A90" s="184" t="s">
        <v>634</v>
      </c>
      <c r="B90" s="208">
        <v>465180</v>
      </c>
      <c r="C90" s="112">
        <v>2</v>
      </c>
      <c r="D90" s="103">
        <v>2200</v>
      </c>
      <c r="E90" s="102">
        <f t="shared" si="66"/>
        <v>941</v>
      </c>
      <c r="F90" s="117">
        <v>872</v>
      </c>
      <c r="G90" s="117">
        <v>69</v>
      </c>
      <c r="H90" s="128">
        <f t="shared" ref="H90:H93" si="75">D90/E90</f>
        <v>2.3379383634431457</v>
      </c>
      <c r="I90" s="128">
        <v>762.79</v>
      </c>
      <c r="J90" s="128">
        <v>87.15</v>
      </c>
      <c r="K90" s="103"/>
      <c r="L90" s="103"/>
      <c r="M90" s="146">
        <v>100.02</v>
      </c>
      <c r="N90" s="103">
        <f t="shared" si="68"/>
        <v>18.700000000000003</v>
      </c>
      <c r="O90" s="103">
        <v>7</v>
      </c>
      <c r="P90" s="103"/>
      <c r="Q90" s="103">
        <v>881.75</v>
      </c>
      <c r="R90" s="103"/>
      <c r="S90" s="103">
        <v>0</v>
      </c>
      <c r="T90" s="103"/>
      <c r="U90" s="103">
        <v>40</v>
      </c>
      <c r="V90" s="103"/>
      <c r="W90" s="103">
        <f t="shared" si="69"/>
        <v>75.075000000000003</v>
      </c>
      <c r="X90" s="152"/>
      <c r="Y90" s="152">
        <v>7.4999999999999997E-2</v>
      </c>
      <c r="Z90" s="153">
        <v>1001</v>
      </c>
      <c r="AA90" s="103">
        <v>135</v>
      </c>
      <c r="AB90" s="103">
        <f t="shared" si="70"/>
        <v>94.100000000000009</v>
      </c>
      <c r="AC90" s="213">
        <v>0.27</v>
      </c>
      <c r="AD90" s="103">
        <v>95</v>
      </c>
      <c r="AE90" s="103">
        <f t="shared" si="73"/>
        <v>-496.41500000000002</v>
      </c>
      <c r="AF90" s="103">
        <f t="shared" si="74"/>
        <v>594</v>
      </c>
    </row>
    <row r="91" spans="1:32">
      <c r="A91" s="190" t="s">
        <v>491</v>
      </c>
      <c r="B91" s="185">
        <v>465181</v>
      </c>
      <c r="C91" s="117">
        <v>6</v>
      </c>
      <c r="D91" s="103">
        <v>5500</v>
      </c>
      <c r="E91" s="102">
        <f t="shared" si="66"/>
        <v>2472</v>
      </c>
      <c r="F91" s="112">
        <v>2299</v>
      </c>
      <c r="G91" s="112">
        <v>173</v>
      </c>
      <c r="H91" s="128">
        <f t="shared" si="75"/>
        <v>2.2249190938511325</v>
      </c>
      <c r="I91" s="146">
        <v>1925.81</v>
      </c>
      <c r="J91" s="128">
        <v>154.38999999999999</v>
      </c>
      <c r="K91" s="128"/>
      <c r="L91" s="128">
        <v>90</v>
      </c>
      <c r="M91" s="146">
        <v>92.85</v>
      </c>
      <c r="N91" s="103">
        <f t="shared" si="68"/>
        <v>46.75</v>
      </c>
      <c r="O91" s="103">
        <v>7</v>
      </c>
      <c r="P91" s="103"/>
      <c r="Q91" s="103">
        <v>881.75</v>
      </c>
      <c r="R91" s="103"/>
      <c r="S91" s="103">
        <v>0</v>
      </c>
      <c r="T91" s="103"/>
      <c r="U91" s="103">
        <v>40</v>
      </c>
      <c r="V91" s="103"/>
      <c r="W91" s="103">
        <f t="shared" si="69"/>
        <v>195.42599999999999</v>
      </c>
      <c r="X91" s="152"/>
      <c r="Y91" s="152">
        <v>7.6999999999999999E-2</v>
      </c>
      <c r="Z91" s="153">
        <v>2538</v>
      </c>
      <c r="AA91" s="103">
        <v>135</v>
      </c>
      <c r="AB91" s="103">
        <f t="shared" si="70"/>
        <v>247.20000000000002</v>
      </c>
      <c r="AC91" s="154">
        <v>0.6</v>
      </c>
      <c r="AD91" s="103">
        <v>95</v>
      </c>
      <c r="AE91" s="103">
        <f>D91-I91-J91-N91-O91-Q91-W91-AA91-AB91-AD91-AC91*E91+M91-U91-P91-K91+L91</f>
        <v>471.32400000000018</v>
      </c>
      <c r="AF91" s="103">
        <f>AC91*E91+K91</f>
        <v>1483.2</v>
      </c>
    </row>
    <row r="92" spans="1:32">
      <c r="A92" s="190" t="s">
        <v>555</v>
      </c>
      <c r="B92" s="208">
        <v>465182</v>
      </c>
      <c r="C92" s="112">
        <v>7</v>
      </c>
      <c r="D92" s="103">
        <v>4300</v>
      </c>
      <c r="E92" s="102">
        <f t="shared" si="66"/>
        <v>2348</v>
      </c>
      <c r="F92" s="112">
        <v>2024</v>
      </c>
      <c r="G92" s="112">
        <v>324</v>
      </c>
      <c r="H92" s="128">
        <f t="shared" si="75"/>
        <v>1.8313458262350937</v>
      </c>
      <c r="I92" s="128">
        <v>1400.25</v>
      </c>
      <c r="J92" s="128">
        <v>176.8</v>
      </c>
      <c r="K92" s="103"/>
      <c r="L92" s="103"/>
      <c r="M92" s="146">
        <v>29.23</v>
      </c>
      <c r="N92" s="103">
        <f t="shared" si="68"/>
        <v>36.550000000000004</v>
      </c>
      <c r="O92" s="103">
        <v>7</v>
      </c>
      <c r="P92" s="103">
        <v>56.4</v>
      </c>
      <c r="Q92" s="103">
        <v>881.75</v>
      </c>
      <c r="R92" s="103"/>
      <c r="S92" s="103">
        <v>0</v>
      </c>
      <c r="T92" s="103"/>
      <c r="U92" s="103">
        <v>40</v>
      </c>
      <c r="V92" s="103"/>
      <c r="W92" s="103">
        <f t="shared" si="69"/>
        <v>199.50700000000001</v>
      </c>
      <c r="X92" s="152"/>
      <c r="Y92" s="152">
        <v>7.6999999999999999E-2</v>
      </c>
      <c r="Z92" s="153">
        <v>2591</v>
      </c>
      <c r="AA92" s="103">
        <v>135</v>
      </c>
      <c r="AB92" s="103">
        <f t="shared" si="70"/>
        <v>234.8</v>
      </c>
      <c r="AC92" s="213">
        <v>0.27</v>
      </c>
      <c r="AD92" s="103">
        <v>95</v>
      </c>
      <c r="AE92" s="103">
        <f t="shared" ref="AE92:AE93" si="76">D92-I92-N92-Q92-U92-W92-AA92-AB92-AD92-AF92-P92+L92</f>
        <v>59.742999999999803</v>
      </c>
      <c r="AF92" s="103">
        <f t="shared" ref="AF92:AF93" si="77">D92*AC92+L92</f>
        <v>1161</v>
      </c>
    </row>
    <row r="93" spans="1:32">
      <c r="A93" s="198" t="s">
        <v>540</v>
      </c>
      <c r="B93" s="208">
        <v>465183</v>
      </c>
      <c r="C93" s="117">
        <v>4</v>
      </c>
      <c r="D93" s="103">
        <v>3900</v>
      </c>
      <c r="E93" s="102">
        <f t="shared" si="66"/>
        <v>1833</v>
      </c>
      <c r="F93" s="112">
        <v>1780</v>
      </c>
      <c r="G93" s="112">
        <v>53</v>
      </c>
      <c r="H93" s="128">
        <f t="shared" si="75"/>
        <v>2.1276595744680851</v>
      </c>
      <c r="I93" s="128">
        <v>1915.22</v>
      </c>
      <c r="J93" s="128">
        <v>35.5</v>
      </c>
      <c r="K93" s="128"/>
      <c r="L93" s="128"/>
      <c r="M93" s="146">
        <v>41.73</v>
      </c>
      <c r="N93" s="103">
        <f t="shared" si="68"/>
        <v>33.150000000000006</v>
      </c>
      <c r="O93" s="103">
        <v>7</v>
      </c>
      <c r="P93" s="103"/>
      <c r="Q93" s="103">
        <v>881.75</v>
      </c>
      <c r="R93" s="103"/>
      <c r="S93" s="103">
        <v>0</v>
      </c>
      <c r="T93" s="103"/>
      <c r="U93" s="103">
        <v>40</v>
      </c>
      <c r="V93" s="103"/>
      <c r="W93" s="103">
        <f t="shared" si="69"/>
        <v>192.19200000000001</v>
      </c>
      <c r="X93" s="152"/>
      <c r="Y93" s="152">
        <v>7.6999999999999999E-2</v>
      </c>
      <c r="Z93" s="153">
        <v>2496</v>
      </c>
      <c r="AA93" s="103">
        <v>135</v>
      </c>
      <c r="AB93" s="103">
        <f t="shared" si="70"/>
        <v>183.3</v>
      </c>
      <c r="AC93" s="213">
        <v>0.27</v>
      </c>
      <c r="AD93" s="103">
        <v>95</v>
      </c>
      <c r="AE93" s="103">
        <f t="shared" si="76"/>
        <v>-628.61200000000008</v>
      </c>
      <c r="AF93" s="103">
        <f t="shared" si="77"/>
        <v>1053</v>
      </c>
    </row>
    <row r="94" spans="1:32">
      <c r="A94" s="187"/>
      <c r="B94" s="205">
        <v>465185</v>
      </c>
      <c r="C94" s="117"/>
      <c r="D94" s="103"/>
      <c r="E94" s="102">
        <f t="shared" si="66"/>
        <v>0</v>
      </c>
      <c r="F94" s="112"/>
      <c r="G94" s="112"/>
      <c r="H94" s="128"/>
      <c r="I94" s="128"/>
      <c r="J94" s="128"/>
      <c r="K94" s="128"/>
      <c r="L94" s="128"/>
      <c r="M94" s="146"/>
      <c r="N94" s="103">
        <f t="shared" si="68"/>
        <v>0</v>
      </c>
      <c r="O94" s="103">
        <v>7</v>
      </c>
      <c r="P94" s="103"/>
      <c r="Q94" s="103">
        <v>881.75</v>
      </c>
      <c r="R94" s="103"/>
      <c r="S94" s="103">
        <v>0</v>
      </c>
      <c r="T94" s="103"/>
      <c r="U94" s="103">
        <v>40</v>
      </c>
      <c r="V94" s="103"/>
      <c r="W94" s="103">
        <f t="shared" si="69"/>
        <v>0</v>
      </c>
      <c r="X94" s="152"/>
      <c r="Y94" s="152">
        <v>7.6999999999999999E-2</v>
      </c>
      <c r="Z94" s="153"/>
      <c r="AA94" s="103">
        <v>135</v>
      </c>
      <c r="AB94" s="103">
        <f t="shared" si="70"/>
        <v>0</v>
      </c>
      <c r="AC94" s="213">
        <v>0.27</v>
      </c>
      <c r="AD94" s="103">
        <v>95</v>
      </c>
      <c r="AE94" s="103">
        <f t="shared" ref="AE94:AE97" si="78">D94-I94-N94-Q94-U94-W94-AA94-AB94-AD94-AF94-P94</f>
        <v>-1151.75</v>
      </c>
      <c r="AF94" s="103">
        <f t="shared" ref="AF94:AF97" si="79">D94*AC94</f>
        <v>0</v>
      </c>
    </row>
    <row r="95" spans="1:32">
      <c r="A95" s="198" t="s">
        <v>644</v>
      </c>
      <c r="B95" s="208">
        <v>465186</v>
      </c>
      <c r="C95" s="112">
        <v>7</v>
      </c>
      <c r="D95" s="103">
        <v>5500</v>
      </c>
      <c r="E95" s="102">
        <f t="shared" si="66"/>
        <v>2999</v>
      </c>
      <c r="F95" s="112">
        <v>2754</v>
      </c>
      <c r="G95" s="112">
        <v>245</v>
      </c>
      <c r="H95" s="128">
        <f t="shared" ref="H95:H104" si="80">D95/E95</f>
        <v>1.8339446482160719</v>
      </c>
      <c r="I95" s="128">
        <v>2682.25</v>
      </c>
      <c r="J95" s="128">
        <v>320.93</v>
      </c>
      <c r="K95" s="128"/>
      <c r="L95" s="128"/>
      <c r="M95" s="128">
        <v>321.08</v>
      </c>
      <c r="N95" s="103">
        <f t="shared" si="68"/>
        <v>46.75</v>
      </c>
      <c r="O95" s="103">
        <v>7</v>
      </c>
      <c r="P95" s="103"/>
      <c r="Q95" s="103">
        <v>881.75</v>
      </c>
      <c r="R95" s="103"/>
      <c r="S95" s="103">
        <v>0</v>
      </c>
      <c r="T95" s="103"/>
      <c r="U95" s="103">
        <v>40</v>
      </c>
      <c r="V95" s="103"/>
      <c r="W95" s="103">
        <f t="shared" si="69"/>
        <v>221.529</v>
      </c>
      <c r="X95" s="152"/>
      <c r="Y95" s="152">
        <v>7.6999999999999999E-2</v>
      </c>
      <c r="Z95" s="153">
        <v>2877</v>
      </c>
      <c r="AA95" s="103">
        <v>135</v>
      </c>
      <c r="AB95" s="103">
        <f t="shared" si="70"/>
        <v>299.90000000000003</v>
      </c>
      <c r="AC95" s="213">
        <v>0.27</v>
      </c>
      <c r="AD95" s="103">
        <v>95</v>
      </c>
      <c r="AE95" s="103">
        <f t="shared" si="78"/>
        <v>-387.17900000000009</v>
      </c>
      <c r="AF95" s="103">
        <f t="shared" si="79"/>
        <v>1485</v>
      </c>
    </row>
    <row r="96" spans="1:32">
      <c r="A96" s="187" t="s">
        <v>344</v>
      </c>
      <c r="B96" s="185" t="s">
        <v>653</v>
      </c>
      <c r="C96" s="117"/>
      <c r="D96" s="103">
        <v>3275</v>
      </c>
      <c r="E96" s="102">
        <f t="shared" si="66"/>
        <v>1888</v>
      </c>
      <c r="F96" s="112">
        <v>1795</v>
      </c>
      <c r="G96" s="112">
        <v>93</v>
      </c>
      <c r="H96" s="128">
        <f t="shared" si="80"/>
        <v>1.7346398305084745</v>
      </c>
      <c r="I96" s="128">
        <v>1155.8699999999999</v>
      </c>
      <c r="J96" s="128">
        <v>66.8</v>
      </c>
      <c r="K96" s="128"/>
      <c r="L96" s="128"/>
      <c r="M96" s="128">
        <v>44.59</v>
      </c>
      <c r="N96" s="103">
        <f t="shared" si="68"/>
        <v>27.837500000000002</v>
      </c>
      <c r="O96" s="103">
        <v>7</v>
      </c>
      <c r="P96" s="103"/>
      <c r="Q96" s="103">
        <v>881.75</v>
      </c>
      <c r="R96" s="103"/>
      <c r="S96" s="103">
        <v>0</v>
      </c>
      <c r="T96" s="103"/>
      <c r="U96" s="103">
        <v>40</v>
      </c>
      <c r="V96" s="103"/>
      <c r="W96" s="103">
        <f t="shared" si="69"/>
        <v>81.62</v>
      </c>
      <c r="X96" s="152"/>
      <c r="Y96" s="152">
        <v>7.6999999999999999E-2</v>
      </c>
      <c r="Z96" s="153">
        <v>1060</v>
      </c>
      <c r="AA96" s="103">
        <v>135</v>
      </c>
      <c r="AB96" s="103">
        <f t="shared" si="70"/>
        <v>188.8</v>
      </c>
      <c r="AC96" s="213">
        <v>0.27</v>
      </c>
      <c r="AD96" s="103">
        <v>95</v>
      </c>
      <c r="AE96" s="103">
        <f t="shared" si="78"/>
        <v>-215.12749999999994</v>
      </c>
      <c r="AF96" s="103">
        <f t="shared" si="79"/>
        <v>884.25000000000011</v>
      </c>
    </row>
    <row r="97" spans="1:32">
      <c r="A97" s="187" t="s">
        <v>636</v>
      </c>
      <c r="B97" s="208">
        <v>465189</v>
      </c>
      <c r="C97" s="112">
        <v>7</v>
      </c>
      <c r="D97" s="103">
        <v>7500</v>
      </c>
      <c r="E97" s="102">
        <f t="shared" si="66"/>
        <v>3413</v>
      </c>
      <c r="F97" s="117">
        <v>3248</v>
      </c>
      <c r="G97" s="112">
        <v>165</v>
      </c>
      <c r="H97" s="128">
        <f t="shared" si="80"/>
        <v>2.1974802226779957</v>
      </c>
      <c r="I97" s="128">
        <v>2220.2199999999998</v>
      </c>
      <c r="J97" s="128">
        <v>260.89999999999998</v>
      </c>
      <c r="K97" s="103"/>
      <c r="L97" s="103"/>
      <c r="M97" s="128">
        <v>13.49</v>
      </c>
      <c r="N97" s="103">
        <f t="shared" si="68"/>
        <v>63.750000000000007</v>
      </c>
      <c r="O97" s="103">
        <v>7</v>
      </c>
      <c r="P97" s="103"/>
      <c r="Q97" s="103">
        <v>881.75</v>
      </c>
      <c r="R97" s="103"/>
      <c r="S97" s="103">
        <v>0</v>
      </c>
      <c r="T97" s="103"/>
      <c r="U97" s="103">
        <v>40</v>
      </c>
      <c r="V97" s="103"/>
      <c r="W97" s="103">
        <f t="shared" si="69"/>
        <v>285.3</v>
      </c>
      <c r="X97" s="152"/>
      <c r="Y97" s="152">
        <v>7.4999999999999997E-2</v>
      </c>
      <c r="Z97" s="153">
        <v>3804</v>
      </c>
      <c r="AA97" s="103">
        <v>135</v>
      </c>
      <c r="AB97" s="103">
        <f t="shared" si="70"/>
        <v>341.3</v>
      </c>
      <c r="AC97" s="213">
        <v>0.27</v>
      </c>
      <c r="AD97" s="103">
        <v>95</v>
      </c>
      <c r="AE97" s="103">
        <f t="shared" si="78"/>
        <v>1412.68</v>
      </c>
      <c r="AF97" s="103">
        <f t="shared" si="79"/>
        <v>2025.0000000000002</v>
      </c>
    </row>
    <row r="98" spans="1:32">
      <c r="A98" s="215" t="s">
        <v>587</v>
      </c>
      <c r="B98" s="216">
        <v>191275</v>
      </c>
      <c r="C98" s="217">
        <v>6</v>
      </c>
      <c r="D98" s="218">
        <v>2195</v>
      </c>
      <c r="E98" s="237">
        <f t="shared" si="66"/>
        <v>1432</v>
      </c>
      <c r="F98" s="217">
        <v>1277</v>
      </c>
      <c r="G98" s="217">
        <v>155</v>
      </c>
      <c r="H98" s="128">
        <f t="shared" si="80"/>
        <v>1.5328212290502794</v>
      </c>
      <c r="I98" s="221">
        <v>958.56</v>
      </c>
      <c r="J98" s="221"/>
      <c r="K98" s="221"/>
      <c r="L98" s="221"/>
      <c r="M98" s="221">
        <v>5.54</v>
      </c>
      <c r="N98" s="218">
        <f t="shared" si="68"/>
        <v>18.657500000000002</v>
      </c>
      <c r="O98" s="218">
        <v>7</v>
      </c>
      <c r="P98" s="218"/>
      <c r="Q98" s="218">
        <v>881.75</v>
      </c>
      <c r="R98" s="218">
        <v>50</v>
      </c>
      <c r="S98" s="218">
        <v>1200</v>
      </c>
      <c r="T98" s="218">
        <v>30</v>
      </c>
      <c r="U98" s="218">
        <v>40</v>
      </c>
      <c r="V98" s="218">
        <v>300</v>
      </c>
      <c r="W98" s="218">
        <f t="shared" si="69"/>
        <v>107.39999999999999</v>
      </c>
      <c r="X98" s="218">
        <f t="shared" ref="X98:X104" si="81">0.15*Z98</f>
        <v>214.79999999999998</v>
      </c>
      <c r="Y98" s="222">
        <v>7.4999999999999997E-2</v>
      </c>
      <c r="Z98" s="219" t="s">
        <v>654</v>
      </c>
      <c r="AA98" s="218">
        <v>135</v>
      </c>
      <c r="AB98" s="218">
        <f t="shared" si="70"/>
        <v>143.20000000000002</v>
      </c>
      <c r="AC98" s="223">
        <v>0.87</v>
      </c>
      <c r="AD98" s="218">
        <v>95</v>
      </c>
      <c r="AE98" s="103">
        <f t="shared" ref="AE98:AE101" si="82">D98*13%+R98+T98+S98+V98-Q98-W98-AA98-AD98+X98-N98+M98-U98</f>
        <v>807.88249999999982</v>
      </c>
      <c r="AF98" s="103">
        <f t="shared" ref="AF98:AF102" si="83">D98*AC98-I98-J98-S98-R98-T98-V98-X98</f>
        <v>-843.70999999999981</v>
      </c>
    </row>
    <row r="99" spans="1:32">
      <c r="A99" s="229" t="s">
        <v>624</v>
      </c>
      <c r="B99" s="216">
        <v>191276</v>
      </c>
      <c r="C99" s="217">
        <v>7</v>
      </c>
      <c r="D99" s="218">
        <v>10500</v>
      </c>
      <c r="E99" s="237">
        <f t="shared" si="66"/>
        <v>4895</v>
      </c>
      <c r="F99" s="217">
        <v>4834</v>
      </c>
      <c r="G99" s="217">
        <v>61</v>
      </c>
      <c r="H99" s="128">
        <f t="shared" si="80"/>
        <v>2.1450459652706844</v>
      </c>
      <c r="I99" s="221">
        <v>3903.34</v>
      </c>
      <c r="J99" s="221">
        <v>80.11</v>
      </c>
      <c r="K99" s="221"/>
      <c r="L99" s="221"/>
      <c r="M99" s="221">
        <v>316.88</v>
      </c>
      <c r="N99" s="218">
        <f t="shared" si="68"/>
        <v>89.25</v>
      </c>
      <c r="O99" s="218"/>
      <c r="P99" s="218"/>
      <c r="Q99" s="218">
        <v>881.75</v>
      </c>
      <c r="R99" s="218">
        <v>50</v>
      </c>
      <c r="S99" s="218">
        <v>1050</v>
      </c>
      <c r="T99" s="218">
        <v>30</v>
      </c>
      <c r="U99" s="218">
        <v>40</v>
      </c>
      <c r="V99" s="218">
        <v>400</v>
      </c>
      <c r="W99" s="218">
        <f t="shared" si="69"/>
        <v>364.34999999999997</v>
      </c>
      <c r="X99" s="218">
        <f t="shared" si="81"/>
        <v>728.69999999999993</v>
      </c>
      <c r="Y99" s="222">
        <v>7.4999999999999997E-2</v>
      </c>
      <c r="Z99" s="219" t="s">
        <v>655</v>
      </c>
      <c r="AA99" s="218">
        <v>135</v>
      </c>
      <c r="AB99" s="218">
        <f t="shared" si="70"/>
        <v>489.5</v>
      </c>
      <c r="AC99" s="223">
        <v>0.87</v>
      </c>
      <c r="AD99" s="218">
        <v>95</v>
      </c>
      <c r="AE99" s="103">
        <f t="shared" si="82"/>
        <v>2335.23</v>
      </c>
      <c r="AF99" s="103">
        <f t="shared" si="83"/>
        <v>2892.8500000000004</v>
      </c>
    </row>
    <row r="100" spans="1:32">
      <c r="A100" s="229" t="s">
        <v>435</v>
      </c>
      <c r="B100" s="216">
        <v>191282</v>
      </c>
      <c r="C100" s="217">
        <v>1</v>
      </c>
      <c r="D100" s="218">
        <v>1790</v>
      </c>
      <c r="E100" s="237">
        <f t="shared" si="66"/>
        <v>1050</v>
      </c>
      <c r="F100" s="217">
        <v>1040</v>
      </c>
      <c r="G100" s="217">
        <v>10</v>
      </c>
      <c r="H100" s="128">
        <f t="shared" si="80"/>
        <v>1.7047619047619047</v>
      </c>
      <c r="I100" s="221">
        <v>660</v>
      </c>
      <c r="J100" s="221">
        <v>25.7</v>
      </c>
      <c r="K100" s="221"/>
      <c r="L100" s="221"/>
      <c r="M100" s="221">
        <v>0</v>
      </c>
      <c r="N100" s="218">
        <f t="shared" si="68"/>
        <v>15.215000000000002</v>
      </c>
      <c r="O100" s="218">
        <v>7</v>
      </c>
      <c r="P100" s="218"/>
      <c r="Q100" s="218">
        <v>881.75</v>
      </c>
      <c r="R100" s="218">
        <v>50</v>
      </c>
      <c r="S100" s="218">
        <v>1200</v>
      </c>
      <c r="T100" s="218">
        <v>30</v>
      </c>
      <c r="U100" s="218">
        <v>40</v>
      </c>
      <c r="V100" s="218">
        <v>300</v>
      </c>
      <c r="W100" s="218">
        <f t="shared" si="69"/>
        <v>88.858000000000004</v>
      </c>
      <c r="X100" s="218">
        <f t="shared" si="81"/>
        <v>173.1</v>
      </c>
      <c r="Y100" s="222">
        <v>7.6999999999999999E-2</v>
      </c>
      <c r="Z100" s="219" t="s">
        <v>656</v>
      </c>
      <c r="AA100" s="218">
        <v>135</v>
      </c>
      <c r="AB100" s="218">
        <f t="shared" si="70"/>
        <v>105</v>
      </c>
      <c r="AC100" s="223">
        <v>0.87</v>
      </c>
      <c r="AD100" s="218">
        <v>95</v>
      </c>
      <c r="AE100" s="103">
        <f t="shared" si="82"/>
        <v>729.97700000000009</v>
      </c>
      <c r="AF100" s="103">
        <f t="shared" si="83"/>
        <v>-881.50000000000011</v>
      </c>
    </row>
    <row r="101" spans="1:32">
      <c r="A101" s="229" t="s">
        <v>590</v>
      </c>
      <c r="B101" s="216">
        <v>465184</v>
      </c>
      <c r="C101" s="217">
        <v>7</v>
      </c>
      <c r="D101" s="218">
        <v>11875</v>
      </c>
      <c r="E101" s="237">
        <f t="shared" si="66"/>
        <v>5818</v>
      </c>
      <c r="F101" s="217">
        <v>5632</v>
      </c>
      <c r="G101" s="217">
        <v>186</v>
      </c>
      <c r="H101" s="128">
        <f t="shared" si="80"/>
        <v>2.0410794087315227</v>
      </c>
      <c r="I101" s="221">
        <v>3140.63</v>
      </c>
      <c r="J101" s="221">
        <v>14.68</v>
      </c>
      <c r="K101" s="221"/>
      <c r="L101" s="221"/>
      <c r="M101" s="221">
        <v>57.26</v>
      </c>
      <c r="N101" s="218">
        <f t="shared" si="68"/>
        <v>100.93750000000001</v>
      </c>
      <c r="O101" s="218">
        <v>7</v>
      </c>
      <c r="P101" s="218"/>
      <c r="Q101" s="218">
        <v>881.75</v>
      </c>
      <c r="R101" s="218">
        <v>50</v>
      </c>
      <c r="S101" s="218">
        <v>1050</v>
      </c>
      <c r="T101" s="218">
        <v>30</v>
      </c>
      <c r="U101" s="218">
        <v>40</v>
      </c>
      <c r="V101" s="218">
        <v>400</v>
      </c>
      <c r="W101" s="218">
        <f t="shared" si="69"/>
        <v>414.95299999999997</v>
      </c>
      <c r="X101" s="218">
        <f t="shared" si="81"/>
        <v>808.35</v>
      </c>
      <c r="Y101" s="222">
        <v>7.6999999999999999E-2</v>
      </c>
      <c r="Z101" s="219" t="s">
        <v>657</v>
      </c>
      <c r="AA101" s="218">
        <v>135</v>
      </c>
      <c r="AB101" s="218">
        <f t="shared" si="70"/>
        <v>581.80000000000007</v>
      </c>
      <c r="AC101" s="223">
        <v>0.87</v>
      </c>
      <c r="AD101" s="218">
        <v>95</v>
      </c>
      <c r="AE101" s="103">
        <f t="shared" si="82"/>
        <v>2271.7195000000002</v>
      </c>
      <c r="AF101" s="103">
        <f t="shared" si="83"/>
        <v>4837.5899999999992</v>
      </c>
    </row>
    <row r="102" spans="1:32">
      <c r="A102" s="229" t="s">
        <v>568</v>
      </c>
      <c r="B102" s="216">
        <v>191278</v>
      </c>
      <c r="C102" s="217">
        <v>5</v>
      </c>
      <c r="D102" s="218">
        <v>6200</v>
      </c>
      <c r="E102" s="237">
        <f t="shared" si="66"/>
        <v>3130</v>
      </c>
      <c r="F102" s="217">
        <v>2765</v>
      </c>
      <c r="G102" s="217">
        <v>365</v>
      </c>
      <c r="H102" s="128">
        <f t="shared" si="80"/>
        <v>1.9808306709265175</v>
      </c>
      <c r="I102" s="221">
        <v>2258.63</v>
      </c>
      <c r="J102" s="221">
        <v>83.69</v>
      </c>
      <c r="K102" s="221"/>
      <c r="L102" s="221"/>
      <c r="M102" s="221">
        <v>88.55</v>
      </c>
      <c r="N102" s="218">
        <f t="shared" si="68"/>
        <v>52.7</v>
      </c>
      <c r="O102" s="218">
        <v>7</v>
      </c>
      <c r="P102" s="218">
        <v>162</v>
      </c>
      <c r="Q102" s="218">
        <v>881.75</v>
      </c>
      <c r="R102" s="218">
        <v>50</v>
      </c>
      <c r="S102" s="218">
        <v>1050</v>
      </c>
      <c r="T102" s="218">
        <v>30</v>
      </c>
      <c r="U102" s="218">
        <v>40</v>
      </c>
      <c r="V102" s="218">
        <v>400</v>
      </c>
      <c r="W102" s="218">
        <f t="shared" si="69"/>
        <v>276.661</v>
      </c>
      <c r="X102" s="218">
        <f t="shared" si="81"/>
        <v>538.94999999999993</v>
      </c>
      <c r="Y102" s="222">
        <v>7.6999999999999999E-2</v>
      </c>
      <c r="Z102" s="219" t="s">
        <v>658</v>
      </c>
      <c r="AA102" s="218">
        <v>135</v>
      </c>
      <c r="AB102" s="218">
        <f t="shared" si="70"/>
        <v>313</v>
      </c>
      <c r="AC102" s="223">
        <v>0.87</v>
      </c>
      <c r="AD102" s="218">
        <v>95</v>
      </c>
      <c r="AE102" s="103">
        <f>D102*13%+R102+T102+S102+V102-Q102-W102-AA102-AD102+X102-N102+M102-U102-P102</f>
        <v>1320.3889999999997</v>
      </c>
      <c r="AF102" s="103">
        <f t="shared" si="83"/>
        <v>982.7299999999999</v>
      </c>
    </row>
    <row r="103" spans="1:32">
      <c r="A103" s="229" t="s">
        <v>659</v>
      </c>
      <c r="B103" s="216">
        <v>191279</v>
      </c>
      <c r="C103" s="217">
        <v>7</v>
      </c>
      <c r="D103" s="218">
        <v>6652.5</v>
      </c>
      <c r="E103" s="237">
        <f t="shared" si="66"/>
        <v>3016</v>
      </c>
      <c r="F103" s="238">
        <v>2671</v>
      </c>
      <c r="G103" s="217">
        <v>345</v>
      </c>
      <c r="H103" s="128">
        <f t="shared" si="80"/>
        <v>2.2057360742705572</v>
      </c>
      <c r="I103" s="221">
        <v>2145.79</v>
      </c>
      <c r="J103" s="221">
        <v>112.84</v>
      </c>
      <c r="K103" s="221"/>
      <c r="L103" s="221">
        <v>262.5</v>
      </c>
      <c r="M103" s="221">
        <v>7.43</v>
      </c>
      <c r="N103" s="218">
        <f t="shared" si="68"/>
        <v>56.546250000000001</v>
      </c>
      <c r="O103" s="218"/>
      <c r="P103" s="218"/>
      <c r="Q103" s="218">
        <v>881.75</v>
      </c>
      <c r="R103" s="218">
        <v>50</v>
      </c>
      <c r="S103" s="218">
        <v>1200</v>
      </c>
      <c r="T103" s="218">
        <v>30</v>
      </c>
      <c r="U103" s="218">
        <v>40</v>
      </c>
      <c r="V103" s="218">
        <v>300</v>
      </c>
      <c r="W103" s="218">
        <f t="shared" si="69"/>
        <v>357.81900000000002</v>
      </c>
      <c r="X103" s="218">
        <f t="shared" si="81"/>
        <v>697.05</v>
      </c>
      <c r="Y103" s="222">
        <v>7.6999999999999999E-2</v>
      </c>
      <c r="Z103" s="219" t="s">
        <v>660</v>
      </c>
      <c r="AA103" s="218">
        <v>135</v>
      </c>
      <c r="AB103" s="218">
        <f t="shared" si="70"/>
        <v>301.60000000000002</v>
      </c>
      <c r="AC103" s="223">
        <v>0.87</v>
      </c>
      <c r="AD103" s="218">
        <v>95</v>
      </c>
      <c r="AE103" s="103">
        <f t="shared" ref="AE103:AE104" si="84">D103*13%+R103+T103+S103+V103-Q103-W103-AA103-AD103+X103-N103+M103-U103</f>
        <v>1583.1897499999998</v>
      </c>
      <c r="AF103" s="103">
        <f>D103*AC103-I103-J103-S103-R103-T103-V103-X103+L103</f>
        <v>1514.4950000000001</v>
      </c>
    </row>
    <row r="104" spans="1:32">
      <c r="A104" s="229" t="s">
        <v>661</v>
      </c>
      <c r="B104" s="216">
        <v>465187</v>
      </c>
      <c r="C104" s="217">
        <v>3</v>
      </c>
      <c r="D104" s="218">
        <v>3000</v>
      </c>
      <c r="E104" s="237">
        <f t="shared" si="66"/>
        <v>868</v>
      </c>
      <c r="F104" s="238">
        <v>773</v>
      </c>
      <c r="G104" s="217">
        <v>95</v>
      </c>
      <c r="H104" s="128">
        <f t="shared" si="80"/>
        <v>3.4562211981566819</v>
      </c>
      <c r="I104" s="221">
        <v>715.46</v>
      </c>
      <c r="J104" s="221">
        <v>187.05</v>
      </c>
      <c r="K104" s="221"/>
      <c r="L104" s="221"/>
      <c r="M104" s="221">
        <v>120.94</v>
      </c>
      <c r="N104" s="218"/>
      <c r="O104" s="218"/>
      <c r="P104" s="218"/>
      <c r="Q104" s="218">
        <v>881.75</v>
      </c>
      <c r="R104" s="218">
        <v>50</v>
      </c>
      <c r="S104" s="218">
        <v>1050</v>
      </c>
      <c r="T104" s="218">
        <v>30</v>
      </c>
      <c r="U104" s="218">
        <v>40</v>
      </c>
      <c r="V104" s="218">
        <v>400</v>
      </c>
      <c r="W104" s="218">
        <f t="shared" si="69"/>
        <v>72.765000000000001</v>
      </c>
      <c r="X104" s="218">
        <f t="shared" si="81"/>
        <v>141.75</v>
      </c>
      <c r="Y104" s="222">
        <v>7.6999999999999999E-2</v>
      </c>
      <c r="Z104" s="219" t="s">
        <v>662</v>
      </c>
      <c r="AA104" s="218">
        <v>135</v>
      </c>
      <c r="AB104" s="218">
        <f t="shared" si="70"/>
        <v>86.800000000000011</v>
      </c>
      <c r="AC104" s="223">
        <v>0.87</v>
      </c>
      <c r="AD104" s="218">
        <v>95</v>
      </c>
      <c r="AE104" s="103">
        <f t="shared" si="84"/>
        <v>958.17499999999995</v>
      </c>
      <c r="AF104" s="103">
        <f>D104*AC104-I104-J104-S104-R104-T104-V104-X104</f>
        <v>35.740000000000009</v>
      </c>
    </row>
    <row r="105" spans="1:32">
      <c r="A105" s="134" t="s">
        <v>529</v>
      </c>
      <c r="B105" s="134">
        <v>1118</v>
      </c>
      <c r="C105" s="158"/>
      <c r="D105" s="139">
        <v>0</v>
      </c>
      <c r="E105" s="136">
        <v>44</v>
      </c>
      <c r="F105" s="136"/>
      <c r="G105" s="136"/>
      <c r="H105" s="168"/>
      <c r="I105" s="139"/>
      <c r="J105" s="139"/>
      <c r="K105" s="139"/>
      <c r="L105" s="139"/>
      <c r="M105" s="139"/>
      <c r="N105" s="139">
        <f t="shared" ref="N105:N106" si="85">D105*0.0085</f>
        <v>0</v>
      </c>
      <c r="O105" s="139">
        <v>0</v>
      </c>
      <c r="P105" s="139">
        <v>290</v>
      </c>
      <c r="Q105" s="139">
        <v>0</v>
      </c>
      <c r="R105" s="139">
        <v>0</v>
      </c>
      <c r="S105" s="139">
        <v>0</v>
      </c>
      <c r="T105" s="139">
        <v>0</v>
      </c>
      <c r="U105" s="139">
        <v>40</v>
      </c>
      <c r="V105" s="139">
        <v>0</v>
      </c>
      <c r="W105" s="139">
        <v>0</v>
      </c>
      <c r="X105" s="159"/>
      <c r="Y105" s="159"/>
      <c r="Z105" s="136">
        <v>44</v>
      </c>
      <c r="AA105" s="139">
        <v>0</v>
      </c>
      <c r="AB105" s="139">
        <f t="shared" si="70"/>
        <v>4.4000000000000004</v>
      </c>
      <c r="AC105" s="160">
        <v>0.8</v>
      </c>
      <c r="AD105" s="139">
        <v>95</v>
      </c>
      <c r="AE105" s="139">
        <f>D105*0.2-AB105-N105-K105-AD105-U105-P105</f>
        <v>-429.4</v>
      </c>
      <c r="AF105" s="139">
        <f>D105*AC105-I105-J105+K105</f>
        <v>0</v>
      </c>
    </row>
    <row r="106" spans="1:32">
      <c r="A106" s="134" t="s">
        <v>520</v>
      </c>
      <c r="B106" s="134">
        <v>1650</v>
      </c>
      <c r="C106" s="158">
        <v>2</v>
      </c>
      <c r="D106" s="139">
        <v>1400</v>
      </c>
      <c r="E106" s="136">
        <v>1496</v>
      </c>
      <c r="F106" s="136"/>
      <c r="G106" s="136"/>
      <c r="H106" s="128">
        <f>D106/E106</f>
        <v>0.93582887700534756</v>
      </c>
      <c r="I106" s="139">
        <v>801.98</v>
      </c>
      <c r="J106" s="139"/>
      <c r="K106" s="139"/>
      <c r="L106" s="139"/>
      <c r="M106" s="139">
        <v>96.87</v>
      </c>
      <c r="N106" s="139">
        <f t="shared" si="85"/>
        <v>11.9</v>
      </c>
      <c r="O106" s="139"/>
      <c r="P106" s="139"/>
      <c r="Q106" s="139">
        <v>0</v>
      </c>
      <c r="R106" s="139">
        <v>50</v>
      </c>
      <c r="S106" s="139">
        <v>0</v>
      </c>
      <c r="T106" s="139">
        <v>30</v>
      </c>
      <c r="U106" s="139">
        <v>40</v>
      </c>
      <c r="V106" s="139">
        <v>300</v>
      </c>
      <c r="W106" s="139">
        <v>0</v>
      </c>
      <c r="X106" s="159"/>
      <c r="Y106" s="159"/>
      <c r="Z106" s="136">
        <v>1496</v>
      </c>
      <c r="AA106" s="139">
        <v>0</v>
      </c>
      <c r="AB106" s="139">
        <f t="shared" si="70"/>
        <v>149.6</v>
      </c>
      <c r="AC106" s="160">
        <v>0.87</v>
      </c>
      <c r="AD106" s="139">
        <v>95</v>
      </c>
      <c r="AE106" s="139">
        <f>D106*0.13+V106+T106+S106+R106-AB106-N106+M106-U106</f>
        <v>457.37</v>
      </c>
      <c r="AF106" s="139">
        <f>D106*0.87-I106-J106-R106-S106-T106-V106+K106</f>
        <v>36.019999999999982</v>
      </c>
    </row>
    <row r="107" spans="1:32">
      <c r="A107" s="72" t="s">
        <v>89</v>
      </c>
      <c r="B107" s="72">
        <v>20</v>
      </c>
      <c r="C107" s="202">
        <f>AVERAGE(C85:C106)</f>
        <v>5.5</v>
      </c>
      <c r="D107" s="201">
        <f t="shared" ref="D107:G107" si="86">SUM(D85:D106)</f>
        <v>112755.5</v>
      </c>
      <c r="E107" s="201">
        <f t="shared" si="86"/>
        <v>55331</v>
      </c>
      <c r="F107" s="201">
        <f t="shared" si="86"/>
        <v>50424</v>
      </c>
      <c r="G107" s="201">
        <f t="shared" si="86"/>
        <v>3367</v>
      </c>
      <c r="H107" s="201">
        <f>AVERAGE(H85:H106)</f>
        <v>2.0290357013074254</v>
      </c>
      <c r="I107" s="201">
        <f t="shared" ref="I107:X107" si="87">SUM(I85:I106)</f>
        <v>38446.01</v>
      </c>
      <c r="J107" s="201">
        <f t="shared" si="87"/>
        <v>2316.4300000000003</v>
      </c>
      <c r="K107" s="201">
        <f t="shared" si="87"/>
        <v>0</v>
      </c>
      <c r="L107" s="201">
        <f t="shared" si="87"/>
        <v>352.5</v>
      </c>
      <c r="M107" s="201">
        <f t="shared" si="87"/>
        <v>1914.81</v>
      </c>
      <c r="N107" s="201">
        <f t="shared" si="87"/>
        <v>932.92175000000009</v>
      </c>
      <c r="O107" s="201">
        <f t="shared" si="87"/>
        <v>119</v>
      </c>
      <c r="P107" s="201">
        <f t="shared" si="87"/>
        <v>2208.91</v>
      </c>
      <c r="Q107" s="201">
        <f t="shared" si="87"/>
        <v>17635</v>
      </c>
      <c r="R107" s="201">
        <f t="shared" si="87"/>
        <v>400</v>
      </c>
      <c r="S107" s="201">
        <f t="shared" si="87"/>
        <v>7800</v>
      </c>
      <c r="T107" s="201">
        <f t="shared" si="87"/>
        <v>240</v>
      </c>
      <c r="U107" s="201">
        <f t="shared" si="87"/>
        <v>880</v>
      </c>
      <c r="V107" s="201">
        <f t="shared" si="87"/>
        <v>2800</v>
      </c>
      <c r="W107" s="201">
        <f t="shared" si="87"/>
        <v>4295.6810000000005</v>
      </c>
      <c r="X107" s="201">
        <f t="shared" si="87"/>
        <v>3302.7</v>
      </c>
      <c r="Y107" s="201">
        <f>AVERAGE(Y85:Y106)</f>
        <v>7.6199999999999976E-2</v>
      </c>
      <c r="Z107" s="201">
        <f t="shared" ref="Z107:AB107" si="88">SUM(Z85:Z106)</f>
        <v>35921</v>
      </c>
      <c r="AA107" s="201">
        <f t="shared" si="88"/>
        <v>2700</v>
      </c>
      <c r="AB107" s="201">
        <f t="shared" si="88"/>
        <v>5533.1000000000013</v>
      </c>
      <c r="AC107" s="201"/>
      <c r="AD107" s="201">
        <f t="shared" ref="AD107:AF107" si="89">SUM(AD85:AD106)</f>
        <v>2090</v>
      </c>
      <c r="AE107" s="201">
        <f t="shared" si="89"/>
        <v>12821.93225</v>
      </c>
      <c r="AF107" s="201">
        <f t="shared" si="89"/>
        <v>27777.965000000007</v>
      </c>
    </row>
    <row r="109" spans="1:32">
      <c r="A109" s="461" t="s">
        <v>663</v>
      </c>
      <c r="B109" s="458"/>
      <c r="C109" s="458"/>
      <c r="D109" s="458"/>
      <c r="E109" s="458"/>
      <c r="F109" s="458"/>
      <c r="G109" s="458"/>
      <c r="H109" s="458"/>
      <c r="I109" s="458"/>
      <c r="J109" s="458"/>
      <c r="K109" s="458"/>
      <c r="L109" s="458"/>
      <c r="M109" s="458"/>
      <c r="N109" s="458"/>
      <c r="O109" s="458"/>
      <c r="P109" s="458"/>
      <c r="Q109" s="458"/>
      <c r="R109" s="458"/>
      <c r="S109" s="458"/>
      <c r="T109" s="458"/>
      <c r="U109" s="458"/>
      <c r="V109" s="458"/>
      <c r="W109" s="458"/>
      <c r="X109" s="458"/>
      <c r="Y109" s="458"/>
      <c r="Z109" s="458"/>
      <c r="AA109" s="458"/>
      <c r="AB109" s="458"/>
      <c r="AC109" s="458"/>
      <c r="AD109" s="458"/>
      <c r="AE109" s="458"/>
      <c r="AF109" s="459"/>
    </row>
    <row r="110" spans="1:32">
      <c r="A110" s="95" t="s">
        <v>0</v>
      </c>
      <c r="B110" s="95" t="s">
        <v>1</v>
      </c>
      <c r="C110" s="95" t="s">
        <v>372</v>
      </c>
      <c r="D110" s="95" t="s">
        <v>2</v>
      </c>
      <c r="E110" s="95" t="s">
        <v>413</v>
      </c>
      <c r="F110" s="150" t="s">
        <v>414</v>
      </c>
      <c r="G110" s="150" t="s">
        <v>415</v>
      </c>
      <c r="H110" s="95" t="s">
        <v>416</v>
      </c>
      <c r="I110" s="95" t="s">
        <v>7</v>
      </c>
      <c r="J110" s="95" t="s">
        <v>8</v>
      </c>
      <c r="K110" s="95" t="s">
        <v>287</v>
      </c>
      <c r="L110" s="95" t="s">
        <v>288</v>
      </c>
      <c r="M110" s="95" t="s">
        <v>257</v>
      </c>
      <c r="N110" s="95" t="s">
        <v>373</v>
      </c>
      <c r="O110" s="95" t="s">
        <v>374</v>
      </c>
      <c r="P110" s="150" t="s">
        <v>538</v>
      </c>
      <c r="Q110" s="95" t="s">
        <v>375</v>
      </c>
      <c r="R110" s="95" t="s">
        <v>376</v>
      </c>
      <c r="S110" s="95" t="s">
        <v>522</v>
      </c>
      <c r="T110" s="150" t="s">
        <v>378</v>
      </c>
      <c r="U110" s="150" t="s">
        <v>539</v>
      </c>
      <c r="V110" s="150" t="s">
        <v>379</v>
      </c>
      <c r="W110" s="150" t="s">
        <v>352</v>
      </c>
      <c r="X110" s="150" t="s">
        <v>523</v>
      </c>
      <c r="Y110" s="95" t="s">
        <v>380</v>
      </c>
      <c r="Z110" s="95" t="s">
        <v>381</v>
      </c>
      <c r="AA110" s="95" t="s">
        <v>382</v>
      </c>
      <c r="AB110" s="95" t="s">
        <v>383</v>
      </c>
      <c r="AC110" s="95" t="s">
        <v>385</v>
      </c>
      <c r="AD110" s="150" t="s">
        <v>333</v>
      </c>
      <c r="AE110" s="95" t="s">
        <v>582</v>
      </c>
      <c r="AF110" s="95" t="s">
        <v>98</v>
      </c>
    </row>
    <row r="111" spans="1:32">
      <c r="A111" s="184" t="s">
        <v>620</v>
      </c>
      <c r="B111" s="185">
        <v>191274</v>
      </c>
      <c r="C111" s="112">
        <v>7</v>
      </c>
      <c r="D111" s="103">
        <v>11450</v>
      </c>
      <c r="E111" s="102">
        <f t="shared" ref="E111:E114" si="90">F111+G111</f>
        <v>5324</v>
      </c>
      <c r="F111" s="117">
        <v>5099</v>
      </c>
      <c r="G111" s="117">
        <v>225</v>
      </c>
      <c r="H111" s="128">
        <f t="shared" ref="H111:H114" si="91">D111/E111</f>
        <v>2.1506386175807664</v>
      </c>
      <c r="I111" s="128">
        <v>3337.71</v>
      </c>
      <c r="J111" s="128">
        <v>505.58</v>
      </c>
      <c r="K111" s="103"/>
      <c r="L111" s="103"/>
      <c r="M111" s="146">
        <v>233.76</v>
      </c>
      <c r="N111" s="103">
        <f t="shared" ref="N111:N132" si="92">D111*0.0085</f>
        <v>97.325000000000003</v>
      </c>
      <c r="O111" s="103">
        <v>7</v>
      </c>
      <c r="P111" s="103"/>
      <c r="Q111" s="103">
        <v>881.75</v>
      </c>
      <c r="R111" s="103"/>
      <c r="S111" s="103">
        <v>0</v>
      </c>
      <c r="T111" s="103"/>
      <c r="U111" s="103">
        <v>40</v>
      </c>
      <c r="V111" s="103"/>
      <c r="W111" s="103">
        <f t="shared" ref="W111:W130" si="93">Z111*Y111</f>
        <v>393.85500000000002</v>
      </c>
      <c r="X111" s="152"/>
      <c r="Y111" s="152">
        <v>7.6999999999999999E-2</v>
      </c>
      <c r="Z111" s="155">
        <v>5115</v>
      </c>
      <c r="AA111" s="103">
        <v>135</v>
      </c>
      <c r="AB111" s="103">
        <f t="shared" ref="AB111:AB132" si="94">E111*0.1</f>
        <v>532.4</v>
      </c>
      <c r="AC111" s="213">
        <v>0.27</v>
      </c>
      <c r="AD111" s="103">
        <v>95</v>
      </c>
      <c r="AE111" s="103">
        <f>D111-I111-N111-Q111-U111-W111-AA111-AB111-AD111-AF111-K111-P111</f>
        <v>2845.4600000000009</v>
      </c>
      <c r="AF111" s="103">
        <f>D111*AC111</f>
        <v>3091.5</v>
      </c>
    </row>
    <row r="112" spans="1:32">
      <c r="A112" s="184" t="s">
        <v>621</v>
      </c>
      <c r="B112" s="185">
        <v>191277</v>
      </c>
      <c r="C112" s="112">
        <v>7</v>
      </c>
      <c r="D112" s="103">
        <v>6725</v>
      </c>
      <c r="E112" s="102">
        <f t="shared" si="90"/>
        <v>3236</v>
      </c>
      <c r="F112" s="117">
        <v>2964</v>
      </c>
      <c r="G112" s="117">
        <v>272</v>
      </c>
      <c r="H112" s="128">
        <f t="shared" si="91"/>
        <v>2.0781829419035849</v>
      </c>
      <c r="I112" s="128">
        <v>2308.5700000000002</v>
      </c>
      <c r="J112" s="128">
        <v>24.28</v>
      </c>
      <c r="K112" s="103">
        <v>100</v>
      </c>
      <c r="L112" s="103"/>
      <c r="M112" s="146">
        <v>118.32</v>
      </c>
      <c r="N112" s="103">
        <f t="shared" si="92"/>
        <v>57.162500000000001</v>
      </c>
      <c r="O112" s="103">
        <v>7</v>
      </c>
      <c r="P112" s="103">
        <v>84.7</v>
      </c>
      <c r="Q112" s="103">
        <v>881.75</v>
      </c>
      <c r="R112" s="103"/>
      <c r="S112" s="103">
        <v>0</v>
      </c>
      <c r="T112" s="103"/>
      <c r="U112" s="103">
        <v>40</v>
      </c>
      <c r="V112" s="103"/>
      <c r="W112" s="103">
        <f t="shared" si="93"/>
        <v>259.875</v>
      </c>
      <c r="X112" s="152"/>
      <c r="Y112" s="152">
        <v>7.4999999999999997E-2</v>
      </c>
      <c r="Z112" s="153">
        <v>3465</v>
      </c>
      <c r="AA112" s="103">
        <v>135</v>
      </c>
      <c r="AB112" s="103">
        <f t="shared" si="94"/>
        <v>323.60000000000002</v>
      </c>
      <c r="AC112" s="154">
        <v>0.6</v>
      </c>
      <c r="AD112" s="103">
        <v>95</v>
      </c>
      <c r="AE112" s="103">
        <f t="shared" ref="AE112:AE113" si="95">D112-I112-J112-N112-O112-Q112-W112-AA112-AB112-AD112-AC112*E112+M112-U112-P112</f>
        <v>684.78250000000025</v>
      </c>
      <c r="AF112" s="103">
        <f t="shared" ref="AF112:AF113" si="96">AC112*E112+K112-L112</f>
        <v>2041.6</v>
      </c>
    </row>
    <row r="113" spans="1:32">
      <c r="A113" s="187" t="s">
        <v>664</v>
      </c>
      <c r="B113" s="208">
        <v>191280</v>
      </c>
      <c r="C113" s="112">
        <v>1</v>
      </c>
      <c r="D113" s="103">
        <v>950</v>
      </c>
      <c r="E113" s="102">
        <f t="shared" si="90"/>
        <v>574</v>
      </c>
      <c r="F113" s="117">
        <v>554</v>
      </c>
      <c r="G113" s="117">
        <v>20</v>
      </c>
      <c r="H113" s="128">
        <f t="shared" si="91"/>
        <v>1.6550522648083623</v>
      </c>
      <c r="I113" s="128">
        <v>665.01</v>
      </c>
      <c r="J113" s="128"/>
      <c r="K113" s="103"/>
      <c r="L113" s="103"/>
      <c r="M113" s="146">
        <v>91.67</v>
      </c>
      <c r="N113" s="103">
        <f t="shared" si="92"/>
        <v>8.0750000000000011</v>
      </c>
      <c r="O113" s="103">
        <v>7</v>
      </c>
      <c r="P113" s="103"/>
      <c r="Q113" s="103">
        <v>881.75</v>
      </c>
      <c r="R113" s="103"/>
      <c r="S113" s="103">
        <v>0</v>
      </c>
      <c r="T113" s="103"/>
      <c r="U113" s="103">
        <v>40</v>
      </c>
      <c r="V113" s="103"/>
      <c r="W113" s="103">
        <f t="shared" si="93"/>
        <v>85.649999999999991</v>
      </c>
      <c r="X113" s="152"/>
      <c r="Y113" s="152">
        <v>7.4999999999999997E-2</v>
      </c>
      <c r="Z113" s="153">
        <v>1142</v>
      </c>
      <c r="AA113" s="103">
        <v>135</v>
      </c>
      <c r="AB113" s="103">
        <f t="shared" si="94"/>
        <v>57.400000000000006</v>
      </c>
      <c r="AC113" s="154">
        <v>0.6</v>
      </c>
      <c r="AD113" s="108">
        <v>95</v>
      </c>
      <c r="AE113" s="103">
        <f t="shared" si="95"/>
        <v>-1277.6149999999998</v>
      </c>
      <c r="AF113" s="103">
        <f t="shared" si="96"/>
        <v>344.4</v>
      </c>
    </row>
    <row r="114" spans="1:32">
      <c r="A114" s="187" t="s">
        <v>652</v>
      </c>
      <c r="B114" s="208">
        <v>191281</v>
      </c>
      <c r="C114" s="112">
        <v>7</v>
      </c>
      <c r="D114" s="103">
        <v>9700</v>
      </c>
      <c r="E114" s="102">
        <f t="shared" si="90"/>
        <v>4465</v>
      </c>
      <c r="F114" s="117">
        <v>4386</v>
      </c>
      <c r="G114" s="117">
        <v>79</v>
      </c>
      <c r="H114" s="128">
        <f t="shared" si="91"/>
        <v>2.1724524076147818</v>
      </c>
      <c r="I114" s="128">
        <v>2892.46</v>
      </c>
      <c r="J114" s="128">
        <v>420.35</v>
      </c>
      <c r="K114" s="103"/>
      <c r="L114" s="103"/>
      <c r="M114" s="146">
        <v>237.88</v>
      </c>
      <c r="N114" s="103">
        <f t="shared" si="92"/>
        <v>82.45</v>
      </c>
      <c r="O114" s="103">
        <v>7</v>
      </c>
      <c r="P114" s="103"/>
      <c r="Q114" s="103">
        <v>881.75</v>
      </c>
      <c r="R114" s="103"/>
      <c r="S114" s="103">
        <v>0</v>
      </c>
      <c r="T114" s="103"/>
      <c r="U114" s="103">
        <v>40</v>
      </c>
      <c r="V114" s="103"/>
      <c r="W114" s="103">
        <f t="shared" si="93"/>
        <v>361.2</v>
      </c>
      <c r="X114" s="152"/>
      <c r="Y114" s="152">
        <v>7.4999999999999997E-2</v>
      </c>
      <c r="Z114" s="153">
        <v>4816</v>
      </c>
      <c r="AA114" s="103">
        <v>135</v>
      </c>
      <c r="AB114" s="103">
        <f t="shared" si="94"/>
        <v>446.5</v>
      </c>
      <c r="AC114" s="154">
        <v>0.6</v>
      </c>
      <c r="AD114" s="103">
        <v>95</v>
      </c>
      <c r="AE114" s="103">
        <f t="shared" ref="AE114:AE115" si="97">D114-I114-J114-N114-O114-Q114-W114-AA114-AB114-AD114-AC114*E114+M114-U114-P114-L114</f>
        <v>1897.17</v>
      </c>
      <c r="AF114" s="103">
        <f t="shared" ref="AF114:AF115" si="98">AC114*E114</f>
        <v>2679</v>
      </c>
    </row>
    <row r="115" spans="1:32">
      <c r="A115" s="197" t="s">
        <v>344</v>
      </c>
      <c r="B115" s="205">
        <v>191282</v>
      </c>
      <c r="C115" s="112"/>
      <c r="D115" s="103">
        <v>0</v>
      </c>
      <c r="E115" s="102"/>
      <c r="F115" s="117"/>
      <c r="G115" s="117"/>
      <c r="H115" s="128"/>
      <c r="I115" s="128">
        <v>0</v>
      </c>
      <c r="J115" s="128">
        <v>2.75</v>
      </c>
      <c r="K115" s="103"/>
      <c r="L115" s="103"/>
      <c r="M115" s="146"/>
      <c r="N115" s="103">
        <f t="shared" si="92"/>
        <v>0</v>
      </c>
      <c r="O115" s="103">
        <v>7</v>
      </c>
      <c r="P115" s="103"/>
      <c r="Q115" s="103">
        <v>881.75</v>
      </c>
      <c r="R115" s="103"/>
      <c r="S115" s="103">
        <v>0</v>
      </c>
      <c r="T115" s="103"/>
      <c r="U115" s="103">
        <v>40</v>
      </c>
      <c r="V115" s="103"/>
      <c r="W115" s="103">
        <f t="shared" si="93"/>
        <v>0.82499999999999996</v>
      </c>
      <c r="X115" s="152"/>
      <c r="Y115" s="152">
        <v>7.4999999999999997E-2</v>
      </c>
      <c r="Z115" s="153">
        <v>11</v>
      </c>
      <c r="AA115" s="103">
        <v>135</v>
      </c>
      <c r="AB115" s="103">
        <f t="shared" si="94"/>
        <v>0</v>
      </c>
      <c r="AC115" s="154"/>
      <c r="AD115" s="103">
        <v>95</v>
      </c>
      <c r="AE115" s="103">
        <f t="shared" si="97"/>
        <v>-1162.325</v>
      </c>
      <c r="AF115" s="103">
        <f t="shared" si="98"/>
        <v>0</v>
      </c>
    </row>
    <row r="116" spans="1:32">
      <c r="A116" s="196" t="s">
        <v>585</v>
      </c>
      <c r="B116" s="205">
        <v>191283</v>
      </c>
      <c r="C116" s="112"/>
      <c r="D116" s="103">
        <v>0</v>
      </c>
      <c r="E116" s="102">
        <f t="shared" ref="E116:E130" si="99">F116+G116</f>
        <v>0</v>
      </c>
      <c r="F116" s="112"/>
      <c r="G116" s="112"/>
      <c r="H116" s="128"/>
      <c r="I116" s="128">
        <v>0</v>
      </c>
      <c r="J116" s="128"/>
      <c r="K116" s="103"/>
      <c r="L116" s="103"/>
      <c r="M116" s="146"/>
      <c r="N116" s="103">
        <f t="shared" si="92"/>
        <v>0</v>
      </c>
      <c r="O116" s="103">
        <v>7</v>
      </c>
      <c r="P116" s="103">
        <v>347.74</v>
      </c>
      <c r="Q116" s="103">
        <v>881.75</v>
      </c>
      <c r="R116" s="103"/>
      <c r="S116" s="103">
        <v>0</v>
      </c>
      <c r="T116" s="103"/>
      <c r="U116" s="103">
        <v>40</v>
      </c>
      <c r="V116" s="103"/>
      <c r="W116" s="103">
        <f t="shared" si="93"/>
        <v>0</v>
      </c>
      <c r="X116" s="152"/>
      <c r="Y116" s="152">
        <v>7.4999999999999997E-2</v>
      </c>
      <c r="Z116" s="153"/>
      <c r="AA116" s="103">
        <v>135</v>
      </c>
      <c r="AB116" s="103">
        <f t="shared" si="94"/>
        <v>0</v>
      </c>
      <c r="AC116" s="213">
        <v>0.27</v>
      </c>
      <c r="AD116" s="103">
        <v>95</v>
      </c>
      <c r="AE116" s="103">
        <f t="shared" ref="AE116:AE117" si="100">D116-I116-N116-Q116-U116-W116-AA116-AB116-AD116-AF116-L116-P116</f>
        <v>-1499.49</v>
      </c>
      <c r="AF116" s="103">
        <f t="shared" ref="AF116:AF117" si="101">D116*AC116+L116</f>
        <v>0</v>
      </c>
    </row>
    <row r="117" spans="1:32">
      <c r="A117" s="184" t="s">
        <v>488</v>
      </c>
      <c r="B117" s="208">
        <v>465180</v>
      </c>
      <c r="C117" s="112">
        <v>7</v>
      </c>
      <c r="D117" s="103">
        <v>9550</v>
      </c>
      <c r="E117" s="102">
        <f t="shared" si="99"/>
        <v>4498</v>
      </c>
      <c r="F117" s="117">
        <v>4331</v>
      </c>
      <c r="G117" s="117">
        <v>167</v>
      </c>
      <c r="H117" s="128">
        <f t="shared" ref="H117:H119" si="102">D117/E117</f>
        <v>2.1231658514895511</v>
      </c>
      <c r="I117" s="128">
        <v>2813.13</v>
      </c>
      <c r="J117" s="128">
        <v>323.58</v>
      </c>
      <c r="K117" s="103"/>
      <c r="L117" s="103"/>
      <c r="M117" s="146">
        <v>357.21</v>
      </c>
      <c r="N117" s="103">
        <f t="shared" si="92"/>
        <v>81.175000000000011</v>
      </c>
      <c r="O117" s="103">
        <v>7</v>
      </c>
      <c r="P117" s="103">
        <v>16.53</v>
      </c>
      <c r="Q117" s="103">
        <v>881.75</v>
      </c>
      <c r="R117" s="103"/>
      <c r="S117" s="103">
        <v>0</v>
      </c>
      <c r="T117" s="103"/>
      <c r="U117" s="103">
        <v>40</v>
      </c>
      <c r="V117" s="103"/>
      <c r="W117" s="103">
        <f t="shared" si="93"/>
        <v>283.5</v>
      </c>
      <c r="X117" s="152"/>
      <c r="Y117" s="152">
        <v>7.4999999999999997E-2</v>
      </c>
      <c r="Z117" s="153">
        <v>3780</v>
      </c>
      <c r="AA117" s="103">
        <v>135</v>
      </c>
      <c r="AB117" s="103">
        <f t="shared" si="94"/>
        <v>449.8</v>
      </c>
      <c r="AC117" s="213">
        <v>0.27</v>
      </c>
      <c r="AD117" s="103">
        <v>95</v>
      </c>
      <c r="AE117" s="103">
        <f t="shared" si="100"/>
        <v>2175.6149999999993</v>
      </c>
      <c r="AF117" s="103">
        <f t="shared" si="101"/>
        <v>2578.5</v>
      </c>
    </row>
    <row r="118" spans="1:32">
      <c r="A118" s="190" t="s">
        <v>491</v>
      </c>
      <c r="B118" s="185">
        <v>465181</v>
      </c>
      <c r="C118" s="117">
        <v>7</v>
      </c>
      <c r="D118" s="103">
        <v>6778</v>
      </c>
      <c r="E118" s="102">
        <f t="shared" si="99"/>
        <v>3374</v>
      </c>
      <c r="F118" s="112">
        <v>2979</v>
      </c>
      <c r="G118" s="112">
        <v>395</v>
      </c>
      <c r="H118" s="128">
        <f t="shared" si="102"/>
        <v>2.008891523414345</v>
      </c>
      <c r="I118" s="146">
        <v>2682.89</v>
      </c>
      <c r="J118" s="128">
        <v>659.92</v>
      </c>
      <c r="K118" s="128">
        <v>100</v>
      </c>
      <c r="L118" s="128"/>
      <c r="M118" s="146">
        <v>136.55000000000001</v>
      </c>
      <c r="N118" s="103">
        <f t="shared" si="92"/>
        <v>57.613000000000007</v>
      </c>
      <c r="O118" s="103">
        <v>7</v>
      </c>
      <c r="P118" s="103">
        <v>40</v>
      </c>
      <c r="Q118" s="103">
        <v>881.75</v>
      </c>
      <c r="R118" s="103"/>
      <c r="S118" s="103">
        <v>0</v>
      </c>
      <c r="T118" s="103"/>
      <c r="U118" s="103">
        <v>40</v>
      </c>
      <c r="V118" s="103"/>
      <c r="W118" s="103">
        <f t="shared" si="93"/>
        <v>266.11200000000002</v>
      </c>
      <c r="X118" s="152"/>
      <c r="Y118" s="152">
        <v>7.6999999999999999E-2</v>
      </c>
      <c r="Z118" s="153">
        <v>3456</v>
      </c>
      <c r="AA118" s="103">
        <v>135</v>
      </c>
      <c r="AB118" s="103">
        <f t="shared" si="94"/>
        <v>337.40000000000003</v>
      </c>
      <c r="AC118" s="154">
        <v>0.6</v>
      </c>
      <c r="AD118" s="103">
        <v>95</v>
      </c>
      <c r="AE118" s="103">
        <f>D118-I118-J118-N118-O118-Q118-W118-AA118-AB118-AD118-AC118*E118+M118-U118-P118-K118+L118</f>
        <v>-412.5349999999998</v>
      </c>
      <c r="AF118" s="103">
        <f>AC118*E118+K118</f>
        <v>2124.3999999999996</v>
      </c>
    </row>
    <row r="119" spans="1:32">
      <c r="A119" s="190" t="s">
        <v>665</v>
      </c>
      <c r="B119" s="208">
        <v>465182</v>
      </c>
      <c r="C119" s="112">
        <v>7</v>
      </c>
      <c r="D119" s="103">
        <v>7375</v>
      </c>
      <c r="E119" s="102">
        <f t="shared" si="99"/>
        <v>3853</v>
      </c>
      <c r="F119" s="112">
        <v>3532</v>
      </c>
      <c r="G119" s="112">
        <v>321</v>
      </c>
      <c r="H119" s="128">
        <f t="shared" si="102"/>
        <v>1.9140929146119907</v>
      </c>
      <c r="I119" s="128">
        <v>2569.39</v>
      </c>
      <c r="J119" s="128">
        <v>227.97</v>
      </c>
      <c r="K119" s="103"/>
      <c r="L119" s="103"/>
      <c r="M119" s="146">
        <v>57.1</v>
      </c>
      <c r="N119" s="103">
        <f t="shared" si="92"/>
        <v>62.687500000000007</v>
      </c>
      <c r="O119" s="103">
        <v>7</v>
      </c>
      <c r="P119" s="103">
        <v>43.51</v>
      </c>
      <c r="Q119" s="103">
        <v>881.75</v>
      </c>
      <c r="R119" s="103"/>
      <c r="S119" s="103">
        <v>0</v>
      </c>
      <c r="T119" s="103"/>
      <c r="U119" s="103">
        <v>40</v>
      </c>
      <c r="V119" s="103"/>
      <c r="W119" s="103">
        <f t="shared" si="93"/>
        <v>303.76499999999999</v>
      </c>
      <c r="X119" s="152"/>
      <c r="Y119" s="152">
        <v>7.6999999999999999E-2</v>
      </c>
      <c r="Z119" s="153">
        <v>3945</v>
      </c>
      <c r="AA119" s="103">
        <v>135</v>
      </c>
      <c r="AB119" s="103">
        <f t="shared" si="94"/>
        <v>385.3</v>
      </c>
      <c r="AC119" s="213">
        <v>0.27</v>
      </c>
      <c r="AD119" s="103">
        <v>95</v>
      </c>
      <c r="AE119" s="103">
        <f t="shared" ref="AE119:AE120" si="103">D119-I119-N119-Q119-U119-W119-AA119-AB119-AD119-AF119-P119+L119</f>
        <v>867.34750000000031</v>
      </c>
      <c r="AF119" s="103">
        <f t="shared" ref="AF119:AF120" si="104">D119*AC119+L119</f>
        <v>1991.2500000000002</v>
      </c>
    </row>
    <row r="120" spans="1:32">
      <c r="A120" s="197" t="s">
        <v>344</v>
      </c>
      <c r="B120" s="205">
        <v>465183</v>
      </c>
      <c r="C120" s="117"/>
      <c r="D120" s="103">
        <v>0</v>
      </c>
      <c r="E120" s="102">
        <f t="shared" si="99"/>
        <v>0</v>
      </c>
      <c r="F120" s="112"/>
      <c r="G120" s="112"/>
      <c r="H120" s="128"/>
      <c r="I120" s="128">
        <v>0</v>
      </c>
      <c r="J120" s="128">
        <v>4.0999999999999996</v>
      </c>
      <c r="K120" s="128"/>
      <c r="L120" s="128"/>
      <c r="M120" s="146"/>
      <c r="N120" s="103">
        <f t="shared" si="92"/>
        <v>0</v>
      </c>
      <c r="O120" s="103">
        <v>7</v>
      </c>
      <c r="P120" s="103"/>
      <c r="Q120" s="103">
        <v>881.75</v>
      </c>
      <c r="R120" s="103"/>
      <c r="S120" s="103">
        <v>0</v>
      </c>
      <c r="T120" s="103"/>
      <c r="U120" s="103">
        <v>40</v>
      </c>
      <c r="V120" s="103"/>
      <c r="W120" s="103">
        <f t="shared" si="93"/>
        <v>0.84699999999999998</v>
      </c>
      <c r="X120" s="152"/>
      <c r="Y120" s="152">
        <v>7.6999999999999999E-2</v>
      </c>
      <c r="Z120" s="153">
        <v>11</v>
      </c>
      <c r="AA120" s="103">
        <v>135</v>
      </c>
      <c r="AB120" s="103">
        <f t="shared" si="94"/>
        <v>0</v>
      </c>
      <c r="AC120" s="213">
        <v>0.27</v>
      </c>
      <c r="AD120" s="103">
        <v>95</v>
      </c>
      <c r="AE120" s="103">
        <f t="shared" si="103"/>
        <v>-1152.597</v>
      </c>
      <c r="AF120" s="103">
        <f t="shared" si="104"/>
        <v>0</v>
      </c>
    </row>
    <row r="121" spans="1:32">
      <c r="A121" s="187"/>
      <c r="B121" s="205">
        <v>465185</v>
      </c>
      <c r="C121" s="117"/>
      <c r="D121" s="103">
        <v>0</v>
      </c>
      <c r="E121" s="102">
        <f t="shared" si="99"/>
        <v>0</v>
      </c>
      <c r="F121" s="112"/>
      <c r="G121" s="112"/>
      <c r="H121" s="128"/>
      <c r="I121" s="128">
        <v>0</v>
      </c>
      <c r="J121" s="128"/>
      <c r="K121" s="128"/>
      <c r="L121" s="128"/>
      <c r="M121" s="146"/>
      <c r="N121" s="103">
        <f t="shared" si="92"/>
        <v>0</v>
      </c>
      <c r="O121" s="103">
        <v>7</v>
      </c>
      <c r="P121" s="103">
        <v>277.5</v>
      </c>
      <c r="Q121" s="103">
        <v>881.75</v>
      </c>
      <c r="R121" s="103"/>
      <c r="S121" s="103">
        <v>0</v>
      </c>
      <c r="T121" s="103"/>
      <c r="U121" s="103">
        <v>40</v>
      </c>
      <c r="V121" s="103"/>
      <c r="W121" s="103">
        <f t="shared" si="93"/>
        <v>0</v>
      </c>
      <c r="X121" s="152"/>
      <c r="Y121" s="152">
        <v>7.6999999999999999E-2</v>
      </c>
      <c r="Z121" s="153"/>
      <c r="AA121" s="103">
        <v>135</v>
      </c>
      <c r="AB121" s="103">
        <f t="shared" si="94"/>
        <v>0</v>
      </c>
      <c r="AC121" s="213">
        <v>0.27</v>
      </c>
      <c r="AD121" s="103">
        <v>95</v>
      </c>
      <c r="AE121" s="103">
        <f t="shared" ref="AE121:AE122" si="105">D121-I121-N121-Q121-U121-W121-AA121-AB121-AD121-AF121-P121</f>
        <v>-1429.25</v>
      </c>
      <c r="AF121" s="103">
        <f t="shared" ref="AF121:AF122" si="106">D121*AC121</f>
        <v>0</v>
      </c>
    </row>
    <row r="122" spans="1:32">
      <c r="A122" s="198" t="s">
        <v>644</v>
      </c>
      <c r="B122" s="208">
        <v>465186</v>
      </c>
      <c r="C122" s="112">
        <v>3</v>
      </c>
      <c r="D122" s="103">
        <v>2675</v>
      </c>
      <c r="E122" s="102">
        <f t="shared" si="99"/>
        <v>1271</v>
      </c>
      <c r="F122" s="112">
        <v>1168</v>
      </c>
      <c r="G122" s="112">
        <v>103</v>
      </c>
      <c r="H122" s="128">
        <f t="shared" ref="H122:H131" si="107">D122/E122</f>
        <v>2.104642014162077</v>
      </c>
      <c r="I122" s="128">
        <v>1561.9</v>
      </c>
      <c r="J122" s="128">
        <v>154.56</v>
      </c>
      <c r="K122" s="128"/>
      <c r="L122" s="128"/>
      <c r="M122" s="128">
        <v>193.96</v>
      </c>
      <c r="N122" s="103">
        <f t="shared" si="92"/>
        <v>22.737500000000001</v>
      </c>
      <c r="O122" s="103">
        <v>7</v>
      </c>
      <c r="P122" s="103"/>
      <c r="Q122" s="103">
        <v>881.75</v>
      </c>
      <c r="R122" s="103"/>
      <c r="S122" s="103">
        <v>0</v>
      </c>
      <c r="T122" s="103"/>
      <c r="U122" s="103">
        <v>40</v>
      </c>
      <c r="V122" s="103"/>
      <c r="W122" s="103">
        <f t="shared" si="93"/>
        <v>145.91499999999999</v>
      </c>
      <c r="X122" s="152"/>
      <c r="Y122" s="152">
        <v>7.6999999999999999E-2</v>
      </c>
      <c r="Z122" s="153">
        <v>1895</v>
      </c>
      <c r="AA122" s="103">
        <v>135</v>
      </c>
      <c r="AB122" s="103">
        <f t="shared" si="94"/>
        <v>127.10000000000001</v>
      </c>
      <c r="AC122" s="213">
        <v>0.27</v>
      </c>
      <c r="AD122" s="103">
        <v>95</v>
      </c>
      <c r="AE122" s="103">
        <f t="shared" si="105"/>
        <v>-1056.6525000000001</v>
      </c>
      <c r="AF122" s="103">
        <f t="shared" si="106"/>
        <v>722.25</v>
      </c>
    </row>
    <row r="123" spans="1:32">
      <c r="A123" s="190" t="s">
        <v>344</v>
      </c>
      <c r="B123" s="208">
        <v>465188</v>
      </c>
      <c r="C123" s="117">
        <v>7</v>
      </c>
      <c r="D123" s="103">
        <v>5875</v>
      </c>
      <c r="E123" s="102">
        <f t="shared" si="99"/>
        <v>3709</v>
      </c>
      <c r="F123" s="112">
        <v>3349</v>
      </c>
      <c r="G123" s="112">
        <v>360</v>
      </c>
      <c r="H123" s="128">
        <f t="shared" si="107"/>
        <v>1.5839849015907252</v>
      </c>
      <c r="I123" s="128">
        <v>2509.91</v>
      </c>
      <c r="J123" s="128">
        <v>34</v>
      </c>
      <c r="K123" s="128"/>
      <c r="L123" s="128"/>
      <c r="M123" s="128">
        <v>241.96</v>
      </c>
      <c r="N123" s="103">
        <f t="shared" si="92"/>
        <v>49.937500000000007</v>
      </c>
      <c r="O123" s="103">
        <v>7</v>
      </c>
      <c r="P123" s="103"/>
      <c r="Q123" s="103">
        <v>881.75</v>
      </c>
      <c r="R123" s="103"/>
      <c r="S123" s="103">
        <v>0</v>
      </c>
      <c r="T123" s="103"/>
      <c r="U123" s="103">
        <v>40</v>
      </c>
      <c r="V123" s="103"/>
      <c r="W123" s="103">
        <f t="shared" si="93"/>
        <v>276.96899999999999</v>
      </c>
      <c r="X123" s="152"/>
      <c r="Y123" s="152">
        <v>7.6999999999999999E-2</v>
      </c>
      <c r="Z123" s="153">
        <v>3597</v>
      </c>
      <c r="AA123" s="103">
        <v>135</v>
      </c>
      <c r="AB123" s="103">
        <f t="shared" si="94"/>
        <v>370.90000000000003</v>
      </c>
      <c r="AC123" s="154">
        <v>0</v>
      </c>
      <c r="AD123" s="108">
        <v>95</v>
      </c>
      <c r="AE123" s="103">
        <f>D123-I123-J123-N123-O123-Q123-W123-AA123-AB123-AD123-AC123*E123+M123-U123-P123</f>
        <v>1716.4935</v>
      </c>
      <c r="AF123" s="103">
        <f>AC123*E123+K123-L123</f>
        <v>0</v>
      </c>
    </row>
    <row r="124" spans="1:32">
      <c r="A124" s="187" t="s">
        <v>636</v>
      </c>
      <c r="B124" s="208">
        <v>465189</v>
      </c>
      <c r="C124" s="112">
        <v>4</v>
      </c>
      <c r="D124" s="103">
        <v>6100</v>
      </c>
      <c r="E124" s="102">
        <f t="shared" si="99"/>
        <v>3099</v>
      </c>
      <c r="F124" s="117">
        <v>2905</v>
      </c>
      <c r="G124" s="112">
        <v>194</v>
      </c>
      <c r="H124" s="128">
        <f t="shared" si="107"/>
        <v>1.96837689577283</v>
      </c>
      <c r="I124" s="128">
        <v>2138.2800000000002</v>
      </c>
      <c r="J124" s="128"/>
      <c r="K124" s="103"/>
      <c r="L124" s="103"/>
      <c r="M124" s="128">
        <v>28.76</v>
      </c>
      <c r="N124" s="103">
        <f t="shared" si="92"/>
        <v>51.85</v>
      </c>
      <c r="O124" s="103">
        <v>7</v>
      </c>
      <c r="P124" s="103"/>
      <c r="Q124" s="103">
        <v>881.75</v>
      </c>
      <c r="R124" s="103"/>
      <c r="S124" s="103">
        <v>0</v>
      </c>
      <c r="T124" s="103"/>
      <c r="U124" s="103">
        <v>40</v>
      </c>
      <c r="V124" s="103"/>
      <c r="W124" s="103">
        <f t="shared" si="93"/>
        <v>224.625</v>
      </c>
      <c r="X124" s="152"/>
      <c r="Y124" s="152">
        <v>7.4999999999999997E-2</v>
      </c>
      <c r="Z124" s="153">
        <v>2995</v>
      </c>
      <c r="AA124" s="103">
        <v>135</v>
      </c>
      <c r="AB124" s="103">
        <f t="shared" si="94"/>
        <v>309.90000000000003</v>
      </c>
      <c r="AC124" s="213">
        <v>0.27</v>
      </c>
      <c r="AD124" s="103">
        <v>95</v>
      </c>
      <c r="AE124" s="103">
        <f>D124-I124-N124-Q124-U124-W124-AA124-AB124-AD124-AF124-P124</f>
        <v>576.5949999999998</v>
      </c>
      <c r="AF124" s="103">
        <f>D124*AC124</f>
        <v>1647</v>
      </c>
    </row>
    <row r="125" spans="1:32">
      <c r="A125" s="215" t="s">
        <v>587</v>
      </c>
      <c r="B125" s="216">
        <v>191275</v>
      </c>
      <c r="C125" s="217">
        <v>7</v>
      </c>
      <c r="D125" s="218">
        <v>7250</v>
      </c>
      <c r="E125" s="237">
        <f t="shared" si="99"/>
        <v>3548</v>
      </c>
      <c r="F125" s="217">
        <v>3388</v>
      </c>
      <c r="G125" s="217">
        <v>160</v>
      </c>
      <c r="H125" s="128">
        <f t="shared" si="107"/>
        <v>2.0434047350620066</v>
      </c>
      <c r="I125" s="221">
        <v>2115.84</v>
      </c>
      <c r="J125" s="221"/>
      <c r="K125" s="221"/>
      <c r="L125" s="221"/>
      <c r="M125" s="221">
        <v>24.29</v>
      </c>
      <c r="N125" s="218">
        <f t="shared" si="92"/>
        <v>61.625000000000007</v>
      </c>
      <c r="O125" s="218">
        <v>7</v>
      </c>
      <c r="P125" s="218"/>
      <c r="Q125" s="218">
        <v>881.75</v>
      </c>
      <c r="R125" s="218">
        <v>50</v>
      </c>
      <c r="S125" s="218">
        <v>1200</v>
      </c>
      <c r="T125" s="218">
        <v>30</v>
      </c>
      <c r="U125" s="218">
        <v>40</v>
      </c>
      <c r="V125" s="218">
        <v>300</v>
      </c>
      <c r="W125" s="218">
        <f t="shared" si="93"/>
        <v>273.07499999999999</v>
      </c>
      <c r="X125" s="218">
        <f t="shared" ref="X125:X130" si="108">0.15*Z125</f>
        <v>546.15</v>
      </c>
      <c r="Y125" s="222">
        <v>7.4999999999999997E-2</v>
      </c>
      <c r="Z125" s="219" t="s">
        <v>666</v>
      </c>
      <c r="AA125" s="218">
        <v>135</v>
      </c>
      <c r="AB125" s="218">
        <f t="shared" si="94"/>
        <v>354.8</v>
      </c>
      <c r="AC125" s="223">
        <v>0.87</v>
      </c>
      <c r="AD125" s="218">
        <v>95</v>
      </c>
      <c r="AE125" s="103">
        <f t="shared" ref="AE125:AE127" si="109">D125*13%+R125+T125+S125+V125-Q125-W125-AA125-AD125+X125-N125+M125-U125</f>
        <v>1606.4899999999998</v>
      </c>
      <c r="AF125" s="103">
        <f t="shared" ref="AF125:AF128" si="110">D125*AC125-I125-J125-S125-R125-T125-V125-X125</f>
        <v>2065.5099999999998</v>
      </c>
    </row>
    <row r="126" spans="1:32">
      <c r="A126" s="229" t="s">
        <v>624</v>
      </c>
      <c r="B126" s="216" t="s">
        <v>667</v>
      </c>
      <c r="C126" s="217">
        <v>7</v>
      </c>
      <c r="D126" s="218">
        <v>4465</v>
      </c>
      <c r="E126" s="237">
        <f t="shared" si="99"/>
        <v>2743</v>
      </c>
      <c r="F126" s="217">
        <v>2412</v>
      </c>
      <c r="G126" s="217">
        <v>331</v>
      </c>
      <c r="H126" s="128">
        <f t="shared" si="107"/>
        <v>1.6277798031352533</v>
      </c>
      <c r="I126" s="221">
        <v>2643.2</v>
      </c>
      <c r="J126" s="221">
        <v>96.1</v>
      </c>
      <c r="K126" s="221"/>
      <c r="L126" s="221"/>
      <c r="M126" s="221">
        <v>176.33</v>
      </c>
      <c r="N126" s="218">
        <f t="shared" si="92"/>
        <v>37.952500000000001</v>
      </c>
      <c r="O126" s="218"/>
      <c r="P126" s="218"/>
      <c r="Q126" s="218">
        <v>881.75</v>
      </c>
      <c r="R126" s="218">
        <v>50</v>
      </c>
      <c r="S126" s="218">
        <v>1050</v>
      </c>
      <c r="T126" s="218">
        <v>30</v>
      </c>
      <c r="U126" s="218">
        <v>40</v>
      </c>
      <c r="V126" s="218">
        <v>400</v>
      </c>
      <c r="W126" s="218">
        <f t="shared" si="93"/>
        <v>274.875</v>
      </c>
      <c r="X126" s="218">
        <f t="shared" si="108"/>
        <v>549.75</v>
      </c>
      <c r="Y126" s="222">
        <v>7.4999999999999997E-2</v>
      </c>
      <c r="Z126" s="219" t="s">
        <v>668</v>
      </c>
      <c r="AA126" s="218">
        <v>135</v>
      </c>
      <c r="AB126" s="218">
        <f t="shared" si="94"/>
        <v>274.3</v>
      </c>
      <c r="AC126" s="223">
        <v>0.87</v>
      </c>
      <c r="AD126" s="218">
        <v>95</v>
      </c>
      <c r="AE126" s="103">
        <f t="shared" si="109"/>
        <v>1371.9524999999996</v>
      </c>
      <c r="AF126" s="103">
        <f t="shared" si="110"/>
        <v>-934.49999999999955</v>
      </c>
    </row>
    <row r="127" spans="1:32">
      <c r="A127" s="229" t="s">
        <v>590</v>
      </c>
      <c r="B127" s="216">
        <v>465184</v>
      </c>
      <c r="C127" s="217">
        <v>4</v>
      </c>
      <c r="D127" s="218">
        <v>5203</v>
      </c>
      <c r="E127" s="237">
        <f t="shared" si="99"/>
        <v>2846</v>
      </c>
      <c r="F127" s="217">
        <v>2715</v>
      </c>
      <c r="G127" s="217">
        <v>131</v>
      </c>
      <c r="H127" s="128">
        <f t="shared" si="107"/>
        <v>1.8281799016163036</v>
      </c>
      <c r="I127" s="221">
        <v>1762.8</v>
      </c>
      <c r="J127" s="221">
        <v>100.68</v>
      </c>
      <c r="K127" s="221"/>
      <c r="L127" s="221"/>
      <c r="M127" s="221">
        <v>62.31</v>
      </c>
      <c r="N127" s="218">
        <f t="shared" si="92"/>
        <v>44.225500000000004</v>
      </c>
      <c r="O127" s="218">
        <v>7</v>
      </c>
      <c r="P127" s="218"/>
      <c r="Q127" s="218">
        <v>881.75</v>
      </c>
      <c r="R127" s="218">
        <v>50</v>
      </c>
      <c r="S127" s="218">
        <v>1050</v>
      </c>
      <c r="T127" s="218">
        <v>30</v>
      </c>
      <c r="U127" s="218">
        <v>40</v>
      </c>
      <c r="V127" s="218">
        <v>400</v>
      </c>
      <c r="W127" s="218">
        <f t="shared" si="93"/>
        <v>274.58199999999999</v>
      </c>
      <c r="X127" s="218">
        <f t="shared" si="108"/>
        <v>534.9</v>
      </c>
      <c r="Y127" s="222">
        <v>7.6999999999999999E-2</v>
      </c>
      <c r="Z127" s="219" t="s">
        <v>669</v>
      </c>
      <c r="AA127" s="218">
        <v>135</v>
      </c>
      <c r="AB127" s="218">
        <f t="shared" si="94"/>
        <v>284.60000000000002</v>
      </c>
      <c r="AC127" s="223">
        <v>0.87</v>
      </c>
      <c r="AD127" s="218">
        <v>95</v>
      </c>
      <c r="AE127" s="103">
        <f t="shared" si="109"/>
        <v>1333.0425</v>
      </c>
      <c r="AF127" s="103">
        <f t="shared" si="110"/>
        <v>598.22999999999968</v>
      </c>
    </row>
    <row r="128" spans="1:32">
      <c r="A128" s="229" t="s">
        <v>568</v>
      </c>
      <c r="B128" s="216">
        <v>191278</v>
      </c>
      <c r="C128" s="217">
        <v>7</v>
      </c>
      <c r="D128" s="218">
        <v>13850</v>
      </c>
      <c r="E128" s="237">
        <f t="shared" si="99"/>
        <v>6952</v>
      </c>
      <c r="F128" s="217">
        <v>6293</v>
      </c>
      <c r="G128" s="217">
        <v>659</v>
      </c>
      <c r="H128" s="128">
        <f t="shared" si="107"/>
        <v>1.9922324510932106</v>
      </c>
      <c r="I128" s="221">
        <v>4383.03</v>
      </c>
      <c r="J128" s="221">
        <v>213.65</v>
      </c>
      <c r="K128" s="221"/>
      <c r="L128" s="221"/>
      <c r="M128" s="221">
        <v>270.75</v>
      </c>
      <c r="N128" s="218">
        <f t="shared" si="92"/>
        <v>117.72500000000001</v>
      </c>
      <c r="O128" s="218">
        <v>7</v>
      </c>
      <c r="P128" s="218"/>
      <c r="Q128" s="218">
        <v>881.75</v>
      </c>
      <c r="R128" s="218">
        <v>50</v>
      </c>
      <c r="S128" s="218">
        <v>1050</v>
      </c>
      <c r="T128" s="218">
        <v>30</v>
      </c>
      <c r="U128" s="218">
        <v>40</v>
      </c>
      <c r="V128" s="218">
        <v>400</v>
      </c>
      <c r="W128" s="218">
        <f t="shared" si="93"/>
        <v>422.49899999999997</v>
      </c>
      <c r="X128" s="218">
        <f t="shared" si="108"/>
        <v>823.05</v>
      </c>
      <c r="Y128" s="222">
        <v>7.6999999999999999E-2</v>
      </c>
      <c r="Z128" s="219" t="s">
        <v>670</v>
      </c>
      <c r="AA128" s="218">
        <v>135</v>
      </c>
      <c r="AB128" s="218">
        <f t="shared" si="94"/>
        <v>695.2</v>
      </c>
      <c r="AC128" s="223">
        <v>0.87</v>
      </c>
      <c r="AD128" s="218">
        <v>95</v>
      </c>
      <c r="AE128" s="103">
        <f>D128*13%+R128+T128+S128+V128-Q128-W128-AA128-AD128+X128-N128+M128-U128-P128</f>
        <v>2732.326</v>
      </c>
      <c r="AF128" s="103">
        <f t="shared" si="110"/>
        <v>5099.7700000000004</v>
      </c>
    </row>
    <row r="129" spans="1:32">
      <c r="A129" s="229" t="s">
        <v>659</v>
      </c>
      <c r="B129" s="216">
        <v>191279</v>
      </c>
      <c r="C129" s="217">
        <v>7</v>
      </c>
      <c r="D129" s="218">
        <v>11677</v>
      </c>
      <c r="E129" s="237">
        <f t="shared" si="99"/>
        <v>5566</v>
      </c>
      <c r="F129" s="238">
        <v>5258</v>
      </c>
      <c r="G129" s="217">
        <v>308</v>
      </c>
      <c r="H129" s="128">
        <f t="shared" si="107"/>
        <v>2.0979159180740208</v>
      </c>
      <c r="I129" s="221">
        <v>3320.69</v>
      </c>
      <c r="J129" s="221">
        <v>557.58000000000004</v>
      </c>
      <c r="K129" s="221"/>
      <c r="L129" s="221"/>
      <c r="M129" s="221">
        <v>104.36</v>
      </c>
      <c r="N129" s="218">
        <f t="shared" si="92"/>
        <v>99.254500000000007</v>
      </c>
      <c r="O129" s="218"/>
      <c r="P129" s="218"/>
      <c r="Q129" s="218">
        <v>881.75</v>
      </c>
      <c r="R129" s="218">
        <v>50</v>
      </c>
      <c r="S129" s="218">
        <v>1200</v>
      </c>
      <c r="T129" s="218">
        <v>30</v>
      </c>
      <c r="U129" s="218">
        <v>40</v>
      </c>
      <c r="V129" s="218">
        <v>300</v>
      </c>
      <c r="W129" s="218">
        <f t="shared" si="93"/>
        <v>442.904</v>
      </c>
      <c r="X129" s="218">
        <f t="shared" si="108"/>
        <v>862.8</v>
      </c>
      <c r="Y129" s="222">
        <v>7.6999999999999999E-2</v>
      </c>
      <c r="Z129" s="219" t="s">
        <v>671</v>
      </c>
      <c r="AA129" s="218">
        <v>135</v>
      </c>
      <c r="AB129" s="218">
        <f t="shared" si="94"/>
        <v>556.6</v>
      </c>
      <c r="AC129" s="223">
        <v>0.87</v>
      </c>
      <c r="AD129" s="218">
        <v>95</v>
      </c>
      <c r="AE129" s="103">
        <f t="shared" ref="AE129:AE130" si="111">D129*13%+R129+T129+S129+V129-Q129-W129-AA129-AD129+X129-N129+M129-U129</f>
        <v>2371.2615000000001</v>
      </c>
      <c r="AF129" s="103">
        <f>D129*AC129-I129-J129-S129-R129-T129-V129-X129+L129</f>
        <v>3837.9199999999992</v>
      </c>
    </row>
    <row r="130" spans="1:32">
      <c r="A130" s="229" t="s">
        <v>661</v>
      </c>
      <c r="B130" s="216">
        <v>465187</v>
      </c>
      <c r="C130" s="217">
        <v>4</v>
      </c>
      <c r="D130" s="218">
        <v>7200</v>
      </c>
      <c r="E130" s="237">
        <f t="shared" si="99"/>
        <v>3752</v>
      </c>
      <c r="F130" s="238">
        <v>3447</v>
      </c>
      <c r="G130" s="217">
        <v>305</v>
      </c>
      <c r="H130" s="128">
        <f t="shared" si="107"/>
        <v>1.9189765458422174</v>
      </c>
      <c r="I130" s="221">
        <v>2348.73</v>
      </c>
      <c r="J130" s="221">
        <v>418.38</v>
      </c>
      <c r="K130" s="221"/>
      <c r="L130" s="221"/>
      <c r="M130" s="221">
        <v>359.28</v>
      </c>
      <c r="N130" s="218">
        <f t="shared" si="92"/>
        <v>61.2</v>
      </c>
      <c r="O130" s="218"/>
      <c r="P130" s="218"/>
      <c r="Q130" s="218">
        <v>881.75</v>
      </c>
      <c r="R130" s="218">
        <v>50</v>
      </c>
      <c r="S130" s="218">
        <v>1050</v>
      </c>
      <c r="T130" s="218">
        <v>30</v>
      </c>
      <c r="U130" s="218">
        <v>40</v>
      </c>
      <c r="V130" s="218">
        <v>400</v>
      </c>
      <c r="W130" s="218">
        <f t="shared" si="93"/>
        <v>277.73899999999998</v>
      </c>
      <c r="X130" s="218">
        <f t="shared" si="108"/>
        <v>541.04999999999995</v>
      </c>
      <c r="Y130" s="222">
        <v>7.6999999999999999E-2</v>
      </c>
      <c r="Z130" s="219" t="s">
        <v>672</v>
      </c>
      <c r="AA130" s="218">
        <v>135</v>
      </c>
      <c r="AB130" s="218">
        <f t="shared" si="94"/>
        <v>375.20000000000005</v>
      </c>
      <c r="AC130" s="223">
        <v>0.87</v>
      </c>
      <c r="AD130" s="218">
        <v>95</v>
      </c>
      <c r="AE130" s="103">
        <f t="shared" si="111"/>
        <v>1875.6409999999998</v>
      </c>
      <c r="AF130" s="103">
        <f>D130*AC130-I130-J130-S130-R130-T130-V130-X130</f>
        <v>1425.84</v>
      </c>
    </row>
    <row r="131" spans="1:32">
      <c r="A131" s="134" t="s">
        <v>529</v>
      </c>
      <c r="B131" s="134">
        <v>1118</v>
      </c>
      <c r="C131" s="158">
        <v>7</v>
      </c>
      <c r="D131" s="139">
        <v>7225</v>
      </c>
      <c r="E131" s="136">
        <v>3333</v>
      </c>
      <c r="F131" s="136"/>
      <c r="G131" s="136"/>
      <c r="H131" s="128">
        <f t="shared" si="107"/>
        <v>2.1677167716771679</v>
      </c>
      <c r="I131" s="139">
        <v>2244</v>
      </c>
      <c r="J131" s="139">
        <v>36.99</v>
      </c>
      <c r="K131" s="139"/>
      <c r="L131" s="139"/>
      <c r="M131" s="139"/>
      <c r="N131" s="139">
        <f t="shared" si="92"/>
        <v>61.412500000000001</v>
      </c>
      <c r="O131" s="139">
        <v>0</v>
      </c>
      <c r="P131" s="139">
        <v>290</v>
      </c>
      <c r="Q131" s="139">
        <v>0</v>
      </c>
      <c r="R131" s="139">
        <v>0</v>
      </c>
      <c r="S131" s="139">
        <v>0</v>
      </c>
      <c r="T131" s="139">
        <v>0</v>
      </c>
      <c r="U131" s="139">
        <v>40</v>
      </c>
      <c r="V131" s="139">
        <v>0</v>
      </c>
      <c r="W131" s="139">
        <v>0</v>
      </c>
      <c r="X131" s="159"/>
      <c r="Y131" s="159"/>
      <c r="Z131" s="136">
        <v>3333</v>
      </c>
      <c r="AA131" s="139">
        <v>0</v>
      </c>
      <c r="AB131" s="139">
        <f t="shared" si="94"/>
        <v>333.3</v>
      </c>
      <c r="AC131" s="160">
        <v>0.8</v>
      </c>
      <c r="AD131" s="139">
        <v>95</v>
      </c>
      <c r="AE131" s="139">
        <f>D131*0.2-AB131-N131-K131-AD131-U131-P131</f>
        <v>625.28750000000014</v>
      </c>
      <c r="AF131" s="139">
        <f>D131*AC131-I131-J131+K131</f>
        <v>3499.01</v>
      </c>
    </row>
    <row r="132" spans="1:32">
      <c r="A132" s="134" t="s">
        <v>520</v>
      </c>
      <c r="B132" s="134">
        <v>1650</v>
      </c>
      <c r="C132" s="158"/>
      <c r="D132" s="139">
        <v>0</v>
      </c>
      <c r="E132" s="136">
        <v>4</v>
      </c>
      <c r="F132" s="136"/>
      <c r="G132" s="136"/>
      <c r="H132" s="136"/>
      <c r="I132" s="139"/>
      <c r="J132" s="139"/>
      <c r="K132" s="139"/>
      <c r="L132" s="139"/>
      <c r="M132" s="139"/>
      <c r="N132" s="139">
        <f t="shared" si="92"/>
        <v>0</v>
      </c>
      <c r="O132" s="139"/>
      <c r="P132" s="139"/>
      <c r="Q132" s="139">
        <v>0</v>
      </c>
      <c r="R132" s="139">
        <v>50</v>
      </c>
      <c r="S132" s="139">
        <v>0</v>
      </c>
      <c r="T132" s="139">
        <v>30</v>
      </c>
      <c r="U132" s="139">
        <v>40</v>
      </c>
      <c r="V132" s="139">
        <v>300</v>
      </c>
      <c r="W132" s="139">
        <v>0</v>
      </c>
      <c r="X132" s="159"/>
      <c r="Y132" s="159"/>
      <c r="Z132" s="136">
        <v>4</v>
      </c>
      <c r="AA132" s="139">
        <v>0</v>
      </c>
      <c r="AB132" s="139">
        <f t="shared" si="94"/>
        <v>0.4</v>
      </c>
      <c r="AC132" s="160">
        <v>0.87</v>
      </c>
      <c r="AD132" s="139">
        <v>95</v>
      </c>
      <c r="AE132" s="139">
        <f>D132*0.13+V132+T132+S132+R132-AB132-N132+M132-U132</f>
        <v>339.6</v>
      </c>
      <c r="AF132" s="139">
        <f>D132*0.87-I132-J132-R132-S132-T132-V132+K132</f>
        <v>-380</v>
      </c>
    </row>
    <row r="133" spans="1:32">
      <c r="A133" s="72" t="s">
        <v>89</v>
      </c>
      <c r="B133" s="72">
        <v>20</v>
      </c>
      <c r="C133" s="202">
        <f>AVERAGE(C111:C132)</f>
        <v>5.882352941176471</v>
      </c>
      <c r="D133" s="201">
        <f t="shared" ref="D133:G133" si="112">SUM(D111:D132)</f>
        <v>124048</v>
      </c>
      <c r="E133" s="201">
        <f t="shared" si="112"/>
        <v>62147</v>
      </c>
      <c r="F133" s="201">
        <f t="shared" si="112"/>
        <v>54780</v>
      </c>
      <c r="G133" s="201">
        <f t="shared" si="112"/>
        <v>4030</v>
      </c>
      <c r="H133" s="201">
        <f>AVERAGE(H111:H132)</f>
        <v>1.9668050858499526</v>
      </c>
      <c r="I133" s="201">
        <f t="shared" ref="I133:X133" si="113">SUM(I111:I132)</f>
        <v>42297.540000000008</v>
      </c>
      <c r="J133" s="201">
        <f t="shared" si="113"/>
        <v>3780.4699999999993</v>
      </c>
      <c r="K133" s="201">
        <f t="shared" si="113"/>
        <v>200</v>
      </c>
      <c r="L133" s="201">
        <f t="shared" si="113"/>
        <v>0</v>
      </c>
      <c r="M133" s="201">
        <f t="shared" si="113"/>
        <v>2694.49</v>
      </c>
      <c r="N133" s="201">
        <f t="shared" si="113"/>
        <v>1054.4080000000001</v>
      </c>
      <c r="O133" s="201">
        <f t="shared" si="113"/>
        <v>119</v>
      </c>
      <c r="P133" s="201">
        <f t="shared" si="113"/>
        <v>1099.98</v>
      </c>
      <c r="Q133" s="201">
        <f t="shared" si="113"/>
        <v>17635</v>
      </c>
      <c r="R133" s="201">
        <f t="shared" si="113"/>
        <v>350</v>
      </c>
      <c r="S133" s="201">
        <f t="shared" si="113"/>
        <v>6600</v>
      </c>
      <c r="T133" s="201">
        <f t="shared" si="113"/>
        <v>210</v>
      </c>
      <c r="U133" s="201">
        <f t="shared" si="113"/>
        <v>880</v>
      </c>
      <c r="V133" s="201">
        <f t="shared" si="113"/>
        <v>2500</v>
      </c>
      <c r="W133" s="201">
        <f t="shared" si="113"/>
        <v>4568.8119999999999</v>
      </c>
      <c r="X133" s="201">
        <f t="shared" si="113"/>
        <v>3857.7000000000007</v>
      </c>
      <c r="Y133" s="201">
        <f>AVERAGE(Y111:Y132)</f>
        <v>7.6099999999999973E-2</v>
      </c>
      <c r="Z133" s="201">
        <f t="shared" ref="Z133:AB133" si="114">SUM(Z111:Z132)</f>
        <v>37565</v>
      </c>
      <c r="AA133" s="201">
        <f t="shared" si="114"/>
        <v>2700</v>
      </c>
      <c r="AB133" s="201">
        <f t="shared" si="114"/>
        <v>6214.7000000000007</v>
      </c>
      <c r="AC133" s="201"/>
      <c r="AD133" s="201">
        <f t="shared" ref="AD133:AF133" si="115">SUM(AD111:AD132)</f>
        <v>2090</v>
      </c>
      <c r="AE133" s="201">
        <f t="shared" si="115"/>
        <v>15028.600000000002</v>
      </c>
      <c r="AF133" s="201">
        <f t="shared" si="115"/>
        <v>32431.68</v>
      </c>
    </row>
  </sheetData>
  <mergeCells count="5">
    <mergeCell ref="A1:AF1"/>
    <mergeCell ref="A29:AF29"/>
    <mergeCell ref="A56:AF56"/>
    <mergeCell ref="A83:AF83"/>
    <mergeCell ref="A109:AF109"/>
  </mergeCells>
  <conditionalFormatting sqref="AE2:AF26 AE30:AF53 AE57:AF80 AE84:AF106 AE110:AF132">
    <cfRule type="colorScale" priority="1">
      <colorScale>
        <cfvo type="min"/>
        <cfvo type="percent" val="50"/>
        <cfvo type="max"/>
        <color rgb="FFCC0000"/>
        <color rgb="FFE68080"/>
        <color rgb="FFFFFFFF"/>
      </colorScale>
    </cfRule>
  </conditionalFormatting>
  <conditionalFormatting sqref="H2:H24 H26 H30:H51 H53 H57:H80 H84:H106 H110:H131"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I998"/>
  <sheetViews>
    <sheetView workbookViewId="0">
      <pane ySplit="1" topLeftCell="A85" activePane="bottomLeft" state="frozen"/>
      <selection pane="bottomLeft" activeCell="B3" sqref="B3"/>
    </sheetView>
  </sheetViews>
  <sheetFormatPr baseColWidth="10" defaultColWidth="12.6640625" defaultRowHeight="15.75" customHeight="1"/>
  <cols>
    <col min="3" max="3" width="22.5" customWidth="1"/>
    <col min="8" max="8" width="17.33203125" customWidth="1"/>
  </cols>
  <sheetData>
    <row r="1" spans="1:9">
      <c r="A1" s="240" t="s">
        <v>673</v>
      </c>
      <c r="B1" s="240" t="s">
        <v>674</v>
      </c>
      <c r="C1" s="240" t="s">
        <v>675</v>
      </c>
      <c r="D1" s="241" t="s">
        <v>676</v>
      </c>
      <c r="E1" s="241" t="s">
        <v>677</v>
      </c>
      <c r="F1" s="240" t="s">
        <v>678</v>
      </c>
      <c r="G1" s="240" t="s">
        <v>679</v>
      </c>
      <c r="H1" s="240" t="s">
        <v>680</v>
      </c>
      <c r="I1" s="242"/>
    </row>
    <row r="2" spans="1:9">
      <c r="A2" s="243">
        <v>45168</v>
      </c>
      <c r="B2" s="87">
        <v>465180</v>
      </c>
      <c r="C2" s="87" t="s">
        <v>681</v>
      </c>
      <c r="D2" s="244">
        <v>7.62</v>
      </c>
      <c r="E2" s="244">
        <v>7.62</v>
      </c>
      <c r="F2" s="87" t="s">
        <v>682</v>
      </c>
      <c r="G2" s="245" t="s">
        <v>683</v>
      </c>
      <c r="H2" s="246" t="s">
        <v>684</v>
      </c>
      <c r="I2" s="247"/>
    </row>
    <row r="3" spans="1:9">
      <c r="A3" s="243">
        <v>45166</v>
      </c>
      <c r="B3" s="87" t="s">
        <v>685</v>
      </c>
      <c r="C3" s="87" t="s">
        <v>686</v>
      </c>
      <c r="D3" s="244">
        <v>347.74</v>
      </c>
      <c r="E3" s="244">
        <v>347.74</v>
      </c>
      <c r="F3" s="87" t="s">
        <v>687</v>
      </c>
      <c r="G3" s="245" t="s">
        <v>683</v>
      </c>
      <c r="H3" s="246" t="s">
        <v>688</v>
      </c>
      <c r="I3" s="247"/>
    </row>
    <row r="4" spans="1:9">
      <c r="A4" s="243">
        <v>45166</v>
      </c>
      <c r="B4" s="87">
        <v>191277</v>
      </c>
      <c r="C4" s="87" t="s">
        <v>689</v>
      </c>
      <c r="D4" s="244">
        <v>84.7</v>
      </c>
      <c r="E4" s="244">
        <v>84.7</v>
      </c>
      <c r="F4" s="87" t="s">
        <v>690</v>
      </c>
      <c r="G4" s="245" t="s">
        <v>683</v>
      </c>
      <c r="H4" s="246" t="s">
        <v>684</v>
      </c>
      <c r="I4" s="247"/>
    </row>
    <row r="5" spans="1:9">
      <c r="A5" s="243">
        <v>45167</v>
      </c>
      <c r="B5" s="87">
        <v>465182</v>
      </c>
      <c r="C5" s="87" t="s">
        <v>691</v>
      </c>
      <c r="D5" s="244">
        <v>43.51</v>
      </c>
      <c r="E5" s="244">
        <v>43.51</v>
      </c>
      <c r="F5" s="87" t="s">
        <v>692</v>
      </c>
      <c r="G5" s="245" t="s">
        <v>683</v>
      </c>
      <c r="H5" s="246" t="s">
        <v>684</v>
      </c>
      <c r="I5" s="247"/>
    </row>
    <row r="6" spans="1:9">
      <c r="A6" s="243">
        <v>45168</v>
      </c>
      <c r="B6" s="87">
        <v>465181</v>
      </c>
      <c r="C6" s="87" t="s">
        <v>693</v>
      </c>
      <c r="D6" s="248">
        <v>40</v>
      </c>
      <c r="E6" s="248">
        <v>40</v>
      </c>
      <c r="F6" s="87" t="s">
        <v>694</v>
      </c>
      <c r="G6" s="245" t="s">
        <v>683</v>
      </c>
      <c r="H6" s="246" t="s">
        <v>684</v>
      </c>
      <c r="I6" s="247"/>
    </row>
    <row r="7" spans="1:9">
      <c r="A7" s="243">
        <v>45169</v>
      </c>
      <c r="B7" s="87">
        <v>465180</v>
      </c>
      <c r="C7" s="87" t="s">
        <v>695</v>
      </c>
      <c r="D7" s="244">
        <v>8.91</v>
      </c>
      <c r="E7" s="244">
        <v>8.91</v>
      </c>
      <c r="F7" s="87" t="s">
        <v>682</v>
      </c>
      <c r="G7" s="245" t="s">
        <v>683</v>
      </c>
      <c r="H7" s="246" t="s">
        <v>684</v>
      </c>
      <c r="I7" s="247"/>
    </row>
    <row r="8" spans="1:9">
      <c r="A8" s="243">
        <v>45170</v>
      </c>
      <c r="B8" s="87">
        <v>286698</v>
      </c>
      <c r="C8" s="87" t="s">
        <v>696</v>
      </c>
      <c r="D8" s="244">
        <v>277.5</v>
      </c>
      <c r="E8" s="244">
        <v>277.5</v>
      </c>
      <c r="F8" s="87" t="s">
        <v>697</v>
      </c>
      <c r="G8" s="245" t="s">
        <v>683</v>
      </c>
      <c r="H8" s="246" t="s">
        <v>688</v>
      </c>
      <c r="I8" s="247"/>
    </row>
    <row r="9" spans="1:9">
      <c r="I9" s="247"/>
    </row>
    <row r="10" spans="1:9">
      <c r="I10" s="247"/>
    </row>
    <row r="11" spans="1:9">
      <c r="I11" s="247"/>
    </row>
    <row r="12" spans="1:9">
      <c r="I12" s="247"/>
    </row>
    <row r="13" spans="1:9">
      <c r="I13" s="247"/>
    </row>
    <row r="14" spans="1:9">
      <c r="I14" s="247"/>
    </row>
    <row r="17" spans="1:9">
      <c r="I17" s="247"/>
    </row>
    <row r="18" spans="1:9">
      <c r="I18" s="247"/>
    </row>
    <row r="19" spans="1:9">
      <c r="I19" s="247"/>
    </row>
    <row r="20" spans="1:9">
      <c r="A20" s="249">
        <v>45159</v>
      </c>
      <c r="B20" s="250">
        <v>465183</v>
      </c>
      <c r="C20" s="250" t="s">
        <v>698</v>
      </c>
      <c r="D20" s="251">
        <v>35.71</v>
      </c>
      <c r="E20" s="251">
        <v>35.71</v>
      </c>
      <c r="F20" s="250" t="s">
        <v>699</v>
      </c>
      <c r="G20" s="250" t="s">
        <v>683</v>
      </c>
      <c r="H20" s="252" t="s">
        <v>688</v>
      </c>
      <c r="I20" s="247"/>
    </row>
    <row r="21" spans="1:9">
      <c r="A21" s="253">
        <v>45160</v>
      </c>
      <c r="B21" s="245" t="s">
        <v>700</v>
      </c>
      <c r="C21" s="245" t="s">
        <v>701</v>
      </c>
      <c r="D21" s="254">
        <v>743.65</v>
      </c>
      <c r="E21" s="254">
        <v>743.65</v>
      </c>
      <c r="F21" s="245" t="s">
        <v>702</v>
      </c>
      <c r="G21" s="245" t="s">
        <v>683</v>
      </c>
      <c r="H21" s="246" t="s">
        <v>688</v>
      </c>
      <c r="I21" s="247"/>
    </row>
    <row r="22" spans="1:9">
      <c r="A22" s="253">
        <v>45162</v>
      </c>
      <c r="B22" s="245" t="s">
        <v>700</v>
      </c>
      <c r="C22" s="245" t="s">
        <v>703</v>
      </c>
      <c r="D22" s="254">
        <v>18.64</v>
      </c>
      <c r="E22" s="254">
        <v>18.64</v>
      </c>
      <c r="F22" s="245" t="s">
        <v>702</v>
      </c>
      <c r="G22" s="245" t="s">
        <v>683</v>
      </c>
      <c r="H22" s="246" t="s">
        <v>684</v>
      </c>
      <c r="I22" s="247"/>
    </row>
    <row r="23" spans="1:9">
      <c r="A23" s="253">
        <v>45162</v>
      </c>
      <c r="B23" s="245" t="s">
        <v>704</v>
      </c>
      <c r="C23" s="245" t="s">
        <v>705</v>
      </c>
      <c r="D23" s="255">
        <v>2660</v>
      </c>
      <c r="E23" s="255">
        <v>2660</v>
      </c>
      <c r="F23" s="245" t="s">
        <v>706</v>
      </c>
      <c r="G23" s="245" t="s">
        <v>683</v>
      </c>
      <c r="H23" s="246" t="s">
        <v>707</v>
      </c>
      <c r="I23" s="247"/>
    </row>
    <row r="24" spans="1:9">
      <c r="A24" s="253">
        <v>45163</v>
      </c>
      <c r="B24" s="245">
        <v>465186</v>
      </c>
      <c r="C24" s="245" t="s">
        <v>686</v>
      </c>
      <c r="D24" s="255">
        <v>250</v>
      </c>
      <c r="E24" s="255">
        <v>250</v>
      </c>
      <c r="F24" s="245" t="s">
        <v>702</v>
      </c>
      <c r="G24" s="245" t="s">
        <v>683</v>
      </c>
      <c r="H24" s="246" t="s">
        <v>707</v>
      </c>
      <c r="I24" s="247"/>
    </row>
    <row r="25" spans="1:9" ht="15.75" customHeight="1">
      <c r="A25" s="253">
        <v>45163</v>
      </c>
      <c r="B25" s="245" t="s">
        <v>708</v>
      </c>
      <c r="C25" s="245" t="s">
        <v>709</v>
      </c>
      <c r="D25" s="254">
        <v>141.49</v>
      </c>
      <c r="E25" s="254">
        <v>141.49</v>
      </c>
      <c r="F25" s="245" t="s">
        <v>692</v>
      </c>
      <c r="G25" s="245" t="s">
        <v>683</v>
      </c>
      <c r="H25" s="246" t="s">
        <v>710</v>
      </c>
    </row>
    <row r="26" spans="1:9">
      <c r="A26" s="253">
        <v>45163</v>
      </c>
      <c r="B26" s="245" t="s">
        <v>711</v>
      </c>
      <c r="C26" s="245" t="s">
        <v>712</v>
      </c>
      <c r="D26" s="254">
        <v>1169.05</v>
      </c>
      <c r="E26" s="254">
        <v>1169.05</v>
      </c>
      <c r="F26" s="245" t="s">
        <v>694</v>
      </c>
      <c r="G26" s="245" t="s">
        <v>683</v>
      </c>
      <c r="H26" s="246" t="s">
        <v>710</v>
      </c>
      <c r="I26" s="247"/>
    </row>
    <row r="27" spans="1:9">
      <c r="A27" s="253">
        <v>45164</v>
      </c>
      <c r="B27" s="245" t="s">
        <v>711</v>
      </c>
      <c r="C27" s="245" t="s">
        <v>713</v>
      </c>
      <c r="D27" s="254">
        <v>924.64</v>
      </c>
      <c r="E27" s="254">
        <v>924.64</v>
      </c>
      <c r="F27" s="245" t="s">
        <v>694</v>
      </c>
      <c r="G27" s="245" t="s">
        <v>683</v>
      </c>
      <c r="H27" s="246" t="s">
        <v>710</v>
      </c>
      <c r="I27" s="247"/>
    </row>
    <row r="28" spans="1:9">
      <c r="A28" s="253">
        <v>45163</v>
      </c>
      <c r="B28" s="245" t="s">
        <v>714</v>
      </c>
      <c r="C28" s="245" t="s">
        <v>715</v>
      </c>
      <c r="D28" s="255">
        <v>160</v>
      </c>
      <c r="E28" s="255">
        <v>160</v>
      </c>
      <c r="F28" s="245" t="s">
        <v>682</v>
      </c>
      <c r="G28" s="245" t="s">
        <v>683</v>
      </c>
      <c r="H28" s="246" t="s">
        <v>707</v>
      </c>
      <c r="I28" s="247"/>
    </row>
    <row r="29" spans="1:9">
      <c r="A29" s="253">
        <v>45163</v>
      </c>
      <c r="B29" s="245" t="s">
        <v>716</v>
      </c>
      <c r="C29" s="245" t="s">
        <v>717</v>
      </c>
      <c r="D29" s="255">
        <v>360</v>
      </c>
      <c r="E29" s="255">
        <v>360</v>
      </c>
      <c r="F29" s="245" t="s">
        <v>718</v>
      </c>
      <c r="G29" s="245" t="s">
        <v>683</v>
      </c>
      <c r="H29" s="246" t="s">
        <v>707</v>
      </c>
      <c r="I29" s="247"/>
    </row>
    <row r="30" spans="1:9">
      <c r="A30" s="256" t="s">
        <v>719</v>
      </c>
      <c r="B30" s="257"/>
      <c r="C30" s="257"/>
      <c r="D30" s="258">
        <f t="shared" ref="D30:E30" si="0">SUM(D20:D29)</f>
        <v>6463.18</v>
      </c>
      <c r="E30" s="258">
        <f t="shared" si="0"/>
        <v>6463.18</v>
      </c>
      <c r="F30" s="257"/>
      <c r="G30" s="257"/>
      <c r="H30" s="259"/>
      <c r="I30" s="247"/>
    </row>
    <row r="31" spans="1:9">
      <c r="A31" s="249">
        <v>45152</v>
      </c>
      <c r="B31" s="250" t="s">
        <v>704</v>
      </c>
      <c r="C31" s="250" t="s">
        <v>720</v>
      </c>
      <c r="D31" s="260">
        <v>340.72</v>
      </c>
      <c r="E31" s="260">
        <v>340.72</v>
      </c>
      <c r="F31" s="250" t="s">
        <v>721</v>
      </c>
      <c r="G31" s="250" t="s">
        <v>683</v>
      </c>
      <c r="H31" s="252" t="s">
        <v>684</v>
      </c>
      <c r="I31" s="247"/>
    </row>
    <row r="32" spans="1:9">
      <c r="A32" s="253">
        <v>45154</v>
      </c>
      <c r="B32" s="245" t="s">
        <v>704</v>
      </c>
      <c r="C32" s="245" t="s">
        <v>696</v>
      </c>
      <c r="D32" s="261">
        <v>255.85</v>
      </c>
      <c r="E32" s="261">
        <v>255.85</v>
      </c>
      <c r="F32" s="245" t="s">
        <v>721</v>
      </c>
      <c r="G32" s="245" t="s">
        <v>683</v>
      </c>
      <c r="H32" s="246" t="s">
        <v>684</v>
      </c>
      <c r="I32" s="247"/>
    </row>
    <row r="33" spans="1:9">
      <c r="A33" s="253">
        <v>45157</v>
      </c>
      <c r="B33" s="245">
        <v>191277</v>
      </c>
      <c r="C33" s="245" t="s">
        <v>722</v>
      </c>
      <c r="D33" s="261">
        <v>13.77</v>
      </c>
      <c r="E33" s="261">
        <v>13.77</v>
      </c>
      <c r="F33" s="245" t="s">
        <v>690</v>
      </c>
      <c r="G33" s="245" t="s">
        <v>683</v>
      </c>
      <c r="H33" s="246" t="s">
        <v>684</v>
      </c>
      <c r="I33" s="247"/>
    </row>
    <row r="34" spans="1:9">
      <c r="A34" s="253">
        <v>45152</v>
      </c>
      <c r="B34" s="245" t="s">
        <v>716</v>
      </c>
      <c r="C34" s="245" t="s">
        <v>723</v>
      </c>
      <c r="D34" s="261">
        <v>56.4</v>
      </c>
      <c r="E34" s="261">
        <v>56.4</v>
      </c>
      <c r="F34" s="245" t="s">
        <v>692</v>
      </c>
      <c r="G34" s="245" t="s">
        <v>683</v>
      </c>
      <c r="H34" s="246" t="s">
        <v>688</v>
      </c>
      <c r="I34" s="247"/>
    </row>
    <row r="35" spans="1:9">
      <c r="A35" s="253">
        <v>45152</v>
      </c>
      <c r="B35" s="245" t="s">
        <v>724</v>
      </c>
      <c r="C35" s="245" t="s">
        <v>725</v>
      </c>
      <c r="D35" s="261">
        <v>162</v>
      </c>
      <c r="E35" s="261">
        <v>162</v>
      </c>
      <c r="F35" s="245" t="s">
        <v>726</v>
      </c>
      <c r="G35" s="245" t="s">
        <v>683</v>
      </c>
      <c r="H35" s="246" t="s">
        <v>710</v>
      </c>
      <c r="I35" s="247"/>
    </row>
    <row r="36" spans="1:9">
      <c r="A36" s="253">
        <v>45153</v>
      </c>
      <c r="B36" s="245" t="s">
        <v>727</v>
      </c>
      <c r="C36" s="245" t="s">
        <v>728</v>
      </c>
      <c r="D36" s="261">
        <v>50</v>
      </c>
      <c r="E36" s="261">
        <v>0</v>
      </c>
      <c r="F36" s="245" t="s">
        <v>729</v>
      </c>
      <c r="G36" s="245" t="s">
        <v>730</v>
      </c>
      <c r="H36" s="246" t="s">
        <v>688</v>
      </c>
      <c r="I36" s="247"/>
    </row>
    <row r="37" spans="1:9">
      <c r="A37" s="253">
        <v>45153</v>
      </c>
      <c r="B37" s="245" t="s">
        <v>731</v>
      </c>
      <c r="C37" s="245" t="s">
        <v>686</v>
      </c>
      <c r="D37" s="261">
        <v>385</v>
      </c>
      <c r="E37" s="261">
        <v>385</v>
      </c>
      <c r="F37" s="245" t="s">
        <v>732</v>
      </c>
      <c r="G37" s="245" t="s">
        <v>683</v>
      </c>
      <c r="H37" s="246" t="s">
        <v>688</v>
      </c>
      <c r="I37" s="247"/>
    </row>
    <row r="38" spans="1:9">
      <c r="A38" s="253">
        <v>45154</v>
      </c>
      <c r="B38" s="245">
        <v>286698</v>
      </c>
      <c r="C38" s="245" t="s">
        <v>733</v>
      </c>
      <c r="D38" s="261">
        <v>376.33</v>
      </c>
      <c r="E38" s="261">
        <v>376.33</v>
      </c>
      <c r="F38" s="245" t="s">
        <v>697</v>
      </c>
      <c r="G38" s="245" t="s">
        <v>683</v>
      </c>
      <c r="H38" s="246" t="s">
        <v>688</v>
      </c>
      <c r="I38" s="247"/>
    </row>
    <row r="39" spans="1:9">
      <c r="A39" s="253">
        <v>45155</v>
      </c>
      <c r="B39" s="245" t="s">
        <v>708</v>
      </c>
      <c r="C39" s="245" t="s">
        <v>734</v>
      </c>
      <c r="D39" s="261">
        <v>1878.35</v>
      </c>
      <c r="E39" s="261">
        <v>939.17499999999995</v>
      </c>
      <c r="F39" s="245" t="s">
        <v>735</v>
      </c>
      <c r="G39" s="245" t="s">
        <v>736</v>
      </c>
      <c r="H39" s="246" t="s">
        <v>710</v>
      </c>
      <c r="I39" s="247"/>
    </row>
    <row r="40" spans="1:9">
      <c r="A40" s="253">
        <v>45156</v>
      </c>
      <c r="B40" s="245" t="s">
        <v>737</v>
      </c>
      <c r="C40" s="245" t="s">
        <v>738</v>
      </c>
      <c r="D40" s="261">
        <v>290</v>
      </c>
      <c r="E40" s="261">
        <v>290</v>
      </c>
      <c r="F40" s="245" t="s">
        <v>739</v>
      </c>
      <c r="G40" s="245" t="s">
        <v>683</v>
      </c>
      <c r="H40" s="246" t="s">
        <v>707</v>
      </c>
      <c r="I40" s="247"/>
    </row>
    <row r="41" spans="1:9">
      <c r="A41" s="262" t="s">
        <v>740</v>
      </c>
      <c r="B41" s="263"/>
      <c r="C41" s="263"/>
      <c r="D41" s="264">
        <f t="shared" ref="D41:E41" si="1">SUM(D31:D40)</f>
        <v>3808.42</v>
      </c>
      <c r="E41" s="264">
        <f t="shared" si="1"/>
        <v>2819.2449999999999</v>
      </c>
      <c r="F41" s="263"/>
      <c r="G41" s="263"/>
      <c r="H41" s="265"/>
      <c r="I41" s="247"/>
    </row>
    <row r="42" spans="1:9">
      <c r="A42" s="253">
        <v>45149</v>
      </c>
      <c r="B42" s="245" t="s">
        <v>741</v>
      </c>
      <c r="C42" s="245" t="s">
        <v>742</v>
      </c>
      <c r="D42" s="261">
        <v>324</v>
      </c>
      <c r="E42" s="261">
        <v>324</v>
      </c>
      <c r="F42" s="245" t="s">
        <v>726</v>
      </c>
      <c r="G42" s="245" t="s">
        <v>683</v>
      </c>
      <c r="H42" s="246" t="s">
        <v>707</v>
      </c>
      <c r="I42" s="247"/>
    </row>
    <row r="43" spans="1:9" ht="34">
      <c r="A43" s="253">
        <v>45146</v>
      </c>
      <c r="B43" s="245" t="s">
        <v>743</v>
      </c>
      <c r="C43" s="245" t="s">
        <v>744</v>
      </c>
      <c r="D43" s="261">
        <v>176.29</v>
      </c>
      <c r="E43" s="261">
        <v>176.29</v>
      </c>
      <c r="F43" s="245" t="s">
        <v>699</v>
      </c>
      <c r="G43" s="245" t="s">
        <v>683</v>
      </c>
      <c r="H43" s="246" t="s">
        <v>710</v>
      </c>
      <c r="I43" s="247"/>
    </row>
    <row r="44" spans="1:9" ht="34">
      <c r="A44" s="253">
        <v>45147</v>
      </c>
      <c r="B44" s="245" t="s">
        <v>745</v>
      </c>
      <c r="C44" s="245" t="s">
        <v>746</v>
      </c>
      <c r="D44" s="261">
        <v>1500</v>
      </c>
      <c r="E44" s="261">
        <v>1500</v>
      </c>
      <c r="F44" s="245" t="s">
        <v>747</v>
      </c>
      <c r="G44" s="245" t="s">
        <v>683</v>
      </c>
      <c r="H44" s="246" t="s">
        <v>707</v>
      </c>
      <c r="I44" s="247"/>
    </row>
    <row r="45" spans="1:9" ht="34">
      <c r="A45" s="253">
        <v>45148</v>
      </c>
      <c r="B45" s="245" t="s">
        <v>748</v>
      </c>
      <c r="C45" s="245" t="s">
        <v>749</v>
      </c>
      <c r="D45" s="261">
        <v>259.2</v>
      </c>
      <c r="E45" s="261">
        <v>259.2</v>
      </c>
      <c r="F45" s="245" t="s">
        <v>750</v>
      </c>
      <c r="G45" s="245" t="s">
        <v>683</v>
      </c>
      <c r="H45" s="246" t="s">
        <v>688</v>
      </c>
      <c r="I45" s="247"/>
    </row>
    <row r="46" spans="1:9" ht="34">
      <c r="A46" s="253">
        <v>45148</v>
      </c>
      <c r="B46" s="245" t="s">
        <v>748</v>
      </c>
      <c r="C46" s="245" t="s">
        <v>744</v>
      </c>
      <c r="D46" s="261">
        <v>298.55</v>
      </c>
      <c r="E46" s="261">
        <v>298.55</v>
      </c>
      <c r="F46" s="245" t="s">
        <v>750</v>
      </c>
      <c r="G46" s="245" t="s">
        <v>683</v>
      </c>
      <c r="H46" s="246" t="s">
        <v>688</v>
      </c>
      <c r="I46" s="247"/>
    </row>
    <row r="47" spans="1:9" ht="51">
      <c r="A47" s="253">
        <v>45148</v>
      </c>
      <c r="B47" s="245" t="s">
        <v>751</v>
      </c>
      <c r="C47" s="245" t="s">
        <v>752</v>
      </c>
      <c r="D47" s="261">
        <v>1769.35</v>
      </c>
      <c r="E47" s="261">
        <v>269.35000000000002</v>
      </c>
      <c r="F47" s="245" t="s">
        <v>753</v>
      </c>
      <c r="G47" s="245" t="s">
        <v>730</v>
      </c>
      <c r="H47" s="246" t="s">
        <v>707</v>
      </c>
    </row>
    <row r="48" spans="1:9" ht="51">
      <c r="A48" s="253">
        <v>45148</v>
      </c>
      <c r="B48" s="245" t="s">
        <v>751</v>
      </c>
      <c r="C48" s="245" t="s">
        <v>754</v>
      </c>
      <c r="D48" s="261">
        <v>321</v>
      </c>
      <c r="E48" s="261">
        <v>321</v>
      </c>
      <c r="F48" s="245" t="s">
        <v>753</v>
      </c>
      <c r="G48" s="245" t="s">
        <v>730</v>
      </c>
      <c r="H48" s="246" t="s">
        <v>688</v>
      </c>
    </row>
    <row r="49" spans="1:9" ht="34">
      <c r="A49" s="253">
        <v>45150</v>
      </c>
      <c r="B49" s="245" t="s">
        <v>716</v>
      </c>
      <c r="C49" s="245" t="s">
        <v>725</v>
      </c>
      <c r="D49" s="261">
        <v>185</v>
      </c>
      <c r="E49" s="261">
        <v>185</v>
      </c>
      <c r="F49" s="245" t="s">
        <v>692</v>
      </c>
      <c r="G49" s="245" t="s">
        <v>683</v>
      </c>
      <c r="H49" s="246" t="s">
        <v>688</v>
      </c>
      <c r="I49" s="247"/>
    </row>
    <row r="50" spans="1:9" ht="51">
      <c r="A50" s="253">
        <v>45151</v>
      </c>
      <c r="B50" s="245">
        <v>465189</v>
      </c>
      <c r="C50" s="245" t="s">
        <v>755</v>
      </c>
      <c r="D50" s="261">
        <v>55.19</v>
      </c>
      <c r="E50" s="261">
        <v>55.19</v>
      </c>
      <c r="F50" s="245" t="s">
        <v>687</v>
      </c>
      <c r="G50" s="245" t="s">
        <v>683</v>
      </c>
      <c r="H50" s="246" t="s">
        <v>688</v>
      </c>
      <c r="I50" s="242"/>
    </row>
    <row r="51" spans="1:9" ht="34">
      <c r="A51" s="262" t="s">
        <v>756</v>
      </c>
      <c r="B51" s="263"/>
      <c r="C51" s="263"/>
      <c r="D51" s="264">
        <f t="shared" ref="D51:E51" si="2">SUM(D42:D50)</f>
        <v>4888.579999999999</v>
      </c>
      <c r="E51" s="264">
        <f t="shared" si="2"/>
        <v>3388.58</v>
      </c>
      <c r="F51" s="263"/>
      <c r="G51" s="263"/>
      <c r="H51" s="265"/>
      <c r="I51" s="242"/>
    </row>
    <row r="52" spans="1:9" ht="51">
      <c r="A52" s="253">
        <v>45139</v>
      </c>
      <c r="B52" s="245" t="s">
        <v>741</v>
      </c>
      <c r="C52" s="245" t="s">
        <v>744</v>
      </c>
      <c r="D52" s="261">
        <v>233.7</v>
      </c>
      <c r="E52" s="261">
        <v>233.7</v>
      </c>
      <c r="F52" s="245" t="s">
        <v>757</v>
      </c>
      <c r="G52" s="245" t="s">
        <v>683</v>
      </c>
      <c r="H52" s="246" t="s">
        <v>710</v>
      </c>
      <c r="I52" s="242"/>
    </row>
    <row r="53" spans="1:9" ht="51">
      <c r="A53" s="253">
        <v>45140</v>
      </c>
      <c r="B53" s="245" t="s">
        <v>711</v>
      </c>
      <c r="C53" s="245" t="s">
        <v>758</v>
      </c>
      <c r="D53" s="261">
        <v>52</v>
      </c>
      <c r="E53" s="261">
        <v>52</v>
      </c>
      <c r="F53" s="245" t="s">
        <v>694</v>
      </c>
      <c r="G53" s="245" t="s">
        <v>683</v>
      </c>
      <c r="H53" s="246" t="s">
        <v>684</v>
      </c>
      <c r="I53" s="242"/>
    </row>
    <row r="54" spans="1:9" ht="51">
      <c r="A54" s="253">
        <v>45142</v>
      </c>
      <c r="B54" s="245" t="s">
        <v>711</v>
      </c>
      <c r="C54" s="245" t="s">
        <v>759</v>
      </c>
      <c r="D54" s="261">
        <v>2780</v>
      </c>
      <c r="E54" s="261">
        <v>2780</v>
      </c>
      <c r="F54" s="245" t="s">
        <v>694</v>
      </c>
      <c r="G54" s="245" t="s">
        <v>683</v>
      </c>
      <c r="H54" s="246" t="s">
        <v>707</v>
      </c>
      <c r="I54" s="242"/>
    </row>
    <row r="55" spans="1:9" ht="34">
      <c r="A55" s="262" t="s">
        <v>760</v>
      </c>
      <c r="B55" s="263"/>
      <c r="C55" s="263"/>
      <c r="D55" s="264">
        <f t="shared" ref="D55:E55" si="3">SUM(D52:D54)</f>
        <v>3065.7</v>
      </c>
      <c r="E55" s="264">
        <f t="shared" si="3"/>
        <v>3065.7</v>
      </c>
      <c r="F55" s="263"/>
      <c r="G55" s="263"/>
      <c r="H55" s="265"/>
      <c r="I55" s="242"/>
    </row>
    <row r="56" spans="1:9" ht="51">
      <c r="A56" s="249">
        <v>45131</v>
      </c>
      <c r="B56" s="250" t="s">
        <v>761</v>
      </c>
      <c r="C56" s="250" t="s">
        <v>762</v>
      </c>
      <c r="D56" s="260">
        <v>49.03</v>
      </c>
      <c r="E56" s="260">
        <v>49.03</v>
      </c>
      <c r="F56" s="250" t="s">
        <v>763</v>
      </c>
      <c r="G56" s="250" t="s">
        <v>683</v>
      </c>
      <c r="H56" s="252" t="s">
        <v>688</v>
      </c>
      <c r="I56" s="242"/>
    </row>
    <row r="57" spans="1:9" ht="51">
      <c r="A57" s="253">
        <v>45131</v>
      </c>
      <c r="B57" s="245" t="s">
        <v>761</v>
      </c>
      <c r="C57" s="245" t="s">
        <v>696</v>
      </c>
      <c r="D57" s="261">
        <v>276.64999999999998</v>
      </c>
      <c r="E57" s="261">
        <v>0</v>
      </c>
      <c r="F57" s="245" t="s">
        <v>763</v>
      </c>
      <c r="G57" s="245" t="s">
        <v>764</v>
      </c>
      <c r="H57" s="246" t="s">
        <v>688</v>
      </c>
      <c r="I57" s="242"/>
    </row>
    <row r="58" spans="1:9" ht="34">
      <c r="A58" s="253">
        <v>45133</v>
      </c>
      <c r="B58" s="245">
        <v>465183</v>
      </c>
      <c r="C58" s="245" t="s">
        <v>765</v>
      </c>
      <c r="D58" s="261">
        <v>320</v>
      </c>
      <c r="E58" s="261">
        <v>320</v>
      </c>
      <c r="F58" s="245" t="s">
        <v>747</v>
      </c>
      <c r="G58" s="245" t="s">
        <v>683</v>
      </c>
      <c r="H58" s="246" t="s">
        <v>707</v>
      </c>
      <c r="I58" s="242"/>
    </row>
    <row r="59" spans="1:9" ht="51">
      <c r="A59" s="253">
        <v>45136</v>
      </c>
      <c r="B59" s="245">
        <v>191274</v>
      </c>
      <c r="C59" s="245" t="s">
        <v>766</v>
      </c>
      <c r="D59" s="261">
        <v>453.8</v>
      </c>
      <c r="E59" s="261">
        <v>226.9</v>
      </c>
      <c r="F59" s="245" t="s">
        <v>697</v>
      </c>
      <c r="G59" s="245" t="s">
        <v>730</v>
      </c>
      <c r="H59" s="246" t="s">
        <v>710</v>
      </c>
      <c r="I59" s="242"/>
    </row>
    <row r="60" spans="1:9" ht="34">
      <c r="A60" s="266" t="s">
        <v>767</v>
      </c>
      <c r="B60" s="267"/>
      <c r="C60" s="267"/>
      <c r="D60" s="268">
        <f t="shared" ref="D60:E60" si="4">SUM(D56:D59)</f>
        <v>1099.48</v>
      </c>
      <c r="E60" s="268">
        <f t="shared" si="4"/>
        <v>595.92999999999995</v>
      </c>
      <c r="F60" s="267"/>
      <c r="G60" s="267"/>
      <c r="H60" s="269"/>
      <c r="I60" s="242"/>
    </row>
    <row r="61" spans="1:9" ht="34">
      <c r="A61" s="249">
        <v>45124</v>
      </c>
      <c r="B61" s="250">
        <v>465188</v>
      </c>
      <c r="C61" s="250" t="s">
        <v>768</v>
      </c>
      <c r="D61" s="260">
        <v>86.98</v>
      </c>
      <c r="E61" s="260">
        <v>86.98</v>
      </c>
      <c r="F61" s="250" t="s">
        <v>769</v>
      </c>
      <c r="G61" s="250" t="s">
        <v>683</v>
      </c>
      <c r="H61" s="252" t="s">
        <v>684</v>
      </c>
      <c r="I61" s="242"/>
    </row>
    <row r="62" spans="1:9" ht="34">
      <c r="A62" s="253">
        <v>45124</v>
      </c>
      <c r="B62" s="245" t="s">
        <v>727</v>
      </c>
      <c r="C62" s="245" t="s">
        <v>770</v>
      </c>
      <c r="D62" s="261">
        <v>146.04</v>
      </c>
      <c r="E62" s="261">
        <v>146.04</v>
      </c>
      <c r="F62" s="245" t="s">
        <v>769</v>
      </c>
      <c r="G62" s="245" t="s">
        <v>683</v>
      </c>
      <c r="H62" s="246" t="s">
        <v>684</v>
      </c>
      <c r="I62" s="242"/>
    </row>
    <row r="63" spans="1:9" ht="51">
      <c r="A63" s="253">
        <v>45129</v>
      </c>
      <c r="B63" s="245" t="s">
        <v>761</v>
      </c>
      <c r="C63" s="245" t="s">
        <v>696</v>
      </c>
      <c r="D63" s="261">
        <v>192.38</v>
      </c>
      <c r="E63" s="261">
        <v>192.38</v>
      </c>
      <c r="F63" s="245" t="s">
        <v>771</v>
      </c>
      <c r="G63" s="245" t="s">
        <v>683</v>
      </c>
      <c r="H63" s="246" t="s">
        <v>684</v>
      </c>
      <c r="I63" s="242"/>
    </row>
    <row r="64" spans="1:9" ht="51">
      <c r="A64" s="253">
        <v>45129</v>
      </c>
      <c r="B64" s="245">
        <v>191276</v>
      </c>
      <c r="C64" s="245" t="s">
        <v>772</v>
      </c>
      <c r="D64" s="261">
        <v>53.49</v>
      </c>
      <c r="E64" s="261">
        <v>53.49</v>
      </c>
      <c r="F64" s="245" t="s">
        <v>771</v>
      </c>
      <c r="G64" s="245" t="s">
        <v>683</v>
      </c>
      <c r="H64" s="246" t="s">
        <v>684</v>
      </c>
      <c r="I64" s="242"/>
    </row>
    <row r="65" spans="1:9" ht="51">
      <c r="A65" s="253">
        <v>45129</v>
      </c>
      <c r="B65" s="245" t="s">
        <v>761</v>
      </c>
      <c r="C65" s="245" t="s">
        <v>696</v>
      </c>
      <c r="D65" s="261">
        <v>272</v>
      </c>
      <c r="E65" s="261">
        <v>272</v>
      </c>
      <c r="F65" s="245" t="s">
        <v>771</v>
      </c>
      <c r="G65" s="245" t="s">
        <v>683</v>
      </c>
      <c r="H65" s="246" t="s">
        <v>684</v>
      </c>
      <c r="I65" s="242"/>
    </row>
    <row r="66" spans="1:9" ht="34">
      <c r="A66" s="253">
        <v>45124</v>
      </c>
      <c r="B66" s="245">
        <v>465182</v>
      </c>
      <c r="C66" s="245" t="s">
        <v>773</v>
      </c>
      <c r="D66" s="261">
        <v>36.65</v>
      </c>
      <c r="E66" s="261">
        <v>36.65</v>
      </c>
      <c r="F66" s="245" t="s">
        <v>692</v>
      </c>
      <c r="G66" s="245" t="s">
        <v>683</v>
      </c>
      <c r="H66" s="246" t="s">
        <v>688</v>
      </c>
      <c r="I66" s="242"/>
    </row>
    <row r="67" spans="1:9" ht="34">
      <c r="A67" s="253">
        <v>45127</v>
      </c>
      <c r="B67" s="245">
        <v>286698</v>
      </c>
      <c r="C67" s="245" t="s">
        <v>774</v>
      </c>
      <c r="D67" s="261">
        <v>560</v>
      </c>
      <c r="E67" s="261">
        <v>560</v>
      </c>
      <c r="F67" s="245" t="s">
        <v>747</v>
      </c>
      <c r="G67" s="245" t="s">
        <v>683</v>
      </c>
      <c r="H67" s="246" t="s">
        <v>707</v>
      </c>
      <c r="I67" s="242"/>
    </row>
    <row r="68" spans="1:9" ht="51">
      <c r="A68" s="253">
        <v>45127</v>
      </c>
      <c r="B68" s="245" t="s">
        <v>741</v>
      </c>
      <c r="C68" s="245" t="s">
        <v>696</v>
      </c>
      <c r="D68" s="261">
        <v>165</v>
      </c>
      <c r="E68" s="261">
        <v>165</v>
      </c>
      <c r="F68" s="245" t="s">
        <v>757</v>
      </c>
      <c r="G68" s="245" t="s">
        <v>683</v>
      </c>
      <c r="H68" s="246" t="s">
        <v>684</v>
      </c>
      <c r="I68" s="242"/>
    </row>
    <row r="69" spans="1:9" ht="34">
      <c r="A69" s="253">
        <v>45128</v>
      </c>
      <c r="B69" s="245" t="s">
        <v>775</v>
      </c>
      <c r="C69" s="245" t="s">
        <v>776</v>
      </c>
      <c r="D69" s="261">
        <v>68.900000000000006</v>
      </c>
      <c r="E69" s="261">
        <v>0</v>
      </c>
      <c r="F69" s="245" t="s">
        <v>777</v>
      </c>
      <c r="G69" s="245" t="s">
        <v>730</v>
      </c>
      <c r="H69" s="246" t="s">
        <v>688</v>
      </c>
      <c r="I69" s="242"/>
    </row>
    <row r="70" spans="1:9" ht="34">
      <c r="A70" s="253">
        <v>45128</v>
      </c>
      <c r="B70" s="245" t="s">
        <v>716</v>
      </c>
      <c r="C70" s="245" t="s">
        <v>778</v>
      </c>
      <c r="D70" s="261">
        <v>520</v>
      </c>
      <c r="E70" s="261">
        <v>520</v>
      </c>
      <c r="F70" s="245" t="s">
        <v>747</v>
      </c>
      <c r="G70" s="245" t="s">
        <v>683</v>
      </c>
      <c r="H70" s="246" t="s">
        <v>707</v>
      </c>
      <c r="I70" s="242"/>
    </row>
    <row r="71" spans="1:9" ht="34">
      <c r="A71" s="253">
        <v>45129</v>
      </c>
      <c r="B71" s="245">
        <v>465189</v>
      </c>
      <c r="C71" s="245" t="s">
        <v>765</v>
      </c>
      <c r="D71" s="261">
        <v>320</v>
      </c>
      <c r="E71" s="261">
        <v>0</v>
      </c>
      <c r="F71" s="245" t="s">
        <v>699</v>
      </c>
      <c r="G71" s="245" t="s">
        <v>730</v>
      </c>
      <c r="H71" s="246" t="s">
        <v>707</v>
      </c>
      <c r="I71" s="242"/>
    </row>
    <row r="72" spans="1:9" ht="34">
      <c r="A72" s="253">
        <v>45130</v>
      </c>
      <c r="B72" s="245">
        <v>191280</v>
      </c>
      <c r="C72" s="245" t="s">
        <v>779</v>
      </c>
      <c r="D72" s="261">
        <v>56.01</v>
      </c>
      <c r="E72" s="261">
        <v>56.01</v>
      </c>
      <c r="F72" s="245" t="s">
        <v>780</v>
      </c>
      <c r="G72" s="245" t="s">
        <v>683</v>
      </c>
      <c r="H72" s="246" t="s">
        <v>688</v>
      </c>
      <c r="I72" s="242"/>
    </row>
    <row r="73" spans="1:9" ht="34">
      <c r="A73" s="270">
        <v>45130</v>
      </c>
      <c r="B73" s="271">
        <v>465189</v>
      </c>
      <c r="C73" s="271" t="s">
        <v>781</v>
      </c>
      <c r="D73" s="272">
        <v>26.2</v>
      </c>
      <c r="E73" s="272">
        <v>26.2</v>
      </c>
      <c r="F73" s="271" t="s">
        <v>699</v>
      </c>
      <c r="G73" s="271" t="s">
        <v>683</v>
      </c>
      <c r="H73" s="273" t="s">
        <v>688</v>
      </c>
      <c r="I73" s="242"/>
    </row>
    <row r="74" spans="1:9" ht="34">
      <c r="A74" s="266" t="s">
        <v>782</v>
      </c>
      <c r="B74" s="267"/>
      <c r="C74" s="267"/>
      <c r="D74" s="268">
        <f t="shared" ref="D74:E74" si="5">SUM(D61:D73)</f>
        <v>2503.65</v>
      </c>
      <c r="E74" s="268">
        <f t="shared" si="5"/>
        <v>2114.75</v>
      </c>
      <c r="F74" s="267"/>
      <c r="G74" s="267"/>
      <c r="H74" s="269"/>
      <c r="I74" s="242"/>
    </row>
    <row r="75" spans="1:9" ht="34">
      <c r="A75" s="249">
        <v>45118</v>
      </c>
      <c r="B75" s="250">
        <v>191279</v>
      </c>
      <c r="C75" s="250" t="s">
        <v>783</v>
      </c>
      <c r="D75" s="260">
        <v>508.25</v>
      </c>
      <c r="E75" s="260">
        <v>508.25</v>
      </c>
      <c r="F75" s="250" t="s">
        <v>747</v>
      </c>
      <c r="G75" s="250" t="s">
        <v>683</v>
      </c>
      <c r="H75" s="252" t="s">
        <v>710</v>
      </c>
      <c r="I75" s="242"/>
    </row>
    <row r="76" spans="1:9" ht="34">
      <c r="A76" s="253">
        <v>45119</v>
      </c>
      <c r="B76" s="245">
        <v>191283</v>
      </c>
      <c r="C76" s="245" t="s">
        <v>784</v>
      </c>
      <c r="D76" s="261">
        <v>400</v>
      </c>
      <c r="E76" s="261">
        <v>400</v>
      </c>
      <c r="F76" s="245" t="s">
        <v>747</v>
      </c>
      <c r="G76" s="245" t="s">
        <v>683</v>
      </c>
      <c r="H76" s="246" t="s">
        <v>688</v>
      </c>
      <c r="I76" s="242"/>
    </row>
    <row r="77" spans="1:9" ht="34">
      <c r="A77" s="253">
        <v>45117</v>
      </c>
      <c r="B77" s="245" t="s">
        <v>785</v>
      </c>
      <c r="C77" s="245" t="s">
        <v>720</v>
      </c>
      <c r="D77" s="261">
        <v>130</v>
      </c>
      <c r="E77" s="261">
        <v>130</v>
      </c>
      <c r="F77" s="245" t="s">
        <v>699</v>
      </c>
      <c r="G77" s="245" t="s">
        <v>683</v>
      </c>
      <c r="H77" s="246" t="s">
        <v>707</v>
      </c>
      <c r="I77" s="242"/>
    </row>
    <row r="78" spans="1:9" ht="34">
      <c r="A78" s="253">
        <v>45120</v>
      </c>
      <c r="B78" s="245">
        <v>191277</v>
      </c>
      <c r="C78" s="245" t="s">
        <v>786</v>
      </c>
      <c r="D78" s="261">
        <v>40.64</v>
      </c>
      <c r="E78" s="261">
        <v>40.64</v>
      </c>
      <c r="F78" s="245" t="s">
        <v>777</v>
      </c>
      <c r="G78" s="245" t="s">
        <v>683</v>
      </c>
      <c r="H78" s="246" t="s">
        <v>688</v>
      </c>
      <c r="I78" s="242"/>
    </row>
    <row r="79" spans="1:9" ht="34">
      <c r="A79" s="253">
        <v>45120</v>
      </c>
      <c r="B79" s="245">
        <v>191277</v>
      </c>
      <c r="C79" s="245" t="s">
        <v>786</v>
      </c>
      <c r="D79" s="261">
        <v>32.090000000000003</v>
      </c>
      <c r="E79" s="261">
        <v>32.090000000000003</v>
      </c>
      <c r="F79" s="245" t="s">
        <v>777</v>
      </c>
      <c r="G79" s="245" t="s">
        <v>683</v>
      </c>
      <c r="H79" s="246" t="s">
        <v>688</v>
      </c>
      <c r="I79" s="242"/>
    </row>
    <row r="80" spans="1:9" ht="34">
      <c r="A80" s="253">
        <v>45120</v>
      </c>
      <c r="B80" s="245">
        <v>213465</v>
      </c>
      <c r="C80" s="245" t="s">
        <v>787</v>
      </c>
      <c r="D80" s="261">
        <v>787.5</v>
      </c>
      <c r="E80" s="261">
        <v>0</v>
      </c>
      <c r="F80" s="245" t="s">
        <v>690</v>
      </c>
      <c r="G80" s="245" t="s">
        <v>730</v>
      </c>
      <c r="H80" s="246" t="s">
        <v>688</v>
      </c>
      <c r="I80" s="242"/>
    </row>
    <row r="81" spans="1:9" ht="51">
      <c r="A81" s="253">
        <v>45122</v>
      </c>
      <c r="B81" s="245">
        <v>191281</v>
      </c>
      <c r="C81" s="245" t="s">
        <v>788</v>
      </c>
      <c r="D81" s="261">
        <v>35.6</v>
      </c>
      <c r="E81" s="261">
        <v>35.6</v>
      </c>
      <c r="F81" s="245" t="s">
        <v>732</v>
      </c>
      <c r="G81" s="245" t="s">
        <v>683</v>
      </c>
      <c r="H81" s="246" t="s">
        <v>688</v>
      </c>
      <c r="I81" s="242"/>
    </row>
    <row r="82" spans="1:9" ht="34">
      <c r="A82" s="262" t="s">
        <v>789</v>
      </c>
      <c r="B82" s="263"/>
      <c r="C82" s="263"/>
      <c r="D82" s="264">
        <f t="shared" ref="D82:E82" si="6">SUM(D75:D81)</f>
        <v>1934.08</v>
      </c>
      <c r="E82" s="264">
        <f t="shared" si="6"/>
        <v>1146.58</v>
      </c>
      <c r="F82" s="263"/>
      <c r="G82" s="263"/>
      <c r="H82" s="265"/>
      <c r="I82" s="242"/>
    </row>
    <row r="83" spans="1:9" ht="34">
      <c r="A83" s="249">
        <v>45112</v>
      </c>
      <c r="B83" s="250">
        <v>465189</v>
      </c>
      <c r="C83" s="250" t="s">
        <v>790</v>
      </c>
      <c r="D83" s="260">
        <v>4.99</v>
      </c>
      <c r="E83" s="260">
        <v>4.99</v>
      </c>
      <c r="F83" s="250" t="s">
        <v>682</v>
      </c>
      <c r="G83" s="250" t="s">
        <v>683</v>
      </c>
      <c r="H83" s="252" t="s">
        <v>684</v>
      </c>
      <c r="I83" s="242"/>
    </row>
    <row r="84" spans="1:9" ht="51">
      <c r="A84" s="253">
        <v>45116</v>
      </c>
      <c r="B84" s="245">
        <v>465189</v>
      </c>
      <c r="C84" s="245" t="s">
        <v>791</v>
      </c>
      <c r="D84" s="261">
        <v>5.43</v>
      </c>
      <c r="E84" s="261">
        <v>5.43</v>
      </c>
      <c r="F84" s="245" t="s">
        <v>732</v>
      </c>
      <c r="G84" s="245" t="s">
        <v>683</v>
      </c>
      <c r="H84" s="246" t="s">
        <v>684</v>
      </c>
      <c r="I84" s="242"/>
    </row>
    <row r="85" spans="1:9" ht="34">
      <c r="A85" s="253">
        <v>45113</v>
      </c>
      <c r="B85" s="245">
        <v>465189</v>
      </c>
      <c r="C85" s="245" t="s">
        <v>792</v>
      </c>
      <c r="D85" s="261">
        <v>100</v>
      </c>
      <c r="E85" s="261">
        <v>0</v>
      </c>
      <c r="F85" s="245" t="s">
        <v>699</v>
      </c>
      <c r="G85" s="245" t="s">
        <v>730</v>
      </c>
      <c r="H85" s="246" t="s">
        <v>688</v>
      </c>
      <c r="I85" s="242"/>
    </row>
    <row r="86" spans="1:9" ht="34">
      <c r="A86" s="253">
        <v>45114</v>
      </c>
      <c r="B86" s="245">
        <v>465182</v>
      </c>
      <c r="C86" s="245" t="s">
        <v>793</v>
      </c>
      <c r="D86" s="261">
        <v>57.89</v>
      </c>
      <c r="E86" s="261">
        <v>57.89</v>
      </c>
      <c r="F86" s="245" t="s">
        <v>692</v>
      </c>
      <c r="G86" s="245" t="s">
        <v>683</v>
      </c>
      <c r="H86" s="246" t="s">
        <v>688</v>
      </c>
      <c r="I86" s="242"/>
    </row>
    <row r="87" spans="1:9" ht="34">
      <c r="A87" s="253">
        <v>45114</v>
      </c>
      <c r="B87" s="245">
        <v>465189</v>
      </c>
      <c r="C87" s="245" t="s">
        <v>786</v>
      </c>
      <c r="D87" s="261">
        <v>72.739999999999995</v>
      </c>
      <c r="E87" s="261">
        <v>72.739999999999995</v>
      </c>
      <c r="F87" s="245" t="s">
        <v>699</v>
      </c>
      <c r="G87" s="245" t="s">
        <v>683</v>
      </c>
      <c r="H87" s="246" t="s">
        <v>688</v>
      </c>
      <c r="I87" s="242"/>
    </row>
    <row r="88" spans="1:9" ht="34">
      <c r="A88" s="253">
        <v>45114</v>
      </c>
      <c r="B88" s="245" t="s">
        <v>727</v>
      </c>
      <c r="C88" s="245" t="s">
        <v>794</v>
      </c>
      <c r="D88" s="261">
        <v>621.72</v>
      </c>
      <c r="E88" s="261">
        <v>621.72</v>
      </c>
      <c r="F88" s="245" t="s">
        <v>769</v>
      </c>
      <c r="G88" s="245" t="s">
        <v>683</v>
      </c>
      <c r="H88" s="246" t="s">
        <v>688</v>
      </c>
      <c r="I88" s="242"/>
    </row>
    <row r="89" spans="1:9" ht="34">
      <c r="A89" s="253">
        <v>45115</v>
      </c>
      <c r="B89" s="245">
        <v>465189</v>
      </c>
      <c r="C89" s="245" t="s">
        <v>795</v>
      </c>
      <c r="D89" s="261">
        <v>60.01</v>
      </c>
      <c r="E89" s="261">
        <v>60.01</v>
      </c>
      <c r="F89" s="245" t="s">
        <v>699</v>
      </c>
      <c r="G89" s="245" t="s">
        <v>683</v>
      </c>
      <c r="H89" s="246" t="s">
        <v>688</v>
      </c>
      <c r="I89" s="242"/>
    </row>
    <row r="90" spans="1:9" ht="34">
      <c r="A90" s="253">
        <v>45116</v>
      </c>
      <c r="B90" s="245" t="s">
        <v>727</v>
      </c>
      <c r="C90" s="245" t="s">
        <v>794</v>
      </c>
      <c r="D90" s="261">
        <v>271.3</v>
      </c>
      <c r="E90" s="261">
        <v>271.3</v>
      </c>
      <c r="F90" s="245" t="s">
        <v>769</v>
      </c>
      <c r="G90" s="245" t="s">
        <v>683</v>
      </c>
      <c r="H90" s="246" t="s">
        <v>688</v>
      </c>
      <c r="I90" s="242"/>
    </row>
    <row r="91" spans="1:9" ht="34">
      <c r="A91" s="262" t="s">
        <v>796</v>
      </c>
      <c r="B91" s="263"/>
      <c r="C91" s="263"/>
      <c r="D91" s="264">
        <f t="shared" ref="D91:E91" si="7">SUM(D83:D90)</f>
        <v>1194.08</v>
      </c>
      <c r="E91" s="264">
        <f t="shared" si="7"/>
        <v>1094.08</v>
      </c>
      <c r="F91" s="263"/>
      <c r="G91" s="263"/>
      <c r="H91" s="265"/>
      <c r="I91" s="242"/>
    </row>
    <row r="92" spans="1:9" ht="34">
      <c r="A92" s="249">
        <v>45103</v>
      </c>
      <c r="B92" s="250">
        <v>465182</v>
      </c>
      <c r="C92" s="250" t="s">
        <v>793</v>
      </c>
      <c r="D92" s="260">
        <v>56.84</v>
      </c>
      <c r="E92" s="260">
        <v>56.84</v>
      </c>
      <c r="F92" s="250" t="s">
        <v>692</v>
      </c>
      <c r="G92" s="250" t="s">
        <v>683</v>
      </c>
      <c r="H92" s="252" t="s">
        <v>797</v>
      </c>
      <c r="I92" s="242"/>
    </row>
    <row r="93" spans="1:9" ht="51">
      <c r="A93" s="253">
        <v>45105</v>
      </c>
      <c r="B93" s="245" t="s">
        <v>711</v>
      </c>
      <c r="C93" s="245" t="s">
        <v>686</v>
      </c>
      <c r="D93" s="261">
        <v>315</v>
      </c>
      <c r="E93" s="261">
        <v>0</v>
      </c>
      <c r="F93" s="245" t="s">
        <v>694</v>
      </c>
      <c r="G93" s="245" t="s">
        <v>730</v>
      </c>
      <c r="H93" s="246" t="s">
        <v>797</v>
      </c>
      <c r="I93" s="242"/>
    </row>
    <row r="94" spans="1:9" ht="51">
      <c r="A94" s="253">
        <v>44984</v>
      </c>
      <c r="B94" s="245" t="s">
        <v>714</v>
      </c>
      <c r="C94" s="245" t="s">
        <v>798</v>
      </c>
      <c r="D94" s="261">
        <v>1280</v>
      </c>
      <c r="E94" s="261">
        <v>1280</v>
      </c>
      <c r="F94" s="245" t="s">
        <v>682</v>
      </c>
      <c r="G94" s="245" t="s">
        <v>683</v>
      </c>
      <c r="H94" s="246" t="s">
        <v>707</v>
      </c>
      <c r="I94" s="242"/>
    </row>
    <row r="95" spans="1:9" ht="34">
      <c r="A95" s="253">
        <v>45105</v>
      </c>
      <c r="B95" s="245" t="s">
        <v>745</v>
      </c>
      <c r="C95" s="245" t="s">
        <v>686</v>
      </c>
      <c r="D95" s="261">
        <v>180</v>
      </c>
      <c r="E95" s="261">
        <v>180</v>
      </c>
      <c r="F95" s="245" t="s">
        <v>692</v>
      </c>
      <c r="G95" s="245" t="s">
        <v>683</v>
      </c>
      <c r="H95" s="246" t="s">
        <v>707</v>
      </c>
      <c r="I95" s="242"/>
    </row>
    <row r="96" spans="1:9" ht="34">
      <c r="A96" s="253">
        <v>45105</v>
      </c>
      <c r="B96" s="245">
        <v>286698</v>
      </c>
      <c r="C96" s="245" t="s">
        <v>799</v>
      </c>
      <c r="D96" s="261">
        <v>680</v>
      </c>
      <c r="E96" s="261">
        <v>680</v>
      </c>
      <c r="F96" s="245" t="s">
        <v>747</v>
      </c>
      <c r="G96" s="245" t="s">
        <v>683</v>
      </c>
      <c r="H96" s="246" t="s">
        <v>707</v>
      </c>
      <c r="I96" s="242"/>
    </row>
    <row r="97" spans="1:9" ht="34">
      <c r="A97" s="253">
        <v>45108</v>
      </c>
      <c r="B97" s="245">
        <v>465182</v>
      </c>
      <c r="C97" s="245" t="s">
        <v>793</v>
      </c>
      <c r="D97" s="261">
        <v>55.62</v>
      </c>
      <c r="E97" s="261">
        <v>55.62</v>
      </c>
      <c r="F97" s="245" t="s">
        <v>692</v>
      </c>
      <c r="G97" s="245" t="s">
        <v>683</v>
      </c>
      <c r="H97" s="246" t="s">
        <v>797</v>
      </c>
      <c r="I97" s="242"/>
    </row>
    <row r="98" spans="1:9" ht="34">
      <c r="A98" s="262" t="s">
        <v>800</v>
      </c>
      <c r="B98" s="263"/>
      <c r="C98" s="263"/>
      <c r="D98" s="264">
        <f t="shared" ref="D98:E98" si="8">SUM(D92:D97)</f>
        <v>2567.46</v>
      </c>
      <c r="E98" s="264">
        <f t="shared" si="8"/>
        <v>2252.46</v>
      </c>
      <c r="F98" s="263"/>
      <c r="G98" s="263"/>
      <c r="H98" s="265"/>
      <c r="I98" s="242"/>
    </row>
    <row r="99" spans="1:9" ht="34">
      <c r="A99" s="249">
        <v>45096</v>
      </c>
      <c r="B99" s="250" t="s">
        <v>801</v>
      </c>
      <c r="C99" s="250" t="s">
        <v>802</v>
      </c>
      <c r="D99" s="260">
        <v>490</v>
      </c>
      <c r="E99" s="260">
        <v>490</v>
      </c>
      <c r="F99" s="250" t="s">
        <v>747</v>
      </c>
      <c r="G99" s="250" t="s">
        <v>683</v>
      </c>
      <c r="H99" s="252" t="s">
        <v>707</v>
      </c>
      <c r="I99" s="242"/>
    </row>
    <row r="100" spans="1:9" ht="34">
      <c r="A100" s="253">
        <v>45097</v>
      </c>
      <c r="B100" s="245">
        <v>191279</v>
      </c>
      <c r="C100" s="245" t="s">
        <v>803</v>
      </c>
      <c r="D100" s="261">
        <v>100</v>
      </c>
      <c r="E100" s="261">
        <v>0</v>
      </c>
      <c r="F100" s="245" t="s">
        <v>804</v>
      </c>
      <c r="G100" s="245" t="s">
        <v>730</v>
      </c>
      <c r="H100" s="246" t="s">
        <v>797</v>
      </c>
      <c r="I100" s="242"/>
    </row>
    <row r="101" spans="1:9" ht="51">
      <c r="A101" s="253">
        <v>45097</v>
      </c>
      <c r="B101" s="245" t="s">
        <v>761</v>
      </c>
      <c r="C101" s="245" t="s">
        <v>805</v>
      </c>
      <c r="D101" s="261">
        <v>1550</v>
      </c>
      <c r="E101" s="261">
        <v>1550</v>
      </c>
      <c r="F101" s="245" t="s">
        <v>747</v>
      </c>
      <c r="G101" s="245" t="s">
        <v>683</v>
      </c>
      <c r="H101" s="246" t="s">
        <v>707</v>
      </c>
      <c r="I101" s="242"/>
    </row>
    <row r="102" spans="1:9" ht="34">
      <c r="A102" s="253">
        <v>45098</v>
      </c>
      <c r="B102" s="245">
        <v>465187</v>
      </c>
      <c r="C102" s="245" t="s">
        <v>806</v>
      </c>
      <c r="D102" s="261">
        <v>369.84</v>
      </c>
      <c r="E102" s="261">
        <v>0</v>
      </c>
      <c r="F102" s="245" t="s">
        <v>750</v>
      </c>
      <c r="G102" s="245" t="s">
        <v>730</v>
      </c>
      <c r="H102" s="246" t="s">
        <v>797</v>
      </c>
      <c r="I102" s="242"/>
    </row>
    <row r="103" spans="1:9" ht="68">
      <c r="A103" s="253">
        <v>45099</v>
      </c>
      <c r="B103" s="245" t="s">
        <v>727</v>
      </c>
      <c r="C103" s="245" t="s">
        <v>807</v>
      </c>
      <c r="D103" s="261">
        <v>1720</v>
      </c>
      <c r="E103" s="261">
        <v>1720</v>
      </c>
      <c r="F103" s="245" t="s">
        <v>739</v>
      </c>
      <c r="G103" s="245" t="s">
        <v>683</v>
      </c>
      <c r="H103" s="246" t="s">
        <v>707</v>
      </c>
      <c r="I103" s="242"/>
    </row>
    <row r="104" spans="1:9" ht="34">
      <c r="A104" s="262" t="s">
        <v>808</v>
      </c>
      <c r="B104" s="263"/>
      <c r="C104" s="263"/>
      <c r="D104" s="264">
        <f t="shared" ref="D104:E104" si="9">SUM(D99:D103)</f>
        <v>4229.84</v>
      </c>
      <c r="E104" s="264">
        <f t="shared" si="9"/>
        <v>3760</v>
      </c>
      <c r="F104" s="263"/>
      <c r="G104" s="263"/>
      <c r="H104" s="265"/>
      <c r="I104" s="242"/>
    </row>
    <row r="105" spans="1:9" ht="34">
      <c r="A105" s="253">
        <v>45089</v>
      </c>
      <c r="B105" s="245">
        <v>465184</v>
      </c>
      <c r="C105" s="245" t="s">
        <v>686</v>
      </c>
      <c r="D105" s="261">
        <v>200.32</v>
      </c>
      <c r="E105" s="261">
        <v>0</v>
      </c>
      <c r="F105" s="245" t="s">
        <v>809</v>
      </c>
      <c r="G105" s="245" t="s">
        <v>730</v>
      </c>
      <c r="H105" s="246" t="s">
        <v>710</v>
      </c>
      <c r="I105" s="242"/>
    </row>
    <row r="106" spans="1:9" ht="34">
      <c r="A106" s="253">
        <v>45090</v>
      </c>
      <c r="B106" s="245">
        <v>465182</v>
      </c>
      <c r="C106" s="245" t="s">
        <v>765</v>
      </c>
      <c r="D106" s="261">
        <v>320</v>
      </c>
      <c r="E106" s="261">
        <v>0</v>
      </c>
      <c r="F106" s="245" t="s">
        <v>810</v>
      </c>
      <c r="G106" s="245" t="s">
        <v>730</v>
      </c>
      <c r="H106" s="246" t="s">
        <v>707</v>
      </c>
      <c r="I106" s="242"/>
    </row>
    <row r="107" spans="1:9" ht="34">
      <c r="A107" s="253">
        <v>45091</v>
      </c>
      <c r="B107" s="245" t="s">
        <v>811</v>
      </c>
      <c r="C107" s="245" t="s">
        <v>812</v>
      </c>
      <c r="D107" s="261">
        <v>320</v>
      </c>
      <c r="E107" s="261">
        <v>320</v>
      </c>
      <c r="F107" s="245" t="s">
        <v>747</v>
      </c>
      <c r="G107" s="245" t="s">
        <v>683</v>
      </c>
      <c r="H107" s="246" t="s">
        <v>707</v>
      </c>
      <c r="I107" s="242"/>
    </row>
    <row r="108" spans="1:9" ht="34">
      <c r="A108" s="253">
        <v>45091</v>
      </c>
      <c r="B108" s="245">
        <v>465184</v>
      </c>
      <c r="C108" s="245" t="s">
        <v>686</v>
      </c>
      <c r="D108" s="261">
        <v>30</v>
      </c>
      <c r="E108" s="261">
        <v>0</v>
      </c>
      <c r="F108" s="245" t="s">
        <v>809</v>
      </c>
      <c r="G108" s="245" t="s">
        <v>730</v>
      </c>
      <c r="H108" s="246" t="s">
        <v>707</v>
      </c>
      <c r="I108" s="242"/>
    </row>
    <row r="109" spans="1:9" ht="34">
      <c r="A109" s="253">
        <v>45092</v>
      </c>
      <c r="B109" s="245">
        <v>191280</v>
      </c>
      <c r="C109" s="245" t="s">
        <v>813</v>
      </c>
      <c r="D109" s="261">
        <v>66.84</v>
      </c>
      <c r="E109" s="261">
        <v>66.84</v>
      </c>
      <c r="F109" s="245" t="s">
        <v>814</v>
      </c>
      <c r="G109" s="245" t="s">
        <v>683</v>
      </c>
      <c r="H109" s="246" t="s">
        <v>688</v>
      </c>
      <c r="I109" s="242"/>
    </row>
    <row r="110" spans="1:9" ht="34">
      <c r="A110" s="253">
        <v>45092</v>
      </c>
      <c r="B110" s="245" t="s">
        <v>745</v>
      </c>
      <c r="C110" s="245" t="s">
        <v>815</v>
      </c>
      <c r="D110" s="261">
        <v>1570</v>
      </c>
      <c r="E110" s="261">
        <v>1570</v>
      </c>
      <c r="F110" s="245" t="s">
        <v>747</v>
      </c>
      <c r="G110" s="245" t="s">
        <v>683</v>
      </c>
      <c r="H110" s="246" t="s">
        <v>707</v>
      </c>
      <c r="I110" s="242"/>
    </row>
    <row r="111" spans="1:9" ht="34">
      <c r="A111" s="253">
        <v>45092</v>
      </c>
      <c r="B111" s="245">
        <v>191277</v>
      </c>
      <c r="C111" s="245" t="s">
        <v>758</v>
      </c>
      <c r="D111" s="261">
        <v>91.3</v>
      </c>
      <c r="E111" s="261">
        <v>91.3</v>
      </c>
      <c r="F111" s="245" t="s">
        <v>816</v>
      </c>
      <c r="G111" s="245" t="s">
        <v>683</v>
      </c>
      <c r="H111" s="246" t="s">
        <v>797</v>
      </c>
      <c r="I111" s="242"/>
    </row>
    <row r="112" spans="1:9" ht="34">
      <c r="A112" s="253">
        <v>45093</v>
      </c>
      <c r="B112" s="245">
        <v>465181</v>
      </c>
      <c r="C112" s="245" t="s">
        <v>817</v>
      </c>
      <c r="D112" s="261">
        <v>67.64</v>
      </c>
      <c r="E112" s="261">
        <v>67.64</v>
      </c>
      <c r="F112" s="245" t="s">
        <v>818</v>
      </c>
      <c r="G112" s="245" t="s">
        <v>683</v>
      </c>
      <c r="H112" s="246" t="s">
        <v>797</v>
      </c>
      <c r="I112" s="242"/>
    </row>
    <row r="113" spans="1:9" ht="34">
      <c r="A113" s="253">
        <v>45093</v>
      </c>
      <c r="B113" s="245" t="s">
        <v>711</v>
      </c>
      <c r="C113" s="245" t="s">
        <v>819</v>
      </c>
      <c r="D113" s="261">
        <v>5.66</v>
      </c>
      <c r="E113" s="261">
        <v>5.66</v>
      </c>
      <c r="F113" s="245" t="s">
        <v>818</v>
      </c>
      <c r="G113" s="245" t="s">
        <v>683</v>
      </c>
      <c r="H113" s="246" t="s">
        <v>684</v>
      </c>
      <c r="I113" s="242"/>
    </row>
    <row r="114" spans="1:9" ht="34">
      <c r="A114" s="253">
        <v>45093</v>
      </c>
      <c r="B114" s="245">
        <v>465186</v>
      </c>
      <c r="C114" s="245" t="s">
        <v>793</v>
      </c>
      <c r="D114" s="261">
        <v>56.84</v>
      </c>
      <c r="E114" s="261">
        <v>56.84</v>
      </c>
      <c r="F114" s="245" t="s">
        <v>820</v>
      </c>
      <c r="G114" s="245" t="s">
        <v>683</v>
      </c>
      <c r="H114" s="246" t="s">
        <v>797</v>
      </c>
      <c r="I114" s="242"/>
    </row>
    <row r="115" spans="1:9" ht="34">
      <c r="A115" s="253">
        <v>45094</v>
      </c>
      <c r="B115" s="245">
        <v>465186</v>
      </c>
      <c r="C115" s="245" t="s">
        <v>793</v>
      </c>
      <c r="D115" s="261">
        <v>53.98</v>
      </c>
      <c r="E115" s="261">
        <v>53.98</v>
      </c>
      <c r="F115" s="245" t="s">
        <v>820</v>
      </c>
      <c r="G115" s="245" t="s">
        <v>683</v>
      </c>
      <c r="H115" s="246" t="s">
        <v>797</v>
      </c>
      <c r="I115" s="242"/>
    </row>
    <row r="116" spans="1:9" ht="34">
      <c r="A116" s="253">
        <v>45095</v>
      </c>
      <c r="B116" s="245">
        <v>465187</v>
      </c>
      <c r="C116" s="245" t="s">
        <v>758</v>
      </c>
      <c r="D116" s="261">
        <v>152.82</v>
      </c>
      <c r="E116" s="261">
        <v>152.82</v>
      </c>
      <c r="F116" s="245" t="s">
        <v>821</v>
      </c>
      <c r="G116" s="245" t="s">
        <v>683</v>
      </c>
      <c r="H116" s="246" t="s">
        <v>684</v>
      </c>
      <c r="I116" s="242"/>
    </row>
    <row r="117" spans="1:9" ht="34">
      <c r="A117" s="262" t="s">
        <v>822</v>
      </c>
      <c r="B117" s="263"/>
      <c r="C117" s="263"/>
      <c r="D117" s="264">
        <f t="shared" ref="D117:E117" si="10">SUM(D105:D116)</f>
        <v>2935.4</v>
      </c>
      <c r="E117" s="264">
        <f t="shared" si="10"/>
        <v>2385.0800000000004</v>
      </c>
      <c r="F117" s="263"/>
      <c r="G117" s="263"/>
      <c r="H117" s="265"/>
      <c r="I117" s="242"/>
    </row>
    <row r="118" spans="1:9" ht="34">
      <c r="A118" s="249">
        <v>45082</v>
      </c>
      <c r="B118" s="250">
        <v>286698</v>
      </c>
      <c r="C118" s="250" t="s">
        <v>823</v>
      </c>
      <c r="D118" s="260">
        <v>43.86</v>
      </c>
      <c r="E118" s="260">
        <v>43.86</v>
      </c>
      <c r="F118" s="250" t="s">
        <v>820</v>
      </c>
      <c r="G118" s="250" t="s">
        <v>683</v>
      </c>
      <c r="H118" s="252" t="s">
        <v>797</v>
      </c>
      <c r="I118" s="242"/>
    </row>
    <row r="119" spans="1:9" ht="34">
      <c r="A119" s="253">
        <v>45082</v>
      </c>
      <c r="B119" s="245">
        <v>465184</v>
      </c>
      <c r="C119" s="245" t="s">
        <v>765</v>
      </c>
      <c r="D119" s="261">
        <v>320</v>
      </c>
      <c r="E119" s="261">
        <v>0</v>
      </c>
      <c r="F119" s="245" t="s">
        <v>809</v>
      </c>
      <c r="G119" s="245" t="s">
        <v>730</v>
      </c>
      <c r="H119" s="246" t="s">
        <v>707</v>
      </c>
      <c r="I119" s="242"/>
    </row>
    <row r="120" spans="1:9" ht="34">
      <c r="A120" s="253">
        <v>45083</v>
      </c>
      <c r="B120" s="245" t="s">
        <v>811</v>
      </c>
      <c r="C120" s="245" t="s">
        <v>824</v>
      </c>
      <c r="D120" s="261">
        <v>600</v>
      </c>
      <c r="E120" s="261">
        <v>600</v>
      </c>
      <c r="F120" s="245" t="s">
        <v>747</v>
      </c>
      <c r="G120" s="245" t="s">
        <v>683</v>
      </c>
      <c r="H120" s="246" t="s">
        <v>707</v>
      </c>
      <c r="I120" s="242"/>
    </row>
    <row r="121" spans="1:9" ht="34">
      <c r="A121" s="253">
        <v>45083</v>
      </c>
      <c r="B121" s="245" t="s">
        <v>743</v>
      </c>
      <c r="C121" s="245" t="s">
        <v>825</v>
      </c>
      <c r="D121" s="261">
        <v>420</v>
      </c>
      <c r="E121" s="261">
        <v>60</v>
      </c>
      <c r="F121" s="245" t="s">
        <v>826</v>
      </c>
      <c r="G121" s="245" t="s">
        <v>730</v>
      </c>
      <c r="H121" s="246" t="s">
        <v>707</v>
      </c>
      <c r="I121" s="242"/>
    </row>
    <row r="122" spans="1:9" ht="34">
      <c r="A122" s="253">
        <v>45083</v>
      </c>
      <c r="B122" s="245">
        <v>465183</v>
      </c>
      <c r="C122" s="245" t="s">
        <v>827</v>
      </c>
      <c r="D122" s="261">
        <v>-28.3</v>
      </c>
      <c r="E122" s="261">
        <v>-28.3</v>
      </c>
      <c r="F122" s="245" t="s">
        <v>826</v>
      </c>
      <c r="G122" s="245" t="s">
        <v>730</v>
      </c>
      <c r="H122" s="246" t="s">
        <v>710</v>
      </c>
      <c r="I122" s="242"/>
    </row>
    <row r="123" spans="1:9" ht="34">
      <c r="A123" s="253">
        <v>45083</v>
      </c>
      <c r="B123" s="245">
        <v>465183</v>
      </c>
      <c r="C123" s="245" t="s">
        <v>828</v>
      </c>
      <c r="D123" s="261">
        <v>1225.07</v>
      </c>
      <c r="E123" s="261">
        <v>28.3</v>
      </c>
      <c r="F123" s="245" t="s">
        <v>826</v>
      </c>
      <c r="G123" s="245" t="s">
        <v>730</v>
      </c>
      <c r="H123" s="246" t="s">
        <v>710</v>
      </c>
      <c r="I123" s="242"/>
    </row>
    <row r="124" spans="1:9" ht="34">
      <c r="A124" s="253">
        <v>45084</v>
      </c>
      <c r="B124" s="245">
        <v>465184</v>
      </c>
      <c r="C124" s="245" t="s">
        <v>828</v>
      </c>
      <c r="D124" s="261">
        <v>52.43</v>
      </c>
      <c r="E124" s="261">
        <v>0</v>
      </c>
      <c r="F124" s="245" t="s">
        <v>809</v>
      </c>
      <c r="G124" s="245" t="s">
        <v>730</v>
      </c>
      <c r="H124" s="246" t="s">
        <v>710</v>
      </c>
      <c r="I124" s="242"/>
    </row>
    <row r="125" spans="1:9" ht="34">
      <c r="A125" s="253">
        <v>45084</v>
      </c>
      <c r="B125" s="245">
        <v>465180</v>
      </c>
      <c r="C125" s="245" t="s">
        <v>828</v>
      </c>
      <c r="D125" s="261">
        <v>403.1</v>
      </c>
      <c r="E125" s="261">
        <v>0</v>
      </c>
      <c r="F125" s="245" t="s">
        <v>829</v>
      </c>
      <c r="G125" s="245" t="s">
        <v>730</v>
      </c>
      <c r="H125" s="246" t="s">
        <v>710</v>
      </c>
      <c r="I125" s="242"/>
    </row>
    <row r="126" spans="1:9" ht="34">
      <c r="A126" s="253">
        <v>45084</v>
      </c>
      <c r="B126" s="245">
        <v>465181</v>
      </c>
      <c r="C126" s="245" t="s">
        <v>828</v>
      </c>
      <c r="D126" s="261">
        <v>35.36</v>
      </c>
      <c r="E126" s="261">
        <v>0</v>
      </c>
      <c r="F126" s="245" t="s">
        <v>830</v>
      </c>
      <c r="G126" s="245" t="s">
        <v>730</v>
      </c>
      <c r="H126" s="246" t="s">
        <v>710</v>
      </c>
      <c r="I126" s="242"/>
    </row>
    <row r="127" spans="1:9" ht="34">
      <c r="A127" s="253">
        <v>45084</v>
      </c>
      <c r="B127" s="245">
        <v>465183</v>
      </c>
      <c r="C127" s="245" t="s">
        <v>828</v>
      </c>
      <c r="D127" s="261">
        <v>297.75</v>
      </c>
      <c r="E127" s="261">
        <v>0</v>
      </c>
      <c r="F127" s="245" t="s">
        <v>826</v>
      </c>
      <c r="G127" s="245" t="s">
        <v>730</v>
      </c>
      <c r="H127" s="246" t="s">
        <v>710</v>
      </c>
      <c r="I127" s="242"/>
    </row>
    <row r="128" spans="1:9" ht="34">
      <c r="A128" s="253">
        <v>45085</v>
      </c>
      <c r="B128" s="245">
        <v>465183</v>
      </c>
      <c r="C128" s="245" t="s">
        <v>828</v>
      </c>
      <c r="D128" s="261">
        <v>37.14</v>
      </c>
      <c r="E128" s="261">
        <v>0</v>
      </c>
      <c r="F128" s="245" t="s">
        <v>826</v>
      </c>
      <c r="G128" s="245" t="s">
        <v>730</v>
      </c>
      <c r="H128" s="246" t="s">
        <v>710</v>
      </c>
      <c r="I128" s="242"/>
    </row>
    <row r="129" spans="1:9" ht="34">
      <c r="A129" s="262" t="s">
        <v>831</v>
      </c>
      <c r="B129" s="263"/>
      <c r="C129" s="263"/>
      <c r="D129" s="264">
        <f t="shared" ref="D129:E129" si="11">SUM(D118:D128)</f>
        <v>3406.41</v>
      </c>
      <c r="E129" s="264">
        <f t="shared" si="11"/>
        <v>703.86</v>
      </c>
      <c r="F129" s="263"/>
      <c r="G129" s="263"/>
      <c r="H129" s="265"/>
      <c r="I129" s="242"/>
    </row>
    <row r="130" spans="1:9" ht="34">
      <c r="A130" s="249">
        <v>45075</v>
      </c>
      <c r="B130" s="250">
        <v>465189</v>
      </c>
      <c r="C130" s="250" t="s">
        <v>832</v>
      </c>
      <c r="D130" s="260">
        <v>4.2699999999999996</v>
      </c>
      <c r="E130" s="260">
        <v>4.2699999999999996</v>
      </c>
      <c r="F130" s="250" t="s">
        <v>833</v>
      </c>
      <c r="G130" s="250" t="s">
        <v>683</v>
      </c>
      <c r="H130" s="252" t="s">
        <v>797</v>
      </c>
      <c r="I130" s="242"/>
    </row>
    <row r="131" spans="1:9" ht="34">
      <c r="A131" s="253">
        <v>45076</v>
      </c>
      <c r="B131" s="245">
        <v>191277</v>
      </c>
      <c r="C131" s="245" t="s">
        <v>834</v>
      </c>
      <c r="D131" s="261">
        <v>45.02</v>
      </c>
      <c r="E131" s="261">
        <v>45.02</v>
      </c>
      <c r="F131" s="245" t="s">
        <v>816</v>
      </c>
      <c r="G131" s="245" t="s">
        <v>683</v>
      </c>
      <c r="H131" s="246" t="s">
        <v>797</v>
      </c>
      <c r="I131" s="242"/>
    </row>
    <row r="132" spans="1:9" ht="34">
      <c r="A132" s="253">
        <v>45078</v>
      </c>
      <c r="B132" s="245">
        <v>465182</v>
      </c>
      <c r="C132" s="245" t="s">
        <v>696</v>
      </c>
      <c r="D132" s="261">
        <v>386.23</v>
      </c>
      <c r="E132" s="261">
        <v>0</v>
      </c>
      <c r="F132" s="245" t="s">
        <v>810</v>
      </c>
      <c r="G132" s="245" t="s">
        <v>730</v>
      </c>
      <c r="H132" s="246" t="s">
        <v>797</v>
      </c>
      <c r="I132" s="242"/>
    </row>
    <row r="133" spans="1:9" ht="34">
      <c r="A133" s="253">
        <v>45079</v>
      </c>
      <c r="B133" s="245">
        <v>191277</v>
      </c>
      <c r="C133" s="245" t="s">
        <v>817</v>
      </c>
      <c r="D133" s="261">
        <v>54.11</v>
      </c>
      <c r="E133" s="261">
        <v>0</v>
      </c>
      <c r="F133" s="245" t="s">
        <v>816</v>
      </c>
      <c r="G133" s="245" t="s">
        <v>835</v>
      </c>
      <c r="H133" s="246" t="s">
        <v>797</v>
      </c>
      <c r="I133" s="242"/>
    </row>
    <row r="134" spans="1:9" ht="34">
      <c r="A134" s="262" t="s">
        <v>836</v>
      </c>
      <c r="B134" s="263"/>
      <c r="C134" s="263"/>
      <c r="D134" s="264">
        <f t="shared" ref="D134:E134" si="12">SUM(D130:D133)</f>
        <v>489.63000000000005</v>
      </c>
      <c r="E134" s="264">
        <f t="shared" si="12"/>
        <v>49.290000000000006</v>
      </c>
      <c r="F134" s="263"/>
      <c r="G134" s="263"/>
      <c r="H134" s="265"/>
      <c r="I134" s="242"/>
    </row>
    <row r="135" spans="1:9" ht="34">
      <c r="A135" s="249">
        <v>45068</v>
      </c>
      <c r="B135" s="250" t="s">
        <v>711</v>
      </c>
      <c r="C135" s="250" t="s">
        <v>696</v>
      </c>
      <c r="D135" s="260">
        <v>200</v>
      </c>
      <c r="E135" s="260">
        <v>200</v>
      </c>
      <c r="F135" s="250" t="s">
        <v>837</v>
      </c>
      <c r="G135" s="250" t="s">
        <v>683</v>
      </c>
      <c r="H135" s="252" t="s">
        <v>797</v>
      </c>
      <c r="I135" s="242"/>
    </row>
    <row r="136" spans="1:9" ht="68">
      <c r="A136" s="253">
        <v>45070</v>
      </c>
      <c r="B136" s="245" t="s">
        <v>731</v>
      </c>
      <c r="C136" s="245" t="s">
        <v>838</v>
      </c>
      <c r="D136" s="261">
        <v>1280</v>
      </c>
      <c r="E136" s="261">
        <v>80</v>
      </c>
      <c r="F136" s="245" t="s">
        <v>839</v>
      </c>
      <c r="G136" s="245" t="s">
        <v>840</v>
      </c>
      <c r="H136" s="246" t="s">
        <v>707</v>
      </c>
      <c r="I136" s="242"/>
    </row>
    <row r="137" spans="1:9" ht="51">
      <c r="A137" s="253">
        <v>45071</v>
      </c>
      <c r="B137" s="245" t="s">
        <v>743</v>
      </c>
      <c r="C137" s="245" t="s">
        <v>841</v>
      </c>
      <c r="D137" s="261">
        <v>2218.75</v>
      </c>
      <c r="E137" s="261">
        <v>0</v>
      </c>
      <c r="F137" s="245" t="s">
        <v>826</v>
      </c>
      <c r="G137" s="245" t="s">
        <v>730</v>
      </c>
      <c r="H137" s="246" t="s">
        <v>797</v>
      </c>
      <c r="I137" s="242"/>
    </row>
    <row r="138" spans="1:9" ht="34">
      <c r="A138" s="253">
        <v>45072</v>
      </c>
      <c r="B138" s="245">
        <v>465186</v>
      </c>
      <c r="C138" s="245" t="s">
        <v>842</v>
      </c>
      <c r="D138" s="261">
        <v>66.31</v>
      </c>
      <c r="E138" s="261">
        <v>66.31</v>
      </c>
      <c r="F138" s="245" t="s">
        <v>820</v>
      </c>
      <c r="G138" s="245" t="s">
        <v>683</v>
      </c>
      <c r="H138" s="246" t="s">
        <v>797</v>
      </c>
      <c r="I138" s="242"/>
    </row>
    <row r="139" spans="1:9" ht="34">
      <c r="A139" s="253">
        <v>45072</v>
      </c>
      <c r="B139" s="245" t="s">
        <v>743</v>
      </c>
      <c r="C139" s="245" t="s">
        <v>696</v>
      </c>
      <c r="D139" s="261">
        <v>146</v>
      </c>
      <c r="E139" s="261">
        <v>0</v>
      </c>
      <c r="F139" s="245" t="s">
        <v>826</v>
      </c>
      <c r="G139" s="245" t="s">
        <v>730</v>
      </c>
      <c r="H139" s="246" t="s">
        <v>797</v>
      </c>
      <c r="I139" s="242"/>
    </row>
    <row r="140" spans="1:9" ht="34">
      <c r="A140" s="253">
        <v>45072</v>
      </c>
      <c r="B140" s="245">
        <v>465182</v>
      </c>
      <c r="C140" s="245" t="s">
        <v>843</v>
      </c>
      <c r="D140" s="261">
        <v>52.5</v>
      </c>
      <c r="E140" s="261">
        <v>52.5</v>
      </c>
      <c r="F140" s="245" t="s">
        <v>810</v>
      </c>
      <c r="G140" s="245" t="s">
        <v>683</v>
      </c>
      <c r="H140" s="246" t="s">
        <v>797</v>
      </c>
      <c r="I140" s="242"/>
    </row>
    <row r="141" spans="1:9" ht="34">
      <c r="A141" s="253">
        <v>45073</v>
      </c>
      <c r="B141" s="245">
        <v>191280</v>
      </c>
      <c r="C141" s="245" t="s">
        <v>793</v>
      </c>
      <c r="D141" s="261">
        <v>36.36</v>
      </c>
      <c r="E141" s="261">
        <v>36.36</v>
      </c>
      <c r="F141" s="245" t="s">
        <v>814</v>
      </c>
      <c r="G141" s="245" t="s">
        <v>683</v>
      </c>
      <c r="H141" s="246" t="s">
        <v>797</v>
      </c>
      <c r="I141" s="242"/>
    </row>
    <row r="142" spans="1:9" ht="34">
      <c r="A142" s="262" t="s">
        <v>844</v>
      </c>
      <c r="B142" s="263"/>
      <c r="C142" s="263"/>
      <c r="D142" s="264">
        <f t="shared" ref="D142:E142" si="13">SUM(D135:D141)</f>
        <v>3999.92</v>
      </c>
      <c r="E142" s="264">
        <f t="shared" si="13"/>
        <v>435.17</v>
      </c>
      <c r="F142" s="263"/>
      <c r="G142" s="263"/>
      <c r="H142" s="265"/>
      <c r="I142" s="242"/>
    </row>
    <row r="143" spans="1:9" ht="16">
      <c r="A143" s="245"/>
      <c r="B143" s="245"/>
      <c r="C143" s="245"/>
      <c r="D143" s="261"/>
      <c r="E143" s="261"/>
      <c r="F143" s="245"/>
      <c r="G143" s="245"/>
      <c r="H143" s="245"/>
      <c r="I143" s="242"/>
    </row>
    <row r="144" spans="1:9" ht="16">
      <c r="A144" s="245"/>
      <c r="B144" s="245"/>
      <c r="C144" s="245"/>
      <c r="D144" s="261"/>
      <c r="E144" s="261"/>
      <c r="F144" s="245"/>
      <c r="G144" s="245"/>
      <c r="H144" s="245"/>
      <c r="I144" s="242"/>
    </row>
    <row r="145" spans="1:9" ht="16">
      <c r="A145" s="245"/>
      <c r="B145" s="245"/>
      <c r="C145" s="245"/>
      <c r="D145" s="261"/>
      <c r="E145" s="261"/>
      <c r="F145" s="245"/>
      <c r="G145" s="245"/>
      <c r="H145" s="245"/>
      <c r="I145" s="242"/>
    </row>
    <row r="146" spans="1:9" ht="16">
      <c r="A146" s="245"/>
      <c r="B146" s="245"/>
      <c r="C146" s="245"/>
      <c r="D146" s="261"/>
      <c r="E146" s="261"/>
      <c r="F146" s="245"/>
      <c r="G146" s="245"/>
      <c r="H146" s="245"/>
      <c r="I146" s="242"/>
    </row>
    <row r="147" spans="1:9" ht="16">
      <c r="A147" s="245"/>
      <c r="B147" s="245"/>
      <c r="C147" s="245"/>
      <c r="D147" s="261"/>
      <c r="E147" s="261"/>
      <c r="F147" s="245"/>
      <c r="G147" s="245"/>
      <c r="H147" s="245"/>
      <c r="I147" s="242"/>
    </row>
    <row r="148" spans="1:9" ht="16">
      <c r="A148" s="245"/>
      <c r="B148" s="245"/>
      <c r="C148" s="245"/>
      <c r="D148" s="261"/>
      <c r="E148" s="261"/>
      <c r="F148" s="245"/>
      <c r="G148" s="245"/>
      <c r="H148" s="245"/>
      <c r="I148" s="242"/>
    </row>
    <row r="149" spans="1:9" ht="16">
      <c r="A149" s="245"/>
      <c r="B149" s="245"/>
      <c r="C149" s="245"/>
      <c r="D149" s="261"/>
      <c r="E149" s="261"/>
      <c r="F149" s="245"/>
      <c r="G149" s="245"/>
      <c r="H149" s="245"/>
      <c r="I149" s="242"/>
    </row>
    <row r="150" spans="1:9" ht="16">
      <c r="A150" s="245"/>
      <c r="B150" s="245"/>
      <c r="C150" s="245"/>
      <c r="D150" s="261"/>
      <c r="E150" s="261"/>
      <c r="F150" s="245"/>
      <c r="G150" s="245"/>
      <c r="H150" s="245"/>
      <c r="I150" s="242"/>
    </row>
    <row r="151" spans="1:9" ht="16">
      <c r="A151" s="245"/>
      <c r="B151" s="245"/>
      <c r="C151" s="245"/>
      <c r="D151" s="261"/>
      <c r="E151" s="261"/>
      <c r="F151" s="245"/>
      <c r="G151" s="245"/>
      <c r="H151" s="245"/>
      <c r="I151" s="242"/>
    </row>
    <row r="152" spans="1:9" ht="16">
      <c r="A152" s="245"/>
      <c r="B152" s="245"/>
      <c r="C152" s="245"/>
      <c r="D152" s="261"/>
      <c r="E152" s="261"/>
      <c r="F152" s="245"/>
      <c r="G152" s="245"/>
      <c r="H152" s="245"/>
      <c r="I152" s="242"/>
    </row>
    <row r="153" spans="1:9" ht="16">
      <c r="A153" s="245"/>
      <c r="B153" s="245"/>
      <c r="C153" s="245"/>
      <c r="D153" s="261"/>
      <c r="E153" s="261"/>
      <c r="F153" s="245"/>
      <c r="G153" s="245"/>
      <c r="H153" s="245"/>
      <c r="I153" s="242"/>
    </row>
    <row r="154" spans="1:9" ht="16">
      <c r="A154" s="245"/>
      <c r="B154" s="245"/>
      <c r="C154" s="245"/>
      <c r="D154" s="261"/>
      <c r="E154" s="261"/>
      <c r="F154" s="245"/>
      <c r="G154" s="245"/>
      <c r="H154" s="245"/>
      <c r="I154" s="242"/>
    </row>
    <row r="155" spans="1:9" ht="16">
      <c r="A155" s="245"/>
      <c r="B155" s="245"/>
      <c r="C155" s="245"/>
      <c r="D155" s="261"/>
      <c r="E155" s="261"/>
      <c r="F155" s="245"/>
      <c r="G155" s="245"/>
      <c r="H155" s="245"/>
      <c r="I155" s="242"/>
    </row>
    <row r="156" spans="1:9" ht="16">
      <c r="A156" s="245"/>
      <c r="B156" s="245"/>
      <c r="C156" s="245"/>
      <c r="D156" s="261"/>
      <c r="E156" s="261"/>
      <c r="F156" s="245"/>
      <c r="G156" s="245"/>
      <c r="H156" s="245"/>
      <c r="I156" s="242"/>
    </row>
    <row r="157" spans="1:9" ht="16">
      <c r="A157" s="245"/>
      <c r="B157" s="245"/>
      <c r="C157" s="245"/>
      <c r="D157" s="261"/>
      <c r="E157" s="261"/>
      <c r="F157" s="245"/>
      <c r="G157" s="245"/>
      <c r="H157" s="245"/>
      <c r="I157" s="242"/>
    </row>
    <row r="158" spans="1:9" ht="16">
      <c r="A158" s="245"/>
      <c r="B158" s="245"/>
      <c r="C158" s="245"/>
      <c r="D158" s="261"/>
      <c r="E158" s="261"/>
      <c r="F158" s="245"/>
      <c r="G158" s="245"/>
      <c r="H158" s="245"/>
      <c r="I158" s="242"/>
    </row>
    <row r="159" spans="1:9" ht="16">
      <c r="A159" s="245"/>
      <c r="B159" s="245"/>
      <c r="C159" s="245"/>
      <c r="D159" s="261"/>
      <c r="E159" s="261"/>
      <c r="F159" s="245"/>
      <c r="G159" s="245"/>
      <c r="H159" s="245"/>
      <c r="I159" s="242"/>
    </row>
    <row r="160" spans="1:9" ht="16">
      <c r="A160" s="245"/>
      <c r="B160" s="245"/>
      <c r="C160" s="245"/>
      <c r="D160" s="261"/>
      <c r="E160" s="261"/>
      <c r="F160" s="245"/>
      <c r="G160" s="245"/>
      <c r="H160" s="245"/>
      <c r="I160" s="242"/>
    </row>
    <row r="161" spans="1:9" ht="16">
      <c r="A161" s="245"/>
      <c r="B161" s="245"/>
      <c r="C161" s="245"/>
      <c r="D161" s="261"/>
      <c r="E161" s="261"/>
      <c r="F161" s="245"/>
      <c r="G161" s="245"/>
      <c r="H161" s="245"/>
      <c r="I161" s="242"/>
    </row>
    <row r="162" spans="1:9" ht="16">
      <c r="A162" s="245"/>
      <c r="B162" s="245"/>
      <c r="C162" s="245"/>
      <c r="D162" s="261"/>
      <c r="E162" s="261"/>
      <c r="F162" s="245"/>
      <c r="G162" s="245"/>
      <c r="H162" s="245"/>
      <c r="I162" s="242"/>
    </row>
    <row r="163" spans="1:9" ht="16">
      <c r="A163" s="245"/>
      <c r="B163" s="245"/>
      <c r="C163" s="245"/>
      <c r="D163" s="261"/>
      <c r="E163" s="261"/>
      <c r="F163" s="245"/>
      <c r="G163" s="245"/>
      <c r="H163" s="245"/>
      <c r="I163" s="242"/>
    </row>
    <row r="164" spans="1:9" ht="16">
      <c r="A164" s="245"/>
      <c r="B164" s="245"/>
      <c r="C164" s="245"/>
      <c r="D164" s="261"/>
      <c r="E164" s="261"/>
      <c r="F164" s="245"/>
      <c r="G164" s="245"/>
      <c r="H164" s="245"/>
      <c r="I164" s="242"/>
    </row>
    <row r="165" spans="1:9" ht="16">
      <c r="A165" s="245"/>
      <c r="B165" s="245"/>
      <c r="C165" s="245"/>
      <c r="D165" s="261"/>
      <c r="E165" s="261"/>
      <c r="F165" s="245"/>
      <c r="G165" s="245"/>
      <c r="H165" s="245"/>
      <c r="I165" s="242"/>
    </row>
    <row r="166" spans="1:9" ht="16">
      <c r="A166" s="274"/>
      <c r="B166" s="274"/>
      <c r="C166" s="274"/>
      <c r="D166" s="275"/>
      <c r="E166" s="275"/>
      <c r="F166" s="274"/>
      <c r="G166" s="274"/>
      <c r="H166" s="274"/>
      <c r="I166" s="242"/>
    </row>
    <row r="167" spans="1:9" ht="16">
      <c r="A167" s="274"/>
      <c r="B167" s="274"/>
      <c r="C167" s="274"/>
      <c r="D167" s="275"/>
      <c r="E167" s="275"/>
      <c r="F167" s="274"/>
      <c r="G167" s="274"/>
      <c r="H167" s="274"/>
      <c r="I167" s="242"/>
    </row>
    <row r="168" spans="1:9" ht="16">
      <c r="A168" s="274"/>
      <c r="B168" s="274"/>
      <c r="C168" s="274"/>
      <c r="D168" s="275"/>
      <c r="E168" s="275"/>
      <c r="F168" s="274"/>
      <c r="G168" s="274"/>
      <c r="H168" s="274"/>
      <c r="I168" s="242"/>
    </row>
    <row r="169" spans="1:9" ht="16">
      <c r="A169" s="274"/>
      <c r="B169" s="274"/>
      <c r="C169" s="274"/>
      <c r="D169" s="275"/>
      <c r="E169" s="275"/>
      <c r="F169" s="274"/>
      <c r="G169" s="274"/>
      <c r="H169" s="274"/>
      <c r="I169" s="242"/>
    </row>
    <row r="170" spans="1:9" ht="16">
      <c r="A170" s="274"/>
      <c r="B170" s="274"/>
      <c r="C170" s="274"/>
      <c r="D170" s="275"/>
      <c r="E170" s="275"/>
      <c r="F170" s="274"/>
      <c r="G170" s="274"/>
      <c r="H170" s="274"/>
      <c r="I170" s="242"/>
    </row>
    <row r="171" spans="1:9" ht="16">
      <c r="A171" s="274"/>
      <c r="B171" s="274"/>
      <c r="C171" s="274"/>
      <c r="D171" s="275"/>
      <c r="E171" s="275"/>
      <c r="F171" s="274"/>
      <c r="G171" s="274"/>
      <c r="H171" s="274"/>
      <c r="I171" s="242"/>
    </row>
    <row r="172" spans="1:9" ht="16">
      <c r="A172" s="274"/>
      <c r="B172" s="274"/>
      <c r="C172" s="274"/>
      <c r="D172" s="275"/>
      <c r="E172" s="275"/>
      <c r="F172" s="274"/>
      <c r="G172" s="274"/>
      <c r="H172" s="274"/>
      <c r="I172" s="242"/>
    </row>
    <row r="173" spans="1:9" ht="16">
      <c r="A173" s="274"/>
      <c r="B173" s="274"/>
      <c r="C173" s="274"/>
      <c r="D173" s="275"/>
      <c r="E173" s="275"/>
      <c r="F173" s="274"/>
      <c r="G173" s="274"/>
      <c r="H173" s="274"/>
      <c r="I173" s="242"/>
    </row>
    <row r="174" spans="1:9" ht="16">
      <c r="A174" s="274"/>
      <c r="B174" s="274"/>
      <c r="C174" s="274"/>
      <c r="D174" s="275"/>
      <c r="E174" s="275"/>
      <c r="F174" s="274"/>
      <c r="G174" s="274"/>
      <c r="H174" s="274"/>
      <c r="I174" s="242"/>
    </row>
    <row r="175" spans="1:9" ht="16">
      <c r="A175" s="274"/>
      <c r="B175" s="274"/>
      <c r="C175" s="274"/>
      <c r="D175" s="275"/>
      <c r="E175" s="275"/>
      <c r="F175" s="274"/>
      <c r="G175" s="274"/>
      <c r="H175" s="274"/>
      <c r="I175" s="242"/>
    </row>
    <row r="176" spans="1:9" ht="16">
      <c r="A176" s="274"/>
      <c r="B176" s="274"/>
      <c r="C176" s="274"/>
      <c r="D176" s="275"/>
      <c r="E176" s="275"/>
      <c r="F176" s="274"/>
      <c r="G176" s="274"/>
      <c r="H176" s="274"/>
      <c r="I176" s="242"/>
    </row>
    <row r="177" spans="1:9" ht="16">
      <c r="A177" s="274"/>
      <c r="B177" s="274"/>
      <c r="C177" s="274"/>
      <c r="D177" s="275"/>
      <c r="E177" s="275"/>
      <c r="F177" s="274"/>
      <c r="G177" s="274"/>
      <c r="H177" s="274"/>
      <c r="I177" s="242"/>
    </row>
    <row r="178" spans="1:9" ht="16">
      <c r="A178" s="274"/>
      <c r="B178" s="274"/>
      <c r="C178" s="274"/>
      <c r="D178" s="275"/>
      <c r="E178" s="275"/>
      <c r="F178" s="274"/>
      <c r="G178" s="274"/>
      <c r="H178" s="274"/>
      <c r="I178" s="242"/>
    </row>
    <row r="179" spans="1:9" ht="16">
      <c r="A179" s="274"/>
      <c r="B179" s="274"/>
      <c r="C179" s="274"/>
      <c r="D179" s="275"/>
      <c r="E179" s="275"/>
      <c r="F179" s="274"/>
      <c r="G179" s="274"/>
      <c r="H179" s="274"/>
      <c r="I179" s="242"/>
    </row>
    <row r="180" spans="1:9" ht="16">
      <c r="A180" s="274"/>
      <c r="B180" s="274"/>
      <c r="C180" s="274"/>
      <c r="D180" s="275"/>
      <c r="E180" s="275"/>
      <c r="F180" s="274"/>
      <c r="G180" s="274"/>
      <c r="H180" s="274"/>
      <c r="I180" s="242"/>
    </row>
    <row r="181" spans="1:9" ht="16">
      <c r="A181" s="274"/>
      <c r="B181" s="274"/>
      <c r="C181" s="274"/>
      <c r="D181" s="275"/>
      <c r="E181" s="275"/>
      <c r="F181" s="274"/>
      <c r="G181" s="274"/>
      <c r="H181" s="274"/>
      <c r="I181" s="242"/>
    </row>
    <row r="182" spans="1:9" ht="16">
      <c r="A182" s="274"/>
      <c r="B182" s="274"/>
      <c r="C182" s="274"/>
      <c r="D182" s="275"/>
      <c r="E182" s="275"/>
      <c r="F182" s="274"/>
      <c r="G182" s="274"/>
      <c r="H182" s="274"/>
      <c r="I182" s="242"/>
    </row>
    <row r="183" spans="1:9" ht="16">
      <c r="A183" s="274"/>
      <c r="B183" s="274"/>
      <c r="C183" s="274"/>
      <c r="D183" s="275"/>
      <c r="E183" s="275"/>
      <c r="F183" s="274"/>
      <c r="G183" s="274"/>
      <c r="H183" s="274"/>
      <c r="I183" s="242"/>
    </row>
    <row r="184" spans="1:9" ht="16">
      <c r="A184" s="274"/>
      <c r="B184" s="274"/>
      <c r="C184" s="274"/>
      <c r="D184" s="275"/>
      <c r="E184" s="275"/>
      <c r="F184" s="274"/>
      <c r="G184" s="274"/>
      <c r="H184" s="274"/>
      <c r="I184" s="242"/>
    </row>
    <row r="185" spans="1:9" ht="16">
      <c r="A185" s="274"/>
      <c r="B185" s="274"/>
      <c r="C185" s="274"/>
      <c r="D185" s="275"/>
      <c r="E185" s="275"/>
      <c r="F185" s="274"/>
      <c r="G185" s="274"/>
      <c r="H185" s="274"/>
      <c r="I185" s="242"/>
    </row>
    <row r="186" spans="1:9" ht="16">
      <c r="A186" s="274"/>
      <c r="B186" s="274"/>
      <c r="C186" s="274"/>
      <c r="D186" s="275"/>
      <c r="E186" s="275"/>
      <c r="F186" s="274"/>
      <c r="G186" s="274"/>
      <c r="H186" s="274"/>
      <c r="I186" s="242"/>
    </row>
    <row r="187" spans="1:9" ht="16">
      <c r="A187" s="274"/>
      <c r="B187" s="274"/>
      <c r="C187" s="274"/>
      <c r="D187" s="275"/>
      <c r="E187" s="275"/>
      <c r="F187" s="274"/>
      <c r="G187" s="274"/>
      <c r="H187" s="274"/>
      <c r="I187" s="242"/>
    </row>
    <row r="188" spans="1:9" ht="16">
      <c r="A188" s="274"/>
      <c r="B188" s="274"/>
      <c r="C188" s="274"/>
      <c r="D188" s="275"/>
      <c r="E188" s="275"/>
      <c r="F188" s="274"/>
      <c r="G188" s="274"/>
      <c r="H188" s="274"/>
      <c r="I188" s="242"/>
    </row>
    <row r="189" spans="1:9" ht="16">
      <c r="A189" s="274"/>
      <c r="B189" s="274"/>
      <c r="C189" s="274"/>
      <c r="D189" s="275"/>
      <c r="E189" s="275"/>
      <c r="F189" s="274"/>
      <c r="G189" s="274"/>
      <c r="H189" s="274"/>
      <c r="I189" s="242"/>
    </row>
    <row r="190" spans="1:9" ht="16">
      <c r="A190" s="274"/>
      <c r="B190" s="274"/>
      <c r="C190" s="274"/>
      <c r="D190" s="275"/>
      <c r="E190" s="275"/>
      <c r="F190" s="274"/>
      <c r="G190" s="274"/>
      <c r="H190" s="274"/>
      <c r="I190" s="242"/>
    </row>
    <row r="191" spans="1:9" ht="16">
      <c r="A191" s="274"/>
      <c r="B191" s="274"/>
      <c r="C191" s="274"/>
      <c r="D191" s="275"/>
      <c r="E191" s="275"/>
      <c r="F191" s="274"/>
      <c r="G191" s="274"/>
      <c r="H191" s="274"/>
      <c r="I191" s="242"/>
    </row>
    <row r="192" spans="1:9" ht="16">
      <c r="A192" s="274"/>
      <c r="B192" s="274"/>
      <c r="C192" s="274"/>
      <c r="D192" s="275"/>
      <c r="E192" s="275"/>
      <c r="F192" s="274"/>
      <c r="G192" s="274"/>
      <c r="H192" s="274"/>
      <c r="I192" s="242"/>
    </row>
    <row r="193" spans="1:9" ht="16">
      <c r="A193" s="274"/>
      <c r="B193" s="274"/>
      <c r="C193" s="274"/>
      <c r="D193" s="275"/>
      <c r="E193" s="275"/>
      <c r="F193" s="274"/>
      <c r="G193" s="274"/>
      <c r="H193" s="274"/>
      <c r="I193" s="242"/>
    </row>
    <row r="194" spans="1:9" ht="16">
      <c r="A194" s="274"/>
      <c r="B194" s="274"/>
      <c r="C194" s="274"/>
      <c r="D194" s="275"/>
      <c r="E194" s="275"/>
      <c r="F194" s="274"/>
      <c r="G194" s="274"/>
      <c r="H194" s="274"/>
      <c r="I194" s="242"/>
    </row>
    <row r="195" spans="1:9" ht="16">
      <c r="A195" s="274"/>
      <c r="B195" s="274"/>
      <c r="C195" s="274"/>
      <c r="D195" s="275"/>
      <c r="E195" s="275"/>
      <c r="F195" s="274"/>
      <c r="G195" s="274"/>
      <c r="H195" s="274"/>
      <c r="I195" s="242"/>
    </row>
    <row r="196" spans="1:9" ht="16">
      <c r="A196" s="274"/>
      <c r="B196" s="274"/>
      <c r="C196" s="274"/>
      <c r="D196" s="275"/>
      <c r="E196" s="275"/>
      <c r="F196" s="274"/>
      <c r="G196" s="274"/>
      <c r="H196" s="274"/>
      <c r="I196" s="242"/>
    </row>
    <row r="197" spans="1:9" ht="16">
      <c r="A197" s="274"/>
      <c r="B197" s="274"/>
      <c r="C197" s="274"/>
      <c r="D197" s="275"/>
      <c r="E197" s="275"/>
      <c r="F197" s="274"/>
      <c r="G197" s="274"/>
      <c r="H197" s="274"/>
      <c r="I197" s="242"/>
    </row>
    <row r="198" spans="1:9" ht="16">
      <c r="A198" s="274"/>
      <c r="B198" s="274"/>
      <c r="C198" s="274"/>
      <c r="D198" s="275"/>
      <c r="E198" s="275"/>
      <c r="F198" s="274"/>
      <c r="G198" s="274"/>
      <c r="H198" s="274"/>
      <c r="I198" s="242"/>
    </row>
    <row r="199" spans="1:9" ht="16">
      <c r="A199" s="274"/>
      <c r="B199" s="274"/>
      <c r="C199" s="274"/>
      <c r="D199" s="275"/>
      <c r="E199" s="275"/>
      <c r="F199" s="274"/>
      <c r="G199" s="274"/>
      <c r="H199" s="274"/>
      <c r="I199" s="242"/>
    </row>
    <row r="200" spans="1:9" ht="16">
      <c r="A200" s="274"/>
      <c r="B200" s="274"/>
      <c r="C200" s="274"/>
      <c r="D200" s="275"/>
      <c r="E200" s="275"/>
      <c r="F200" s="274"/>
      <c r="G200" s="274"/>
      <c r="H200" s="274"/>
      <c r="I200" s="242"/>
    </row>
    <row r="201" spans="1:9" ht="16">
      <c r="A201" s="274"/>
      <c r="B201" s="274"/>
      <c r="C201" s="274"/>
      <c r="D201" s="275"/>
      <c r="E201" s="275"/>
      <c r="F201" s="274"/>
      <c r="G201" s="274"/>
      <c r="H201" s="274"/>
      <c r="I201" s="242"/>
    </row>
    <row r="202" spans="1:9" ht="16">
      <c r="A202" s="274"/>
      <c r="B202" s="274"/>
      <c r="C202" s="274"/>
      <c r="D202" s="275"/>
      <c r="E202" s="275"/>
      <c r="F202" s="274"/>
      <c r="G202" s="274"/>
      <c r="H202" s="274"/>
      <c r="I202" s="242"/>
    </row>
    <row r="203" spans="1:9" ht="16">
      <c r="A203" s="274"/>
      <c r="B203" s="274"/>
      <c r="C203" s="274"/>
      <c r="D203" s="275"/>
      <c r="E203" s="275"/>
      <c r="F203" s="274"/>
      <c r="G203" s="274"/>
      <c r="H203" s="274"/>
      <c r="I203" s="242"/>
    </row>
    <row r="204" spans="1:9" ht="16">
      <c r="A204" s="274"/>
      <c r="B204" s="274"/>
      <c r="C204" s="274"/>
      <c r="D204" s="275"/>
      <c r="E204" s="275"/>
      <c r="F204" s="274"/>
      <c r="G204" s="274"/>
      <c r="H204" s="274"/>
      <c r="I204" s="242"/>
    </row>
    <row r="205" spans="1:9" ht="16">
      <c r="A205" s="274"/>
      <c r="B205" s="274"/>
      <c r="C205" s="274"/>
      <c r="D205" s="275"/>
      <c r="E205" s="275"/>
      <c r="F205" s="274"/>
      <c r="G205" s="274"/>
      <c r="H205" s="274"/>
      <c r="I205" s="242"/>
    </row>
    <row r="206" spans="1:9" ht="16">
      <c r="A206" s="274"/>
      <c r="B206" s="274"/>
      <c r="C206" s="274"/>
      <c r="D206" s="275"/>
      <c r="E206" s="275"/>
      <c r="F206" s="274"/>
      <c r="G206" s="274"/>
      <c r="H206" s="274"/>
      <c r="I206" s="242"/>
    </row>
    <row r="207" spans="1:9" ht="16">
      <c r="A207" s="274"/>
      <c r="B207" s="274"/>
      <c r="C207" s="274"/>
      <c r="D207" s="275"/>
      <c r="E207" s="275"/>
      <c r="F207" s="274"/>
      <c r="G207" s="274"/>
      <c r="H207" s="274"/>
      <c r="I207" s="242"/>
    </row>
    <row r="208" spans="1:9" ht="16">
      <c r="A208" s="274"/>
      <c r="B208" s="274"/>
      <c r="C208" s="274"/>
      <c r="D208" s="275"/>
      <c r="E208" s="275"/>
      <c r="F208" s="274"/>
      <c r="G208" s="274"/>
      <c r="H208" s="274"/>
      <c r="I208" s="242"/>
    </row>
    <row r="209" spans="1:9" ht="16">
      <c r="A209" s="274"/>
      <c r="B209" s="274"/>
      <c r="C209" s="274"/>
      <c r="D209" s="275"/>
      <c r="E209" s="275"/>
      <c r="F209" s="274"/>
      <c r="G209" s="274"/>
      <c r="H209" s="274"/>
      <c r="I209" s="242"/>
    </row>
    <row r="210" spans="1:9" ht="16">
      <c r="A210" s="274"/>
      <c r="B210" s="274"/>
      <c r="C210" s="274"/>
      <c r="D210" s="275"/>
      <c r="E210" s="275"/>
      <c r="F210" s="274"/>
      <c r="G210" s="274"/>
      <c r="H210" s="274"/>
      <c r="I210" s="242"/>
    </row>
    <row r="211" spans="1:9" ht="16">
      <c r="A211" s="274"/>
      <c r="B211" s="274"/>
      <c r="C211" s="274"/>
      <c r="D211" s="275"/>
      <c r="E211" s="275"/>
      <c r="F211" s="274"/>
      <c r="G211" s="274"/>
      <c r="H211" s="274"/>
      <c r="I211" s="242"/>
    </row>
    <row r="212" spans="1:9" ht="16">
      <c r="A212" s="274"/>
      <c r="B212" s="274"/>
      <c r="C212" s="274"/>
      <c r="D212" s="275"/>
      <c r="E212" s="275"/>
      <c r="F212" s="274"/>
      <c r="G212" s="274"/>
      <c r="H212" s="274"/>
      <c r="I212" s="242"/>
    </row>
    <row r="213" spans="1:9" ht="16">
      <c r="A213" s="274"/>
      <c r="B213" s="274"/>
      <c r="C213" s="274"/>
      <c r="D213" s="275"/>
      <c r="E213" s="275"/>
      <c r="F213" s="274"/>
      <c r="G213" s="274"/>
      <c r="H213" s="274"/>
      <c r="I213" s="242"/>
    </row>
    <row r="214" spans="1:9" ht="16">
      <c r="A214" s="274"/>
      <c r="B214" s="274"/>
      <c r="C214" s="274"/>
      <c r="D214" s="275"/>
      <c r="E214" s="275"/>
      <c r="F214" s="274"/>
      <c r="G214" s="274"/>
      <c r="H214" s="274"/>
      <c r="I214" s="242"/>
    </row>
    <row r="215" spans="1:9" ht="16">
      <c r="A215" s="274"/>
      <c r="B215" s="274"/>
      <c r="C215" s="274"/>
      <c r="D215" s="275"/>
      <c r="E215" s="275"/>
      <c r="F215" s="274"/>
      <c r="G215" s="274"/>
      <c r="H215" s="274"/>
      <c r="I215" s="242"/>
    </row>
    <row r="216" spans="1:9" ht="16">
      <c r="A216" s="274"/>
      <c r="B216" s="274"/>
      <c r="C216" s="274"/>
      <c r="D216" s="275"/>
      <c r="E216" s="275"/>
      <c r="F216" s="274"/>
      <c r="G216" s="274"/>
      <c r="H216" s="274"/>
      <c r="I216" s="242"/>
    </row>
    <row r="217" spans="1:9" ht="16">
      <c r="A217" s="274"/>
      <c r="B217" s="274"/>
      <c r="C217" s="274"/>
      <c r="D217" s="275"/>
      <c r="E217" s="275"/>
      <c r="F217" s="274"/>
      <c r="G217" s="274"/>
      <c r="H217" s="274"/>
      <c r="I217" s="242"/>
    </row>
    <row r="218" spans="1:9" ht="16">
      <c r="A218" s="274"/>
      <c r="B218" s="274"/>
      <c r="C218" s="274"/>
      <c r="D218" s="275"/>
      <c r="E218" s="275"/>
      <c r="F218" s="274"/>
      <c r="G218" s="274"/>
      <c r="H218" s="274"/>
      <c r="I218" s="242"/>
    </row>
    <row r="219" spans="1:9" ht="16">
      <c r="A219" s="274"/>
      <c r="B219" s="274"/>
      <c r="C219" s="274"/>
      <c r="D219" s="275"/>
      <c r="E219" s="275"/>
      <c r="F219" s="274"/>
      <c r="G219" s="274"/>
      <c r="H219" s="274"/>
      <c r="I219" s="242"/>
    </row>
    <row r="220" spans="1:9" ht="16">
      <c r="A220" s="274"/>
      <c r="B220" s="274"/>
      <c r="C220" s="274"/>
      <c r="D220" s="275"/>
      <c r="E220" s="275"/>
      <c r="F220" s="274"/>
      <c r="G220" s="274"/>
      <c r="H220" s="274"/>
      <c r="I220" s="242"/>
    </row>
    <row r="221" spans="1:9" ht="16">
      <c r="A221" s="274"/>
      <c r="B221" s="274"/>
      <c r="C221" s="274"/>
      <c r="D221" s="275"/>
      <c r="E221" s="275"/>
      <c r="F221" s="274"/>
      <c r="G221" s="274"/>
      <c r="H221" s="274"/>
      <c r="I221" s="242"/>
    </row>
    <row r="222" spans="1:9" ht="16">
      <c r="A222" s="274"/>
      <c r="B222" s="274"/>
      <c r="C222" s="274"/>
      <c r="D222" s="275"/>
      <c r="E222" s="275"/>
      <c r="F222" s="274"/>
      <c r="G222" s="274"/>
      <c r="H222" s="274"/>
      <c r="I222" s="242"/>
    </row>
    <row r="223" spans="1:9" ht="16">
      <c r="A223" s="274"/>
      <c r="B223" s="274"/>
      <c r="C223" s="274"/>
      <c r="D223" s="275"/>
      <c r="E223" s="275"/>
      <c r="F223" s="274"/>
      <c r="G223" s="274"/>
      <c r="H223" s="274"/>
      <c r="I223" s="242"/>
    </row>
    <row r="224" spans="1:9" ht="16">
      <c r="A224" s="274"/>
      <c r="B224" s="274"/>
      <c r="C224" s="274"/>
      <c r="D224" s="275"/>
      <c r="E224" s="275"/>
      <c r="F224" s="274"/>
      <c r="G224" s="274"/>
      <c r="H224" s="274"/>
      <c r="I224" s="242"/>
    </row>
    <row r="225" spans="1:9" ht="16">
      <c r="A225" s="274"/>
      <c r="B225" s="274"/>
      <c r="C225" s="274"/>
      <c r="D225" s="275"/>
      <c r="E225" s="275"/>
      <c r="F225" s="274"/>
      <c r="G225" s="274"/>
      <c r="H225" s="274"/>
      <c r="I225" s="242"/>
    </row>
    <row r="226" spans="1:9" ht="16">
      <c r="A226" s="274"/>
      <c r="B226" s="274"/>
      <c r="C226" s="274"/>
      <c r="D226" s="275"/>
      <c r="E226" s="275"/>
      <c r="F226" s="274"/>
      <c r="G226" s="274"/>
      <c r="H226" s="274"/>
      <c r="I226" s="242"/>
    </row>
    <row r="227" spans="1:9" ht="16">
      <c r="A227" s="274"/>
      <c r="B227" s="274"/>
      <c r="C227" s="274"/>
      <c r="D227" s="275"/>
      <c r="E227" s="275"/>
      <c r="F227" s="274"/>
      <c r="G227" s="274"/>
      <c r="H227" s="274"/>
      <c r="I227" s="242"/>
    </row>
    <row r="228" spans="1:9" ht="16">
      <c r="A228" s="274"/>
      <c r="B228" s="274"/>
      <c r="C228" s="274"/>
      <c r="D228" s="275"/>
      <c r="E228" s="275"/>
      <c r="F228" s="274"/>
      <c r="G228" s="274"/>
      <c r="H228" s="274"/>
      <c r="I228" s="242"/>
    </row>
    <row r="229" spans="1:9" ht="16">
      <c r="A229" s="274"/>
      <c r="B229" s="274"/>
      <c r="C229" s="274"/>
      <c r="D229" s="275"/>
      <c r="E229" s="275"/>
      <c r="F229" s="274"/>
      <c r="G229" s="274"/>
      <c r="H229" s="274"/>
      <c r="I229" s="242"/>
    </row>
    <row r="230" spans="1:9" ht="16">
      <c r="A230" s="274"/>
      <c r="B230" s="274"/>
      <c r="C230" s="274"/>
      <c r="D230" s="275"/>
      <c r="E230" s="275"/>
      <c r="F230" s="274"/>
      <c r="G230" s="274"/>
      <c r="H230" s="274"/>
      <c r="I230" s="242"/>
    </row>
    <row r="231" spans="1:9" ht="16">
      <c r="A231" s="274"/>
      <c r="B231" s="274"/>
      <c r="C231" s="274"/>
      <c r="D231" s="275"/>
      <c r="E231" s="275"/>
      <c r="F231" s="274"/>
      <c r="G231" s="274"/>
      <c r="H231" s="274"/>
      <c r="I231" s="242"/>
    </row>
    <row r="232" spans="1:9" ht="16">
      <c r="A232" s="274"/>
      <c r="B232" s="274"/>
      <c r="C232" s="274"/>
      <c r="D232" s="275"/>
      <c r="E232" s="275"/>
      <c r="F232" s="274"/>
      <c r="G232" s="274"/>
      <c r="H232" s="274"/>
      <c r="I232" s="242"/>
    </row>
    <row r="233" spans="1:9" ht="16">
      <c r="A233" s="274"/>
      <c r="B233" s="274"/>
      <c r="C233" s="274"/>
      <c r="D233" s="275"/>
      <c r="E233" s="275"/>
      <c r="F233" s="274"/>
      <c r="G233" s="274"/>
      <c r="H233" s="274"/>
      <c r="I233" s="242"/>
    </row>
    <row r="234" spans="1:9" ht="16">
      <c r="A234" s="274"/>
      <c r="B234" s="274"/>
      <c r="C234" s="274"/>
      <c r="D234" s="275"/>
      <c r="E234" s="275"/>
      <c r="F234" s="274"/>
      <c r="G234" s="274"/>
      <c r="H234" s="274"/>
      <c r="I234" s="242"/>
    </row>
    <row r="235" spans="1:9" ht="16">
      <c r="A235" s="274"/>
      <c r="B235" s="274"/>
      <c r="C235" s="274"/>
      <c r="D235" s="275"/>
      <c r="E235" s="275"/>
      <c r="F235" s="274"/>
      <c r="G235" s="274"/>
      <c r="H235" s="274"/>
      <c r="I235" s="242"/>
    </row>
    <row r="236" spans="1:9" ht="16">
      <c r="A236" s="274"/>
      <c r="B236" s="274"/>
      <c r="C236" s="274"/>
      <c r="D236" s="275"/>
      <c r="E236" s="275"/>
      <c r="F236" s="274"/>
      <c r="G236" s="274"/>
      <c r="H236" s="274"/>
      <c r="I236" s="242"/>
    </row>
    <row r="237" spans="1:9" ht="16">
      <c r="A237" s="274"/>
      <c r="B237" s="274"/>
      <c r="C237" s="274"/>
      <c r="D237" s="275"/>
      <c r="E237" s="275"/>
      <c r="F237" s="274"/>
      <c r="G237" s="274"/>
      <c r="H237" s="274"/>
      <c r="I237" s="242"/>
    </row>
    <row r="238" spans="1:9" ht="16">
      <c r="A238" s="274"/>
      <c r="B238" s="274"/>
      <c r="C238" s="274"/>
      <c r="D238" s="275"/>
      <c r="E238" s="275"/>
      <c r="F238" s="274"/>
      <c r="G238" s="274"/>
      <c r="H238" s="274"/>
      <c r="I238" s="242"/>
    </row>
    <row r="239" spans="1:9" ht="16">
      <c r="A239" s="274"/>
      <c r="B239" s="274"/>
      <c r="C239" s="274"/>
      <c r="D239" s="275"/>
      <c r="E239" s="275"/>
      <c r="F239" s="274"/>
      <c r="G239" s="274"/>
      <c r="H239" s="274"/>
      <c r="I239" s="242"/>
    </row>
    <row r="240" spans="1:9" ht="16">
      <c r="A240" s="274"/>
      <c r="B240" s="274"/>
      <c r="C240" s="274"/>
      <c r="D240" s="275"/>
      <c r="E240" s="275"/>
      <c r="F240" s="274"/>
      <c r="G240" s="274"/>
      <c r="H240" s="274"/>
      <c r="I240" s="242"/>
    </row>
    <row r="241" spans="1:9" ht="16">
      <c r="A241" s="274"/>
      <c r="B241" s="274"/>
      <c r="C241" s="274"/>
      <c r="D241" s="275"/>
      <c r="E241" s="275"/>
      <c r="F241" s="274"/>
      <c r="G241" s="274"/>
      <c r="H241" s="274"/>
      <c r="I241" s="242"/>
    </row>
    <row r="242" spans="1:9" ht="16">
      <c r="A242" s="274"/>
      <c r="B242" s="274"/>
      <c r="C242" s="274"/>
      <c r="D242" s="275"/>
      <c r="E242" s="275"/>
      <c r="F242" s="274"/>
      <c r="G242" s="274"/>
      <c r="H242" s="274"/>
      <c r="I242" s="242"/>
    </row>
    <row r="243" spans="1:9" ht="16">
      <c r="A243" s="274"/>
      <c r="B243" s="274"/>
      <c r="C243" s="274"/>
      <c r="D243" s="275"/>
      <c r="E243" s="275"/>
      <c r="F243" s="274"/>
      <c r="G243" s="274"/>
      <c r="H243" s="274"/>
      <c r="I243" s="242"/>
    </row>
    <row r="244" spans="1:9" ht="16">
      <c r="A244" s="274"/>
      <c r="B244" s="274"/>
      <c r="C244" s="274"/>
      <c r="D244" s="275"/>
      <c r="E244" s="275"/>
      <c r="F244" s="274"/>
      <c r="G244" s="274"/>
      <c r="H244" s="274"/>
      <c r="I244" s="242"/>
    </row>
    <row r="245" spans="1:9" ht="16">
      <c r="A245" s="274"/>
      <c r="B245" s="274"/>
      <c r="C245" s="274"/>
      <c r="D245" s="275"/>
      <c r="E245" s="275"/>
      <c r="F245" s="274"/>
      <c r="G245" s="274"/>
      <c r="H245" s="274"/>
      <c r="I245" s="242"/>
    </row>
    <row r="246" spans="1:9" ht="16">
      <c r="A246" s="274"/>
      <c r="B246" s="274"/>
      <c r="C246" s="274"/>
      <c r="D246" s="275"/>
      <c r="E246" s="275"/>
      <c r="F246" s="274"/>
      <c r="G246" s="274"/>
      <c r="H246" s="274"/>
      <c r="I246" s="242"/>
    </row>
    <row r="247" spans="1:9" ht="16">
      <c r="A247" s="274"/>
      <c r="B247" s="274"/>
      <c r="C247" s="274"/>
      <c r="D247" s="275"/>
      <c r="E247" s="275"/>
      <c r="F247" s="274"/>
      <c r="G247" s="274"/>
      <c r="H247" s="274"/>
      <c r="I247" s="242"/>
    </row>
    <row r="248" spans="1:9" ht="16">
      <c r="A248" s="274"/>
      <c r="B248" s="274"/>
      <c r="C248" s="274"/>
      <c r="D248" s="275"/>
      <c r="E248" s="275"/>
      <c r="F248" s="274"/>
      <c r="G248" s="274"/>
      <c r="H248" s="274"/>
      <c r="I248" s="242"/>
    </row>
    <row r="249" spans="1:9" ht="16">
      <c r="A249" s="274"/>
      <c r="B249" s="274"/>
      <c r="C249" s="274"/>
      <c r="D249" s="275"/>
      <c r="E249" s="275"/>
      <c r="F249" s="274"/>
      <c r="G249" s="274"/>
      <c r="H249" s="274"/>
      <c r="I249" s="242"/>
    </row>
    <row r="250" spans="1:9" ht="16">
      <c r="A250" s="274"/>
      <c r="B250" s="274"/>
      <c r="C250" s="274"/>
      <c r="D250" s="275"/>
      <c r="E250" s="275"/>
      <c r="F250" s="274"/>
      <c r="G250" s="274"/>
      <c r="H250" s="274"/>
      <c r="I250" s="242"/>
    </row>
    <row r="251" spans="1:9" ht="16">
      <c r="A251" s="274"/>
      <c r="B251" s="274"/>
      <c r="C251" s="274"/>
      <c r="D251" s="275"/>
      <c r="E251" s="275"/>
      <c r="F251" s="274"/>
      <c r="G251" s="274"/>
      <c r="H251" s="274"/>
      <c r="I251" s="242"/>
    </row>
    <row r="252" spans="1:9" ht="16">
      <c r="A252" s="274"/>
      <c r="B252" s="274"/>
      <c r="C252" s="274"/>
      <c r="D252" s="275"/>
      <c r="E252" s="275"/>
      <c r="F252" s="274"/>
      <c r="G252" s="274"/>
      <c r="H252" s="274"/>
      <c r="I252" s="242"/>
    </row>
    <row r="253" spans="1:9" ht="16">
      <c r="A253" s="274"/>
      <c r="B253" s="274"/>
      <c r="C253" s="274"/>
      <c r="D253" s="275"/>
      <c r="E253" s="275"/>
      <c r="F253" s="274"/>
      <c r="G253" s="274"/>
      <c r="H253" s="274"/>
      <c r="I253" s="242"/>
    </row>
    <row r="254" spans="1:9" ht="16">
      <c r="A254" s="274"/>
      <c r="B254" s="274"/>
      <c r="C254" s="274"/>
      <c r="D254" s="275"/>
      <c r="E254" s="275"/>
      <c r="F254" s="274"/>
      <c r="G254" s="274"/>
      <c r="H254" s="274"/>
      <c r="I254" s="242"/>
    </row>
    <row r="255" spans="1:9" ht="16">
      <c r="A255" s="274"/>
      <c r="B255" s="274"/>
      <c r="C255" s="274"/>
      <c r="D255" s="275"/>
      <c r="E255" s="275"/>
      <c r="F255" s="274"/>
      <c r="G255" s="274"/>
      <c r="H255" s="274"/>
      <c r="I255" s="242"/>
    </row>
    <row r="256" spans="1:9" ht="16">
      <c r="A256" s="274"/>
      <c r="B256" s="274"/>
      <c r="C256" s="274"/>
      <c r="D256" s="275"/>
      <c r="E256" s="275"/>
      <c r="F256" s="274"/>
      <c r="G256" s="274"/>
      <c r="H256" s="274"/>
      <c r="I256" s="242"/>
    </row>
    <row r="257" spans="1:9" ht="16">
      <c r="A257" s="274"/>
      <c r="B257" s="274"/>
      <c r="C257" s="274"/>
      <c r="D257" s="275"/>
      <c r="E257" s="275"/>
      <c r="F257" s="274"/>
      <c r="G257" s="274"/>
      <c r="H257" s="274"/>
      <c r="I257" s="242"/>
    </row>
    <row r="258" spans="1:9" ht="16">
      <c r="A258" s="274"/>
      <c r="B258" s="274"/>
      <c r="C258" s="274"/>
      <c r="D258" s="275"/>
      <c r="E258" s="275"/>
      <c r="F258" s="274"/>
      <c r="G258" s="274"/>
      <c r="H258" s="274"/>
      <c r="I258" s="242"/>
    </row>
    <row r="259" spans="1:9" ht="16">
      <c r="A259" s="274"/>
      <c r="B259" s="274"/>
      <c r="C259" s="274"/>
      <c r="D259" s="275"/>
      <c r="E259" s="275"/>
      <c r="F259" s="274"/>
      <c r="G259" s="274"/>
      <c r="H259" s="274"/>
      <c r="I259" s="242"/>
    </row>
    <row r="260" spans="1:9" ht="16">
      <c r="A260" s="274"/>
      <c r="B260" s="274"/>
      <c r="C260" s="274"/>
      <c r="D260" s="275"/>
      <c r="E260" s="275"/>
      <c r="F260" s="274"/>
      <c r="G260" s="274"/>
      <c r="H260" s="274"/>
      <c r="I260" s="242"/>
    </row>
    <row r="261" spans="1:9" ht="16">
      <c r="A261" s="274"/>
      <c r="B261" s="274"/>
      <c r="C261" s="274"/>
      <c r="D261" s="275"/>
      <c r="E261" s="275"/>
      <c r="F261" s="274"/>
      <c r="G261" s="274"/>
      <c r="H261" s="274"/>
      <c r="I261" s="242"/>
    </row>
    <row r="262" spans="1:9" ht="16">
      <c r="A262" s="274"/>
      <c r="B262" s="274"/>
      <c r="C262" s="274"/>
      <c r="D262" s="275"/>
      <c r="E262" s="275"/>
      <c r="F262" s="274"/>
      <c r="G262" s="274"/>
      <c r="H262" s="274"/>
      <c r="I262" s="242"/>
    </row>
    <row r="263" spans="1:9" ht="16">
      <c r="A263" s="274"/>
      <c r="B263" s="274"/>
      <c r="C263" s="274"/>
      <c r="D263" s="275"/>
      <c r="E263" s="275"/>
      <c r="F263" s="274"/>
      <c r="G263" s="274"/>
      <c r="H263" s="274"/>
      <c r="I263" s="242"/>
    </row>
    <row r="264" spans="1:9" ht="16">
      <c r="A264" s="274"/>
      <c r="B264" s="274"/>
      <c r="C264" s="274"/>
      <c r="D264" s="275"/>
      <c r="E264" s="275"/>
      <c r="F264" s="274"/>
      <c r="G264" s="274"/>
      <c r="H264" s="274"/>
      <c r="I264" s="242"/>
    </row>
    <row r="265" spans="1:9" ht="16">
      <c r="A265" s="274"/>
      <c r="B265" s="274"/>
      <c r="C265" s="274"/>
      <c r="D265" s="275"/>
      <c r="E265" s="275"/>
      <c r="F265" s="274"/>
      <c r="G265" s="274"/>
      <c r="H265" s="274"/>
      <c r="I265" s="242"/>
    </row>
    <row r="266" spans="1:9" ht="16">
      <c r="A266" s="274"/>
      <c r="B266" s="274"/>
      <c r="C266" s="274"/>
      <c r="D266" s="275"/>
      <c r="E266" s="275"/>
      <c r="F266" s="274"/>
      <c r="G266" s="274"/>
      <c r="H266" s="274"/>
      <c r="I266" s="242"/>
    </row>
    <row r="267" spans="1:9" ht="16">
      <c r="A267" s="274"/>
      <c r="B267" s="274"/>
      <c r="C267" s="274"/>
      <c r="D267" s="275"/>
      <c r="E267" s="275"/>
      <c r="F267" s="274"/>
      <c r="G267" s="274"/>
      <c r="H267" s="274"/>
      <c r="I267" s="242"/>
    </row>
    <row r="268" spans="1:9" ht="16">
      <c r="A268" s="274"/>
      <c r="B268" s="274"/>
      <c r="C268" s="274"/>
      <c r="D268" s="275"/>
      <c r="E268" s="275"/>
      <c r="F268" s="274"/>
      <c r="G268" s="274"/>
      <c r="H268" s="274"/>
      <c r="I268" s="242"/>
    </row>
    <row r="269" spans="1:9" ht="16">
      <c r="A269" s="274"/>
      <c r="B269" s="274"/>
      <c r="C269" s="274"/>
      <c r="D269" s="275"/>
      <c r="E269" s="275"/>
      <c r="F269" s="274"/>
      <c r="G269" s="274"/>
      <c r="H269" s="274"/>
      <c r="I269" s="242"/>
    </row>
    <row r="270" spans="1:9" ht="16">
      <c r="A270" s="274"/>
      <c r="B270" s="274"/>
      <c r="C270" s="274"/>
      <c r="D270" s="275"/>
      <c r="E270" s="275"/>
      <c r="F270" s="274"/>
      <c r="G270" s="274"/>
      <c r="H270" s="274"/>
      <c r="I270" s="242"/>
    </row>
    <row r="271" spans="1:9" ht="16">
      <c r="A271" s="274"/>
      <c r="B271" s="274"/>
      <c r="C271" s="274"/>
      <c r="D271" s="275"/>
      <c r="E271" s="275"/>
      <c r="F271" s="274"/>
      <c r="G271" s="274"/>
      <c r="H271" s="274"/>
      <c r="I271" s="242"/>
    </row>
    <row r="272" spans="1:9" ht="16">
      <c r="A272" s="274"/>
      <c r="B272" s="274"/>
      <c r="C272" s="274"/>
      <c r="D272" s="275"/>
      <c r="E272" s="275"/>
      <c r="F272" s="274"/>
      <c r="G272" s="274"/>
      <c r="H272" s="274"/>
      <c r="I272" s="242"/>
    </row>
    <row r="273" spans="1:9" ht="16">
      <c r="A273" s="274"/>
      <c r="B273" s="274"/>
      <c r="C273" s="274"/>
      <c r="D273" s="275"/>
      <c r="E273" s="275"/>
      <c r="F273" s="274"/>
      <c r="G273" s="274"/>
      <c r="H273" s="274"/>
      <c r="I273" s="242"/>
    </row>
    <row r="274" spans="1:9" ht="16">
      <c r="A274" s="274"/>
      <c r="B274" s="274"/>
      <c r="C274" s="274"/>
      <c r="D274" s="275"/>
      <c r="E274" s="275"/>
      <c r="F274" s="274"/>
      <c r="G274" s="274"/>
      <c r="H274" s="274"/>
      <c r="I274" s="242"/>
    </row>
    <row r="275" spans="1:9" ht="16">
      <c r="A275" s="274"/>
      <c r="B275" s="274"/>
      <c r="C275" s="274"/>
      <c r="D275" s="275"/>
      <c r="E275" s="275"/>
      <c r="F275" s="274"/>
      <c r="G275" s="274"/>
      <c r="H275" s="274"/>
      <c r="I275" s="242"/>
    </row>
    <row r="276" spans="1:9" ht="16">
      <c r="A276" s="274"/>
      <c r="B276" s="274"/>
      <c r="C276" s="274"/>
      <c r="D276" s="275"/>
      <c r="E276" s="275"/>
      <c r="F276" s="274"/>
      <c r="G276" s="274"/>
      <c r="H276" s="274"/>
      <c r="I276" s="242"/>
    </row>
    <row r="277" spans="1:9" ht="16">
      <c r="A277" s="274"/>
      <c r="B277" s="274"/>
      <c r="C277" s="274"/>
      <c r="D277" s="275"/>
      <c r="E277" s="275"/>
      <c r="F277" s="274"/>
      <c r="G277" s="274"/>
      <c r="H277" s="274"/>
      <c r="I277" s="242"/>
    </row>
    <row r="278" spans="1:9" ht="16">
      <c r="A278" s="274"/>
      <c r="B278" s="274"/>
      <c r="C278" s="274"/>
      <c r="D278" s="275"/>
      <c r="E278" s="275"/>
      <c r="F278" s="274"/>
      <c r="G278" s="274"/>
      <c r="H278" s="274"/>
      <c r="I278" s="242"/>
    </row>
    <row r="279" spans="1:9" ht="16">
      <c r="A279" s="274"/>
      <c r="B279" s="274"/>
      <c r="C279" s="274"/>
      <c r="D279" s="275"/>
      <c r="E279" s="275"/>
      <c r="F279" s="274"/>
      <c r="G279" s="274"/>
      <c r="H279" s="274"/>
      <c r="I279" s="242"/>
    </row>
    <row r="280" spans="1:9" ht="16">
      <c r="A280" s="274"/>
      <c r="B280" s="274"/>
      <c r="C280" s="274"/>
      <c r="D280" s="275"/>
      <c r="E280" s="275"/>
      <c r="F280" s="274"/>
      <c r="G280" s="274"/>
      <c r="H280" s="274"/>
      <c r="I280" s="242"/>
    </row>
    <row r="281" spans="1:9" ht="16">
      <c r="A281" s="274"/>
      <c r="B281" s="274"/>
      <c r="C281" s="274"/>
      <c r="D281" s="275"/>
      <c r="E281" s="275"/>
      <c r="F281" s="274"/>
      <c r="G281" s="274"/>
      <c r="H281" s="274"/>
      <c r="I281" s="242"/>
    </row>
    <row r="282" spans="1:9" ht="16">
      <c r="A282" s="274"/>
      <c r="B282" s="274"/>
      <c r="C282" s="274"/>
      <c r="D282" s="275"/>
      <c r="E282" s="275"/>
      <c r="F282" s="274"/>
      <c r="G282" s="274"/>
      <c r="H282" s="274"/>
      <c r="I282" s="242"/>
    </row>
    <row r="283" spans="1:9" ht="16">
      <c r="A283" s="274"/>
      <c r="B283" s="274"/>
      <c r="C283" s="274"/>
      <c r="D283" s="275"/>
      <c r="E283" s="275"/>
      <c r="F283" s="274"/>
      <c r="G283" s="274"/>
      <c r="H283" s="274"/>
      <c r="I283" s="242"/>
    </row>
    <row r="284" spans="1:9" ht="16">
      <c r="A284" s="274"/>
      <c r="B284" s="274"/>
      <c r="C284" s="274"/>
      <c r="D284" s="275"/>
      <c r="E284" s="275"/>
      <c r="F284" s="274"/>
      <c r="G284" s="274"/>
      <c r="H284" s="274"/>
      <c r="I284" s="242"/>
    </row>
    <row r="285" spans="1:9" ht="16">
      <c r="A285" s="274"/>
      <c r="B285" s="274"/>
      <c r="C285" s="274"/>
      <c r="D285" s="275"/>
      <c r="E285" s="275"/>
      <c r="F285" s="274"/>
      <c r="G285" s="274"/>
      <c r="H285" s="274"/>
      <c r="I285" s="242"/>
    </row>
    <row r="286" spans="1:9" ht="16">
      <c r="A286" s="274"/>
      <c r="B286" s="274"/>
      <c r="C286" s="274"/>
      <c r="D286" s="275"/>
      <c r="E286" s="275"/>
      <c r="F286" s="274"/>
      <c r="G286" s="274"/>
      <c r="H286" s="274"/>
      <c r="I286" s="242"/>
    </row>
    <row r="287" spans="1:9" ht="16">
      <c r="A287" s="274"/>
      <c r="B287" s="274"/>
      <c r="C287" s="274"/>
      <c r="D287" s="275"/>
      <c r="E287" s="275"/>
      <c r="F287" s="274"/>
      <c r="G287" s="274"/>
      <c r="H287" s="274"/>
      <c r="I287" s="242"/>
    </row>
    <row r="288" spans="1:9" ht="16">
      <c r="A288" s="274"/>
      <c r="B288" s="274"/>
      <c r="C288" s="274"/>
      <c r="D288" s="275"/>
      <c r="E288" s="275"/>
      <c r="F288" s="274"/>
      <c r="G288" s="274"/>
      <c r="H288" s="274"/>
      <c r="I288" s="242"/>
    </row>
    <row r="289" spans="1:9" ht="16">
      <c r="A289" s="274"/>
      <c r="B289" s="274"/>
      <c r="C289" s="274"/>
      <c r="D289" s="275"/>
      <c r="E289" s="275"/>
      <c r="F289" s="274"/>
      <c r="G289" s="274"/>
      <c r="H289" s="274"/>
      <c r="I289" s="242"/>
    </row>
    <row r="290" spans="1:9" ht="16">
      <c r="A290" s="274"/>
      <c r="B290" s="274"/>
      <c r="C290" s="274"/>
      <c r="D290" s="275"/>
      <c r="E290" s="275"/>
      <c r="F290" s="274"/>
      <c r="G290" s="274"/>
      <c r="H290" s="274"/>
      <c r="I290" s="242"/>
    </row>
    <row r="291" spans="1:9" ht="16">
      <c r="A291" s="274"/>
      <c r="B291" s="274"/>
      <c r="C291" s="274"/>
      <c r="D291" s="275"/>
      <c r="E291" s="275"/>
      <c r="F291" s="274"/>
      <c r="G291" s="274"/>
      <c r="H291" s="274"/>
      <c r="I291" s="242"/>
    </row>
    <row r="292" spans="1:9" ht="16">
      <c r="A292" s="274"/>
      <c r="B292" s="274"/>
      <c r="C292" s="274"/>
      <c r="D292" s="275"/>
      <c r="E292" s="275"/>
      <c r="F292" s="274"/>
      <c r="G292" s="274"/>
      <c r="H292" s="274"/>
      <c r="I292" s="242"/>
    </row>
    <row r="293" spans="1:9" ht="16">
      <c r="A293" s="274"/>
      <c r="B293" s="274"/>
      <c r="C293" s="274"/>
      <c r="D293" s="275"/>
      <c r="E293" s="275"/>
      <c r="F293" s="274"/>
      <c r="G293" s="274"/>
      <c r="H293" s="274"/>
      <c r="I293" s="242"/>
    </row>
    <row r="294" spans="1:9" ht="16">
      <c r="A294" s="274"/>
      <c r="B294" s="274"/>
      <c r="C294" s="274"/>
      <c r="D294" s="275"/>
      <c r="E294" s="275"/>
      <c r="F294" s="274"/>
      <c r="G294" s="274"/>
      <c r="H294" s="274"/>
      <c r="I294" s="242"/>
    </row>
    <row r="295" spans="1:9" ht="16">
      <c r="A295" s="274"/>
      <c r="B295" s="274"/>
      <c r="C295" s="274"/>
      <c r="D295" s="275"/>
      <c r="E295" s="275"/>
      <c r="F295" s="274"/>
      <c r="G295" s="274"/>
      <c r="H295" s="274"/>
      <c r="I295" s="242"/>
    </row>
    <row r="296" spans="1:9" ht="16">
      <c r="A296" s="274"/>
      <c r="B296" s="274"/>
      <c r="C296" s="274"/>
      <c r="D296" s="275"/>
      <c r="E296" s="275"/>
      <c r="F296" s="274"/>
      <c r="G296" s="274"/>
      <c r="H296" s="274"/>
      <c r="I296" s="242"/>
    </row>
    <row r="297" spans="1:9" ht="16">
      <c r="A297" s="274"/>
      <c r="B297" s="274"/>
      <c r="C297" s="274"/>
      <c r="D297" s="275"/>
      <c r="E297" s="275"/>
      <c r="F297" s="274"/>
      <c r="G297" s="274"/>
      <c r="H297" s="274"/>
      <c r="I297" s="242"/>
    </row>
    <row r="298" spans="1:9" ht="16">
      <c r="A298" s="274"/>
      <c r="B298" s="274"/>
      <c r="C298" s="274"/>
      <c r="D298" s="275"/>
      <c r="E298" s="275"/>
      <c r="F298" s="274"/>
      <c r="G298" s="274"/>
      <c r="H298" s="274"/>
      <c r="I298" s="242"/>
    </row>
    <row r="299" spans="1:9" ht="16">
      <c r="A299" s="274"/>
      <c r="B299" s="274"/>
      <c r="C299" s="274"/>
      <c r="D299" s="275"/>
      <c r="E299" s="275"/>
      <c r="F299" s="274"/>
      <c r="G299" s="274"/>
      <c r="H299" s="274"/>
      <c r="I299" s="242"/>
    </row>
    <row r="300" spans="1:9" ht="16">
      <c r="A300" s="274"/>
      <c r="B300" s="274"/>
      <c r="C300" s="274"/>
      <c r="D300" s="275"/>
      <c r="E300" s="275"/>
      <c r="F300" s="274"/>
      <c r="G300" s="274"/>
      <c r="H300" s="274"/>
      <c r="I300" s="242"/>
    </row>
    <row r="301" spans="1:9" ht="16">
      <c r="A301" s="274"/>
      <c r="B301" s="274"/>
      <c r="C301" s="274"/>
      <c r="D301" s="275"/>
      <c r="E301" s="275"/>
      <c r="F301" s="274"/>
      <c r="G301" s="274"/>
      <c r="H301" s="274"/>
      <c r="I301" s="242"/>
    </row>
    <row r="302" spans="1:9" ht="16">
      <c r="A302" s="274"/>
      <c r="B302" s="274"/>
      <c r="C302" s="274"/>
      <c r="D302" s="275"/>
      <c r="E302" s="275"/>
      <c r="F302" s="274"/>
      <c r="G302" s="274"/>
      <c r="H302" s="274"/>
      <c r="I302" s="242"/>
    </row>
    <row r="303" spans="1:9" ht="16">
      <c r="A303" s="274"/>
      <c r="B303" s="274"/>
      <c r="C303" s="274"/>
      <c r="D303" s="275"/>
      <c r="E303" s="275"/>
      <c r="F303" s="274"/>
      <c r="G303" s="274"/>
      <c r="H303" s="274"/>
      <c r="I303" s="242"/>
    </row>
    <row r="304" spans="1:9" ht="16">
      <c r="A304" s="274"/>
      <c r="B304" s="274"/>
      <c r="C304" s="274"/>
      <c r="D304" s="275"/>
      <c r="E304" s="275"/>
      <c r="F304" s="274"/>
      <c r="G304" s="274"/>
      <c r="H304" s="274"/>
      <c r="I304" s="242"/>
    </row>
    <row r="305" spans="1:9" ht="16">
      <c r="A305" s="274"/>
      <c r="B305" s="274"/>
      <c r="C305" s="274"/>
      <c r="D305" s="275"/>
      <c r="E305" s="275"/>
      <c r="F305" s="274"/>
      <c r="G305" s="274"/>
      <c r="H305" s="274"/>
      <c r="I305" s="242"/>
    </row>
    <row r="306" spans="1:9" ht="16">
      <c r="A306" s="274"/>
      <c r="B306" s="274"/>
      <c r="C306" s="274"/>
      <c r="D306" s="275"/>
      <c r="E306" s="275"/>
      <c r="F306" s="274"/>
      <c r="G306" s="274"/>
      <c r="H306" s="274"/>
      <c r="I306" s="242"/>
    </row>
    <row r="307" spans="1:9" ht="16">
      <c r="A307" s="274"/>
      <c r="B307" s="274"/>
      <c r="C307" s="274"/>
      <c r="D307" s="275"/>
      <c r="E307" s="275"/>
      <c r="F307" s="274"/>
      <c r="G307" s="274"/>
      <c r="H307" s="274"/>
      <c r="I307" s="242"/>
    </row>
    <row r="308" spans="1:9" ht="16">
      <c r="A308" s="274"/>
      <c r="B308" s="274"/>
      <c r="C308" s="274"/>
      <c r="D308" s="275"/>
      <c r="E308" s="275"/>
      <c r="F308" s="274"/>
      <c r="G308" s="274"/>
      <c r="H308" s="274"/>
      <c r="I308" s="242"/>
    </row>
    <row r="309" spans="1:9" ht="16">
      <c r="A309" s="274"/>
      <c r="B309" s="274"/>
      <c r="C309" s="274"/>
      <c r="D309" s="275"/>
      <c r="E309" s="275"/>
      <c r="F309" s="274"/>
      <c r="G309" s="274"/>
      <c r="H309" s="274"/>
      <c r="I309" s="242"/>
    </row>
    <row r="310" spans="1:9" ht="16">
      <c r="A310" s="274"/>
      <c r="B310" s="274"/>
      <c r="C310" s="274"/>
      <c r="D310" s="275"/>
      <c r="E310" s="275"/>
      <c r="F310" s="274"/>
      <c r="G310" s="274"/>
      <c r="H310" s="274"/>
      <c r="I310" s="242"/>
    </row>
    <row r="311" spans="1:9" ht="16">
      <c r="A311" s="274"/>
      <c r="B311" s="274"/>
      <c r="C311" s="274"/>
      <c r="D311" s="275"/>
      <c r="E311" s="275"/>
      <c r="F311" s="274"/>
      <c r="G311" s="274"/>
      <c r="H311" s="274"/>
      <c r="I311" s="242"/>
    </row>
    <row r="312" spans="1:9" ht="16">
      <c r="A312" s="274"/>
      <c r="B312" s="274"/>
      <c r="C312" s="274"/>
      <c r="D312" s="275"/>
      <c r="E312" s="275"/>
      <c r="F312" s="274"/>
      <c r="G312" s="274"/>
      <c r="H312" s="274"/>
      <c r="I312" s="242"/>
    </row>
    <row r="313" spans="1:9" ht="16">
      <c r="A313" s="274"/>
      <c r="B313" s="274"/>
      <c r="C313" s="274"/>
      <c r="D313" s="275"/>
      <c r="E313" s="275"/>
      <c r="F313" s="274"/>
      <c r="G313" s="274"/>
      <c r="H313" s="274"/>
      <c r="I313" s="242"/>
    </row>
    <row r="314" spans="1:9" ht="16">
      <c r="A314" s="274"/>
      <c r="B314" s="274"/>
      <c r="C314" s="274"/>
      <c r="D314" s="275"/>
      <c r="E314" s="275"/>
      <c r="F314" s="274"/>
      <c r="G314" s="274"/>
      <c r="H314" s="274"/>
      <c r="I314" s="242"/>
    </row>
    <row r="315" spans="1:9" ht="16">
      <c r="A315" s="274"/>
      <c r="B315" s="274"/>
      <c r="C315" s="274"/>
      <c r="D315" s="275"/>
      <c r="E315" s="275"/>
      <c r="F315" s="274"/>
      <c r="G315" s="274"/>
      <c r="H315" s="274"/>
      <c r="I315" s="242"/>
    </row>
    <row r="316" spans="1:9" ht="16">
      <c r="A316" s="274"/>
      <c r="B316" s="274"/>
      <c r="C316" s="274"/>
      <c r="D316" s="275"/>
      <c r="E316" s="275"/>
      <c r="F316" s="274"/>
      <c r="G316" s="274"/>
      <c r="H316" s="274"/>
      <c r="I316" s="242"/>
    </row>
    <row r="317" spans="1:9" ht="16">
      <c r="A317" s="274"/>
      <c r="B317" s="274"/>
      <c r="C317" s="274"/>
      <c r="D317" s="275"/>
      <c r="E317" s="275"/>
      <c r="F317" s="274"/>
      <c r="G317" s="274"/>
      <c r="H317" s="274"/>
      <c r="I317" s="242"/>
    </row>
    <row r="318" spans="1:9" ht="16">
      <c r="A318" s="274"/>
      <c r="B318" s="274"/>
      <c r="C318" s="274"/>
      <c r="D318" s="275"/>
      <c r="E318" s="275"/>
      <c r="F318" s="274"/>
      <c r="G318" s="274"/>
      <c r="H318" s="274"/>
      <c r="I318" s="242"/>
    </row>
    <row r="319" spans="1:9" ht="16">
      <c r="A319" s="274"/>
      <c r="B319" s="274"/>
      <c r="C319" s="274"/>
      <c r="D319" s="275"/>
      <c r="E319" s="275"/>
      <c r="F319" s="274"/>
      <c r="G319" s="274"/>
      <c r="H319" s="274"/>
      <c r="I319" s="242"/>
    </row>
    <row r="320" spans="1:9" ht="16">
      <c r="A320" s="274"/>
      <c r="B320" s="274"/>
      <c r="C320" s="274"/>
      <c r="D320" s="275"/>
      <c r="E320" s="275"/>
      <c r="F320" s="274"/>
      <c r="G320" s="274"/>
      <c r="H320" s="274"/>
      <c r="I320" s="242"/>
    </row>
    <row r="321" spans="1:9" ht="16">
      <c r="A321" s="274"/>
      <c r="B321" s="274"/>
      <c r="C321" s="274"/>
      <c r="D321" s="275"/>
      <c r="E321" s="275"/>
      <c r="F321" s="274"/>
      <c r="G321" s="274"/>
      <c r="H321" s="274"/>
      <c r="I321" s="242"/>
    </row>
    <row r="322" spans="1:9" ht="16">
      <c r="A322" s="274"/>
      <c r="B322" s="274"/>
      <c r="C322" s="274"/>
      <c r="D322" s="275"/>
      <c r="E322" s="275"/>
      <c r="F322" s="274"/>
      <c r="G322" s="274"/>
      <c r="H322" s="274"/>
      <c r="I322" s="242"/>
    </row>
    <row r="323" spans="1:9" ht="16">
      <c r="A323" s="274"/>
      <c r="B323" s="274"/>
      <c r="C323" s="274"/>
      <c r="D323" s="275"/>
      <c r="E323" s="275"/>
      <c r="F323" s="274"/>
      <c r="G323" s="274"/>
      <c r="H323" s="274"/>
      <c r="I323" s="242"/>
    </row>
    <row r="324" spans="1:9" ht="16">
      <c r="A324" s="274"/>
      <c r="B324" s="274"/>
      <c r="C324" s="274"/>
      <c r="D324" s="275"/>
      <c r="E324" s="275"/>
      <c r="F324" s="274"/>
      <c r="G324" s="274"/>
      <c r="H324" s="274"/>
      <c r="I324" s="242"/>
    </row>
    <row r="325" spans="1:9" ht="16">
      <c r="A325" s="274"/>
      <c r="B325" s="274"/>
      <c r="C325" s="274"/>
      <c r="D325" s="275"/>
      <c r="E325" s="275"/>
      <c r="F325" s="274"/>
      <c r="G325" s="274"/>
      <c r="H325" s="274"/>
      <c r="I325" s="242"/>
    </row>
    <row r="326" spans="1:9" ht="16">
      <c r="A326" s="274"/>
      <c r="B326" s="274"/>
      <c r="C326" s="274"/>
      <c r="D326" s="275"/>
      <c r="E326" s="275"/>
      <c r="F326" s="274"/>
      <c r="G326" s="274"/>
      <c r="H326" s="274"/>
      <c r="I326" s="242"/>
    </row>
    <row r="327" spans="1:9" ht="16">
      <c r="A327" s="274"/>
      <c r="B327" s="274"/>
      <c r="C327" s="274"/>
      <c r="D327" s="275"/>
      <c r="E327" s="275"/>
      <c r="F327" s="274"/>
      <c r="G327" s="274"/>
      <c r="H327" s="274"/>
      <c r="I327" s="242"/>
    </row>
    <row r="328" spans="1:9" ht="16">
      <c r="A328" s="274"/>
      <c r="B328" s="274"/>
      <c r="C328" s="274"/>
      <c r="D328" s="275"/>
      <c r="E328" s="275"/>
      <c r="F328" s="274"/>
      <c r="G328" s="274"/>
      <c r="H328" s="274"/>
      <c r="I328" s="242"/>
    </row>
    <row r="329" spans="1:9" ht="16">
      <c r="A329" s="274"/>
      <c r="B329" s="274"/>
      <c r="C329" s="274"/>
      <c r="D329" s="275"/>
      <c r="E329" s="275"/>
      <c r="F329" s="274"/>
      <c r="G329" s="274"/>
      <c r="H329" s="274"/>
      <c r="I329" s="242"/>
    </row>
    <row r="330" spans="1:9" ht="16">
      <c r="A330" s="274"/>
      <c r="B330" s="274"/>
      <c r="C330" s="274"/>
      <c r="D330" s="275"/>
      <c r="E330" s="275"/>
      <c r="F330" s="274"/>
      <c r="G330" s="274"/>
      <c r="H330" s="274"/>
      <c r="I330" s="242"/>
    </row>
    <row r="331" spans="1:9" ht="16">
      <c r="A331" s="274"/>
      <c r="B331" s="274"/>
      <c r="C331" s="274"/>
      <c r="D331" s="275"/>
      <c r="E331" s="275"/>
      <c r="F331" s="274"/>
      <c r="G331" s="274"/>
      <c r="H331" s="274"/>
      <c r="I331" s="242"/>
    </row>
    <row r="332" spans="1:9" ht="16">
      <c r="A332" s="274"/>
      <c r="B332" s="274"/>
      <c r="C332" s="274"/>
      <c r="D332" s="275"/>
      <c r="E332" s="275"/>
      <c r="F332" s="274"/>
      <c r="G332" s="274"/>
      <c r="H332" s="274"/>
      <c r="I332" s="242"/>
    </row>
    <row r="333" spans="1:9" ht="16">
      <c r="A333" s="274"/>
      <c r="B333" s="274"/>
      <c r="C333" s="274"/>
      <c r="D333" s="275"/>
      <c r="E333" s="275"/>
      <c r="F333" s="274"/>
      <c r="G333" s="274"/>
      <c r="H333" s="274"/>
      <c r="I333" s="242"/>
    </row>
    <row r="334" spans="1:9" ht="16">
      <c r="A334" s="274"/>
      <c r="B334" s="274"/>
      <c r="C334" s="274"/>
      <c r="D334" s="275"/>
      <c r="E334" s="275"/>
      <c r="F334" s="274"/>
      <c r="G334" s="274"/>
      <c r="H334" s="274"/>
      <c r="I334" s="242"/>
    </row>
    <row r="335" spans="1:9" ht="16">
      <c r="A335" s="274"/>
      <c r="B335" s="274"/>
      <c r="C335" s="274"/>
      <c r="D335" s="275"/>
      <c r="E335" s="275"/>
      <c r="F335" s="274"/>
      <c r="G335" s="274"/>
      <c r="H335" s="274"/>
      <c r="I335" s="242"/>
    </row>
    <row r="336" spans="1:9" ht="16">
      <c r="A336" s="274"/>
      <c r="B336" s="274"/>
      <c r="C336" s="274"/>
      <c r="D336" s="275"/>
      <c r="E336" s="275"/>
      <c r="F336" s="274"/>
      <c r="G336" s="274"/>
      <c r="H336" s="274"/>
      <c r="I336" s="242"/>
    </row>
    <row r="337" spans="1:9" ht="16">
      <c r="A337" s="274"/>
      <c r="B337" s="274"/>
      <c r="C337" s="274"/>
      <c r="D337" s="275"/>
      <c r="E337" s="275"/>
      <c r="F337" s="274"/>
      <c r="G337" s="274"/>
      <c r="H337" s="274"/>
      <c r="I337" s="242"/>
    </row>
    <row r="338" spans="1:9" ht="16">
      <c r="A338" s="274"/>
      <c r="B338" s="274"/>
      <c r="C338" s="274"/>
      <c r="D338" s="275"/>
      <c r="E338" s="275"/>
      <c r="F338" s="274"/>
      <c r="G338" s="274"/>
      <c r="H338" s="274"/>
      <c r="I338" s="242"/>
    </row>
    <row r="339" spans="1:9" ht="16">
      <c r="A339" s="274"/>
      <c r="B339" s="274"/>
      <c r="C339" s="274"/>
      <c r="D339" s="275"/>
      <c r="E339" s="275"/>
      <c r="F339" s="274"/>
      <c r="G339" s="274"/>
      <c r="H339" s="274"/>
      <c r="I339" s="242"/>
    </row>
    <row r="340" spans="1:9" ht="16">
      <c r="A340" s="274"/>
      <c r="B340" s="274"/>
      <c r="C340" s="274"/>
      <c r="D340" s="275"/>
      <c r="E340" s="275"/>
      <c r="F340" s="274"/>
      <c r="G340" s="274"/>
      <c r="H340" s="274"/>
      <c r="I340" s="242"/>
    </row>
    <row r="341" spans="1:9" ht="16">
      <c r="A341" s="274"/>
      <c r="B341" s="274"/>
      <c r="C341" s="274"/>
      <c r="D341" s="275"/>
      <c r="E341" s="275"/>
      <c r="F341" s="274"/>
      <c r="G341" s="274"/>
      <c r="H341" s="274"/>
      <c r="I341" s="242"/>
    </row>
    <row r="342" spans="1:9" ht="16">
      <c r="A342" s="274"/>
      <c r="B342" s="274"/>
      <c r="C342" s="274"/>
      <c r="D342" s="275"/>
      <c r="E342" s="275"/>
      <c r="F342" s="274"/>
      <c r="G342" s="274"/>
      <c r="H342" s="274"/>
      <c r="I342" s="242"/>
    </row>
    <row r="343" spans="1:9" ht="16">
      <c r="A343" s="274"/>
      <c r="B343" s="274"/>
      <c r="C343" s="274"/>
      <c r="D343" s="275"/>
      <c r="E343" s="275"/>
      <c r="F343" s="274"/>
      <c r="G343" s="274"/>
      <c r="H343" s="274"/>
      <c r="I343" s="242"/>
    </row>
    <row r="344" spans="1:9" ht="16">
      <c r="A344" s="274"/>
      <c r="B344" s="274"/>
      <c r="C344" s="274"/>
      <c r="D344" s="275"/>
      <c r="E344" s="275"/>
      <c r="F344" s="274"/>
      <c r="G344" s="274"/>
      <c r="H344" s="274"/>
      <c r="I344" s="242"/>
    </row>
    <row r="345" spans="1:9" ht="16">
      <c r="A345" s="274"/>
      <c r="B345" s="274"/>
      <c r="C345" s="274"/>
      <c r="D345" s="275"/>
      <c r="E345" s="275"/>
      <c r="F345" s="274"/>
      <c r="G345" s="274"/>
      <c r="H345" s="274"/>
      <c r="I345" s="242"/>
    </row>
    <row r="346" spans="1:9" ht="16">
      <c r="A346" s="274"/>
      <c r="B346" s="274"/>
      <c r="C346" s="274"/>
      <c r="D346" s="275"/>
      <c r="E346" s="275"/>
      <c r="F346" s="274"/>
      <c r="G346" s="274"/>
      <c r="H346" s="274"/>
      <c r="I346" s="242"/>
    </row>
    <row r="347" spans="1:9" ht="16">
      <c r="A347" s="274"/>
      <c r="B347" s="274"/>
      <c r="C347" s="274"/>
      <c r="D347" s="275"/>
      <c r="E347" s="275"/>
      <c r="F347" s="274"/>
      <c r="G347" s="274"/>
      <c r="H347" s="274"/>
      <c r="I347" s="242"/>
    </row>
    <row r="348" spans="1:9" ht="16">
      <c r="A348" s="274"/>
      <c r="B348" s="274"/>
      <c r="C348" s="274"/>
      <c r="D348" s="275"/>
      <c r="E348" s="275"/>
      <c r="F348" s="274"/>
      <c r="G348" s="274"/>
      <c r="H348" s="274"/>
      <c r="I348" s="242"/>
    </row>
    <row r="349" spans="1:9" ht="16">
      <c r="A349" s="274"/>
      <c r="B349" s="274"/>
      <c r="C349" s="274"/>
      <c r="D349" s="275"/>
      <c r="E349" s="275"/>
      <c r="F349" s="274"/>
      <c r="G349" s="274"/>
      <c r="H349" s="274"/>
      <c r="I349" s="242"/>
    </row>
    <row r="350" spans="1:9" ht="16">
      <c r="A350" s="274"/>
      <c r="B350" s="274"/>
      <c r="C350" s="274"/>
      <c r="D350" s="275"/>
      <c r="E350" s="275"/>
      <c r="F350" s="274"/>
      <c r="G350" s="274"/>
      <c r="H350" s="274"/>
      <c r="I350" s="242"/>
    </row>
    <row r="351" spans="1:9" ht="16">
      <c r="A351" s="274"/>
      <c r="B351" s="274"/>
      <c r="C351" s="274"/>
      <c r="D351" s="275"/>
      <c r="E351" s="275"/>
      <c r="F351" s="274"/>
      <c r="G351" s="274"/>
      <c r="H351" s="274"/>
      <c r="I351" s="242"/>
    </row>
    <row r="352" spans="1:9" ht="16">
      <c r="A352" s="274"/>
      <c r="B352" s="274"/>
      <c r="C352" s="274"/>
      <c r="D352" s="275"/>
      <c r="E352" s="275"/>
      <c r="F352" s="274"/>
      <c r="G352" s="274"/>
      <c r="H352" s="274"/>
      <c r="I352" s="242"/>
    </row>
    <row r="353" spans="1:9" ht="16">
      <c r="A353" s="274"/>
      <c r="B353" s="274"/>
      <c r="C353" s="274"/>
      <c r="D353" s="275"/>
      <c r="E353" s="275"/>
      <c r="F353" s="274"/>
      <c r="G353" s="274"/>
      <c r="H353" s="274"/>
      <c r="I353" s="242"/>
    </row>
    <row r="354" spans="1:9" ht="16">
      <c r="A354" s="274"/>
      <c r="B354" s="274"/>
      <c r="C354" s="274"/>
      <c r="D354" s="275"/>
      <c r="E354" s="275"/>
      <c r="F354" s="274"/>
      <c r="G354" s="274"/>
      <c r="H354" s="274"/>
      <c r="I354" s="242"/>
    </row>
    <row r="355" spans="1:9" ht="16">
      <c r="A355" s="274"/>
      <c r="B355" s="274"/>
      <c r="C355" s="274"/>
      <c r="D355" s="275"/>
      <c r="E355" s="275"/>
      <c r="F355" s="274"/>
      <c r="G355" s="274"/>
      <c r="H355" s="274"/>
      <c r="I355" s="242"/>
    </row>
    <row r="356" spans="1:9" ht="16">
      <c r="A356" s="274"/>
      <c r="B356" s="274"/>
      <c r="C356" s="274"/>
      <c r="D356" s="275"/>
      <c r="E356" s="275"/>
      <c r="F356" s="274"/>
      <c r="G356" s="274"/>
      <c r="H356" s="274"/>
      <c r="I356" s="242"/>
    </row>
    <row r="357" spans="1:9" ht="16">
      <c r="A357" s="274"/>
      <c r="B357" s="274"/>
      <c r="C357" s="274"/>
      <c r="D357" s="275"/>
      <c r="E357" s="275"/>
      <c r="F357" s="274"/>
      <c r="G357" s="274"/>
      <c r="H357" s="274"/>
      <c r="I357" s="242"/>
    </row>
    <row r="358" spans="1:9" ht="16">
      <c r="A358" s="274"/>
      <c r="B358" s="274"/>
      <c r="C358" s="274"/>
      <c r="D358" s="275"/>
      <c r="E358" s="275"/>
      <c r="F358" s="274"/>
      <c r="G358" s="274"/>
      <c r="H358" s="274"/>
      <c r="I358" s="242"/>
    </row>
    <row r="359" spans="1:9" ht="16">
      <c r="A359" s="274"/>
      <c r="B359" s="274"/>
      <c r="C359" s="274"/>
      <c r="D359" s="275"/>
      <c r="E359" s="275"/>
      <c r="F359" s="274"/>
      <c r="G359" s="274"/>
      <c r="H359" s="274"/>
      <c r="I359" s="242"/>
    </row>
    <row r="360" spans="1:9" ht="16">
      <c r="A360" s="274"/>
      <c r="B360" s="274"/>
      <c r="C360" s="274"/>
      <c r="D360" s="275"/>
      <c r="E360" s="275"/>
      <c r="F360" s="274"/>
      <c r="G360" s="274"/>
      <c r="H360" s="274"/>
      <c r="I360" s="242"/>
    </row>
    <row r="361" spans="1:9" ht="16">
      <c r="A361" s="274"/>
      <c r="B361" s="274"/>
      <c r="C361" s="274"/>
      <c r="D361" s="275"/>
      <c r="E361" s="275"/>
      <c r="F361" s="274"/>
      <c r="G361" s="274"/>
      <c r="H361" s="274"/>
      <c r="I361" s="242"/>
    </row>
    <row r="362" spans="1:9" ht="16">
      <c r="A362" s="274"/>
      <c r="B362" s="274"/>
      <c r="C362" s="274"/>
      <c r="D362" s="275"/>
      <c r="E362" s="275"/>
      <c r="F362" s="274"/>
      <c r="G362" s="274"/>
      <c r="H362" s="274"/>
      <c r="I362" s="242"/>
    </row>
    <row r="363" spans="1:9" ht="16">
      <c r="A363" s="274"/>
      <c r="B363" s="274"/>
      <c r="C363" s="274"/>
      <c r="D363" s="275"/>
      <c r="E363" s="275"/>
      <c r="F363" s="274"/>
      <c r="G363" s="274"/>
      <c r="H363" s="274"/>
      <c r="I363" s="242"/>
    </row>
    <row r="364" spans="1:9" ht="16">
      <c r="A364" s="274"/>
      <c r="B364" s="274"/>
      <c r="C364" s="274"/>
      <c r="D364" s="275"/>
      <c r="E364" s="275"/>
      <c r="F364" s="274"/>
      <c r="G364" s="274"/>
      <c r="H364" s="274"/>
      <c r="I364" s="242"/>
    </row>
    <row r="365" spans="1:9" ht="16">
      <c r="A365" s="274"/>
      <c r="B365" s="274"/>
      <c r="C365" s="274"/>
      <c r="D365" s="275"/>
      <c r="E365" s="275"/>
      <c r="F365" s="274"/>
      <c r="G365" s="274"/>
      <c r="H365" s="274"/>
      <c r="I365" s="242"/>
    </row>
    <row r="366" spans="1:9" ht="16">
      <c r="A366" s="274"/>
      <c r="B366" s="274"/>
      <c r="C366" s="274"/>
      <c r="D366" s="275"/>
      <c r="E366" s="275"/>
      <c r="F366" s="274"/>
      <c r="G366" s="274"/>
      <c r="H366" s="274"/>
      <c r="I366" s="242"/>
    </row>
    <row r="367" spans="1:9" ht="16">
      <c r="A367" s="274"/>
      <c r="B367" s="274"/>
      <c r="C367" s="274"/>
      <c r="D367" s="275"/>
      <c r="E367" s="275"/>
      <c r="F367" s="274"/>
      <c r="G367" s="274"/>
      <c r="H367" s="274"/>
      <c r="I367" s="242"/>
    </row>
    <row r="368" spans="1:9" ht="16">
      <c r="A368" s="274"/>
      <c r="B368" s="274"/>
      <c r="C368" s="274"/>
      <c r="D368" s="275"/>
      <c r="E368" s="275"/>
      <c r="F368" s="274"/>
      <c r="G368" s="274"/>
      <c r="H368" s="274"/>
      <c r="I368" s="242"/>
    </row>
    <row r="369" spans="1:9" ht="16">
      <c r="A369" s="274"/>
      <c r="B369" s="274"/>
      <c r="C369" s="274"/>
      <c r="D369" s="275"/>
      <c r="E369" s="275"/>
      <c r="F369" s="274"/>
      <c r="G369" s="274"/>
      <c r="H369" s="274"/>
      <c r="I369" s="242"/>
    </row>
    <row r="370" spans="1:9" ht="16">
      <c r="A370" s="274"/>
      <c r="B370" s="274"/>
      <c r="C370" s="274"/>
      <c r="D370" s="275"/>
      <c r="E370" s="275"/>
      <c r="F370" s="274"/>
      <c r="G370" s="274"/>
      <c r="H370" s="274"/>
      <c r="I370" s="242"/>
    </row>
    <row r="371" spans="1:9" ht="16">
      <c r="A371" s="274"/>
      <c r="B371" s="274"/>
      <c r="C371" s="274"/>
      <c r="D371" s="275"/>
      <c r="E371" s="275"/>
      <c r="F371" s="274"/>
      <c r="G371" s="274"/>
      <c r="H371" s="274"/>
      <c r="I371" s="242"/>
    </row>
    <row r="372" spans="1:9" ht="16">
      <c r="A372" s="274"/>
      <c r="B372" s="274"/>
      <c r="C372" s="274"/>
      <c r="D372" s="275"/>
      <c r="E372" s="275"/>
      <c r="F372" s="274"/>
      <c r="G372" s="274"/>
      <c r="H372" s="274"/>
      <c r="I372" s="242"/>
    </row>
    <row r="373" spans="1:9" ht="16">
      <c r="A373" s="274"/>
      <c r="B373" s="274"/>
      <c r="C373" s="274"/>
      <c r="D373" s="275"/>
      <c r="E373" s="275"/>
      <c r="F373" s="274"/>
      <c r="G373" s="274"/>
      <c r="H373" s="274"/>
      <c r="I373" s="242"/>
    </row>
    <row r="374" spans="1:9" ht="16">
      <c r="A374" s="274"/>
      <c r="B374" s="274"/>
      <c r="C374" s="274"/>
      <c r="D374" s="275"/>
      <c r="E374" s="275"/>
      <c r="F374" s="274"/>
      <c r="G374" s="274"/>
      <c r="H374" s="274"/>
      <c r="I374" s="242"/>
    </row>
    <row r="375" spans="1:9" ht="16">
      <c r="A375" s="274"/>
      <c r="B375" s="274"/>
      <c r="C375" s="274"/>
      <c r="D375" s="275"/>
      <c r="E375" s="275"/>
      <c r="F375" s="274"/>
      <c r="G375" s="274"/>
      <c r="H375" s="274"/>
      <c r="I375" s="242"/>
    </row>
    <row r="376" spans="1:9" ht="16">
      <c r="A376" s="274"/>
      <c r="B376" s="274"/>
      <c r="C376" s="274"/>
      <c r="D376" s="275"/>
      <c r="E376" s="275"/>
      <c r="F376" s="274"/>
      <c r="G376" s="274"/>
      <c r="H376" s="274"/>
      <c r="I376" s="242"/>
    </row>
    <row r="377" spans="1:9" ht="16">
      <c r="A377" s="274"/>
      <c r="B377" s="274"/>
      <c r="C377" s="274"/>
      <c r="D377" s="275"/>
      <c r="E377" s="275"/>
      <c r="F377" s="274"/>
      <c r="G377" s="274"/>
      <c r="H377" s="274"/>
      <c r="I377" s="242"/>
    </row>
    <row r="378" spans="1:9" ht="16">
      <c r="A378" s="274"/>
      <c r="B378" s="274"/>
      <c r="C378" s="274"/>
      <c r="D378" s="275"/>
      <c r="E378" s="275"/>
      <c r="F378" s="274"/>
      <c r="G378" s="274"/>
      <c r="H378" s="274"/>
      <c r="I378" s="242"/>
    </row>
    <row r="379" spans="1:9" ht="16">
      <c r="A379" s="274"/>
      <c r="B379" s="274"/>
      <c r="C379" s="274"/>
      <c r="D379" s="275"/>
      <c r="E379" s="275"/>
      <c r="F379" s="274"/>
      <c r="G379" s="274"/>
      <c r="H379" s="274"/>
      <c r="I379" s="242"/>
    </row>
    <row r="380" spans="1:9" ht="16">
      <c r="A380" s="274"/>
      <c r="B380" s="274"/>
      <c r="C380" s="274"/>
      <c r="D380" s="275"/>
      <c r="E380" s="275"/>
      <c r="F380" s="274"/>
      <c r="G380" s="274"/>
      <c r="H380" s="274"/>
      <c r="I380" s="242"/>
    </row>
    <row r="381" spans="1:9" ht="16">
      <c r="A381" s="274"/>
      <c r="B381" s="274"/>
      <c r="C381" s="274"/>
      <c r="D381" s="275"/>
      <c r="E381" s="275"/>
      <c r="F381" s="274"/>
      <c r="G381" s="274"/>
      <c r="H381" s="274"/>
      <c r="I381" s="242"/>
    </row>
    <row r="382" spans="1:9" ht="16">
      <c r="A382" s="274"/>
      <c r="B382" s="274"/>
      <c r="C382" s="274"/>
      <c r="D382" s="275"/>
      <c r="E382" s="275"/>
      <c r="F382" s="274"/>
      <c r="G382" s="274"/>
      <c r="H382" s="274"/>
      <c r="I382" s="242"/>
    </row>
    <row r="383" spans="1:9" ht="16">
      <c r="A383" s="274"/>
      <c r="B383" s="274"/>
      <c r="C383" s="274"/>
      <c r="D383" s="275"/>
      <c r="E383" s="275"/>
      <c r="F383" s="274"/>
      <c r="G383" s="274"/>
      <c r="H383" s="274"/>
      <c r="I383" s="242"/>
    </row>
    <row r="384" spans="1:9" ht="16">
      <c r="A384" s="274"/>
      <c r="B384" s="274"/>
      <c r="C384" s="274"/>
      <c r="D384" s="275"/>
      <c r="E384" s="275"/>
      <c r="F384" s="274"/>
      <c r="G384" s="274"/>
      <c r="H384" s="274"/>
      <c r="I384" s="242"/>
    </row>
    <row r="385" spans="1:9" ht="16">
      <c r="A385" s="274"/>
      <c r="B385" s="274"/>
      <c r="C385" s="274"/>
      <c r="D385" s="275"/>
      <c r="E385" s="275"/>
      <c r="F385" s="274"/>
      <c r="G385" s="274"/>
      <c r="H385" s="274"/>
      <c r="I385" s="242"/>
    </row>
    <row r="386" spans="1:9" ht="16">
      <c r="A386" s="274"/>
      <c r="B386" s="274"/>
      <c r="C386" s="274"/>
      <c r="D386" s="275"/>
      <c r="E386" s="275"/>
      <c r="F386" s="274"/>
      <c r="G386" s="274"/>
      <c r="H386" s="274"/>
      <c r="I386" s="242"/>
    </row>
    <row r="387" spans="1:9" ht="16">
      <c r="A387" s="274"/>
      <c r="B387" s="274"/>
      <c r="C387" s="274"/>
      <c r="D387" s="275"/>
      <c r="E387" s="275"/>
      <c r="F387" s="274"/>
      <c r="G387" s="274"/>
      <c r="H387" s="274"/>
      <c r="I387" s="242"/>
    </row>
    <row r="388" spans="1:9" ht="16">
      <c r="A388" s="274"/>
      <c r="B388" s="274"/>
      <c r="C388" s="274"/>
      <c r="D388" s="275"/>
      <c r="E388" s="275"/>
      <c r="F388" s="274"/>
      <c r="G388" s="274"/>
      <c r="H388" s="274"/>
      <c r="I388" s="242"/>
    </row>
    <row r="389" spans="1:9" ht="16">
      <c r="A389" s="274"/>
      <c r="B389" s="274"/>
      <c r="C389" s="274"/>
      <c r="D389" s="275"/>
      <c r="E389" s="275"/>
      <c r="F389" s="274"/>
      <c r="G389" s="274"/>
      <c r="H389" s="274"/>
      <c r="I389" s="242"/>
    </row>
    <row r="390" spans="1:9" ht="16">
      <c r="A390" s="274"/>
      <c r="B390" s="274"/>
      <c r="C390" s="274"/>
      <c r="D390" s="275"/>
      <c r="E390" s="275"/>
      <c r="F390" s="274"/>
      <c r="G390" s="274"/>
      <c r="H390" s="274"/>
      <c r="I390" s="242"/>
    </row>
    <row r="391" spans="1:9" ht="16">
      <c r="A391" s="274"/>
      <c r="B391" s="274"/>
      <c r="C391" s="274"/>
      <c r="D391" s="275"/>
      <c r="E391" s="275"/>
      <c r="F391" s="274"/>
      <c r="G391" s="274"/>
      <c r="H391" s="274"/>
      <c r="I391" s="242"/>
    </row>
    <row r="392" spans="1:9" ht="16">
      <c r="A392" s="274"/>
      <c r="B392" s="274"/>
      <c r="C392" s="274"/>
      <c r="D392" s="275"/>
      <c r="E392" s="275"/>
      <c r="F392" s="274"/>
      <c r="G392" s="274"/>
      <c r="H392" s="274"/>
      <c r="I392" s="242"/>
    </row>
    <row r="393" spans="1:9" ht="16">
      <c r="A393" s="274"/>
      <c r="B393" s="274"/>
      <c r="C393" s="274"/>
      <c r="D393" s="275"/>
      <c r="E393" s="275"/>
      <c r="F393" s="274"/>
      <c r="G393" s="274"/>
      <c r="H393" s="274"/>
      <c r="I393" s="242"/>
    </row>
    <row r="394" spans="1:9" ht="16">
      <c r="A394" s="274"/>
      <c r="B394" s="274"/>
      <c r="C394" s="274"/>
      <c r="D394" s="275"/>
      <c r="E394" s="275"/>
      <c r="F394" s="274"/>
      <c r="G394" s="274"/>
      <c r="H394" s="274"/>
      <c r="I394" s="242"/>
    </row>
    <row r="395" spans="1:9" ht="16">
      <c r="A395" s="274"/>
      <c r="B395" s="274"/>
      <c r="C395" s="274"/>
      <c r="D395" s="275"/>
      <c r="E395" s="275"/>
      <c r="F395" s="274"/>
      <c r="G395" s="274"/>
      <c r="H395" s="274"/>
      <c r="I395" s="242"/>
    </row>
    <row r="396" spans="1:9" ht="16">
      <c r="A396" s="274"/>
      <c r="B396" s="274"/>
      <c r="C396" s="274"/>
      <c r="D396" s="275"/>
      <c r="E396" s="275"/>
      <c r="F396" s="274"/>
      <c r="G396" s="274"/>
      <c r="H396" s="274"/>
      <c r="I396" s="242"/>
    </row>
    <row r="397" spans="1:9" ht="16">
      <c r="A397" s="274"/>
      <c r="B397" s="274"/>
      <c r="C397" s="274"/>
      <c r="D397" s="275"/>
      <c r="E397" s="275"/>
      <c r="F397" s="274"/>
      <c r="G397" s="274"/>
      <c r="H397" s="274"/>
      <c r="I397" s="242"/>
    </row>
    <row r="398" spans="1:9" ht="16">
      <c r="A398" s="274"/>
      <c r="B398" s="274"/>
      <c r="C398" s="274"/>
      <c r="D398" s="275"/>
      <c r="E398" s="275"/>
      <c r="F398" s="274"/>
      <c r="G398" s="274"/>
      <c r="H398" s="274"/>
      <c r="I398" s="242"/>
    </row>
    <row r="399" spans="1:9" ht="16">
      <c r="A399" s="274"/>
      <c r="B399" s="274"/>
      <c r="C399" s="274"/>
      <c r="D399" s="275"/>
      <c r="E399" s="275"/>
      <c r="F399" s="274"/>
      <c r="G399" s="274"/>
      <c r="H399" s="274"/>
      <c r="I399" s="242"/>
    </row>
    <row r="400" spans="1:9" ht="16">
      <c r="A400" s="274"/>
      <c r="B400" s="274"/>
      <c r="C400" s="274"/>
      <c r="D400" s="275"/>
      <c r="E400" s="275"/>
      <c r="F400" s="274"/>
      <c r="G400" s="274"/>
      <c r="H400" s="274"/>
      <c r="I400" s="242"/>
    </row>
    <row r="401" spans="1:9" ht="16">
      <c r="A401" s="274"/>
      <c r="B401" s="274"/>
      <c r="C401" s="274"/>
      <c r="D401" s="275"/>
      <c r="E401" s="275"/>
      <c r="F401" s="274"/>
      <c r="G401" s="274"/>
      <c r="H401" s="274"/>
      <c r="I401" s="242"/>
    </row>
    <row r="402" spans="1:9" ht="16">
      <c r="A402" s="274"/>
      <c r="B402" s="274"/>
      <c r="C402" s="274"/>
      <c r="D402" s="275"/>
      <c r="E402" s="275"/>
      <c r="F402" s="274"/>
      <c r="G402" s="274"/>
      <c r="H402" s="274"/>
      <c r="I402" s="242"/>
    </row>
    <row r="403" spans="1:9" ht="16">
      <c r="A403" s="274"/>
      <c r="B403" s="274"/>
      <c r="C403" s="274"/>
      <c r="D403" s="275"/>
      <c r="E403" s="275"/>
      <c r="F403" s="274"/>
      <c r="G403" s="274"/>
      <c r="H403" s="274"/>
      <c r="I403" s="242"/>
    </row>
    <row r="404" spans="1:9" ht="16">
      <c r="A404" s="274"/>
      <c r="B404" s="274"/>
      <c r="C404" s="274"/>
      <c r="D404" s="275"/>
      <c r="E404" s="275"/>
      <c r="F404" s="274"/>
      <c r="G404" s="274"/>
      <c r="H404" s="274"/>
      <c r="I404" s="242"/>
    </row>
    <row r="405" spans="1:9" ht="16">
      <c r="A405" s="274"/>
      <c r="B405" s="274"/>
      <c r="C405" s="274"/>
      <c r="D405" s="275"/>
      <c r="E405" s="275"/>
      <c r="F405" s="274"/>
      <c r="G405" s="274"/>
      <c r="H405" s="274"/>
      <c r="I405" s="242"/>
    </row>
    <row r="406" spans="1:9" ht="16">
      <c r="A406" s="274"/>
      <c r="B406" s="274"/>
      <c r="C406" s="274"/>
      <c r="D406" s="275"/>
      <c r="E406" s="275"/>
      <c r="F406" s="274"/>
      <c r="G406" s="274"/>
      <c r="H406" s="274"/>
      <c r="I406" s="242"/>
    </row>
    <row r="407" spans="1:9" ht="16">
      <c r="A407" s="274"/>
      <c r="B407" s="274"/>
      <c r="C407" s="274"/>
      <c r="D407" s="275"/>
      <c r="E407" s="275"/>
      <c r="F407" s="274"/>
      <c r="G407" s="274"/>
      <c r="H407" s="274"/>
      <c r="I407" s="242"/>
    </row>
    <row r="408" spans="1:9" ht="16">
      <c r="A408" s="274"/>
      <c r="B408" s="274"/>
      <c r="C408" s="274"/>
      <c r="D408" s="275"/>
      <c r="E408" s="275"/>
      <c r="F408" s="274"/>
      <c r="G408" s="274"/>
      <c r="H408" s="274"/>
      <c r="I408" s="242"/>
    </row>
    <row r="409" spans="1:9" ht="16">
      <c r="A409" s="274"/>
      <c r="B409" s="274"/>
      <c r="C409" s="274"/>
      <c r="D409" s="275"/>
      <c r="E409" s="275"/>
      <c r="F409" s="274"/>
      <c r="G409" s="274"/>
      <c r="H409" s="274"/>
      <c r="I409" s="242"/>
    </row>
    <row r="410" spans="1:9" ht="16">
      <c r="A410" s="274"/>
      <c r="B410" s="274"/>
      <c r="C410" s="274"/>
      <c r="D410" s="275"/>
      <c r="E410" s="275"/>
      <c r="F410" s="274"/>
      <c r="G410" s="274"/>
      <c r="H410" s="274"/>
      <c r="I410" s="242"/>
    </row>
    <row r="411" spans="1:9" ht="16">
      <c r="A411" s="274"/>
      <c r="B411" s="274"/>
      <c r="C411" s="274"/>
      <c r="D411" s="275"/>
      <c r="E411" s="275"/>
      <c r="F411" s="274"/>
      <c r="G411" s="274"/>
      <c r="H411" s="274"/>
      <c r="I411" s="242"/>
    </row>
    <row r="412" spans="1:9" ht="16">
      <c r="A412" s="274"/>
      <c r="B412" s="274"/>
      <c r="C412" s="274"/>
      <c r="D412" s="275"/>
      <c r="E412" s="275"/>
      <c r="F412" s="274"/>
      <c r="G412" s="274"/>
      <c r="H412" s="274"/>
      <c r="I412" s="242"/>
    </row>
    <row r="413" spans="1:9" ht="16">
      <c r="A413" s="274"/>
      <c r="B413" s="274"/>
      <c r="C413" s="274"/>
      <c r="D413" s="275"/>
      <c r="E413" s="275"/>
      <c r="F413" s="274"/>
      <c r="G413" s="274"/>
      <c r="H413" s="274"/>
      <c r="I413" s="242"/>
    </row>
    <row r="414" spans="1:9" ht="16">
      <c r="A414" s="274"/>
      <c r="B414" s="274"/>
      <c r="C414" s="274"/>
      <c r="D414" s="275"/>
      <c r="E414" s="275"/>
      <c r="F414" s="274"/>
      <c r="G414" s="274"/>
      <c r="H414" s="274"/>
      <c r="I414" s="242"/>
    </row>
    <row r="415" spans="1:9" ht="16">
      <c r="A415" s="274"/>
      <c r="B415" s="274"/>
      <c r="C415" s="274"/>
      <c r="D415" s="275"/>
      <c r="E415" s="275"/>
      <c r="F415" s="274"/>
      <c r="G415" s="274"/>
      <c r="H415" s="274"/>
      <c r="I415" s="242"/>
    </row>
    <row r="416" spans="1:9" ht="16">
      <c r="A416" s="274"/>
      <c r="B416" s="274"/>
      <c r="C416" s="274"/>
      <c r="D416" s="275"/>
      <c r="E416" s="275"/>
      <c r="F416" s="274"/>
      <c r="G416" s="274"/>
      <c r="H416" s="274"/>
      <c r="I416" s="242"/>
    </row>
    <row r="417" spans="1:9" ht="16">
      <c r="A417" s="274"/>
      <c r="B417" s="274"/>
      <c r="C417" s="274"/>
      <c r="D417" s="275"/>
      <c r="E417" s="275"/>
      <c r="F417" s="274"/>
      <c r="G417" s="274"/>
      <c r="H417" s="274"/>
      <c r="I417" s="242"/>
    </row>
    <row r="418" spans="1:9" ht="16">
      <c r="A418" s="274"/>
      <c r="B418" s="274"/>
      <c r="C418" s="274"/>
      <c r="D418" s="275"/>
      <c r="E418" s="275"/>
      <c r="F418" s="274"/>
      <c r="G418" s="274"/>
      <c r="H418" s="274"/>
      <c r="I418" s="242"/>
    </row>
    <row r="419" spans="1:9" ht="16">
      <c r="A419" s="274"/>
      <c r="B419" s="274"/>
      <c r="C419" s="274"/>
      <c r="D419" s="275"/>
      <c r="E419" s="275"/>
      <c r="F419" s="274"/>
      <c r="G419" s="274"/>
      <c r="H419" s="274"/>
      <c r="I419" s="242"/>
    </row>
    <row r="420" spans="1:9" ht="16">
      <c r="A420" s="274"/>
      <c r="B420" s="274"/>
      <c r="C420" s="274"/>
      <c r="D420" s="275"/>
      <c r="E420" s="275"/>
      <c r="F420" s="274"/>
      <c r="G420" s="274"/>
      <c r="H420" s="274"/>
      <c r="I420" s="242"/>
    </row>
    <row r="421" spans="1:9" ht="16">
      <c r="A421" s="274"/>
      <c r="B421" s="274"/>
      <c r="C421" s="274"/>
      <c r="D421" s="275"/>
      <c r="E421" s="275"/>
      <c r="F421" s="274"/>
      <c r="G421" s="274"/>
      <c r="H421" s="274"/>
      <c r="I421" s="242"/>
    </row>
    <row r="422" spans="1:9" ht="16">
      <c r="A422" s="274"/>
      <c r="B422" s="274"/>
      <c r="C422" s="274"/>
      <c r="D422" s="275"/>
      <c r="E422" s="275"/>
      <c r="F422" s="274"/>
      <c r="G422" s="274"/>
      <c r="H422" s="274"/>
      <c r="I422" s="242"/>
    </row>
    <row r="423" spans="1:9" ht="16">
      <c r="A423" s="274"/>
      <c r="B423" s="274"/>
      <c r="C423" s="274"/>
      <c r="D423" s="275"/>
      <c r="E423" s="275"/>
      <c r="F423" s="274"/>
      <c r="G423" s="274"/>
      <c r="H423" s="274"/>
      <c r="I423" s="242"/>
    </row>
    <row r="424" spans="1:9" ht="16">
      <c r="A424" s="274"/>
      <c r="B424" s="274"/>
      <c r="C424" s="274"/>
      <c r="D424" s="275"/>
      <c r="E424" s="275"/>
      <c r="F424" s="274"/>
      <c r="G424" s="274"/>
      <c r="H424" s="274"/>
      <c r="I424" s="242"/>
    </row>
    <row r="425" spans="1:9" ht="16">
      <c r="A425" s="274"/>
      <c r="B425" s="274"/>
      <c r="C425" s="274"/>
      <c r="D425" s="275"/>
      <c r="E425" s="275"/>
      <c r="F425" s="274"/>
      <c r="G425" s="274"/>
      <c r="H425" s="274"/>
      <c r="I425" s="242"/>
    </row>
    <row r="426" spans="1:9" ht="16">
      <c r="A426" s="274"/>
      <c r="B426" s="274"/>
      <c r="C426" s="274"/>
      <c r="D426" s="275"/>
      <c r="E426" s="275"/>
      <c r="F426" s="274"/>
      <c r="G426" s="274"/>
      <c r="H426" s="274"/>
      <c r="I426" s="242"/>
    </row>
    <row r="427" spans="1:9" ht="16">
      <c r="A427" s="274"/>
      <c r="B427" s="274"/>
      <c r="C427" s="274"/>
      <c r="D427" s="275"/>
      <c r="E427" s="275"/>
      <c r="F427" s="274"/>
      <c r="G427" s="274"/>
      <c r="H427" s="274"/>
      <c r="I427" s="242"/>
    </row>
    <row r="428" spans="1:9" ht="16">
      <c r="A428" s="274"/>
      <c r="B428" s="274"/>
      <c r="C428" s="274"/>
      <c r="D428" s="275"/>
      <c r="E428" s="275"/>
      <c r="F428" s="274"/>
      <c r="G428" s="274"/>
      <c r="H428" s="274"/>
      <c r="I428" s="242"/>
    </row>
    <row r="429" spans="1:9" ht="16">
      <c r="A429" s="274"/>
      <c r="B429" s="274"/>
      <c r="C429" s="274"/>
      <c r="D429" s="275"/>
      <c r="E429" s="275"/>
      <c r="F429" s="274"/>
      <c r="G429" s="274"/>
      <c r="H429" s="274"/>
      <c r="I429" s="242"/>
    </row>
    <row r="430" spans="1:9" ht="16">
      <c r="A430" s="274"/>
      <c r="B430" s="274"/>
      <c r="C430" s="274"/>
      <c r="D430" s="275"/>
      <c r="E430" s="275"/>
      <c r="F430" s="274"/>
      <c r="G430" s="274"/>
      <c r="H430" s="274"/>
      <c r="I430" s="242"/>
    </row>
    <row r="431" spans="1:9" ht="16">
      <c r="A431" s="274"/>
      <c r="B431" s="274"/>
      <c r="C431" s="274"/>
      <c r="D431" s="275"/>
      <c r="E431" s="275"/>
      <c r="F431" s="274"/>
      <c r="G431" s="274"/>
      <c r="H431" s="274"/>
      <c r="I431" s="242"/>
    </row>
    <row r="432" spans="1:9" ht="16">
      <c r="A432" s="274"/>
      <c r="B432" s="274"/>
      <c r="C432" s="274"/>
      <c r="D432" s="275"/>
      <c r="E432" s="275"/>
      <c r="F432" s="274"/>
      <c r="G432" s="274"/>
      <c r="H432" s="274"/>
      <c r="I432" s="242"/>
    </row>
    <row r="433" spans="1:9" ht="16">
      <c r="A433" s="274"/>
      <c r="B433" s="274"/>
      <c r="C433" s="274"/>
      <c r="D433" s="275"/>
      <c r="E433" s="275"/>
      <c r="F433" s="274"/>
      <c r="G433" s="274"/>
      <c r="H433" s="274"/>
      <c r="I433" s="242"/>
    </row>
    <row r="434" spans="1:9" ht="16">
      <c r="A434" s="274"/>
      <c r="B434" s="274"/>
      <c r="C434" s="274"/>
      <c r="D434" s="275"/>
      <c r="E434" s="275"/>
      <c r="F434" s="274"/>
      <c r="G434" s="274"/>
      <c r="H434" s="274"/>
      <c r="I434" s="242"/>
    </row>
    <row r="435" spans="1:9" ht="16">
      <c r="A435" s="274"/>
      <c r="B435" s="274"/>
      <c r="C435" s="274"/>
      <c r="D435" s="275"/>
      <c r="E435" s="275"/>
      <c r="F435" s="274"/>
      <c r="G435" s="274"/>
      <c r="H435" s="274"/>
      <c r="I435" s="242"/>
    </row>
    <row r="436" spans="1:9" ht="16">
      <c r="A436" s="274"/>
      <c r="B436" s="274"/>
      <c r="C436" s="274"/>
      <c r="D436" s="275"/>
      <c r="E436" s="275"/>
      <c r="F436" s="274"/>
      <c r="G436" s="274"/>
      <c r="H436" s="274"/>
      <c r="I436" s="242"/>
    </row>
    <row r="437" spans="1:9" ht="16">
      <c r="A437" s="274"/>
      <c r="B437" s="274"/>
      <c r="C437" s="274"/>
      <c r="D437" s="275"/>
      <c r="E437" s="275"/>
      <c r="F437" s="274"/>
      <c r="G437" s="274"/>
      <c r="H437" s="274"/>
      <c r="I437" s="242"/>
    </row>
    <row r="438" spans="1:9" ht="16">
      <c r="A438" s="274"/>
      <c r="B438" s="274"/>
      <c r="C438" s="274"/>
      <c r="D438" s="275"/>
      <c r="E438" s="275"/>
      <c r="F438" s="274"/>
      <c r="G438" s="274"/>
      <c r="H438" s="274"/>
      <c r="I438" s="242"/>
    </row>
    <row r="439" spans="1:9" ht="16">
      <c r="A439" s="274"/>
      <c r="B439" s="274"/>
      <c r="C439" s="274"/>
      <c r="D439" s="275"/>
      <c r="E439" s="275"/>
      <c r="F439" s="274"/>
      <c r="G439" s="274"/>
      <c r="H439" s="274"/>
      <c r="I439" s="242"/>
    </row>
    <row r="440" spans="1:9" ht="16">
      <c r="A440" s="274"/>
      <c r="B440" s="274"/>
      <c r="C440" s="274"/>
      <c r="D440" s="275"/>
      <c r="E440" s="275"/>
      <c r="F440" s="274"/>
      <c r="G440" s="274"/>
      <c r="H440" s="274"/>
      <c r="I440" s="242"/>
    </row>
    <row r="441" spans="1:9" ht="16">
      <c r="A441" s="274"/>
      <c r="B441" s="274"/>
      <c r="C441" s="274"/>
      <c r="D441" s="275"/>
      <c r="E441" s="275"/>
      <c r="F441" s="274"/>
      <c r="G441" s="274"/>
      <c r="H441" s="274"/>
      <c r="I441" s="242"/>
    </row>
    <row r="442" spans="1:9" ht="16">
      <c r="A442" s="274"/>
      <c r="B442" s="274"/>
      <c r="C442" s="274"/>
      <c r="D442" s="275"/>
      <c r="E442" s="275"/>
      <c r="F442" s="274"/>
      <c r="G442" s="274"/>
      <c r="H442" s="274"/>
      <c r="I442" s="242"/>
    </row>
    <row r="443" spans="1:9" ht="16">
      <c r="A443" s="274"/>
      <c r="B443" s="274"/>
      <c r="C443" s="274"/>
      <c r="D443" s="275"/>
      <c r="E443" s="275"/>
      <c r="F443" s="274"/>
      <c r="G443" s="274"/>
      <c r="H443" s="274"/>
      <c r="I443" s="242"/>
    </row>
    <row r="444" spans="1:9" ht="16">
      <c r="A444" s="274"/>
      <c r="B444" s="274"/>
      <c r="C444" s="274"/>
      <c r="D444" s="275"/>
      <c r="E444" s="275"/>
      <c r="F444" s="274"/>
      <c r="G444" s="274"/>
      <c r="H444" s="274"/>
      <c r="I444" s="242"/>
    </row>
    <row r="445" spans="1:9" ht="16">
      <c r="A445" s="274"/>
      <c r="B445" s="274"/>
      <c r="C445" s="274"/>
      <c r="D445" s="275"/>
      <c r="E445" s="275"/>
      <c r="F445" s="274"/>
      <c r="G445" s="274"/>
      <c r="H445" s="274"/>
      <c r="I445" s="242"/>
    </row>
    <row r="446" spans="1:9" ht="16">
      <c r="A446" s="274"/>
      <c r="B446" s="274"/>
      <c r="C446" s="274"/>
      <c r="D446" s="275"/>
      <c r="E446" s="275"/>
      <c r="F446" s="274"/>
      <c r="G446" s="274"/>
      <c r="H446" s="274"/>
      <c r="I446" s="242"/>
    </row>
    <row r="447" spans="1:9" ht="16">
      <c r="A447" s="274"/>
      <c r="B447" s="274"/>
      <c r="C447" s="274"/>
      <c r="D447" s="275"/>
      <c r="E447" s="275"/>
      <c r="F447" s="274"/>
      <c r="G447" s="274"/>
      <c r="H447" s="274"/>
      <c r="I447" s="242"/>
    </row>
    <row r="448" spans="1:9" ht="16">
      <c r="A448" s="274"/>
      <c r="B448" s="274"/>
      <c r="C448" s="274"/>
      <c r="D448" s="275"/>
      <c r="E448" s="275"/>
      <c r="F448" s="274"/>
      <c r="G448" s="274"/>
      <c r="H448" s="274"/>
      <c r="I448" s="242"/>
    </row>
    <row r="449" spans="1:9" ht="16">
      <c r="A449" s="274"/>
      <c r="B449" s="274"/>
      <c r="C449" s="274"/>
      <c r="D449" s="275"/>
      <c r="E449" s="275"/>
      <c r="F449" s="274"/>
      <c r="G449" s="274"/>
      <c r="H449" s="274"/>
      <c r="I449" s="242"/>
    </row>
    <row r="450" spans="1:9" ht="16">
      <c r="A450" s="274"/>
      <c r="B450" s="274"/>
      <c r="C450" s="274"/>
      <c r="D450" s="275"/>
      <c r="E450" s="275"/>
      <c r="F450" s="274"/>
      <c r="G450" s="274"/>
      <c r="H450" s="274"/>
      <c r="I450" s="242"/>
    </row>
    <row r="451" spans="1:9" ht="16">
      <c r="A451" s="274"/>
      <c r="B451" s="274"/>
      <c r="C451" s="274"/>
      <c r="D451" s="275"/>
      <c r="E451" s="275"/>
      <c r="F451" s="274"/>
      <c r="G451" s="274"/>
      <c r="H451" s="274"/>
      <c r="I451" s="242"/>
    </row>
    <row r="452" spans="1:9" ht="16">
      <c r="A452" s="274"/>
      <c r="B452" s="274"/>
      <c r="C452" s="274"/>
      <c r="D452" s="275"/>
      <c r="E452" s="275"/>
      <c r="F452" s="274"/>
      <c r="G452" s="274"/>
      <c r="H452" s="274"/>
      <c r="I452" s="242"/>
    </row>
    <row r="453" spans="1:9" ht="16">
      <c r="A453" s="274"/>
      <c r="B453" s="274"/>
      <c r="C453" s="274"/>
      <c r="D453" s="275"/>
      <c r="E453" s="275"/>
      <c r="F453" s="274"/>
      <c r="G453" s="274"/>
      <c r="H453" s="274"/>
      <c r="I453" s="242"/>
    </row>
    <row r="454" spans="1:9" ht="16">
      <c r="A454" s="274"/>
      <c r="B454" s="274"/>
      <c r="C454" s="274"/>
      <c r="D454" s="275"/>
      <c r="E454" s="275"/>
      <c r="F454" s="274"/>
      <c r="G454" s="274"/>
      <c r="H454" s="274"/>
      <c r="I454" s="242"/>
    </row>
    <row r="455" spans="1:9" ht="16">
      <c r="A455" s="274"/>
      <c r="B455" s="274"/>
      <c r="C455" s="274"/>
      <c r="D455" s="275"/>
      <c r="E455" s="275"/>
      <c r="F455" s="274"/>
      <c r="G455" s="274"/>
      <c r="H455" s="274"/>
      <c r="I455" s="242"/>
    </row>
    <row r="456" spans="1:9" ht="16">
      <c r="A456" s="274"/>
      <c r="B456" s="274"/>
      <c r="C456" s="274"/>
      <c r="D456" s="275"/>
      <c r="E456" s="275"/>
      <c r="F456" s="274"/>
      <c r="G456" s="274"/>
      <c r="H456" s="274"/>
      <c r="I456" s="242"/>
    </row>
    <row r="457" spans="1:9" ht="16">
      <c r="A457" s="274"/>
      <c r="B457" s="274"/>
      <c r="C457" s="274"/>
      <c r="D457" s="275"/>
      <c r="E457" s="275"/>
      <c r="F457" s="274"/>
      <c r="G457" s="274"/>
      <c r="H457" s="274"/>
      <c r="I457" s="242"/>
    </row>
    <row r="458" spans="1:9" ht="16">
      <c r="A458" s="274"/>
      <c r="B458" s="274"/>
      <c r="C458" s="274"/>
      <c r="D458" s="275"/>
      <c r="E458" s="275"/>
      <c r="F458" s="274"/>
      <c r="G458" s="274"/>
      <c r="H458" s="274"/>
      <c r="I458" s="242"/>
    </row>
    <row r="459" spans="1:9" ht="16">
      <c r="A459" s="274"/>
      <c r="B459" s="274"/>
      <c r="C459" s="274"/>
      <c r="D459" s="275"/>
      <c r="E459" s="275"/>
      <c r="F459" s="274"/>
      <c r="G459" s="274"/>
      <c r="H459" s="274"/>
      <c r="I459" s="242"/>
    </row>
    <row r="460" spans="1:9" ht="16">
      <c r="A460" s="274"/>
      <c r="B460" s="274"/>
      <c r="C460" s="274"/>
      <c r="D460" s="275"/>
      <c r="E460" s="275"/>
      <c r="F460" s="274"/>
      <c r="G460" s="274"/>
      <c r="H460" s="274"/>
      <c r="I460" s="242"/>
    </row>
    <row r="461" spans="1:9" ht="16">
      <c r="A461" s="274"/>
      <c r="B461" s="274"/>
      <c r="C461" s="274"/>
      <c r="D461" s="275"/>
      <c r="E461" s="275"/>
      <c r="F461" s="274"/>
      <c r="G461" s="274"/>
      <c r="H461" s="274"/>
      <c r="I461" s="242"/>
    </row>
    <row r="462" spans="1:9" ht="16">
      <c r="A462" s="274"/>
      <c r="B462" s="274"/>
      <c r="C462" s="274"/>
      <c r="D462" s="275"/>
      <c r="E462" s="275"/>
      <c r="F462" s="274"/>
      <c r="G462" s="274"/>
      <c r="H462" s="274"/>
      <c r="I462" s="242"/>
    </row>
    <row r="463" spans="1:9" ht="16">
      <c r="A463" s="274"/>
      <c r="B463" s="274"/>
      <c r="C463" s="274"/>
      <c r="D463" s="275"/>
      <c r="E463" s="275"/>
      <c r="F463" s="274"/>
      <c r="G463" s="274"/>
      <c r="H463" s="274"/>
      <c r="I463" s="242"/>
    </row>
    <row r="464" spans="1:9" ht="16">
      <c r="A464" s="274"/>
      <c r="B464" s="274"/>
      <c r="C464" s="274"/>
      <c r="D464" s="275"/>
      <c r="E464" s="275"/>
      <c r="F464" s="274"/>
      <c r="G464" s="274"/>
      <c r="H464" s="274"/>
      <c r="I464" s="242"/>
    </row>
    <row r="465" spans="1:9" ht="16">
      <c r="A465" s="274"/>
      <c r="B465" s="274"/>
      <c r="C465" s="274"/>
      <c r="D465" s="275"/>
      <c r="E465" s="275"/>
      <c r="F465" s="274"/>
      <c r="G465" s="274"/>
      <c r="H465" s="274"/>
      <c r="I465" s="242"/>
    </row>
    <row r="466" spans="1:9" ht="16">
      <c r="A466" s="274"/>
      <c r="B466" s="274"/>
      <c r="C466" s="274"/>
      <c r="D466" s="275"/>
      <c r="E466" s="275"/>
      <c r="F466" s="274"/>
      <c r="G466" s="274"/>
      <c r="H466" s="274"/>
      <c r="I466" s="242"/>
    </row>
    <row r="467" spans="1:9" ht="16">
      <c r="A467" s="274"/>
      <c r="B467" s="274"/>
      <c r="C467" s="274"/>
      <c r="D467" s="275"/>
      <c r="E467" s="275"/>
      <c r="F467" s="274"/>
      <c r="G467" s="274"/>
      <c r="H467" s="274"/>
      <c r="I467" s="242"/>
    </row>
    <row r="468" spans="1:9" ht="16">
      <c r="A468" s="274"/>
      <c r="B468" s="274"/>
      <c r="C468" s="274"/>
      <c r="D468" s="275"/>
      <c r="E468" s="275"/>
      <c r="F468" s="274"/>
      <c r="G468" s="274"/>
      <c r="H468" s="274"/>
      <c r="I468" s="242"/>
    </row>
    <row r="469" spans="1:9" ht="16">
      <c r="A469" s="274"/>
      <c r="B469" s="274"/>
      <c r="C469" s="274"/>
      <c r="D469" s="275"/>
      <c r="E469" s="275"/>
      <c r="F469" s="274"/>
      <c r="G469" s="274"/>
      <c r="H469" s="274"/>
      <c r="I469" s="242"/>
    </row>
    <row r="470" spans="1:9" ht="16">
      <c r="A470" s="274"/>
      <c r="B470" s="274"/>
      <c r="C470" s="274"/>
      <c r="D470" s="275"/>
      <c r="E470" s="275"/>
      <c r="F470" s="274"/>
      <c r="G470" s="274"/>
      <c r="H470" s="274"/>
      <c r="I470" s="242"/>
    </row>
    <row r="471" spans="1:9" ht="16">
      <c r="A471" s="274"/>
      <c r="B471" s="274"/>
      <c r="C471" s="274"/>
      <c r="D471" s="275"/>
      <c r="E471" s="275"/>
      <c r="F471" s="274"/>
      <c r="G471" s="274"/>
      <c r="H471" s="274"/>
      <c r="I471" s="242"/>
    </row>
    <row r="472" spans="1:9" ht="16">
      <c r="A472" s="274"/>
      <c r="B472" s="274"/>
      <c r="C472" s="274"/>
      <c r="D472" s="275"/>
      <c r="E472" s="275"/>
      <c r="F472" s="274"/>
      <c r="G472" s="274"/>
      <c r="H472" s="274"/>
      <c r="I472" s="242"/>
    </row>
    <row r="473" spans="1:9" ht="16">
      <c r="A473" s="274"/>
      <c r="B473" s="274"/>
      <c r="C473" s="274"/>
      <c r="D473" s="275"/>
      <c r="E473" s="275"/>
      <c r="F473" s="274"/>
      <c r="G473" s="274"/>
      <c r="H473" s="274"/>
      <c r="I473" s="242"/>
    </row>
    <row r="474" spans="1:9" ht="16">
      <c r="A474" s="274"/>
      <c r="B474" s="274"/>
      <c r="C474" s="274"/>
      <c r="D474" s="275"/>
      <c r="E474" s="275"/>
      <c r="F474" s="274"/>
      <c r="G474" s="274"/>
      <c r="H474" s="274"/>
      <c r="I474" s="242"/>
    </row>
    <row r="475" spans="1:9" ht="16">
      <c r="A475" s="274"/>
      <c r="B475" s="274"/>
      <c r="C475" s="274"/>
      <c r="D475" s="275"/>
      <c r="E475" s="275"/>
      <c r="F475" s="274"/>
      <c r="G475" s="274"/>
      <c r="H475" s="274"/>
      <c r="I475" s="242"/>
    </row>
    <row r="476" spans="1:9" ht="16">
      <c r="A476" s="274"/>
      <c r="B476" s="274"/>
      <c r="C476" s="274"/>
      <c r="D476" s="275"/>
      <c r="E476" s="275"/>
      <c r="F476" s="274"/>
      <c r="G476" s="274"/>
      <c r="H476" s="274"/>
      <c r="I476" s="242"/>
    </row>
    <row r="477" spans="1:9" ht="16">
      <c r="A477" s="274"/>
      <c r="B477" s="274"/>
      <c r="C477" s="274"/>
      <c r="D477" s="275"/>
      <c r="E477" s="275"/>
      <c r="F477" s="274"/>
      <c r="G477" s="274"/>
      <c r="H477" s="274"/>
      <c r="I477" s="242"/>
    </row>
    <row r="478" spans="1:9" ht="16">
      <c r="A478" s="274"/>
      <c r="B478" s="274"/>
      <c r="C478" s="274"/>
      <c r="D478" s="275"/>
      <c r="E478" s="275"/>
      <c r="F478" s="274"/>
      <c r="G478" s="274"/>
      <c r="H478" s="274"/>
      <c r="I478" s="242"/>
    </row>
    <row r="479" spans="1:9" ht="16">
      <c r="A479" s="274"/>
      <c r="B479" s="274"/>
      <c r="C479" s="274"/>
      <c r="D479" s="275"/>
      <c r="E479" s="275"/>
      <c r="F479" s="274"/>
      <c r="G479" s="274"/>
      <c r="H479" s="274"/>
      <c r="I479" s="242"/>
    </row>
    <row r="480" spans="1:9" ht="16">
      <c r="A480" s="274"/>
      <c r="B480" s="274"/>
      <c r="C480" s="274"/>
      <c r="D480" s="275"/>
      <c r="E480" s="275"/>
      <c r="F480" s="274"/>
      <c r="G480" s="274"/>
      <c r="H480" s="274"/>
      <c r="I480" s="242"/>
    </row>
    <row r="481" spans="1:9" ht="16">
      <c r="A481" s="274"/>
      <c r="B481" s="274"/>
      <c r="C481" s="274"/>
      <c r="D481" s="275"/>
      <c r="E481" s="275"/>
      <c r="F481" s="274"/>
      <c r="G481" s="274"/>
      <c r="H481" s="274"/>
      <c r="I481" s="242"/>
    </row>
    <row r="482" spans="1:9" ht="16">
      <c r="A482" s="274"/>
      <c r="B482" s="274"/>
      <c r="C482" s="274"/>
      <c r="D482" s="275"/>
      <c r="E482" s="275"/>
      <c r="F482" s="274"/>
      <c r="G482" s="274"/>
      <c r="H482" s="274"/>
      <c r="I482" s="242"/>
    </row>
    <row r="483" spans="1:9" ht="16">
      <c r="A483" s="274"/>
      <c r="B483" s="274"/>
      <c r="C483" s="274"/>
      <c r="D483" s="275"/>
      <c r="E483" s="275"/>
      <c r="F483" s="274"/>
      <c r="G483" s="274"/>
      <c r="H483" s="274"/>
      <c r="I483" s="242"/>
    </row>
    <row r="484" spans="1:9" ht="16">
      <c r="A484" s="274"/>
      <c r="B484" s="274"/>
      <c r="C484" s="274"/>
      <c r="D484" s="275"/>
      <c r="E484" s="275"/>
      <c r="F484" s="274"/>
      <c r="G484" s="274"/>
      <c r="H484" s="274"/>
      <c r="I484" s="242"/>
    </row>
    <row r="485" spans="1:9" ht="16">
      <c r="A485" s="274"/>
      <c r="B485" s="274"/>
      <c r="C485" s="274"/>
      <c r="D485" s="275"/>
      <c r="E485" s="275"/>
      <c r="F485" s="274"/>
      <c r="G485" s="274"/>
      <c r="H485" s="274"/>
      <c r="I485" s="242"/>
    </row>
    <row r="486" spans="1:9" ht="16">
      <c r="A486" s="274"/>
      <c r="B486" s="274"/>
      <c r="C486" s="274"/>
      <c r="D486" s="275"/>
      <c r="E486" s="275"/>
      <c r="F486" s="274"/>
      <c r="G486" s="274"/>
      <c r="H486" s="274"/>
      <c r="I486" s="242"/>
    </row>
    <row r="487" spans="1:9" ht="16">
      <c r="A487" s="274"/>
      <c r="B487" s="274"/>
      <c r="C487" s="274"/>
      <c r="D487" s="275"/>
      <c r="E487" s="275"/>
      <c r="F487" s="274"/>
      <c r="G487" s="274"/>
      <c r="H487" s="274"/>
      <c r="I487" s="242"/>
    </row>
    <row r="488" spans="1:9" ht="16">
      <c r="A488" s="274"/>
      <c r="B488" s="274"/>
      <c r="C488" s="274"/>
      <c r="D488" s="275"/>
      <c r="E488" s="275"/>
      <c r="F488" s="274"/>
      <c r="G488" s="274"/>
      <c r="H488" s="274"/>
      <c r="I488" s="242"/>
    </row>
    <row r="489" spans="1:9" ht="16">
      <c r="A489" s="274"/>
      <c r="B489" s="274"/>
      <c r="C489" s="274"/>
      <c r="D489" s="275"/>
      <c r="E489" s="275"/>
      <c r="F489" s="274"/>
      <c r="G489" s="274"/>
      <c r="H489" s="274"/>
      <c r="I489" s="242"/>
    </row>
    <row r="490" spans="1:9" ht="16">
      <c r="A490" s="274"/>
      <c r="B490" s="274"/>
      <c r="C490" s="274"/>
      <c r="D490" s="275"/>
      <c r="E490" s="275"/>
      <c r="F490" s="274"/>
      <c r="G490" s="274"/>
      <c r="H490" s="274"/>
      <c r="I490" s="242"/>
    </row>
    <row r="491" spans="1:9" ht="16">
      <c r="A491" s="274"/>
      <c r="B491" s="274"/>
      <c r="C491" s="274"/>
      <c r="D491" s="275"/>
      <c r="E491" s="275"/>
      <c r="F491" s="274"/>
      <c r="G491" s="274"/>
      <c r="H491" s="274"/>
      <c r="I491" s="242"/>
    </row>
    <row r="492" spans="1:9" ht="16">
      <c r="A492" s="274"/>
      <c r="B492" s="274"/>
      <c r="C492" s="274"/>
      <c r="D492" s="275"/>
      <c r="E492" s="275"/>
      <c r="F492" s="274"/>
      <c r="G492" s="274"/>
      <c r="H492" s="274"/>
      <c r="I492" s="242"/>
    </row>
    <row r="493" spans="1:9" ht="16">
      <c r="A493" s="274"/>
      <c r="B493" s="274"/>
      <c r="C493" s="274"/>
      <c r="D493" s="275"/>
      <c r="E493" s="275"/>
      <c r="F493" s="274"/>
      <c r="G493" s="274"/>
      <c r="H493" s="274"/>
      <c r="I493" s="242"/>
    </row>
    <row r="494" spans="1:9" ht="16">
      <c r="A494" s="274"/>
      <c r="B494" s="274"/>
      <c r="C494" s="274"/>
      <c r="D494" s="275"/>
      <c r="E494" s="275"/>
      <c r="F494" s="274"/>
      <c r="G494" s="274"/>
      <c r="H494" s="274"/>
      <c r="I494" s="242"/>
    </row>
    <row r="495" spans="1:9" ht="16">
      <c r="A495" s="274"/>
      <c r="B495" s="274"/>
      <c r="C495" s="274"/>
      <c r="D495" s="275"/>
      <c r="E495" s="275"/>
      <c r="F495" s="274"/>
      <c r="G495" s="274"/>
      <c r="H495" s="274"/>
      <c r="I495" s="242"/>
    </row>
    <row r="496" spans="1:9" ht="16">
      <c r="A496" s="274"/>
      <c r="B496" s="274"/>
      <c r="C496" s="274"/>
      <c r="D496" s="275"/>
      <c r="E496" s="275"/>
      <c r="F496" s="274"/>
      <c r="G496" s="274"/>
      <c r="H496" s="274"/>
      <c r="I496" s="242"/>
    </row>
    <row r="497" spans="1:9" ht="16">
      <c r="A497" s="274"/>
      <c r="B497" s="274"/>
      <c r="C497" s="274"/>
      <c r="D497" s="275"/>
      <c r="E497" s="275"/>
      <c r="F497" s="274"/>
      <c r="G497" s="274"/>
      <c r="H497" s="274"/>
      <c r="I497" s="242"/>
    </row>
    <row r="498" spans="1:9" ht="16">
      <c r="A498" s="274"/>
      <c r="B498" s="274"/>
      <c r="C498" s="274"/>
      <c r="D498" s="275"/>
      <c r="E498" s="275"/>
      <c r="F498" s="274"/>
      <c r="G498" s="274"/>
      <c r="H498" s="274"/>
      <c r="I498" s="242"/>
    </row>
    <row r="499" spans="1:9" ht="16">
      <c r="A499" s="274"/>
      <c r="B499" s="274"/>
      <c r="C499" s="274"/>
      <c r="D499" s="275"/>
      <c r="E499" s="275"/>
      <c r="F499" s="274"/>
      <c r="G499" s="274"/>
      <c r="H499" s="274"/>
      <c r="I499" s="242"/>
    </row>
    <row r="500" spans="1:9" ht="16">
      <c r="A500" s="274"/>
      <c r="B500" s="274"/>
      <c r="C500" s="274"/>
      <c r="D500" s="275"/>
      <c r="E500" s="275"/>
      <c r="F500" s="274"/>
      <c r="G500" s="274"/>
      <c r="H500" s="274"/>
      <c r="I500" s="242"/>
    </row>
    <row r="501" spans="1:9" ht="16">
      <c r="A501" s="274"/>
      <c r="B501" s="274"/>
      <c r="C501" s="274"/>
      <c r="D501" s="275"/>
      <c r="E501" s="275"/>
      <c r="F501" s="274"/>
      <c r="G501" s="274"/>
      <c r="H501" s="274"/>
      <c r="I501" s="242"/>
    </row>
    <row r="502" spans="1:9" ht="16">
      <c r="A502" s="274"/>
      <c r="B502" s="274"/>
      <c r="C502" s="274"/>
      <c r="D502" s="275"/>
      <c r="E502" s="275"/>
      <c r="F502" s="274"/>
      <c r="G502" s="274"/>
      <c r="H502" s="274"/>
      <c r="I502" s="242"/>
    </row>
    <row r="503" spans="1:9" ht="16">
      <c r="A503" s="274"/>
      <c r="B503" s="274"/>
      <c r="C503" s="274"/>
      <c r="D503" s="275"/>
      <c r="E503" s="275"/>
      <c r="F503" s="274"/>
      <c r="G503" s="274"/>
      <c r="H503" s="274"/>
      <c r="I503" s="242"/>
    </row>
    <row r="504" spans="1:9" ht="16">
      <c r="A504" s="274"/>
      <c r="B504" s="274"/>
      <c r="C504" s="274"/>
      <c r="D504" s="275"/>
      <c r="E504" s="275"/>
      <c r="F504" s="274"/>
      <c r="G504" s="274"/>
      <c r="H504" s="274"/>
      <c r="I504" s="242"/>
    </row>
    <row r="505" spans="1:9" ht="16">
      <c r="A505" s="274"/>
      <c r="B505" s="274"/>
      <c r="C505" s="274"/>
      <c r="D505" s="275"/>
      <c r="E505" s="275"/>
      <c r="F505" s="274"/>
      <c r="G505" s="274"/>
      <c r="H505" s="274"/>
      <c r="I505" s="242"/>
    </row>
    <row r="506" spans="1:9" ht="16">
      <c r="A506" s="274"/>
      <c r="B506" s="274"/>
      <c r="C506" s="274"/>
      <c r="D506" s="275"/>
      <c r="E506" s="275"/>
      <c r="F506" s="274"/>
      <c r="G506" s="274"/>
      <c r="H506" s="274"/>
      <c r="I506" s="242"/>
    </row>
    <row r="507" spans="1:9" ht="16">
      <c r="A507" s="274"/>
      <c r="B507" s="274"/>
      <c r="C507" s="274"/>
      <c r="D507" s="275"/>
      <c r="E507" s="275"/>
      <c r="F507" s="274"/>
      <c r="G507" s="274"/>
      <c r="H507" s="274"/>
      <c r="I507" s="242"/>
    </row>
    <row r="508" spans="1:9" ht="16">
      <c r="A508" s="274"/>
      <c r="B508" s="274"/>
      <c r="C508" s="274"/>
      <c r="D508" s="275"/>
      <c r="E508" s="275"/>
      <c r="F508" s="274"/>
      <c r="G508" s="274"/>
      <c r="H508" s="274"/>
      <c r="I508" s="242"/>
    </row>
    <row r="509" spans="1:9" ht="16">
      <c r="A509" s="274"/>
      <c r="B509" s="274"/>
      <c r="C509" s="274"/>
      <c r="D509" s="275"/>
      <c r="E509" s="275"/>
      <c r="F509" s="274"/>
      <c r="G509" s="274"/>
      <c r="H509" s="274"/>
      <c r="I509" s="242"/>
    </row>
    <row r="510" spans="1:9" ht="16">
      <c r="A510" s="274"/>
      <c r="B510" s="274"/>
      <c r="C510" s="274"/>
      <c r="D510" s="275"/>
      <c r="E510" s="275"/>
      <c r="F510" s="274"/>
      <c r="G510" s="274"/>
      <c r="H510" s="274"/>
      <c r="I510" s="242"/>
    </row>
    <row r="511" spans="1:9" ht="16">
      <c r="A511" s="274"/>
      <c r="B511" s="274"/>
      <c r="C511" s="274"/>
      <c r="D511" s="275"/>
      <c r="E511" s="275"/>
      <c r="F511" s="274"/>
      <c r="G511" s="274"/>
      <c r="H511" s="274"/>
      <c r="I511" s="242"/>
    </row>
    <row r="512" spans="1:9" ht="16">
      <c r="A512" s="274"/>
      <c r="B512" s="274"/>
      <c r="C512" s="274"/>
      <c r="D512" s="275"/>
      <c r="E512" s="275"/>
      <c r="F512" s="274"/>
      <c r="G512" s="274"/>
      <c r="H512" s="274"/>
      <c r="I512" s="242"/>
    </row>
    <row r="513" spans="1:9" ht="16">
      <c r="A513" s="274"/>
      <c r="B513" s="274"/>
      <c r="C513" s="274"/>
      <c r="D513" s="275"/>
      <c r="E513" s="275"/>
      <c r="F513" s="274"/>
      <c r="G513" s="274"/>
      <c r="H513" s="274"/>
      <c r="I513" s="242"/>
    </row>
    <row r="514" spans="1:9" ht="16">
      <c r="A514" s="274"/>
      <c r="B514" s="274"/>
      <c r="C514" s="274"/>
      <c r="D514" s="275"/>
      <c r="E514" s="275"/>
      <c r="F514" s="274"/>
      <c r="G514" s="274"/>
      <c r="H514" s="274"/>
      <c r="I514" s="242"/>
    </row>
    <row r="515" spans="1:9" ht="16">
      <c r="A515" s="274"/>
      <c r="B515" s="274"/>
      <c r="C515" s="274"/>
      <c r="D515" s="275"/>
      <c r="E515" s="275"/>
      <c r="F515" s="274"/>
      <c r="G515" s="274"/>
      <c r="H515" s="274"/>
      <c r="I515" s="242"/>
    </row>
    <row r="516" spans="1:9" ht="16">
      <c r="A516" s="274"/>
      <c r="B516" s="274"/>
      <c r="C516" s="274"/>
      <c r="D516" s="275"/>
      <c r="E516" s="275"/>
      <c r="F516" s="274"/>
      <c r="G516" s="274"/>
      <c r="H516" s="274"/>
      <c r="I516" s="242"/>
    </row>
    <row r="517" spans="1:9" ht="16">
      <c r="A517" s="274"/>
      <c r="B517" s="274"/>
      <c r="C517" s="274"/>
      <c r="D517" s="275"/>
      <c r="E517" s="275"/>
      <c r="F517" s="274"/>
      <c r="G517" s="274"/>
      <c r="H517" s="274"/>
      <c r="I517" s="242"/>
    </row>
    <row r="518" spans="1:9" ht="16">
      <c r="A518" s="274"/>
      <c r="B518" s="274"/>
      <c r="C518" s="274"/>
      <c r="D518" s="275"/>
      <c r="E518" s="275"/>
      <c r="F518" s="274"/>
      <c r="G518" s="274"/>
      <c r="H518" s="274"/>
      <c r="I518" s="242"/>
    </row>
    <row r="519" spans="1:9" ht="16">
      <c r="A519" s="274"/>
      <c r="B519" s="274"/>
      <c r="C519" s="274"/>
      <c r="D519" s="275"/>
      <c r="E519" s="275"/>
      <c r="F519" s="274"/>
      <c r="G519" s="274"/>
      <c r="H519" s="274"/>
      <c r="I519" s="242"/>
    </row>
    <row r="520" spans="1:9" ht="16">
      <c r="A520" s="274"/>
      <c r="B520" s="274"/>
      <c r="C520" s="274"/>
      <c r="D520" s="275"/>
      <c r="E520" s="275"/>
      <c r="F520" s="274"/>
      <c r="G520" s="274"/>
      <c r="H520" s="274"/>
      <c r="I520" s="242"/>
    </row>
    <row r="521" spans="1:9" ht="16">
      <c r="A521" s="274"/>
      <c r="B521" s="274"/>
      <c r="C521" s="274"/>
      <c r="D521" s="275"/>
      <c r="E521" s="275"/>
      <c r="F521" s="274"/>
      <c r="G521" s="274"/>
      <c r="H521" s="274"/>
      <c r="I521" s="242"/>
    </row>
    <row r="522" spans="1:9" ht="16">
      <c r="A522" s="274"/>
      <c r="B522" s="274"/>
      <c r="C522" s="274"/>
      <c r="D522" s="275"/>
      <c r="E522" s="275"/>
      <c r="F522" s="274"/>
      <c r="G522" s="274"/>
      <c r="H522" s="274"/>
      <c r="I522" s="242"/>
    </row>
    <row r="523" spans="1:9" ht="16">
      <c r="A523" s="274"/>
      <c r="B523" s="274"/>
      <c r="C523" s="274"/>
      <c r="D523" s="275"/>
      <c r="E523" s="275"/>
      <c r="F523" s="274"/>
      <c r="G523" s="274"/>
      <c r="H523" s="274"/>
      <c r="I523" s="242"/>
    </row>
    <row r="524" spans="1:9" ht="16">
      <c r="A524" s="274"/>
      <c r="B524" s="274"/>
      <c r="C524" s="274"/>
      <c r="D524" s="275"/>
      <c r="E524" s="275"/>
      <c r="F524" s="274"/>
      <c r="G524" s="274"/>
      <c r="H524" s="274"/>
      <c r="I524" s="242"/>
    </row>
    <row r="525" spans="1:9" ht="16">
      <c r="A525" s="274"/>
      <c r="B525" s="274"/>
      <c r="C525" s="274"/>
      <c r="D525" s="275"/>
      <c r="E525" s="275"/>
      <c r="F525" s="274"/>
      <c r="G525" s="274"/>
      <c r="H525" s="274"/>
      <c r="I525" s="242"/>
    </row>
    <row r="526" spans="1:9" ht="16">
      <c r="A526" s="274"/>
      <c r="B526" s="274"/>
      <c r="C526" s="274"/>
      <c r="D526" s="275"/>
      <c r="E526" s="275"/>
      <c r="F526" s="274"/>
      <c r="G526" s="274"/>
      <c r="H526" s="274"/>
      <c r="I526" s="242"/>
    </row>
    <row r="527" spans="1:9" ht="16">
      <c r="A527" s="274"/>
      <c r="B527" s="274"/>
      <c r="C527" s="274"/>
      <c r="D527" s="275"/>
      <c r="E527" s="275"/>
      <c r="F527" s="274"/>
      <c r="G527" s="274"/>
      <c r="H527" s="274"/>
      <c r="I527" s="242"/>
    </row>
    <row r="528" spans="1:9" ht="16">
      <c r="A528" s="274"/>
      <c r="B528" s="274"/>
      <c r="C528" s="274"/>
      <c r="D528" s="275"/>
      <c r="E528" s="275"/>
      <c r="F528" s="274"/>
      <c r="G528" s="274"/>
      <c r="H528" s="274"/>
      <c r="I528" s="242"/>
    </row>
    <row r="529" spans="1:9" ht="16">
      <c r="A529" s="274"/>
      <c r="B529" s="274"/>
      <c r="C529" s="274"/>
      <c r="D529" s="275"/>
      <c r="E529" s="275"/>
      <c r="F529" s="274"/>
      <c r="G529" s="274"/>
      <c r="H529" s="274"/>
      <c r="I529" s="242"/>
    </row>
    <row r="530" spans="1:9" ht="16">
      <c r="A530" s="274"/>
      <c r="B530" s="274"/>
      <c r="C530" s="274"/>
      <c r="D530" s="275"/>
      <c r="E530" s="275"/>
      <c r="F530" s="274"/>
      <c r="G530" s="274"/>
      <c r="H530" s="274"/>
      <c r="I530" s="242"/>
    </row>
    <row r="531" spans="1:9" ht="16">
      <c r="A531" s="274"/>
      <c r="B531" s="274"/>
      <c r="C531" s="274"/>
      <c r="D531" s="275"/>
      <c r="E531" s="275"/>
      <c r="F531" s="274"/>
      <c r="G531" s="274"/>
      <c r="H531" s="274"/>
      <c r="I531" s="242"/>
    </row>
    <row r="532" spans="1:9" ht="16">
      <c r="A532" s="274"/>
      <c r="B532" s="274"/>
      <c r="C532" s="274"/>
      <c r="D532" s="275"/>
      <c r="E532" s="275"/>
      <c r="F532" s="274"/>
      <c r="G532" s="274"/>
      <c r="H532" s="274"/>
      <c r="I532" s="242"/>
    </row>
    <row r="533" spans="1:9" ht="16">
      <c r="A533" s="274"/>
      <c r="B533" s="274"/>
      <c r="C533" s="274"/>
      <c r="D533" s="275"/>
      <c r="E533" s="275"/>
      <c r="F533" s="274"/>
      <c r="G533" s="274"/>
      <c r="H533" s="274"/>
      <c r="I533" s="242"/>
    </row>
    <row r="534" spans="1:9" ht="16">
      <c r="A534" s="274"/>
      <c r="B534" s="274"/>
      <c r="C534" s="274"/>
      <c r="D534" s="275"/>
      <c r="E534" s="275"/>
      <c r="F534" s="274"/>
      <c r="G534" s="274"/>
      <c r="H534" s="274"/>
      <c r="I534" s="242"/>
    </row>
    <row r="535" spans="1:9" ht="16">
      <c r="A535" s="274"/>
      <c r="B535" s="274"/>
      <c r="C535" s="274"/>
      <c r="D535" s="275"/>
      <c r="E535" s="275"/>
      <c r="F535" s="274"/>
      <c r="G535" s="274"/>
      <c r="H535" s="274"/>
      <c r="I535" s="242"/>
    </row>
    <row r="536" spans="1:9" ht="16">
      <c r="A536" s="274"/>
      <c r="B536" s="274"/>
      <c r="C536" s="274"/>
      <c r="D536" s="275"/>
      <c r="E536" s="275"/>
      <c r="F536" s="274"/>
      <c r="G536" s="274"/>
      <c r="H536" s="274"/>
      <c r="I536" s="242"/>
    </row>
    <row r="537" spans="1:9" ht="16">
      <c r="A537" s="274"/>
      <c r="B537" s="274"/>
      <c r="C537" s="274"/>
      <c r="D537" s="275"/>
      <c r="E537" s="275"/>
      <c r="F537" s="274"/>
      <c r="G537" s="274"/>
      <c r="H537" s="274"/>
      <c r="I537" s="242"/>
    </row>
    <row r="538" spans="1:9" ht="16">
      <c r="A538" s="274"/>
      <c r="B538" s="274"/>
      <c r="C538" s="274"/>
      <c r="D538" s="275"/>
      <c r="E538" s="275"/>
      <c r="F538" s="274"/>
      <c r="G538" s="274"/>
      <c r="H538" s="274"/>
      <c r="I538" s="242"/>
    </row>
    <row r="539" spans="1:9" ht="16">
      <c r="A539" s="274"/>
      <c r="B539" s="274"/>
      <c r="C539" s="274"/>
      <c r="D539" s="275"/>
      <c r="E539" s="275"/>
      <c r="F539" s="274"/>
      <c r="G539" s="274"/>
      <c r="H539" s="274"/>
      <c r="I539" s="242"/>
    </row>
    <row r="540" spans="1:9" ht="16">
      <c r="A540" s="274"/>
      <c r="B540" s="274"/>
      <c r="C540" s="274"/>
      <c r="D540" s="275"/>
      <c r="E540" s="275"/>
      <c r="F540" s="274"/>
      <c r="G540" s="274"/>
      <c r="H540" s="274"/>
      <c r="I540" s="242"/>
    </row>
    <row r="541" spans="1:9" ht="16">
      <c r="A541" s="274"/>
      <c r="B541" s="274"/>
      <c r="C541" s="274"/>
      <c r="D541" s="275"/>
      <c r="E541" s="275"/>
      <c r="F541" s="274"/>
      <c r="G541" s="274"/>
      <c r="H541" s="274"/>
      <c r="I541" s="242"/>
    </row>
    <row r="542" spans="1:9" ht="16">
      <c r="A542" s="274"/>
      <c r="B542" s="274"/>
      <c r="C542" s="274"/>
      <c r="D542" s="275"/>
      <c r="E542" s="275"/>
      <c r="F542" s="274"/>
      <c r="G542" s="274"/>
      <c r="H542" s="274"/>
      <c r="I542" s="242"/>
    </row>
    <row r="543" spans="1:9" ht="16">
      <c r="A543" s="274"/>
      <c r="B543" s="274"/>
      <c r="C543" s="274"/>
      <c r="D543" s="275"/>
      <c r="E543" s="275"/>
      <c r="F543" s="274"/>
      <c r="G543" s="274"/>
      <c r="H543" s="274"/>
      <c r="I543" s="242"/>
    </row>
    <row r="544" spans="1:9" ht="16">
      <c r="A544" s="274"/>
      <c r="B544" s="274"/>
      <c r="C544" s="274"/>
      <c r="D544" s="275"/>
      <c r="E544" s="275"/>
      <c r="F544" s="274"/>
      <c r="G544" s="274"/>
      <c r="H544" s="274"/>
      <c r="I544" s="242"/>
    </row>
    <row r="545" spans="1:9" ht="16">
      <c r="A545" s="274"/>
      <c r="B545" s="274"/>
      <c r="C545" s="274"/>
      <c r="D545" s="275"/>
      <c r="E545" s="275"/>
      <c r="F545" s="274"/>
      <c r="G545" s="274"/>
      <c r="H545" s="274"/>
      <c r="I545" s="242"/>
    </row>
    <row r="546" spans="1:9" ht="16">
      <c r="A546" s="274"/>
      <c r="B546" s="274"/>
      <c r="C546" s="274"/>
      <c r="D546" s="275"/>
      <c r="E546" s="275"/>
      <c r="F546" s="274"/>
      <c r="G546" s="274"/>
      <c r="H546" s="274"/>
      <c r="I546" s="242"/>
    </row>
    <row r="547" spans="1:9" ht="16">
      <c r="A547" s="274"/>
      <c r="B547" s="274"/>
      <c r="C547" s="274"/>
      <c r="D547" s="275"/>
      <c r="E547" s="275"/>
      <c r="F547" s="274"/>
      <c r="G547" s="274"/>
      <c r="H547" s="274"/>
      <c r="I547" s="242"/>
    </row>
    <row r="548" spans="1:9" ht="16">
      <c r="A548" s="274"/>
      <c r="B548" s="274"/>
      <c r="C548" s="274"/>
      <c r="D548" s="275"/>
      <c r="E548" s="275"/>
      <c r="F548" s="274"/>
      <c r="G548" s="274"/>
      <c r="H548" s="274"/>
      <c r="I548" s="242"/>
    </row>
    <row r="549" spans="1:9" ht="16">
      <c r="A549" s="274"/>
      <c r="B549" s="274"/>
      <c r="C549" s="274"/>
      <c r="D549" s="275"/>
      <c r="E549" s="275"/>
      <c r="F549" s="274"/>
      <c r="G549" s="274"/>
      <c r="H549" s="274"/>
      <c r="I549" s="242"/>
    </row>
    <row r="550" spans="1:9" ht="16">
      <c r="A550" s="274"/>
      <c r="B550" s="274"/>
      <c r="C550" s="274"/>
      <c r="D550" s="275"/>
      <c r="E550" s="275"/>
      <c r="F550" s="274"/>
      <c r="G550" s="274"/>
      <c r="H550" s="274"/>
      <c r="I550" s="242"/>
    </row>
    <row r="551" spans="1:9" ht="16">
      <c r="A551" s="274"/>
      <c r="B551" s="274"/>
      <c r="C551" s="274"/>
      <c r="D551" s="275"/>
      <c r="E551" s="275"/>
      <c r="F551" s="274"/>
      <c r="G551" s="274"/>
      <c r="H551" s="274"/>
      <c r="I551" s="242"/>
    </row>
    <row r="552" spans="1:9" ht="16">
      <c r="A552" s="274"/>
      <c r="B552" s="274"/>
      <c r="C552" s="274"/>
      <c r="D552" s="275"/>
      <c r="E552" s="275"/>
      <c r="F552" s="274"/>
      <c r="G552" s="274"/>
      <c r="H552" s="274"/>
      <c r="I552" s="242"/>
    </row>
    <row r="553" spans="1:9" ht="16">
      <c r="A553" s="274"/>
      <c r="B553" s="274"/>
      <c r="C553" s="274"/>
      <c r="D553" s="275"/>
      <c r="E553" s="275"/>
      <c r="F553" s="274"/>
      <c r="G553" s="274"/>
      <c r="H553" s="274"/>
      <c r="I553" s="242"/>
    </row>
    <row r="554" spans="1:9" ht="16">
      <c r="A554" s="274"/>
      <c r="B554" s="274"/>
      <c r="C554" s="274"/>
      <c r="D554" s="275"/>
      <c r="E554" s="275"/>
      <c r="F554" s="274"/>
      <c r="G554" s="274"/>
      <c r="H554" s="274"/>
      <c r="I554" s="242"/>
    </row>
    <row r="555" spans="1:9" ht="16">
      <c r="A555" s="274"/>
      <c r="B555" s="274"/>
      <c r="C555" s="274"/>
      <c r="D555" s="275"/>
      <c r="E555" s="275"/>
      <c r="F555" s="274"/>
      <c r="G555" s="274"/>
      <c r="H555" s="274"/>
      <c r="I555" s="242"/>
    </row>
    <row r="556" spans="1:9" ht="16">
      <c r="A556" s="274"/>
      <c r="B556" s="274"/>
      <c r="C556" s="274"/>
      <c r="D556" s="275"/>
      <c r="E556" s="275"/>
      <c r="F556" s="274"/>
      <c r="G556" s="274"/>
      <c r="H556" s="274"/>
      <c r="I556" s="242"/>
    </row>
    <row r="557" spans="1:9" ht="16">
      <c r="A557" s="274"/>
      <c r="B557" s="274"/>
      <c r="C557" s="274"/>
      <c r="D557" s="275"/>
      <c r="E557" s="275"/>
      <c r="F557" s="274"/>
      <c r="G557" s="274"/>
      <c r="H557" s="274"/>
      <c r="I557" s="242"/>
    </row>
    <row r="558" spans="1:9" ht="16">
      <c r="A558" s="274"/>
      <c r="B558" s="274"/>
      <c r="C558" s="274"/>
      <c r="D558" s="275"/>
      <c r="E558" s="275"/>
      <c r="F558" s="274"/>
      <c r="G558" s="274"/>
      <c r="H558" s="274"/>
      <c r="I558" s="242"/>
    </row>
    <row r="559" spans="1:9" ht="16">
      <c r="A559" s="274"/>
      <c r="B559" s="274"/>
      <c r="C559" s="274"/>
      <c r="D559" s="275"/>
      <c r="E559" s="275"/>
      <c r="F559" s="274"/>
      <c r="G559" s="274"/>
      <c r="H559" s="274"/>
      <c r="I559" s="242"/>
    </row>
    <row r="560" spans="1:9" ht="16">
      <c r="A560" s="274"/>
      <c r="B560" s="274"/>
      <c r="C560" s="274"/>
      <c r="D560" s="275"/>
      <c r="E560" s="275"/>
      <c r="F560" s="274"/>
      <c r="G560" s="274"/>
      <c r="H560" s="274"/>
      <c r="I560" s="242"/>
    </row>
    <row r="561" spans="1:9" ht="16">
      <c r="A561" s="274"/>
      <c r="B561" s="274"/>
      <c r="C561" s="274"/>
      <c r="D561" s="275"/>
      <c r="E561" s="275"/>
      <c r="F561" s="274"/>
      <c r="G561" s="274"/>
      <c r="H561" s="274"/>
      <c r="I561" s="242"/>
    </row>
    <row r="562" spans="1:9" ht="16">
      <c r="A562" s="274"/>
      <c r="B562" s="274"/>
      <c r="C562" s="274"/>
      <c r="D562" s="275"/>
      <c r="E562" s="275"/>
      <c r="F562" s="274"/>
      <c r="G562" s="274"/>
      <c r="H562" s="274"/>
      <c r="I562" s="242"/>
    </row>
    <row r="563" spans="1:9" ht="16">
      <c r="A563" s="274"/>
      <c r="B563" s="274"/>
      <c r="C563" s="274"/>
      <c r="D563" s="275"/>
      <c r="E563" s="275"/>
      <c r="F563" s="274"/>
      <c r="G563" s="274"/>
      <c r="H563" s="274"/>
      <c r="I563" s="242"/>
    </row>
    <row r="564" spans="1:9" ht="16">
      <c r="A564" s="274"/>
      <c r="B564" s="274"/>
      <c r="C564" s="274"/>
      <c r="D564" s="275"/>
      <c r="E564" s="275"/>
      <c r="F564" s="274"/>
      <c r="G564" s="274"/>
      <c r="H564" s="274"/>
      <c r="I564" s="242"/>
    </row>
    <row r="565" spans="1:9" ht="16">
      <c r="A565" s="274"/>
      <c r="B565" s="274"/>
      <c r="C565" s="274"/>
      <c r="D565" s="275"/>
      <c r="E565" s="275"/>
      <c r="F565" s="274"/>
      <c r="G565" s="274"/>
      <c r="H565" s="274"/>
      <c r="I565" s="242"/>
    </row>
    <row r="566" spans="1:9" ht="16">
      <c r="A566" s="274"/>
      <c r="B566" s="274"/>
      <c r="C566" s="274"/>
      <c r="D566" s="275"/>
      <c r="E566" s="275"/>
      <c r="F566" s="274"/>
      <c r="G566" s="274"/>
      <c r="H566" s="274"/>
      <c r="I566" s="242"/>
    </row>
    <row r="567" spans="1:9" ht="16">
      <c r="A567" s="274"/>
      <c r="B567" s="274"/>
      <c r="C567" s="274"/>
      <c r="D567" s="275"/>
      <c r="E567" s="275"/>
      <c r="F567" s="274"/>
      <c r="G567" s="274"/>
      <c r="H567" s="274"/>
      <c r="I567" s="242"/>
    </row>
    <row r="568" spans="1:9" ht="16">
      <c r="A568" s="274"/>
      <c r="B568" s="274"/>
      <c r="C568" s="274"/>
      <c r="D568" s="275"/>
      <c r="E568" s="275"/>
      <c r="F568" s="274"/>
      <c r="G568" s="274"/>
      <c r="H568" s="274"/>
      <c r="I568" s="242"/>
    </row>
    <row r="569" spans="1:9" ht="16">
      <c r="A569" s="274"/>
      <c r="B569" s="274"/>
      <c r="C569" s="274"/>
      <c r="D569" s="275"/>
      <c r="E569" s="275"/>
      <c r="F569" s="274"/>
      <c r="G569" s="274"/>
      <c r="H569" s="274"/>
      <c r="I569" s="242"/>
    </row>
    <row r="570" spans="1:9" ht="16">
      <c r="A570" s="274"/>
      <c r="B570" s="274"/>
      <c r="C570" s="274"/>
      <c r="D570" s="275"/>
      <c r="E570" s="275"/>
      <c r="F570" s="274"/>
      <c r="G570" s="274"/>
      <c r="H570" s="274"/>
      <c r="I570" s="242"/>
    </row>
    <row r="571" spans="1:9" ht="16">
      <c r="A571" s="274"/>
      <c r="B571" s="274"/>
      <c r="C571" s="274"/>
      <c r="D571" s="275"/>
      <c r="E571" s="275"/>
      <c r="F571" s="274"/>
      <c r="G571" s="274"/>
      <c r="H571" s="274"/>
      <c r="I571" s="242"/>
    </row>
    <row r="572" spans="1:9" ht="16">
      <c r="A572" s="274"/>
      <c r="B572" s="274"/>
      <c r="C572" s="274"/>
      <c r="D572" s="275"/>
      <c r="E572" s="275"/>
      <c r="F572" s="274"/>
      <c r="G572" s="274"/>
      <c r="H572" s="274"/>
      <c r="I572" s="242"/>
    </row>
    <row r="573" spans="1:9" ht="16">
      <c r="A573" s="274"/>
      <c r="B573" s="274"/>
      <c r="C573" s="274"/>
      <c r="D573" s="275"/>
      <c r="E573" s="275"/>
      <c r="F573" s="274"/>
      <c r="G573" s="274"/>
      <c r="H573" s="274"/>
      <c r="I573" s="242"/>
    </row>
    <row r="574" spans="1:9" ht="16">
      <c r="A574" s="274"/>
      <c r="B574" s="274"/>
      <c r="C574" s="274"/>
      <c r="D574" s="275"/>
      <c r="E574" s="275"/>
      <c r="F574" s="274"/>
      <c r="G574" s="274"/>
      <c r="H574" s="274"/>
      <c r="I574" s="242"/>
    </row>
    <row r="575" spans="1:9" ht="16">
      <c r="A575" s="274"/>
      <c r="B575" s="274"/>
      <c r="C575" s="274"/>
      <c r="D575" s="275"/>
      <c r="E575" s="275"/>
      <c r="F575" s="274"/>
      <c r="G575" s="274"/>
      <c r="H575" s="274"/>
      <c r="I575" s="242"/>
    </row>
    <row r="576" spans="1:9" ht="16">
      <c r="A576" s="274"/>
      <c r="B576" s="274"/>
      <c r="C576" s="274"/>
      <c r="D576" s="275"/>
      <c r="E576" s="275"/>
      <c r="F576" s="274"/>
      <c r="G576" s="274"/>
      <c r="H576" s="274"/>
      <c r="I576" s="242"/>
    </row>
    <row r="577" spans="1:9" ht="16">
      <c r="A577" s="274"/>
      <c r="B577" s="274"/>
      <c r="C577" s="274"/>
      <c r="D577" s="275"/>
      <c r="E577" s="275"/>
      <c r="F577" s="274"/>
      <c r="G577" s="274"/>
      <c r="H577" s="274"/>
      <c r="I577" s="242"/>
    </row>
    <row r="578" spans="1:9" ht="16">
      <c r="A578" s="274"/>
      <c r="B578" s="274"/>
      <c r="C578" s="274"/>
      <c r="D578" s="275"/>
      <c r="E578" s="275"/>
      <c r="F578" s="274"/>
      <c r="G578" s="274"/>
      <c r="H578" s="274"/>
      <c r="I578" s="242"/>
    </row>
    <row r="579" spans="1:9" ht="16">
      <c r="A579" s="274"/>
      <c r="B579" s="274"/>
      <c r="C579" s="274"/>
      <c r="D579" s="275"/>
      <c r="E579" s="275"/>
      <c r="F579" s="274"/>
      <c r="G579" s="274"/>
      <c r="H579" s="274"/>
      <c r="I579" s="242"/>
    </row>
    <row r="580" spans="1:9" ht="16">
      <c r="A580" s="274"/>
      <c r="B580" s="274"/>
      <c r="C580" s="274"/>
      <c r="D580" s="275"/>
      <c r="E580" s="275"/>
      <c r="F580" s="274"/>
      <c r="G580" s="274"/>
      <c r="H580" s="274"/>
      <c r="I580" s="242"/>
    </row>
    <row r="581" spans="1:9" ht="16">
      <c r="A581" s="274"/>
      <c r="B581" s="274"/>
      <c r="C581" s="274"/>
      <c r="D581" s="275"/>
      <c r="E581" s="275"/>
      <c r="F581" s="274"/>
      <c r="G581" s="274"/>
      <c r="H581" s="274"/>
      <c r="I581" s="242"/>
    </row>
    <row r="582" spans="1:9" ht="16">
      <c r="A582" s="274"/>
      <c r="B582" s="274"/>
      <c r="C582" s="274"/>
      <c r="D582" s="275"/>
      <c r="E582" s="275"/>
      <c r="F582" s="274"/>
      <c r="G582" s="274"/>
      <c r="H582" s="274"/>
      <c r="I582" s="242"/>
    </row>
    <row r="583" spans="1:9" ht="16">
      <c r="A583" s="274"/>
      <c r="B583" s="274"/>
      <c r="C583" s="274"/>
      <c r="D583" s="275"/>
      <c r="E583" s="275"/>
      <c r="F583" s="274"/>
      <c r="G583" s="274"/>
      <c r="H583" s="274"/>
      <c r="I583" s="242"/>
    </row>
    <row r="584" spans="1:9" ht="16">
      <c r="A584" s="274"/>
      <c r="B584" s="274"/>
      <c r="C584" s="274"/>
      <c r="D584" s="275"/>
      <c r="E584" s="275"/>
      <c r="F584" s="274"/>
      <c r="G584" s="274"/>
      <c r="H584" s="274"/>
      <c r="I584" s="242"/>
    </row>
    <row r="585" spans="1:9" ht="16">
      <c r="A585" s="274"/>
      <c r="B585" s="274"/>
      <c r="C585" s="274"/>
      <c r="D585" s="275"/>
      <c r="E585" s="275"/>
      <c r="F585" s="274"/>
      <c r="G585" s="274"/>
      <c r="H585" s="274"/>
      <c r="I585" s="242"/>
    </row>
    <row r="586" spans="1:9" ht="16">
      <c r="A586" s="274"/>
      <c r="B586" s="274"/>
      <c r="C586" s="274"/>
      <c r="D586" s="275"/>
      <c r="E586" s="275"/>
      <c r="F586" s="274"/>
      <c r="G586" s="274"/>
      <c r="H586" s="274"/>
      <c r="I586" s="242"/>
    </row>
    <row r="587" spans="1:9" ht="16">
      <c r="A587" s="274"/>
      <c r="B587" s="274"/>
      <c r="C587" s="274"/>
      <c r="D587" s="275"/>
      <c r="E587" s="275"/>
      <c r="F587" s="274"/>
      <c r="G587" s="274"/>
      <c r="H587" s="274"/>
      <c r="I587" s="242"/>
    </row>
    <row r="588" spans="1:9" ht="16">
      <c r="A588" s="274"/>
      <c r="B588" s="274"/>
      <c r="C588" s="274"/>
      <c r="D588" s="275"/>
      <c r="E588" s="275"/>
      <c r="F588" s="274"/>
      <c r="G588" s="274"/>
      <c r="H588" s="274"/>
      <c r="I588" s="242"/>
    </row>
    <row r="589" spans="1:9" ht="16">
      <c r="A589" s="274"/>
      <c r="B589" s="274"/>
      <c r="C589" s="274"/>
      <c r="D589" s="275"/>
      <c r="E589" s="275"/>
      <c r="F589" s="274"/>
      <c r="G589" s="274"/>
      <c r="H589" s="274"/>
      <c r="I589" s="242"/>
    </row>
    <row r="590" spans="1:9" ht="16">
      <c r="A590" s="274"/>
      <c r="B590" s="274"/>
      <c r="C590" s="274"/>
      <c r="D590" s="275"/>
      <c r="E590" s="275"/>
      <c r="F590" s="274"/>
      <c r="G590" s="274"/>
      <c r="H590" s="274"/>
      <c r="I590" s="242"/>
    </row>
    <row r="591" spans="1:9" ht="16">
      <c r="A591" s="274"/>
      <c r="B591" s="274"/>
      <c r="C591" s="274"/>
      <c r="D591" s="275"/>
      <c r="E591" s="275"/>
      <c r="F591" s="274"/>
      <c r="G591" s="274"/>
      <c r="H591" s="274"/>
      <c r="I591" s="242"/>
    </row>
    <row r="592" spans="1:9" ht="16">
      <c r="A592" s="274"/>
      <c r="B592" s="274"/>
      <c r="C592" s="274"/>
      <c r="D592" s="275"/>
      <c r="E592" s="275"/>
      <c r="F592" s="274"/>
      <c r="G592" s="274"/>
      <c r="H592" s="274"/>
      <c r="I592" s="242"/>
    </row>
    <row r="593" spans="1:9" ht="16">
      <c r="A593" s="274"/>
      <c r="B593" s="274"/>
      <c r="C593" s="274"/>
      <c r="D593" s="275"/>
      <c r="E593" s="275"/>
      <c r="F593" s="274"/>
      <c r="G593" s="274"/>
      <c r="H593" s="274"/>
      <c r="I593" s="242"/>
    </row>
    <row r="594" spans="1:9" ht="16">
      <c r="A594" s="274"/>
      <c r="B594" s="274"/>
      <c r="C594" s="274"/>
      <c r="D594" s="275"/>
      <c r="E594" s="275"/>
      <c r="F594" s="274"/>
      <c r="G594" s="274"/>
      <c r="H594" s="274"/>
      <c r="I594" s="242"/>
    </row>
    <row r="595" spans="1:9" ht="16">
      <c r="A595" s="274"/>
      <c r="B595" s="274"/>
      <c r="C595" s="274"/>
      <c r="D595" s="275"/>
      <c r="E595" s="275"/>
      <c r="F595" s="274"/>
      <c r="G595" s="274"/>
      <c r="H595" s="274"/>
      <c r="I595" s="242"/>
    </row>
    <row r="596" spans="1:9" ht="16">
      <c r="A596" s="274"/>
      <c r="B596" s="274"/>
      <c r="C596" s="274"/>
      <c r="D596" s="275"/>
      <c r="E596" s="275"/>
      <c r="F596" s="274"/>
      <c r="G596" s="274"/>
      <c r="H596" s="274"/>
      <c r="I596" s="242"/>
    </row>
    <row r="597" spans="1:9" ht="16">
      <c r="A597" s="274"/>
      <c r="B597" s="274"/>
      <c r="C597" s="274"/>
      <c r="D597" s="275"/>
      <c r="E597" s="275"/>
      <c r="F597" s="274"/>
      <c r="G597" s="274"/>
      <c r="H597" s="274"/>
      <c r="I597" s="242"/>
    </row>
    <row r="598" spans="1:9" ht="16">
      <c r="A598" s="274"/>
      <c r="B598" s="274"/>
      <c r="C598" s="274"/>
      <c r="D598" s="275"/>
      <c r="E598" s="275"/>
      <c r="F598" s="274"/>
      <c r="G598" s="274"/>
      <c r="H598" s="274"/>
      <c r="I598" s="242"/>
    </row>
    <row r="599" spans="1:9" ht="16">
      <c r="A599" s="274"/>
      <c r="B599" s="274"/>
      <c r="C599" s="274"/>
      <c r="D599" s="275"/>
      <c r="E599" s="275"/>
      <c r="F599" s="274"/>
      <c r="G599" s="274"/>
      <c r="H599" s="274"/>
      <c r="I599" s="242"/>
    </row>
    <row r="600" spans="1:9" ht="16">
      <c r="A600" s="274"/>
      <c r="B600" s="274"/>
      <c r="C600" s="274"/>
      <c r="D600" s="275"/>
      <c r="E600" s="275"/>
      <c r="F600" s="274"/>
      <c r="G600" s="274"/>
      <c r="H600" s="274"/>
      <c r="I600" s="242"/>
    </row>
    <row r="601" spans="1:9" ht="16">
      <c r="A601" s="274"/>
      <c r="B601" s="274"/>
      <c r="C601" s="274"/>
      <c r="D601" s="275"/>
      <c r="E601" s="275"/>
      <c r="F601" s="274"/>
      <c r="G601" s="274"/>
      <c r="H601" s="274"/>
      <c r="I601" s="242"/>
    </row>
    <row r="602" spans="1:9" ht="16">
      <c r="A602" s="274"/>
      <c r="B602" s="274"/>
      <c r="C602" s="274"/>
      <c r="D602" s="275"/>
      <c r="E602" s="275"/>
      <c r="F602" s="274"/>
      <c r="G602" s="274"/>
      <c r="H602" s="274"/>
      <c r="I602" s="242"/>
    </row>
    <row r="603" spans="1:9" ht="16">
      <c r="A603" s="274"/>
      <c r="B603" s="274"/>
      <c r="C603" s="274"/>
      <c r="D603" s="275"/>
      <c r="E603" s="275"/>
      <c r="F603" s="274"/>
      <c r="G603" s="274"/>
      <c r="H603" s="274"/>
      <c r="I603" s="242"/>
    </row>
    <row r="604" spans="1:9" ht="16">
      <c r="A604" s="274"/>
      <c r="B604" s="274"/>
      <c r="C604" s="274"/>
      <c r="D604" s="275"/>
      <c r="E604" s="275"/>
      <c r="F604" s="274"/>
      <c r="G604" s="274"/>
      <c r="H604" s="274"/>
      <c r="I604" s="242"/>
    </row>
    <row r="605" spans="1:9" ht="16">
      <c r="A605" s="274"/>
      <c r="B605" s="274"/>
      <c r="C605" s="274"/>
      <c r="D605" s="275"/>
      <c r="E605" s="275"/>
      <c r="F605" s="274"/>
      <c r="G605" s="274"/>
      <c r="H605" s="274"/>
      <c r="I605" s="242"/>
    </row>
    <row r="606" spans="1:9" ht="16">
      <c r="A606" s="274"/>
      <c r="B606" s="274"/>
      <c r="C606" s="274"/>
      <c r="D606" s="275"/>
      <c r="E606" s="275"/>
      <c r="F606" s="274"/>
      <c r="G606" s="274"/>
      <c r="H606" s="274"/>
      <c r="I606" s="242"/>
    </row>
    <row r="607" spans="1:9" ht="16">
      <c r="A607" s="274"/>
      <c r="B607" s="274"/>
      <c r="C607" s="274"/>
      <c r="D607" s="275"/>
      <c r="E607" s="275"/>
      <c r="F607" s="274"/>
      <c r="G607" s="274"/>
      <c r="H607" s="274"/>
      <c r="I607" s="242"/>
    </row>
    <row r="608" spans="1:9" ht="16">
      <c r="A608" s="274"/>
      <c r="B608" s="274"/>
      <c r="C608" s="274"/>
      <c r="D608" s="275"/>
      <c r="E608" s="275"/>
      <c r="F608" s="274"/>
      <c r="G608" s="274"/>
      <c r="H608" s="274"/>
      <c r="I608" s="242"/>
    </row>
    <row r="609" spans="1:9" ht="16">
      <c r="A609" s="274"/>
      <c r="B609" s="274"/>
      <c r="C609" s="274"/>
      <c r="D609" s="275"/>
      <c r="E609" s="275"/>
      <c r="F609" s="274"/>
      <c r="G609" s="274"/>
      <c r="H609" s="274"/>
      <c r="I609" s="242"/>
    </row>
    <row r="610" spans="1:9" ht="16">
      <c r="A610" s="274"/>
      <c r="B610" s="274"/>
      <c r="C610" s="274"/>
      <c r="D610" s="275"/>
      <c r="E610" s="275"/>
      <c r="F610" s="274"/>
      <c r="G610" s="274"/>
      <c r="H610" s="274"/>
      <c r="I610" s="242"/>
    </row>
    <row r="611" spans="1:9" ht="16">
      <c r="A611" s="274"/>
      <c r="B611" s="274"/>
      <c r="C611" s="274"/>
      <c r="D611" s="275"/>
      <c r="E611" s="275"/>
      <c r="F611" s="274"/>
      <c r="G611" s="274"/>
      <c r="H611" s="274"/>
      <c r="I611" s="242"/>
    </row>
    <row r="612" spans="1:9" ht="16">
      <c r="A612" s="274"/>
      <c r="B612" s="274"/>
      <c r="C612" s="274"/>
      <c r="D612" s="275"/>
      <c r="E612" s="275"/>
      <c r="F612" s="274"/>
      <c r="G612" s="274"/>
      <c r="H612" s="274"/>
      <c r="I612" s="242"/>
    </row>
    <row r="613" spans="1:9" ht="16">
      <c r="A613" s="274"/>
      <c r="B613" s="274"/>
      <c r="C613" s="274"/>
      <c r="D613" s="275"/>
      <c r="E613" s="275"/>
      <c r="F613" s="274"/>
      <c r="G613" s="274"/>
      <c r="H613" s="274"/>
      <c r="I613" s="242"/>
    </row>
    <row r="614" spans="1:9" ht="16">
      <c r="A614" s="274"/>
      <c r="B614" s="274"/>
      <c r="C614" s="274"/>
      <c r="D614" s="275"/>
      <c r="E614" s="275"/>
      <c r="F614" s="274"/>
      <c r="G614" s="274"/>
      <c r="H614" s="274"/>
      <c r="I614" s="242"/>
    </row>
    <row r="615" spans="1:9" ht="16">
      <c r="A615" s="274"/>
      <c r="B615" s="274"/>
      <c r="C615" s="274"/>
      <c r="D615" s="275"/>
      <c r="E615" s="275"/>
      <c r="F615" s="274"/>
      <c r="G615" s="274"/>
      <c r="H615" s="274"/>
      <c r="I615" s="242"/>
    </row>
    <row r="616" spans="1:9" ht="16">
      <c r="A616" s="274"/>
      <c r="B616" s="274"/>
      <c r="C616" s="274"/>
      <c r="D616" s="275"/>
      <c r="E616" s="275"/>
      <c r="F616" s="274"/>
      <c r="G616" s="274"/>
      <c r="H616" s="274"/>
      <c r="I616" s="242"/>
    </row>
    <row r="617" spans="1:9" ht="16">
      <c r="A617" s="274"/>
      <c r="B617" s="274"/>
      <c r="C617" s="274"/>
      <c r="D617" s="275"/>
      <c r="E617" s="275"/>
      <c r="F617" s="274"/>
      <c r="G617" s="274"/>
      <c r="H617" s="274"/>
      <c r="I617" s="242"/>
    </row>
    <row r="618" spans="1:9" ht="16">
      <c r="A618" s="274"/>
      <c r="B618" s="274"/>
      <c r="C618" s="274"/>
      <c r="D618" s="275"/>
      <c r="E618" s="275"/>
      <c r="F618" s="274"/>
      <c r="G618" s="274"/>
      <c r="H618" s="274"/>
      <c r="I618" s="242"/>
    </row>
    <row r="619" spans="1:9" ht="16">
      <c r="A619" s="274"/>
      <c r="B619" s="274"/>
      <c r="C619" s="274"/>
      <c r="D619" s="275"/>
      <c r="E619" s="275"/>
      <c r="F619" s="274"/>
      <c r="G619" s="274"/>
      <c r="H619" s="274"/>
      <c r="I619" s="242"/>
    </row>
    <row r="620" spans="1:9" ht="16">
      <c r="A620" s="274"/>
      <c r="B620" s="274"/>
      <c r="C620" s="274"/>
      <c r="D620" s="275"/>
      <c r="E620" s="275"/>
      <c r="F620" s="274"/>
      <c r="G620" s="274"/>
      <c r="H620" s="274"/>
      <c r="I620" s="242"/>
    </row>
    <row r="621" spans="1:9" ht="16">
      <c r="A621" s="274"/>
      <c r="B621" s="274"/>
      <c r="C621" s="274"/>
      <c r="D621" s="275"/>
      <c r="E621" s="275"/>
      <c r="F621" s="274"/>
      <c r="G621" s="274"/>
      <c r="H621" s="274"/>
      <c r="I621" s="242"/>
    </row>
    <row r="622" spans="1:9" ht="16">
      <c r="A622" s="274"/>
      <c r="B622" s="274"/>
      <c r="C622" s="274"/>
      <c r="D622" s="275"/>
      <c r="E622" s="275"/>
      <c r="F622" s="274"/>
      <c r="G622" s="274"/>
      <c r="H622" s="274"/>
      <c r="I622" s="242"/>
    </row>
    <row r="623" spans="1:9" ht="16">
      <c r="A623" s="274"/>
      <c r="B623" s="274"/>
      <c r="C623" s="274"/>
      <c r="D623" s="275"/>
      <c r="E623" s="275"/>
      <c r="F623" s="274"/>
      <c r="G623" s="274"/>
      <c r="H623" s="274"/>
      <c r="I623" s="242"/>
    </row>
    <row r="624" spans="1:9" ht="16">
      <c r="A624" s="274"/>
      <c r="B624" s="274"/>
      <c r="C624" s="274"/>
      <c r="D624" s="275"/>
      <c r="E624" s="275"/>
      <c r="F624" s="274"/>
      <c r="G624" s="274"/>
      <c r="H624" s="274"/>
      <c r="I624" s="242"/>
    </row>
    <row r="625" spans="1:9" ht="16">
      <c r="A625" s="274"/>
      <c r="B625" s="274"/>
      <c r="C625" s="274"/>
      <c r="D625" s="275"/>
      <c r="E625" s="275"/>
      <c r="F625" s="274"/>
      <c r="G625" s="274"/>
      <c r="H625" s="274"/>
      <c r="I625" s="242"/>
    </row>
    <row r="626" spans="1:9" ht="16">
      <c r="A626" s="274"/>
      <c r="B626" s="274"/>
      <c r="C626" s="274"/>
      <c r="D626" s="275"/>
      <c r="E626" s="275"/>
      <c r="F626" s="274"/>
      <c r="G626" s="274"/>
      <c r="H626" s="274"/>
      <c r="I626" s="242"/>
    </row>
    <row r="627" spans="1:9" ht="16">
      <c r="A627" s="274"/>
      <c r="B627" s="274"/>
      <c r="C627" s="274"/>
      <c r="D627" s="275"/>
      <c r="E627" s="275"/>
      <c r="F627" s="274"/>
      <c r="G627" s="274"/>
      <c r="H627" s="274"/>
      <c r="I627" s="242"/>
    </row>
    <row r="628" spans="1:9" ht="16">
      <c r="A628" s="274"/>
      <c r="B628" s="274"/>
      <c r="C628" s="274"/>
      <c r="D628" s="275"/>
      <c r="E628" s="275"/>
      <c r="F628" s="274"/>
      <c r="G628" s="274"/>
      <c r="H628" s="274"/>
      <c r="I628" s="242"/>
    </row>
    <row r="629" spans="1:9" ht="16">
      <c r="A629" s="274"/>
      <c r="B629" s="274"/>
      <c r="C629" s="274"/>
      <c r="D629" s="275"/>
      <c r="E629" s="275"/>
      <c r="F629" s="274"/>
      <c r="G629" s="274"/>
      <c r="H629" s="274"/>
      <c r="I629" s="242"/>
    </row>
    <row r="630" spans="1:9" ht="16">
      <c r="A630" s="274"/>
      <c r="B630" s="274"/>
      <c r="C630" s="274"/>
      <c r="D630" s="275"/>
      <c r="E630" s="275"/>
      <c r="F630" s="274"/>
      <c r="G630" s="274"/>
      <c r="H630" s="274"/>
      <c r="I630" s="242"/>
    </row>
    <row r="631" spans="1:9" ht="16">
      <c r="A631" s="274"/>
      <c r="B631" s="274"/>
      <c r="C631" s="274"/>
      <c r="D631" s="275"/>
      <c r="E631" s="275"/>
      <c r="F631" s="274"/>
      <c r="G631" s="274"/>
      <c r="H631" s="274"/>
      <c r="I631" s="242"/>
    </row>
    <row r="632" spans="1:9" ht="16">
      <c r="A632" s="274"/>
      <c r="B632" s="274"/>
      <c r="C632" s="274"/>
      <c r="D632" s="275"/>
      <c r="E632" s="275"/>
      <c r="F632" s="274"/>
      <c r="G632" s="274"/>
      <c r="H632" s="274"/>
      <c r="I632" s="242"/>
    </row>
    <row r="633" spans="1:9" ht="16">
      <c r="A633" s="274"/>
      <c r="B633" s="274"/>
      <c r="C633" s="274"/>
      <c r="D633" s="275"/>
      <c r="E633" s="275"/>
      <c r="F633" s="274"/>
      <c r="G633" s="274"/>
      <c r="H633" s="274"/>
      <c r="I633" s="242"/>
    </row>
    <row r="634" spans="1:9" ht="16">
      <c r="A634" s="274"/>
      <c r="B634" s="274"/>
      <c r="C634" s="274"/>
      <c r="D634" s="275"/>
      <c r="E634" s="275"/>
      <c r="F634" s="274"/>
      <c r="G634" s="274"/>
      <c r="H634" s="274"/>
      <c r="I634" s="242"/>
    </row>
    <row r="635" spans="1:9" ht="16">
      <c r="A635" s="274"/>
      <c r="B635" s="274"/>
      <c r="C635" s="274"/>
      <c r="D635" s="275"/>
      <c r="E635" s="275"/>
      <c r="F635" s="274"/>
      <c r="G635" s="274"/>
      <c r="H635" s="274"/>
      <c r="I635" s="242"/>
    </row>
    <row r="636" spans="1:9" ht="16">
      <c r="A636" s="274"/>
      <c r="B636" s="274"/>
      <c r="C636" s="274"/>
      <c r="D636" s="275"/>
      <c r="E636" s="275"/>
      <c r="F636" s="274"/>
      <c r="G636" s="274"/>
      <c r="H636" s="274"/>
      <c r="I636" s="242"/>
    </row>
    <row r="637" spans="1:9" ht="16">
      <c r="A637" s="274"/>
      <c r="B637" s="274"/>
      <c r="C637" s="274"/>
      <c r="D637" s="275"/>
      <c r="E637" s="275"/>
      <c r="F637" s="274"/>
      <c r="G637" s="274"/>
      <c r="H637" s="274"/>
      <c r="I637" s="242"/>
    </row>
    <row r="638" spans="1:9" ht="16">
      <c r="A638" s="274"/>
      <c r="B638" s="274"/>
      <c r="C638" s="274"/>
      <c r="D638" s="275"/>
      <c r="E638" s="275"/>
      <c r="F638" s="274"/>
      <c r="G638" s="274"/>
      <c r="H638" s="274"/>
      <c r="I638" s="242"/>
    </row>
    <row r="639" spans="1:9" ht="16">
      <c r="A639" s="274"/>
      <c r="B639" s="274"/>
      <c r="C639" s="274"/>
      <c r="D639" s="275"/>
      <c r="E639" s="275"/>
      <c r="F639" s="274"/>
      <c r="G639" s="274"/>
      <c r="H639" s="274"/>
      <c r="I639" s="242"/>
    </row>
    <row r="640" spans="1:9" ht="16">
      <c r="A640" s="274"/>
      <c r="B640" s="274"/>
      <c r="C640" s="274"/>
      <c r="D640" s="275"/>
      <c r="E640" s="275"/>
      <c r="F640" s="274"/>
      <c r="G640" s="274"/>
      <c r="H640" s="274"/>
      <c r="I640" s="242"/>
    </row>
    <row r="641" spans="1:9" ht="16">
      <c r="A641" s="274"/>
      <c r="B641" s="274"/>
      <c r="C641" s="274"/>
      <c r="D641" s="275"/>
      <c r="E641" s="275"/>
      <c r="F641" s="274"/>
      <c r="G641" s="274"/>
      <c r="H641" s="274"/>
      <c r="I641" s="242"/>
    </row>
    <row r="642" spans="1:9" ht="16">
      <c r="A642" s="274"/>
      <c r="B642" s="274"/>
      <c r="C642" s="274"/>
      <c r="D642" s="275"/>
      <c r="E642" s="275"/>
      <c r="F642" s="274"/>
      <c r="G642" s="274"/>
      <c r="H642" s="274"/>
      <c r="I642" s="242"/>
    </row>
    <row r="643" spans="1:9" ht="16">
      <c r="A643" s="274"/>
      <c r="B643" s="274"/>
      <c r="C643" s="274"/>
      <c r="D643" s="275"/>
      <c r="E643" s="275"/>
      <c r="F643" s="274"/>
      <c r="G643" s="274"/>
      <c r="H643" s="274"/>
      <c r="I643" s="242"/>
    </row>
    <row r="644" spans="1:9" ht="16">
      <c r="A644" s="274"/>
      <c r="B644" s="274"/>
      <c r="C644" s="274"/>
      <c r="D644" s="275"/>
      <c r="E644" s="275"/>
      <c r="F644" s="274"/>
      <c r="G644" s="274"/>
      <c r="H644" s="274"/>
      <c r="I644" s="242"/>
    </row>
    <row r="645" spans="1:9" ht="16">
      <c r="A645" s="274"/>
      <c r="B645" s="274"/>
      <c r="C645" s="274"/>
      <c r="D645" s="275"/>
      <c r="E645" s="275"/>
      <c r="F645" s="274"/>
      <c r="G645" s="274"/>
      <c r="H645" s="274"/>
      <c r="I645" s="242"/>
    </row>
    <row r="646" spans="1:9" ht="16">
      <c r="A646" s="274"/>
      <c r="B646" s="274"/>
      <c r="C646" s="274"/>
      <c r="D646" s="275"/>
      <c r="E646" s="275"/>
      <c r="F646" s="274"/>
      <c r="G646" s="274"/>
      <c r="H646" s="274"/>
      <c r="I646" s="242"/>
    </row>
    <row r="647" spans="1:9" ht="16">
      <c r="A647" s="274"/>
      <c r="B647" s="274"/>
      <c r="C647" s="274"/>
      <c r="D647" s="275"/>
      <c r="E647" s="275"/>
      <c r="F647" s="274"/>
      <c r="G647" s="274"/>
      <c r="H647" s="274"/>
      <c r="I647" s="242"/>
    </row>
    <row r="648" spans="1:9" ht="16">
      <c r="A648" s="274"/>
      <c r="B648" s="274"/>
      <c r="C648" s="274"/>
      <c r="D648" s="275"/>
      <c r="E648" s="275"/>
      <c r="F648" s="274"/>
      <c r="G648" s="274"/>
      <c r="H648" s="274"/>
      <c r="I648" s="242"/>
    </row>
    <row r="649" spans="1:9" ht="16">
      <c r="A649" s="274"/>
      <c r="B649" s="274"/>
      <c r="C649" s="274"/>
      <c r="D649" s="275"/>
      <c r="E649" s="275"/>
      <c r="F649" s="274"/>
      <c r="G649" s="274"/>
      <c r="H649" s="274"/>
      <c r="I649" s="242"/>
    </row>
    <row r="650" spans="1:9" ht="16">
      <c r="A650" s="274"/>
      <c r="B650" s="274"/>
      <c r="C650" s="274"/>
      <c r="D650" s="275"/>
      <c r="E650" s="275"/>
      <c r="F650" s="274"/>
      <c r="G650" s="274"/>
      <c r="H650" s="274"/>
      <c r="I650" s="242"/>
    </row>
    <row r="651" spans="1:9" ht="16">
      <c r="A651" s="274"/>
      <c r="B651" s="274"/>
      <c r="C651" s="274"/>
      <c r="D651" s="275"/>
      <c r="E651" s="275"/>
      <c r="F651" s="274"/>
      <c r="G651" s="274"/>
      <c r="H651" s="274"/>
      <c r="I651" s="242"/>
    </row>
    <row r="652" spans="1:9" ht="16">
      <c r="A652" s="274"/>
      <c r="B652" s="274"/>
      <c r="C652" s="274"/>
      <c r="D652" s="275"/>
      <c r="E652" s="275"/>
      <c r="F652" s="274"/>
      <c r="G652" s="274"/>
      <c r="H652" s="274"/>
      <c r="I652" s="242"/>
    </row>
    <row r="653" spans="1:9" ht="16">
      <c r="A653" s="274"/>
      <c r="B653" s="274"/>
      <c r="C653" s="274"/>
      <c r="D653" s="275"/>
      <c r="E653" s="275"/>
      <c r="F653" s="274"/>
      <c r="G653" s="274"/>
      <c r="H653" s="274"/>
      <c r="I653" s="242"/>
    </row>
    <row r="654" spans="1:9" ht="16">
      <c r="A654" s="274"/>
      <c r="B654" s="274"/>
      <c r="C654" s="274"/>
      <c r="D654" s="275"/>
      <c r="E654" s="275"/>
      <c r="F654" s="274"/>
      <c r="G654" s="274"/>
      <c r="H654" s="274"/>
      <c r="I654" s="242"/>
    </row>
    <row r="655" spans="1:9" ht="16">
      <c r="A655" s="274"/>
      <c r="B655" s="274"/>
      <c r="C655" s="274"/>
      <c r="D655" s="275"/>
      <c r="E655" s="275"/>
      <c r="F655" s="274"/>
      <c r="G655" s="274"/>
      <c r="H655" s="274"/>
      <c r="I655" s="242"/>
    </row>
    <row r="656" spans="1:9" ht="16">
      <c r="A656" s="274"/>
      <c r="B656" s="274"/>
      <c r="C656" s="274"/>
      <c r="D656" s="275"/>
      <c r="E656" s="275"/>
      <c r="F656" s="274"/>
      <c r="G656" s="274"/>
      <c r="H656" s="274"/>
      <c r="I656" s="242"/>
    </row>
    <row r="657" spans="1:9" ht="16">
      <c r="A657" s="274"/>
      <c r="B657" s="274"/>
      <c r="C657" s="274"/>
      <c r="D657" s="275"/>
      <c r="E657" s="275"/>
      <c r="F657" s="274"/>
      <c r="G657" s="274"/>
      <c r="H657" s="274"/>
      <c r="I657" s="242"/>
    </row>
    <row r="658" spans="1:9" ht="16">
      <c r="A658" s="274"/>
      <c r="B658" s="274"/>
      <c r="C658" s="274"/>
      <c r="D658" s="275"/>
      <c r="E658" s="275"/>
      <c r="F658" s="274"/>
      <c r="G658" s="274"/>
      <c r="H658" s="274"/>
      <c r="I658" s="242"/>
    </row>
    <row r="659" spans="1:9" ht="16">
      <c r="A659" s="274"/>
      <c r="B659" s="274"/>
      <c r="C659" s="274"/>
      <c r="D659" s="275"/>
      <c r="E659" s="275"/>
      <c r="F659" s="274"/>
      <c r="G659" s="274"/>
      <c r="H659" s="274"/>
      <c r="I659" s="242"/>
    </row>
    <row r="660" spans="1:9" ht="16">
      <c r="A660" s="274"/>
      <c r="B660" s="274"/>
      <c r="C660" s="274"/>
      <c r="D660" s="275"/>
      <c r="E660" s="275"/>
      <c r="F660" s="274"/>
      <c r="G660" s="274"/>
      <c r="H660" s="274"/>
      <c r="I660" s="242"/>
    </row>
    <row r="661" spans="1:9" ht="16">
      <c r="A661" s="274"/>
      <c r="B661" s="274"/>
      <c r="C661" s="274"/>
      <c r="D661" s="275"/>
      <c r="E661" s="275"/>
      <c r="F661" s="274"/>
      <c r="G661" s="274"/>
      <c r="H661" s="274"/>
      <c r="I661" s="242"/>
    </row>
    <row r="662" spans="1:9" ht="16">
      <c r="A662" s="274"/>
      <c r="B662" s="274"/>
      <c r="C662" s="274"/>
      <c r="D662" s="275"/>
      <c r="E662" s="275"/>
      <c r="F662" s="274"/>
      <c r="G662" s="274"/>
      <c r="H662" s="274"/>
      <c r="I662" s="242"/>
    </row>
    <row r="663" spans="1:9" ht="16">
      <c r="A663" s="274"/>
      <c r="B663" s="274"/>
      <c r="C663" s="274"/>
      <c r="D663" s="275"/>
      <c r="E663" s="275"/>
      <c r="F663" s="274"/>
      <c r="G663" s="274"/>
      <c r="H663" s="274"/>
      <c r="I663" s="242"/>
    </row>
    <row r="664" spans="1:9" ht="16">
      <c r="A664" s="274"/>
      <c r="B664" s="274"/>
      <c r="C664" s="274"/>
      <c r="D664" s="275"/>
      <c r="E664" s="275"/>
      <c r="F664" s="274"/>
      <c r="G664" s="274"/>
      <c r="H664" s="274"/>
      <c r="I664" s="242"/>
    </row>
    <row r="665" spans="1:9" ht="16">
      <c r="A665" s="274"/>
      <c r="B665" s="274"/>
      <c r="C665" s="274"/>
      <c r="D665" s="275"/>
      <c r="E665" s="275"/>
      <c r="F665" s="274"/>
      <c r="G665" s="274"/>
      <c r="H665" s="274"/>
      <c r="I665" s="242"/>
    </row>
    <row r="666" spans="1:9" ht="16">
      <c r="A666" s="274"/>
      <c r="B666" s="274"/>
      <c r="C666" s="274"/>
      <c r="D666" s="275"/>
      <c r="E666" s="275"/>
      <c r="F666" s="274"/>
      <c r="G666" s="274"/>
      <c r="H666" s="274"/>
      <c r="I666" s="242"/>
    </row>
    <row r="667" spans="1:9" ht="16">
      <c r="A667" s="274"/>
      <c r="B667" s="274"/>
      <c r="C667" s="274"/>
      <c r="D667" s="275"/>
      <c r="E667" s="275"/>
      <c r="F667" s="274"/>
      <c r="G667" s="274"/>
      <c r="H667" s="274"/>
      <c r="I667" s="242"/>
    </row>
    <row r="668" spans="1:9" ht="16">
      <c r="A668" s="274"/>
      <c r="B668" s="274"/>
      <c r="C668" s="274"/>
      <c r="D668" s="275"/>
      <c r="E668" s="275"/>
      <c r="F668" s="274"/>
      <c r="G668" s="274"/>
      <c r="H668" s="274"/>
      <c r="I668" s="242"/>
    </row>
    <row r="669" spans="1:9" ht="16">
      <c r="A669" s="274"/>
      <c r="B669" s="274"/>
      <c r="C669" s="274"/>
      <c r="D669" s="275"/>
      <c r="E669" s="275"/>
      <c r="F669" s="274"/>
      <c r="G669" s="274"/>
      <c r="H669" s="274"/>
      <c r="I669" s="242"/>
    </row>
    <row r="670" spans="1:9" ht="16">
      <c r="A670" s="274"/>
      <c r="B670" s="274"/>
      <c r="C670" s="274"/>
      <c r="D670" s="275"/>
      <c r="E670" s="275"/>
      <c r="F670" s="274"/>
      <c r="G670" s="274"/>
      <c r="H670" s="274"/>
      <c r="I670" s="242"/>
    </row>
    <row r="671" spans="1:9" ht="16">
      <c r="A671" s="274"/>
      <c r="B671" s="274"/>
      <c r="C671" s="274"/>
      <c r="D671" s="275"/>
      <c r="E671" s="275"/>
      <c r="F671" s="274"/>
      <c r="G671" s="274"/>
      <c r="H671" s="274"/>
      <c r="I671" s="242"/>
    </row>
    <row r="672" spans="1:9" ht="16">
      <c r="A672" s="274"/>
      <c r="B672" s="274"/>
      <c r="C672" s="274"/>
      <c r="D672" s="275"/>
      <c r="E672" s="275"/>
      <c r="F672" s="274"/>
      <c r="G672" s="274"/>
      <c r="H672" s="274"/>
      <c r="I672" s="242"/>
    </row>
    <row r="673" spans="1:9" ht="16">
      <c r="A673" s="274"/>
      <c r="B673" s="274"/>
      <c r="C673" s="274"/>
      <c r="D673" s="275"/>
      <c r="E673" s="275"/>
      <c r="F673" s="274"/>
      <c r="G673" s="274"/>
      <c r="H673" s="274"/>
      <c r="I673" s="242"/>
    </row>
    <row r="674" spans="1:9" ht="16">
      <c r="A674" s="274"/>
      <c r="B674" s="274"/>
      <c r="C674" s="274"/>
      <c r="D674" s="275"/>
      <c r="E674" s="275"/>
      <c r="F674" s="274"/>
      <c r="G674" s="274"/>
      <c r="H674" s="274"/>
      <c r="I674" s="242"/>
    </row>
    <row r="675" spans="1:9" ht="16">
      <c r="A675" s="274"/>
      <c r="B675" s="274"/>
      <c r="C675" s="274"/>
      <c r="D675" s="275"/>
      <c r="E675" s="275"/>
      <c r="F675" s="274"/>
      <c r="G675" s="274"/>
      <c r="H675" s="274"/>
      <c r="I675" s="242"/>
    </row>
    <row r="676" spans="1:9" ht="16">
      <c r="A676" s="274"/>
      <c r="B676" s="274"/>
      <c r="C676" s="274"/>
      <c r="D676" s="275"/>
      <c r="E676" s="275"/>
      <c r="F676" s="274"/>
      <c r="G676" s="274"/>
      <c r="H676" s="274"/>
      <c r="I676" s="242"/>
    </row>
    <row r="677" spans="1:9" ht="16">
      <c r="A677" s="274"/>
      <c r="B677" s="274"/>
      <c r="C677" s="274"/>
      <c r="D677" s="275"/>
      <c r="E677" s="275"/>
      <c r="F677" s="274"/>
      <c r="G677" s="274"/>
      <c r="H677" s="274"/>
      <c r="I677" s="242"/>
    </row>
    <row r="678" spans="1:9" ht="16">
      <c r="A678" s="274"/>
      <c r="B678" s="274"/>
      <c r="C678" s="274"/>
      <c r="D678" s="275"/>
      <c r="E678" s="275"/>
      <c r="F678" s="274"/>
      <c r="G678" s="274"/>
      <c r="H678" s="274"/>
      <c r="I678" s="242"/>
    </row>
    <row r="679" spans="1:9" ht="16">
      <c r="A679" s="274"/>
      <c r="B679" s="274"/>
      <c r="C679" s="274"/>
      <c r="D679" s="275"/>
      <c r="E679" s="275"/>
      <c r="F679" s="274"/>
      <c r="G679" s="274"/>
      <c r="H679" s="274"/>
      <c r="I679" s="242"/>
    </row>
    <row r="680" spans="1:9" ht="16">
      <c r="A680" s="274"/>
      <c r="B680" s="274"/>
      <c r="C680" s="274"/>
      <c r="D680" s="275"/>
      <c r="E680" s="275"/>
      <c r="F680" s="274"/>
      <c r="G680" s="274"/>
      <c r="H680" s="274"/>
      <c r="I680" s="242"/>
    </row>
    <row r="681" spans="1:9" ht="16">
      <c r="A681" s="274"/>
      <c r="B681" s="274"/>
      <c r="C681" s="274"/>
      <c r="D681" s="275"/>
      <c r="E681" s="275"/>
      <c r="F681" s="274"/>
      <c r="G681" s="274"/>
      <c r="H681" s="274"/>
      <c r="I681" s="242"/>
    </row>
    <row r="682" spans="1:9" ht="16">
      <c r="A682" s="274"/>
      <c r="B682" s="274"/>
      <c r="C682" s="274"/>
      <c r="D682" s="275"/>
      <c r="E682" s="275"/>
      <c r="F682" s="274"/>
      <c r="G682" s="274"/>
      <c r="H682" s="274"/>
      <c r="I682" s="242"/>
    </row>
    <row r="683" spans="1:9" ht="16">
      <c r="A683" s="274"/>
      <c r="B683" s="274"/>
      <c r="C683" s="274"/>
      <c r="D683" s="275"/>
      <c r="E683" s="275"/>
      <c r="F683" s="274"/>
      <c r="G683" s="274"/>
      <c r="H683" s="274"/>
      <c r="I683" s="242"/>
    </row>
    <row r="684" spans="1:9" ht="16">
      <c r="A684" s="274"/>
      <c r="B684" s="274"/>
      <c r="C684" s="274"/>
      <c r="D684" s="275"/>
      <c r="E684" s="275"/>
      <c r="F684" s="274"/>
      <c r="G684" s="274"/>
      <c r="H684" s="274"/>
      <c r="I684" s="242"/>
    </row>
    <row r="685" spans="1:9" ht="16">
      <c r="A685" s="274"/>
      <c r="B685" s="274"/>
      <c r="C685" s="274"/>
      <c r="D685" s="275"/>
      <c r="E685" s="275"/>
      <c r="F685" s="274"/>
      <c r="G685" s="274"/>
      <c r="H685" s="274"/>
      <c r="I685" s="242"/>
    </row>
    <row r="686" spans="1:9" ht="16">
      <c r="A686" s="274"/>
      <c r="B686" s="274"/>
      <c r="C686" s="274"/>
      <c r="D686" s="275"/>
      <c r="E686" s="275"/>
      <c r="F686" s="274"/>
      <c r="G686" s="274"/>
      <c r="H686" s="274"/>
      <c r="I686" s="242"/>
    </row>
    <row r="687" spans="1:9" ht="16">
      <c r="A687" s="274"/>
      <c r="B687" s="274"/>
      <c r="C687" s="274"/>
      <c r="D687" s="275"/>
      <c r="E687" s="275"/>
      <c r="F687" s="274"/>
      <c r="G687" s="274"/>
      <c r="H687" s="274"/>
      <c r="I687" s="242"/>
    </row>
    <row r="688" spans="1:9" ht="16">
      <c r="A688" s="274"/>
      <c r="B688" s="274"/>
      <c r="C688" s="274"/>
      <c r="D688" s="275"/>
      <c r="E688" s="275"/>
      <c r="F688" s="274"/>
      <c r="G688" s="274"/>
      <c r="H688" s="274"/>
      <c r="I688" s="242"/>
    </row>
    <row r="689" spans="1:9" ht="16">
      <c r="A689" s="274"/>
      <c r="B689" s="274"/>
      <c r="C689" s="274"/>
      <c r="D689" s="275"/>
      <c r="E689" s="275"/>
      <c r="F689" s="274"/>
      <c r="G689" s="274"/>
      <c r="H689" s="274"/>
      <c r="I689" s="242"/>
    </row>
    <row r="690" spans="1:9" ht="16">
      <c r="A690" s="274"/>
      <c r="B690" s="274"/>
      <c r="C690" s="274"/>
      <c r="D690" s="275"/>
      <c r="E690" s="275"/>
      <c r="F690" s="274"/>
      <c r="G690" s="274"/>
      <c r="H690" s="274"/>
      <c r="I690" s="242"/>
    </row>
    <row r="691" spans="1:9" ht="16">
      <c r="A691" s="274"/>
      <c r="B691" s="274"/>
      <c r="C691" s="274"/>
      <c r="D691" s="275"/>
      <c r="E691" s="275"/>
      <c r="F691" s="274"/>
      <c r="G691" s="274"/>
      <c r="H691" s="274"/>
      <c r="I691" s="242"/>
    </row>
    <row r="692" spans="1:9" ht="16">
      <c r="A692" s="274"/>
      <c r="B692" s="274"/>
      <c r="C692" s="274"/>
      <c r="D692" s="275"/>
      <c r="E692" s="275"/>
      <c r="F692" s="274"/>
      <c r="G692" s="274"/>
      <c r="H692" s="274"/>
      <c r="I692" s="242"/>
    </row>
    <row r="693" spans="1:9" ht="16">
      <c r="A693" s="274"/>
      <c r="B693" s="274"/>
      <c r="C693" s="274"/>
      <c r="D693" s="275"/>
      <c r="E693" s="275"/>
      <c r="F693" s="274"/>
      <c r="G693" s="274"/>
      <c r="H693" s="274"/>
      <c r="I693" s="242"/>
    </row>
    <row r="694" spans="1:9" ht="16">
      <c r="A694" s="274"/>
      <c r="B694" s="274"/>
      <c r="C694" s="274"/>
      <c r="D694" s="275"/>
      <c r="E694" s="275"/>
      <c r="F694" s="274"/>
      <c r="G694" s="274"/>
      <c r="H694" s="274"/>
      <c r="I694" s="242"/>
    </row>
    <row r="695" spans="1:9" ht="16">
      <c r="A695" s="274"/>
      <c r="B695" s="274"/>
      <c r="C695" s="274"/>
      <c r="D695" s="275"/>
      <c r="E695" s="275"/>
      <c r="F695" s="274"/>
      <c r="G695" s="274"/>
      <c r="H695" s="274"/>
      <c r="I695" s="242"/>
    </row>
    <row r="696" spans="1:9" ht="16">
      <c r="A696" s="274"/>
      <c r="B696" s="274"/>
      <c r="C696" s="274"/>
      <c r="D696" s="275"/>
      <c r="E696" s="275"/>
      <c r="F696" s="274"/>
      <c r="G696" s="274"/>
      <c r="H696" s="274"/>
      <c r="I696" s="242"/>
    </row>
    <row r="697" spans="1:9" ht="16">
      <c r="A697" s="274"/>
      <c r="B697" s="274"/>
      <c r="C697" s="274"/>
      <c r="D697" s="275"/>
      <c r="E697" s="275"/>
      <c r="F697" s="274"/>
      <c r="G697" s="274"/>
      <c r="H697" s="274"/>
      <c r="I697" s="242"/>
    </row>
    <row r="698" spans="1:9" ht="16">
      <c r="A698" s="274"/>
      <c r="B698" s="274"/>
      <c r="C698" s="274"/>
      <c r="D698" s="275"/>
      <c r="E698" s="275"/>
      <c r="F698" s="274"/>
      <c r="G698" s="274"/>
      <c r="H698" s="274"/>
      <c r="I698" s="242"/>
    </row>
    <row r="699" spans="1:9" ht="16">
      <c r="A699" s="274"/>
      <c r="B699" s="274"/>
      <c r="C699" s="274"/>
      <c r="D699" s="275"/>
      <c r="E699" s="275"/>
      <c r="F699" s="274"/>
      <c r="G699" s="274"/>
      <c r="H699" s="274"/>
      <c r="I699" s="242"/>
    </row>
    <row r="700" spans="1:9" ht="16">
      <c r="A700" s="274"/>
      <c r="B700" s="274"/>
      <c r="C700" s="274"/>
      <c r="D700" s="275"/>
      <c r="E700" s="275"/>
      <c r="F700" s="274"/>
      <c r="G700" s="274"/>
      <c r="H700" s="274"/>
      <c r="I700" s="242"/>
    </row>
    <row r="701" spans="1:9" ht="16">
      <c r="A701" s="274"/>
      <c r="B701" s="274"/>
      <c r="C701" s="274"/>
      <c r="D701" s="275"/>
      <c r="E701" s="275"/>
      <c r="F701" s="274"/>
      <c r="G701" s="274"/>
      <c r="H701" s="274"/>
      <c r="I701" s="242"/>
    </row>
    <row r="702" spans="1:9" ht="16">
      <c r="A702" s="274"/>
      <c r="B702" s="274"/>
      <c r="C702" s="274"/>
      <c r="D702" s="275"/>
      <c r="E702" s="275"/>
      <c r="F702" s="274"/>
      <c r="G702" s="274"/>
      <c r="H702" s="274"/>
      <c r="I702" s="242"/>
    </row>
    <row r="703" spans="1:9" ht="16">
      <c r="A703" s="274"/>
      <c r="B703" s="274"/>
      <c r="C703" s="274"/>
      <c r="D703" s="275"/>
      <c r="E703" s="275"/>
      <c r="F703" s="274"/>
      <c r="G703" s="274"/>
      <c r="H703" s="274"/>
      <c r="I703" s="242"/>
    </row>
    <row r="704" spans="1:9" ht="16">
      <c r="A704" s="274"/>
      <c r="B704" s="274"/>
      <c r="C704" s="274"/>
      <c r="D704" s="275"/>
      <c r="E704" s="275"/>
      <c r="F704" s="274"/>
      <c r="G704" s="274"/>
      <c r="H704" s="274"/>
      <c r="I704" s="242"/>
    </row>
    <row r="705" spans="1:9" ht="16">
      <c r="A705" s="274"/>
      <c r="B705" s="274"/>
      <c r="C705" s="274"/>
      <c r="D705" s="275"/>
      <c r="E705" s="275"/>
      <c r="F705" s="274"/>
      <c r="G705" s="274"/>
      <c r="H705" s="274"/>
      <c r="I705" s="242"/>
    </row>
    <row r="706" spans="1:9" ht="16">
      <c r="A706" s="274"/>
      <c r="B706" s="274"/>
      <c r="C706" s="274"/>
      <c r="D706" s="275"/>
      <c r="E706" s="275"/>
      <c r="F706" s="274"/>
      <c r="G706" s="274"/>
      <c r="H706" s="274"/>
      <c r="I706" s="242"/>
    </row>
    <row r="707" spans="1:9" ht="16">
      <c r="A707" s="274"/>
      <c r="B707" s="274"/>
      <c r="C707" s="274"/>
      <c r="D707" s="275"/>
      <c r="E707" s="275"/>
      <c r="F707" s="274"/>
      <c r="G707" s="274"/>
      <c r="H707" s="274"/>
      <c r="I707" s="242"/>
    </row>
    <row r="708" spans="1:9" ht="16">
      <c r="A708" s="274"/>
      <c r="B708" s="274"/>
      <c r="C708" s="274"/>
      <c r="D708" s="275"/>
      <c r="E708" s="275"/>
      <c r="F708" s="274"/>
      <c r="G708" s="274"/>
      <c r="H708" s="274"/>
      <c r="I708" s="242"/>
    </row>
    <row r="709" spans="1:9" ht="16">
      <c r="A709" s="274"/>
      <c r="B709" s="274"/>
      <c r="C709" s="274"/>
      <c r="D709" s="275"/>
      <c r="E709" s="275"/>
      <c r="F709" s="274"/>
      <c r="G709" s="274"/>
      <c r="H709" s="274"/>
      <c r="I709" s="242"/>
    </row>
    <row r="710" spans="1:9" ht="16">
      <c r="A710" s="274"/>
      <c r="B710" s="274"/>
      <c r="C710" s="274"/>
      <c r="D710" s="275"/>
      <c r="E710" s="275"/>
      <c r="F710" s="274"/>
      <c r="G710" s="274"/>
      <c r="H710" s="274"/>
      <c r="I710" s="242"/>
    </row>
    <row r="711" spans="1:9" ht="16">
      <c r="A711" s="274"/>
      <c r="B711" s="274"/>
      <c r="C711" s="274"/>
      <c r="D711" s="275"/>
      <c r="E711" s="275"/>
      <c r="F711" s="274"/>
      <c r="G711" s="274"/>
      <c r="H711" s="274"/>
      <c r="I711" s="242"/>
    </row>
    <row r="712" spans="1:9" ht="16">
      <c r="A712" s="274"/>
      <c r="B712" s="274"/>
      <c r="C712" s="274"/>
      <c r="D712" s="275"/>
      <c r="E712" s="275"/>
      <c r="F712" s="274"/>
      <c r="G712" s="274"/>
      <c r="H712" s="274"/>
      <c r="I712" s="242"/>
    </row>
    <row r="713" spans="1:9" ht="16">
      <c r="A713" s="274"/>
      <c r="B713" s="274"/>
      <c r="C713" s="274"/>
      <c r="D713" s="275"/>
      <c r="E713" s="275"/>
      <c r="F713" s="274"/>
      <c r="G713" s="274"/>
      <c r="H713" s="274"/>
      <c r="I713" s="242"/>
    </row>
    <row r="714" spans="1:9" ht="16">
      <c r="A714" s="274"/>
      <c r="B714" s="274"/>
      <c r="C714" s="274"/>
      <c r="D714" s="275"/>
      <c r="E714" s="275"/>
      <c r="F714" s="274"/>
      <c r="G714" s="274"/>
      <c r="H714" s="274"/>
      <c r="I714" s="242"/>
    </row>
    <row r="715" spans="1:9" ht="16">
      <c r="A715" s="274"/>
      <c r="B715" s="274"/>
      <c r="C715" s="274"/>
      <c r="D715" s="275"/>
      <c r="E715" s="275"/>
      <c r="F715" s="274"/>
      <c r="G715" s="274"/>
      <c r="H715" s="274"/>
      <c r="I715" s="242"/>
    </row>
    <row r="716" spans="1:9" ht="16">
      <c r="A716" s="274"/>
      <c r="B716" s="274"/>
      <c r="C716" s="274"/>
      <c r="D716" s="275"/>
      <c r="E716" s="275"/>
      <c r="F716" s="274"/>
      <c r="G716" s="274"/>
      <c r="H716" s="274"/>
      <c r="I716" s="242"/>
    </row>
    <row r="717" spans="1:9" ht="16">
      <c r="A717" s="274"/>
      <c r="B717" s="274"/>
      <c r="C717" s="274"/>
      <c r="D717" s="275"/>
      <c r="E717" s="275"/>
      <c r="F717" s="274"/>
      <c r="G717" s="274"/>
      <c r="H717" s="274"/>
      <c r="I717" s="242"/>
    </row>
    <row r="718" spans="1:9" ht="16">
      <c r="A718" s="274"/>
      <c r="B718" s="274"/>
      <c r="C718" s="274"/>
      <c r="D718" s="275"/>
      <c r="E718" s="275"/>
      <c r="F718" s="274"/>
      <c r="G718" s="274"/>
      <c r="H718" s="274"/>
      <c r="I718" s="242"/>
    </row>
    <row r="719" spans="1:9" ht="16">
      <c r="A719" s="274"/>
      <c r="B719" s="274"/>
      <c r="C719" s="274"/>
      <c r="D719" s="275"/>
      <c r="E719" s="275"/>
      <c r="F719" s="274"/>
      <c r="G719" s="274"/>
      <c r="H719" s="274"/>
      <c r="I719" s="242"/>
    </row>
    <row r="720" spans="1:9" ht="16">
      <c r="A720" s="274"/>
      <c r="B720" s="274"/>
      <c r="C720" s="274"/>
      <c r="D720" s="275"/>
      <c r="E720" s="275"/>
      <c r="F720" s="274"/>
      <c r="G720" s="274"/>
      <c r="H720" s="274"/>
      <c r="I720" s="242"/>
    </row>
    <row r="721" spans="1:9" ht="16">
      <c r="A721" s="274"/>
      <c r="B721" s="274"/>
      <c r="C721" s="274"/>
      <c r="D721" s="275"/>
      <c r="E721" s="275"/>
      <c r="F721" s="274"/>
      <c r="G721" s="274"/>
      <c r="H721" s="274"/>
      <c r="I721" s="242"/>
    </row>
    <row r="722" spans="1:9" ht="16">
      <c r="A722" s="274"/>
      <c r="B722" s="274"/>
      <c r="C722" s="274"/>
      <c r="D722" s="275"/>
      <c r="E722" s="275"/>
      <c r="F722" s="274"/>
      <c r="G722" s="274"/>
      <c r="H722" s="274"/>
      <c r="I722" s="242"/>
    </row>
    <row r="723" spans="1:9" ht="16">
      <c r="A723" s="274"/>
      <c r="B723" s="274"/>
      <c r="C723" s="274"/>
      <c r="D723" s="275"/>
      <c r="E723" s="275"/>
      <c r="F723" s="274"/>
      <c r="G723" s="274"/>
      <c r="H723" s="274"/>
      <c r="I723" s="242"/>
    </row>
    <row r="724" spans="1:9" ht="16">
      <c r="A724" s="274"/>
      <c r="B724" s="274"/>
      <c r="C724" s="274"/>
      <c r="D724" s="275"/>
      <c r="E724" s="275"/>
      <c r="F724" s="274"/>
      <c r="G724" s="274"/>
      <c r="H724" s="274"/>
      <c r="I724" s="242"/>
    </row>
    <row r="725" spans="1:9" ht="16">
      <c r="A725" s="274"/>
      <c r="B725" s="274"/>
      <c r="C725" s="274"/>
      <c r="D725" s="275"/>
      <c r="E725" s="275"/>
      <c r="F725" s="274"/>
      <c r="G725" s="274"/>
      <c r="H725" s="274"/>
      <c r="I725" s="242"/>
    </row>
    <row r="726" spans="1:9" ht="16">
      <c r="A726" s="274"/>
      <c r="B726" s="274"/>
      <c r="C726" s="274"/>
      <c r="D726" s="275"/>
      <c r="E726" s="275"/>
      <c r="F726" s="274"/>
      <c r="G726" s="274"/>
      <c r="H726" s="274"/>
      <c r="I726" s="242"/>
    </row>
    <row r="727" spans="1:9" ht="16">
      <c r="A727" s="274"/>
      <c r="B727" s="274"/>
      <c r="C727" s="274"/>
      <c r="D727" s="275"/>
      <c r="E727" s="275"/>
      <c r="F727" s="274"/>
      <c r="G727" s="274"/>
      <c r="H727" s="274"/>
      <c r="I727" s="242"/>
    </row>
    <row r="728" spans="1:9" ht="16">
      <c r="A728" s="274"/>
      <c r="B728" s="274"/>
      <c r="C728" s="274"/>
      <c r="D728" s="275"/>
      <c r="E728" s="275"/>
      <c r="F728" s="274"/>
      <c r="G728" s="274"/>
      <c r="H728" s="274"/>
      <c r="I728" s="242"/>
    </row>
    <row r="729" spans="1:9" ht="16">
      <c r="A729" s="274"/>
      <c r="B729" s="274"/>
      <c r="C729" s="274"/>
      <c r="D729" s="275"/>
      <c r="E729" s="275"/>
      <c r="F729" s="274"/>
      <c r="G729" s="274"/>
      <c r="H729" s="274"/>
      <c r="I729" s="242"/>
    </row>
    <row r="730" spans="1:9" ht="16">
      <c r="A730" s="274"/>
      <c r="B730" s="274"/>
      <c r="C730" s="274"/>
      <c r="D730" s="275"/>
      <c r="E730" s="275"/>
      <c r="F730" s="274"/>
      <c r="G730" s="274"/>
      <c r="H730" s="274"/>
      <c r="I730" s="242"/>
    </row>
    <row r="731" spans="1:9" ht="16">
      <c r="A731" s="274"/>
      <c r="B731" s="274"/>
      <c r="C731" s="274"/>
      <c r="D731" s="275"/>
      <c r="E731" s="275"/>
      <c r="F731" s="274"/>
      <c r="G731" s="274"/>
      <c r="H731" s="274"/>
      <c r="I731" s="242"/>
    </row>
    <row r="732" spans="1:9" ht="16">
      <c r="A732" s="274"/>
      <c r="B732" s="274"/>
      <c r="C732" s="274"/>
      <c r="D732" s="275"/>
      <c r="E732" s="275"/>
      <c r="F732" s="274"/>
      <c r="G732" s="274"/>
      <c r="H732" s="274"/>
      <c r="I732" s="242"/>
    </row>
    <row r="733" spans="1:9" ht="16">
      <c r="A733" s="274"/>
      <c r="B733" s="274"/>
      <c r="C733" s="274"/>
      <c r="D733" s="275"/>
      <c r="E733" s="275"/>
      <c r="F733" s="274"/>
      <c r="G733" s="274"/>
      <c r="H733" s="274"/>
      <c r="I733" s="242"/>
    </row>
    <row r="734" spans="1:9" ht="16">
      <c r="A734" s="274"/>
      <c r="B734" s="274"/>
      <c r="C734" s="274"/>
      <c r="D734" s="275"/>
      <c r="E734" s="275"/>
      <c r="F734" s="274"/>
      <c r="G734" s="274"/>
      <c r="H734" s="274"/>
      <c r="I734" s="242"/>
    </row>
    <row r="735" spans="1:9" ht="16">
      <c r="A735" s="274"/>
      <c r="B735" s="274"/>
      <c r="C735" s="274"/>
      <c r="D735" s="275"/>
      <c r="E735" s="275"/>
      <c r="F735" s="274"/>
      <c r="G735" s="274"/>
      <c r="H735" s="274"/>
      <c r="I735" s="242"/>
    </row>
    <row r="736" spans="1:9" ht="16">
      <c r="A736" s="274"/>
      <c r="B736" s="274"/>
      <c r="C736" s="274"/>
      <c r="D736" s="275"/>
      <c r="E736" s="275"/>
      <c r="F736" s="274"/>
      <c r="G736" s="274"/>
      <c r="H736" s="274"/>
      <c r="I736" s="242"/>
    </row>
    <row r="737" spans="1:9" ht="16">
      <c r="A737" s="274"/>
      <c r="B737" s="274"/>
      <c r="C737" s="274"/>
      <c r="D737" s="275"/>
      <c r="E737" s="275"/>
      <c r="F737" s="274"/>
      <c r="G737" s="274"/>
      <c r="H737" s="274"/>
      <c r="I737" s="242"/>
    </row>
    <row r="738" spans="1:9" ht="16">
      <c r="A738" s="274"/>
      <c r="B738" s="274"/>
      <c r="C738" s="274"/>
      <c r="D738" s="275"/>
      <c r="E738" s="275"/>
      <c r="F738" s="274"/>
      <c r="G738" s="274"/>
      <c r="H738" s="274"/>
      <c r="I738" s="242"/>
    </row>
    <row r="739" spans="1:9" ht="16">
      <c r="A739" s="274"/>
      <c r="B739" s="274"/>
      <c r="C739" s="274"/>
      <c r="D739" s="275"/>
      <c r="E739" s="275"/>
      <c r="F739" s="274"/>
      <c r="G739" s="274"/>
      <c r="H739" s="274"/>
      <c r="I739" s="242"/>
    </row>
    <row r="740" spans="1:9" ht="16">
      <c r="A740" s="274"/>
      <c r="B740" s="274"/>
      <c r="C740" s="274"/>
      <c r="D740" s="275"/>
      <c r="E740" s="275"/>
      <c r="F740" s="274"/>
      <c r="G740" s="274"/>
      <c r="H740" s="274"/>
      <c r="I740" s="242"/>
    </row>
    <row r="741" spans="1:9" ht="16">
      <c r="A741" s="274"/>
      <c r="B741" s="274"/>
      <c r="C741" s="274"/>
      <c r="D741" s="275"/>
      <c r="E741" s="275"/>
      <c r="F741" s="274"/>
      <c r="G741" s="274"/>
      <c r="H741" s="274"/>
      <c r="I741" s="242"/>
    </row>
    <row r="742" spans="1:9" ht="16">
      <c r="A742" s="274"/>
      <c r="B742" s="274"/>
      <c r="C742" s="274"/>
      <c r="D742" s="275"/>
      <c r="E742" s="275"/>
      <c r="F742" s="274"/>
      <c r="G742" s="274"/>
      <c r="H742" s="274"/>
      <c r="I742" s="242"/>
    </row>
    <row r="743" spans="1:9" ht="16">
      <c r="A743" s="274"/>
      <c r="B743" s="274"/>
      <c r="C743" s="274"/>
      <c r="D743" s="275"/>
      <c r="E743" s="275"/>
      <c r="F743" s="274"/>
      <c r="G743" s="274"/>
      <c r="H743" s="274"/>
      <c r="I743" s="242"/>
    </row>
    <row r="744" spans="1:9" ht="16">
      <c r="A744" s="274"/>
      <c r="B744" s="274"/>
      <c r="C744" s="274"/>
      <c r="D744" s="275"/>
      <c r="E744" s="275"/>
      <c r="F744" s="274"/>
      <c r="G744" s="274"/>
      <c r="H744" s="274"/>
      <c r="I744" s="242"/>
    </row>
    <row r="745" spans="1:9" ht="16">
      <c r="A745" s="274"/>
      <c r="B745" s="274"/>
      <c r="C745" s="274"/>
      <c r="D745" s="275"/>
      <c r="E745" s="275"/>
      <c r="F745" s="274"/>
      <c r="G745" s="274"/>
      <c r="H745" s="274"/>
      <c r="I745" s="242"/>
    </row>
    <row r="746" spans="1:9" ht="16">
      <c r="A746" s="274"/>
      <c r="B746" s="274"/>
      <c r="C746" s="274"/>
      <c r="D746" s="275"/>
      <c r="E746" s="275"/>
      <c r="F746" s="274"/>
      <c r="G746" s="274"/>
      <c r="H746" s="274"/>
      <c r="I746" s="242"/>
    </row>
    <row r="747" spans="1:9" ht="16">
      <c r="A747" s="274"/>
      <c r="B747" s="274"/>
      <c r="C747" s="274"/>
      <c r="D747" s="275"/>
      <c r="E747" s="275"/>
      <c r="F747" s="274"/>
      <c r="G747" s="274"/>
      <c r="H747" s="274"/>
      <c r="I747" s="242"/>
    </row>
    <row r="748" spans="1:9" ht="16">
      <c r="A748" s="274"/>
      <c r="B748" s="274"/>
      <c r="C748" s="274"/>
      <c r="D748" s="275"/>
      <c r="E748" s="275"/>
      <c r="F748" s="274"/>
      <c r="G748" s="274"/>
      <c r="H748" s="274"/>
      <c r="I748" s="242"/>
    </row>
    <row r="749" spans="1:9" ht="16">
      <c r="A749" s="274"/>
      <c r="B749" s="274"/>
      <c r="C749" s="274"/>
      <c r="D749" s="275"/>
      <c r="E749" s="275"/>
      <c r="F749" s="274"/>
      <c r="G749" s="274"/>
      <c r="H749" s="274"/>
      <c r="I749" s="242"/>
    </row>
    <row r="750" spans="1:9" ht="16">
      <c r="A750" s="274"/>
      <c r="B750" s="274"/>
      <c r="C750" s="274"/>
      <c r="D750" s="275"/>
      <c r="E750" s="275"/>
      <c r="F750" s="274"/>
      <c r="G750" s="274"/>
      <c r="H750" s="274"/>
      <c r="I750" s="242"/>
    </row>
    <row r="751" spans="1:9" ht="16">
      <c r="A751" s="274"/>
      <c r="B751" s="274"/>
      <c r="C751" s="274"/>
      <c r="D751" s="275"/>
      <c r="E751" s="275"/>
      <c r="F751" s="274"/>
      <c r="G751" s="274"/>
      <c r="H751" s="274"/>
      <c r="I751" s="242"/>
    </row>
    <row r="752" spans="1:9" ht="16">
      <c r="A752" s="274"/>
      <c r="B752" s="274"/>
      <c r="C752" s="274"/>
      <c r="D752" s="275"/>
      <c r="E752" s="275"/>
      <c r="F752" s="274"/>
      <c r="G752" s="274"/>
      <c r="H752" s="274"/>
      <c r="I752" s="242"/>
    </row>
    <row r="753" spans="1:9" ht="16">
      <c r="A753" s="274"/>
      <c r="B753" s="274"/>
      <c r="C753" s="274"/>
      <c r="D753" s="275"/>
      <c r="E753" s="275"/>
      <c r="F753" s="274"/>
      <c r="G753" s="274"/>
      <c r="H753" s="274"/>
      <c r="I753" s="242"/>
    </row>
    <row r="754" spans="1:9" ht="16">
      <c r="A754" s="274"/>
      <c r="B754" s="274"/>
      <c r="C754" s="274"/>
      <c r="D754" s="275"/>
      <c r="E754" s="275"/>
      <c r="F754" s="274"/>
      <c r="G754" s="274"/>
      <c r="H754" s="274"/>
      <c r="I754" s="242"/>
    </row>
    <row r="755" spans="1:9" ht="16">
      <c r="A755" s="274"/>
      <c r="B755" s="274"/>
      <c r="C755" s="274"/>
      <c r="D755" s="275"/>
      <c r="E755" s="275"/>
      <c r="F755" s="274"/>
      <c r="G755" s="274"/>
      <c r="H755" s="274"/>
      <c r="I755" s="242"/>
    </row>
    <row r="756" spans="1:9" ht="16">
      <c r="A756" s="274"/>
      <c r="B756" s="274"/>
      <c r="C756" s="274"/>
      <c r="D756" s="275"/>
      <c r="E756" s="275"/>
      <c r="F756" s="274"/>
      <c r="G756" s="274"/>
      <c r="H756" s="274"/>
      <c r="I756" s="242"/>
    </row>
    <row r="757" spans="1:9" ht="16">
      <c r="A757" s="274"/>
      <c r="B757" s="274"/>
      <c r="C757" s="274"/>
      <c r="D757" s="275"/>
      <c r="E757" s="275"/>
      <c r="F757" s="274"/>
      <c r="G757" s="274"/>
      <c r="H757" s="274"/>
      <c r="I757" s="242"/>
    </row>
    <row r="758" spans="1:9" ht="16">
      <c r="A758" s="274"/>
      <c r="B758" s="274"/>
      <c r="C758" s="274"/>
      <c r="D758" s="275"/>
      <c r="E758" s="275"/>
      <c r="F758" s="274"/>
      <c r="G758" s="274"/>
      <c r="H758" s="274"/>
      <c r="I758" s="242"/>
    </row>
    <row r="759" spans="1:9" ht="16">
      <c r="A759" s="274"/>
      <c r="B759" s="274"/>
      <c r="C759" s="274"/>
      <c r="D759" s="275"/>
      <c r="E759" s="275"/>
      <c r="F759" s="274"/>
      <c r="G759" s="274"/>
      <c r="H759" s="274"/>
      <c r="I759" s="242"/>
    </row>
    <row r="760" spans="1:9" ht="16">
      <c r="A760" s="274"/>
      <c r="B760" s="274"/>
      <c r="C760" s="274"/>
      <c r="D760" s="275"/>
      <c r="E760" s="275"/>
      <c r="F760" s="274"/>
      <c r="G760" s="274"/>
      <c r="H760" s="274"/>
      <c r="I760" s="242"/>
    </row>
    <row r="761" spans="1:9" ht="16">
      <c r="A761" s="274"/>
      <c r="B761" s="274"/>
      <c r="C761" s="274"/>
      <c r="D761" s="275"/>
      <c r="E761" s="275"/>
      <c r="F761" s="274"/>
      <c r="G761" s="274"/>
      <c r="H761" s="274"/>
      <c r="I761" s="242"/>
    </row>
    <row r="762" spans="1:9" ht="16">
      <c r="A762" s="274"/>
      <c r="B762" s="274"/>
      <c r="C762" s="274"/>
      <c r="D762" s="275"/>
      <c r="E762" s="275"/>
      <c r="F762" s="274"/>
      <c r="G762" s="274"/>
      <c r="H762" s="274"/>
      <c r="I762" s="242"/>
    </row>
    <row r="763" spans="1:9" ht="16">
      <c r="A763" s="274"/>
      <c r="B763" s="274"/>
      <c r="C763" s="274"/>
      <c r="D763" s="275"/>
      <c r="E763" s="275"/>
      <c r="F763" s="274"/>
      <c r="G763" s="274"/>
      <c r="H763" s="274"/>
      <c r="I763" s="242"/>
    </row>
    <row r="764" spans="1:9" ht="16">
      <c r="A764" s="274"/>
      <c r="B764" s="274"/>
      <c r="C764" s="274"/>
      <c r="D764" s="275"/>
      <c r="E764" s="275"/>
      <c r="F764" s="274"/>
      <c r="G764" s="274"/>
      <c r="H764" s="274"/>
      <c r="I764" s="242"/>
    </row>
    <row r="765" spans="1:9" ht="16">
      <c r="A765" s="274"/>
      <c r="B765" s="274"/>
      <c r="C765" s="274"/>
      <c r="D765" s="275"/>
      <c r="E765" s="275"/>
      <c r="F765" s="274"/>
      <c r="G765" s="274"/>
      <c r="H765" s="274"/>
      <c r="I765" s="242"/>
    </row>
    <row r="766" spans="1:9" ht="16">
      <c r="A766" s="274"/>
      <c r="B766" s="274"/>
      <c r="C766" s="274"/>
      <c r="D766" s="275"/>
      <c r="E766" s="275"/>
      <c r="F766" s="274"/>
      <c r="G766" s="274"/>
      <c r="H766" s="274"/>
      <c r="I766" s="242"/>
    </row>
    <row r="767" spans="1:9" ht="16">
      <c r="A767" s="274"/>
      <c r="B767" s="274"/>
      <c r="C767" s="274"/>
      <c r="D767" s="275"/>
      <c r="E767" s="275"/>
      <c r="F767" s="274"/>
      <c r="G767" s="274"/>
      <c r="H767" s="274"/>
      <c r="I767" s="242"/>
    </row>
    <row r="768" spans="1:9" ht="16">
      <c r="A768" s="274"/>
      <c r="B768" s="274"/>
      <c r="C768" s="274"/>
      <c r="D768" s="275"/>
      <c r="E768" s="275"/>
      <c r="F768" s="274"/>
      <c r="G768" s="274"/>
      <c r="H768" s="274"/>
      <c r="I768" s="242"/>
    </row>
    <row r="769" spans="1:9" ht="16">
      <c r="A769" s="274"/>
      <c r="B769" s="274"/>
      <c r="C769" s="274"/>
      <c r="D769" s="275"/>
      <c r="E769" s="275"/>
      <c r="F769" s="274"/>
      <c r="G769" s="274"/>
      <c r="H769" s="274"/>
      <c r="I769" s="242"/>
    </row>
    <row r="770" spans="1:9" ht="16">
      <c r="A770" s="274"/>
      <c r="B770" s="274"/>
      <c r="C770" s="274"/>
      <c r="D770" s="275"/>
      <c r="E770" s="275"/>
      <c r="F770" s="274"/>
      <c r="G770" s="274"/>
      <c r="H770" s="274"/>
      <c r="I770" s="242"/>
    </row>
    <row r="771" spans="1:9" ht="16">
      <c r="A771" s="274"/>
      <c r="B771" s="274"/>
      <c r="C771" s="274"/>
      <c r="D771" s="275"/>
      <c r="E771" s="275"/>
      <c r="F771" s="274"/>
      <c r="G771" s="274"/>
      <c r="H771" s="274"/>
      <c r="I771" s="242"/>
    </row>
    <row r="772" spans="1:9" ht="16">
      <c r="A772" s="274"/>
      <c r="B772" s="274"/>
      <c r="C772" s="274"/>
      <c r="D772" s="275"/>
      <c r="E772" s="275"/>
      <c r="F772" s="274"/>
      <c r="G772" s="274"/>
      <c r="H772" s="274"/>
      <c r="I772" s="242"/>
    </row>
    <row r="773" spans="1:9" ht="16">
      <c r="A773" s="274"/>
      <c r="B773" s="274"/>
      <c r="C773" s="274"/>
      <c r="D773" s="275"/>
      <c r="E773" s="275"/>
      <c r="F773" s="274"/>
      <c r="G773" s="274"/>
      <c r="H773" s="274"/>
      <c r="I773" s="242"/>
    </row>
    <row r="774" spans="1:9" ht="16">
      <c r="A774" s="274"/>
      <c r="B774" s="274"/>
      <c r="C774" s="274"/>
      <c r="D774" s="275"/>
      <c r="E774" s="275"/>
      <c r="F774" s="274"/>
      <c r="G774" s="274"/>
      <c r="H774" s="274"/>
      <c r="I774" s="242"/>
    </row>
    <row r="775" spans="1:9" ht="16">
      <c r="A775" s="274"/>
      <c r="B775" s="274"/>
      <c r="C775" s="274"/>
      <c r="D775" s="275"/>
      <c r="E775" s="275"/>
      <c r="F775" s="274"/>
      <c r="G775" s="274"/>
      <c r="H775" s="274"/>
      <c r="I775" s="242"/>
    </row>
    <row r="776" spans="1:9" ht="16">
      <c r="A776" s="274"/>
      <c r="B776" s="274"/>
      <c r="C776" s="274"/>
      <c r="D776" s="275"/>
      <c r="E776" s="275"/>
      <c r="F776" s="274"/>
      <c r="G776" s="274"/>
      <c r="H776" s="274"/>
      <c r="I776" s="242"/>
    </row>
    <row r="777" spans="1:9" ht="16">
      <c r="A777" s="274"/>
      <c r="B777" s="274"/>
      <c r="C777" s="274"/>
      <c r="D777" s="275"/>
      <c r="E777" s="275"/>
      <c r="F777" s="274"/>
      <c r="G777" s="274"/>
      <c r="H777" s="274"/>
      <c r="I777" s="242"/>
    </row>
    <row r="778" spans="1:9" ht="16">
      <c r="A778" s="274"/>
      <c r="B778" s="274"/>
      <c r="C778" s="274"/>
      <c r="D778" s="275"/>
      <c r="E778" s="275"/>
      <c r="F778" s="274"/>
      <c r="G778" s="274"/>
      <c r="H778" s="274"/>
      <c r="I778" s="242"/>
    </row>
    <row r="779" spans="1:9" ht="16">
      <c r="A779" s="274"/>
      <c r="B779" s="274"/>
      <c r="C779" s="274"/>
      <c r="D779" s="275"/>
      <c r="E779" s="275"/>
      <c r="F779" s="274"/>
      <c r="G779" s="274"/>
      <c r="H779" s="274"/>
      <c r="I779" s="242"/>
    </row>
    <row r="780" spans="1:9" ht="16">
      <c r="A780" s="274"/>
      <c r="B780" s="274"/>
      <c r="C780" s="274"/>
      <c r="D780" s="275"/>
      <c r="E780" s="275"/>
      <c r="F780" s="274"/>
      <c r="G780" s="274"/>
      <c r="H780" s="274"/>
      <c r="I780" s="242"/>
    </row>
    <row r="781" spans="1:9" ht="16">
      <c r="A781" s="274"/>
      <c r="B781" s="274"/>
      <c r="C781" s="274"/>
      <c r="D781" s="275"/>
      <c r="E781" s="275"/>
      <c r="F781" s="274"/>
      <c r="G781" s="274"/>
      <c r="H781" s="274"/>
      <c r="I781" s="242"/>
    </row>
    <row r="782" spans="1:9" ht="16">
      <c r="A782" s="274"/>
      <c r="B782" s="274"/>
      <c r="C782" s="274"/>
      <c r="D782" s="275"/>
      <c r="E782" s="275"/>
      <c r="F782" s="274"/>
      <c r="G782" s="274"/>
      <c r="H782" s="274"/>
      <c r="I782" s="242"/>
    </row>
    <row r="783" spans="1:9" ht="16">
      <c r="A783" s="274"/>
      <c r="B783" s="274"/>
      <c r="C783" s="274"/>
      <c r="D783" s="275"/>
      <c r="E783" s="275"/>
      <c r="F783" s="274"/>
      <c r="G783" s="274"/>
      <c r="H783" s="274"/>
      <c r="I783" s="242"/>
    </row>
    <row r="784" spans="1:9" ht="16">
      <c r="A784" s="274"/>
      <c r="B784" s="274"/>
      <c r="C784" s="274"/>
      <c r="D784" s="275"/>
      <c r="E784" s="275"/>
      <c r="F784" s="274"/>
      <c r="G784" s="274"/>
      <c r="H784" s="274"/>
      <c r="I784" s="242"/>
    </row>
    <row r="785" spans="1:9" ht="16">
      <c r="A785" s="274"/>
      <c r="B785" s="274"/>
      <c r="C785" s="274"/>
      <c r="D785" s="275"/>
      <c r="E785" s="275"/>
      <c r="F785" s="274"/>
      <c r="G785" s="274"/>
      <c r="H785" s="274"/>
      <c r="I785" s="242"/>
    </row>
    <row r="786" spans="1:9" ht="16">
      <c r="A786" s="274"/>
      <c r="B786" s="274"/>
      <c r="C786" s="274"/>
      <c r="D786" s="275"/>
      <c r="E786" s="275"/>
      <c r="F786" s="274"/>
      <c r="G786" s="274"/>
      <c r="H786" s="274"/>
      <c r="I786" s="242"/>
    </row>
    <row r="787" spans="1:9" ht="16">
      <c r="A787" s="274"/>
      <c r="B787" s="274"/>
      <c r="C787" s="274"/>
      <c r="D787" s="275"/>
      <c r="E787" s="275"/>
      <c r="F787" s="274"/>
      <c r="G787" s="274"/>
      <c r="H787" s="274"/>
      <c r="I787" s="242"/>
    </row>
    <row r="788" spans="1:9" ht="16">
      <c r="A788" s="274"/>
      <c r="B788" s="274"/>
      <c r="C788" s="274"/>
      <c r="D788" s="275"/>
      <c r="E788" s="275"/>
      <c r="F788" s="274"/>
      <c r="G788" s="274"/>
      <c r="H788" s="274"/>
      <c r="I788" s="242"/>
    </row>
    <row r="789" spans="1:9" ht="16">
      <c r="A789" s="274"/>
      <c r="B789" s="274"/>
      <c r="C789" s="274"/>
      <c r="D789" s="275"/>
      <c r="E789" s="275"/>
      <c r="F789" s="274"/>
      <c r="G789" s="274"/>
      <c r="H789" s="274"/>
      <c r="I789" s="242"/>
    </row>
    <row r="790" spans="1:9" ht="16">
      <c r="A790" s="274"/>
      <c r="B790" s="274"/>
      <c r="C790" s="274"/>
      <c r="D790" s="275"/>
      <c r="E790" s="275"/>
      <c r="F790" s="274"/>
      <c r="G790" s="274"/>
      <c r="H790" s="274"/>
      <c r="I790" s="242"/>
    </row>
    <row r="791" spans="1:9" ht="16">
      <c r="A791" s="274"/>
      <c r="B791" s="274"/>
      <c r="C791" s="274"/>
      <c r="D791" s="275"/>
      <c r="E791" s="275"/>
      <c r="F791" s="274"/>
      <c r="G791" s="274"/>
      <c r="H791" s="274"/>
      <c r="I791" s="242"/>
    </row>
    <row r="792" spans="1:9" ht="16">
      <c r="A792" s="274"/>
      <c r="B792" s="274"/>
      <c r="C792" s="274"/>
      <c r="D792" s="275"/>
      <c r="E792" s="275"/>
      <c r="F792" s="274"/>
      <c r="G792" s="274"/>
      <c r="H792" s="274"/>
      <c r="I792" s="242"/>
    </row>
    <row r="793" spans="1:9" ht="16">
      <c r="A793" s="274"/>
      <c r="B793" s="274"/>
      <c r="C793" s="274"/>
      <c r="D793" s="275"/>
      <c r="E793" s="275"/>
      <c r="F793" s="274"/>
      <c r="G793" s="274"/>
      <c r="H793" s="274"/>
      <c r="I793" s="242"/>
    </row>
    <row r="794" spans="1:9" ht="16">
      <c r="A794" s="274"/>
      <c r="B794" s="274"/>
      <c r="C794" s="274"/>
      <c r="D794" s="275"/>
      <c r="E794" s="275"/>
      <c r="F794" s="274"/>
      <c r="G794" s="274"/>
      <c r="H794" s="274"/>
      <c r="I794" s="242"/>
    </row>
    <row r="795" spans="1:9" ht="16">
      <c r="A795" s="274"/>
      <c r="B795" s="274"/>
      <c r="C795" s="274"/>
      <c r="D795" s="275"/>
      <c r="E795" s="275"/>
      <c r="F795" s="274"/>
      <c r="G795" s="274"/>
      <c r="H795" s="274"/>
      <c r="I795" s="242"/>
    </row>
    <row r="796" spans="1:9" ht="16">
      <c r="A796" s="274"/>
      <c r="B796" s="274"/>
      <c r="C796" s="274"/>
      <c r="D796" s="275"/>
      <c r="E796" s="275"/>
      <c r="F796" s="274"/>
      <c r="G796" s="274"/>
      <c r="H796" s="274"/>
      <c r="I796" s="242"/>
    </row>
    <row r="797" spans="1:9" ht="16">
      <c r="A797" s="274"/>
      <c r="B797" s="274"/>
      <c r="C797" s="274"/>
      <c r="D797" s="275"/>
      <c r="E797" s="275"/>
      <c r="F797" s="274"/>
      <c r="G797" s="274"/>
      <c r="H797" s="274"/>
      <c r="I797" s="242"/>
    </row>
    <row r="798" spans="1:9" ht="16">
      <c r="A798" s="274"/>
      <c r="B798" s="274"/>
      <c r="C798" s="274"/>
      <c r="D798" s="275"/>
      <c r="E798" s="275"/>
      <c r="F798" s="274"/>
      <c r="G798" s="274"/>
      <c r="H798" s="274"/>
      <c r="I798" s="242"/>
    </row>
    <row r="799" spans="1:9" ht="16">
      <c r="A799" s="274"/>
      <c r="B799" s="274"/>
      <c r="C799" s="274"/>
      <c r="D799" s="275"/>
      <c r="E799" s="275"/>
      <c r="F799" s="274"/>
      <c r="G799" s="274"/>
      <c r="H799" s="274"/>
      <c r="I799" s="242"/>
    </row>
    <row r="800" spans="1:9" ht="16">
      <c r="A800" s="274"/>
      <c r="B800" s="274"/>
      <c r="C800" s="274"/>
      <c r="D800" s="275"/>
      <c r="E800" s="275"/>
      <c r="F800" s="274"/>
      <c r="G800" s="274"/>
      <c r="H800" s="274"/>
      <c r="I800" s="242"/>
    </row>
    <row r="801" spans="1:9" ht="16">
      <c r="A801" s="274"/>
      <c r="B801" s="274"/>
      <c r="C801" s="274"/>
      <c r="D801" s="275"/>
      <c r="E801" s="275"/>
      <c r="F801" s="274"/>
      <c r="G801" s="274"/>
      <c r="H801" s="274"/>
      <c r="I801" s="242"/>
    </row>
    <row r="802" spans="1:9" ht="16">
      <c r="A802" s="274"/>
      <c r="B802" s="274"/>
      <c r="C802" s="274"/>
      <c r="D802" s="275"/>
      <c r="E802" s="275"/>
      <c r="F802" s="274"/>
      <c r="G802" s="274"/>
      <c r="H802" s="274"/>
      <c r="I802" s="242"/>
    </row>
    <row r="803" spans="1:9" ht="16">
      <c r="A803" s="274"/>
      <c r="B803" s="274"/>
      <c r="C803" s="274"/>
      <c r="D803" s="275"/>
      <c r="E803" s="275"/>
      <c r="F803" s="274"/>
      <c r="G803" s="274"/>
      <c r="H803" s="274"/>
      <c r="I803" s="242"/>
    </row>
    <row r="804" spans="1:9" ht="16">
      <c r="A804" s="274"/>
      <c r="B804" s="274"/>
      <c r="C804" s="274"/>
      <c r="D804" s="275"/>
      <c r="E804" s="275"/>
      <c r="F804" s="274"/>
      <c r="G804" s="274"/>
      <c r="H804" s="274"/>
      <c r="I804" s="242"/>
    </row>
    <row r="805" spans="1:9" ht="16">
      <c r="A805" s="274"/>
      <c r="B805" s="274"/>
      <c r="C805" s="274"/>
      <c r="D805" s="275"/>
      <c r="E805" s="275"/>
      <c r="F805" s="274"/>
      <c r="G805" s="274"/>
      <c r="H805" s="274"/>
      <c r="I805" s="242"/>
    </row>
    <row r="806" spans="1:9" ht="16">
      <c r="A806" s="274"/>
      <c r="B806" s="274"/>
      <c r="C806" s="274"/>
      <c r="D806" s="275"/>
      <c r="E806" s="275"/>
      <c r="F806" s="274"/>
      <c r="G806" s="274"/>
      <c r="H806" s="274"/>
      <c r="I806" s="242"/>
    </row>
    <row r="807" spans="1:9" ht="16">
      <c r="A807" s="274"/>
      <c r="B807" s="274"/>
      <c r="C807" s="274"/>
      <c r="D807" s="275"/>
      <c r="E807" s="275"/>
      <c r="F807" s="274"/>
      <c r="G807" s="274"/>
      <c r="H807" s="274"/>
      <c r="I807" s="242"/>
    </row>
    <row r="808" spans="1:9" ht="16">
      <c r="A808" s="274"/>
      <c r="B808" s="274"/>
      <c r="C808" s="274"/>
      <c r="D808" s="275"/>
      <c r="E808" s="275"/>
      <c r="F808" s="274"/>
      <c r="G808" s="274"/>
      <c r="H808" s="274"/>
      <c r="I808" s="242"/>
    </row>
    <row r="809" spans="1:9" ht="16">
      <c r="A809" s="274"/>
      <c r="B809" s="274"/>
      <c r="C809" s="274"/>
      <c r="D809" s="275"/>
      <c r="E809" s="275"/>
      <c r="F809" s="274"/>
      <c r="G809" s="274"/>
      <c r="H809" s="274"/>
      <c r="I809" s="242"/>
    </row>
    <row r="810" spans="1:9" ht="16">
      <c r="A810" s="274"/>
      <c r="B810" s="274"/>
      <c r="C810" s="274"/>
      <c r="D810" s="275"/>
      <c r="E810" s="275"/>
      <c r="F810" s="274"/>
      <c r="G810" s="274"/>
      <c r="H810" s="274"/>
      <c r="I810" s="242"/>
    </row>
    <row r="811" spans="1:9" ht="16">
      <c r="A811" s="274"/>
      <c r="B811" s="274"/>
      <c r="C811" s="274"/>
      <c r="D811" s="275"/>
      <c r="E811" s="275"/>
      <c r="F811" s="274"/>
      <c r="G811" s="274"/>
      <c r="H811" s="274"/>
      <c r="I811" s="242"/>
    </row>
    <row r="812" spans="1:9" ht="16">
      <c r="A812" s="274"/>
      <c r="B812" s="274"/>
      <c r="C812" s="274"/>
      <c r="D812" s="275"/>
      <c r="E812" s="275"/>
      <c r="F812" s="274"/>
      <c r="G812" s="274"/>
      <c r="H812" s="274"/>
      <c r="I812" s="242"/>
    </row>
    <row r="813" spans="1:9" ht="16">
      <c r="A813" s="274"/>
      <c r="B813" s="274"/>
      <c r="C813" s="274"/>
      <c r="D813" s="275"/>
      <c r="E813" s="275"/>
      <c r="F813" s="274"/>
      <c r="G813" s="274"/>
      <c r="H813" s="274"/>
      <c r="I813" s="242"/>
    </row>
    <row r="814" spans="1:9" ht="16">
      <c r="A814" s="274"/>
      <c r="B814" s="274"/>
      <c r="C814" s="274"/>
      <c r="D814" s="275"/>
      <c r="E814" s="275"/>
      <c r="F814" s="274"/>
      <c r="G814" s="274"/>
      <c r="H814" s="274"/>
      <c r="I814" s="242"/>
    </row>
    <row r="815" spans="1:9" ht="16">
      <c r="A815" s="274"/>
      <c r="B815" s="274"/>
      <c r="C815" s="274"/>
      <c r="D815" s="275"/>
      <c r="E815" s="275"/>
      <c r="F815" s="274"/>
      <c r="G815" s="274"/>
      <c r="H815" s="274"/>
      <c r="I815" s="242"/>
    </row>
    <row r="816" spans="1:9" ht="16">
      <c r="A816" s="274"/>
      <c r="B816" s="274"/>
      <c r="C816" s="274"/>
      <c r="D816" s="275"/>
      <c r="E816" s="275"/>
      <c r="F816" s="274"/>
      <c r="G816" s="274"/>
      <c r="H816" s="274"/>
      <c r="I816" s="242"/>
    </row>
    <row r="817" spans="1:9" ht="16">
      <c r="A817" s="274"/>
      <c r="B817" s="274"/>
      <c r="C817" s="274"/>
      <c r="D817" s="275"/>
      <c r="E817" s="275"/>
      <c r="F817" s="274"/>
      <c r="G817" s="274"/>
      <c r="H817" s="274"/>
      <c r="I817" s="242"/>
    </row>
    <row r="818" spans="1:9" ht="16">
      <c r="A818" s="274"/>
      <c r="B818" s="274"/>
      <c r="C818" s="274"/>
      <c r="D818" s="275"/>
      <c r="E818" s="275"/>
      <c r="F818" s="274"/>
      <c r="G818" s="274"/>
      <c r="H818" s="274"/>
      <c r="I818" s="242"/>
    </row>
    <row r="819" spans="1:9" ht="16">
      <c r="A819" s="274"/>
      <c r="B819" s="274"/>
      <c r="C819" s="274"/>
      <c r="D819" s="275"/>
      <c r="E819" s="275"/>
      <c r="F819" s="274"/>
      <c r="G819" s="274"/>
      <c r="H819" s="274"/>
      <c r="I819" s="242"/>
    </row>
    <row r="820" spans="1:9" ht="16">
      <c r="A820" s="274"/>
      <c r="B820" s="274"/>
      <c r="C820" s="274"/>
      <c r="D820" s="275"/>
      <c r="E820" s="275"/>
      <c r="F820" s="274"/>
      <c r="G820" s="274"/>
      <c r="H820" s="274"/>
      <c r="I820" s="242"/>
    </row>
    <row r="821" spans="1:9" ht="16">
      <c r="A821" s="274"/>
      <c r="B821" s="274"/>
      <c r="C821" s="274"/>
      <c r="D821" s="275"/>
      <c r="E821" s="275"/>
      <c r="F821" s="274"/>
      <c r="G821" s="274"/>
      <c r="H821" s="274"/>
      <c r="I821" s="242"/>
    </row>
    <row r="822" spans="1:9" ht="16">
      <c r="A822" s="274"/>
      <c r="B822" s="274"/>
      <c r="C822" s="274"/>
      <c r="D822" s="275"/>
      <c r="E822" s="275"/>
      <c r="F822" s="274"/>
      <c r="G822" s="274"/>
      <c r="H822" s="274"/>
      <c r="I822" s="242"/>
    </row>
    <row r="823" spans="1:9" ht="16">
      <c r="A823" s="274"/>
      <c r="B823" s="274"/>
      <c r="C823" s="274"/>
      <c r="D823" s="275"/>
      <c r="E823" s="275"/>
      <c r="F823" s="274"/>
      <c r="G823" s="274"/>
      <c r="H823" s="274"/>
      <c r="I823" s="242"/>
    </row>
    <row r="824" spans="1:9" ht="16">
      <c r="A824" s="274"/>
      <c r="B824" s="274"/>
      <c r="C824" s="274"/>
      <c r="D824" s="275"/>
      <c r="E824" s="275"/>
      <c r="F824" s="274"/>
      <c r="G824" s="274"/>
      <c r="H824" s="274"/>
      <c r="I824" s="242"/>
    </row>
    <row r="825" spans="1:9" ht="16">
      <c r="A825" s="274"/>
      <c r="B825" s="274"/>
      <c r="C825" s="274"/>
      <c r="D825" s="275"/>
      <c r="E825" s="275"/>
      <c r="F825" s="274"/>
      <c r="G825" s="274"/>
      <c r="H825" s="274"/>
      <c r="I825" s="242"/>
    </row>
    <row r="826" spans="1:9" ht="16">
      <c r="A826" s="274"/>
      <c r="B826" s="274"/>
      <c r="C826" s="274"/>
      <c r="D826" s="275"/>
      <c r="E826" s="275"/>
      <c r="F826" s="274"/>
      <c r="G826" s="274"/>
      <c r="H826" s="274"/>
      <c r="I826" s="242"/>
    </row>
    <row r="827" spans="1:9" ht="16">
      <c r="A827" s="274"/>
      <c r="B827" s="274"/>
      <c r="C827" s="274"/>
      <c r="D827" s="275"/>
      <c r="E827" s="275"/>
      <c r="F827" s="274"/>
      <c r="G827" s="274"/>
      <c r="H827" s="274"/>
      <c r="I827" s="242"/>
    </row>
    <row r="828" spans="1:9" ht="16">
      <c r="A828" s="274"/>
      <c r="B828" s="274"/>
      <c r="C828" s="274"/>
      <c r="D828" s="275"/>
      <c r="E828" s="275"/>
      <c r="F828" s="274"/>
      <c r="G828" s="274"/>
      <c r="H828" s="274"/>
      <c r="I828" s="242"/>
    </row>
    <row r="829" spans="1:9" ht="16">
      <c r="A829" s="274"/>
      <c r="B829" s="274"/>
      <c r="C829" s="274"/>
      <c r="D829" s="275"/>
      <c r="E829" s="275"/>
      <c r="F829" s="274"/>
      <c r="G829" s="274"/>
      <c r="H829" s="274"/>
      <c r="I829" s="242"/>
    </row>
    <row r="830" spans="1:9" ht="16">
      <c r="A830" s="274"/>
      <c r="B830" s="274"/>
      <c r="C830" s="274"/>
      <c r="D830" s="275"/>
      <c r="E830" s="275"/>
      <c r="F830" s="274"/>
      <c r="G830" s="274"/>
      <c r="H830" s="274"/>
      <c r="I830" s="242"/>
    </row>
    <row r="831" spans="1:9" ht="16">
      <c r="A831" s="274"/>
      <c r="B831" s="274"/>
      <c r="C831" s="274"/>
      <c r="D831" s="275"/>
      <c r="E831" s="275"/>
      <c r="F831" s="274"/>
      <c r="G831" s="274"/>
      <c r="H831" s="274"/>
      <c r="I831" s="242"/>
    </row>
    <row r="832" spans="1:9" ht="16">
      <c r="A832" s="274"/>
      <c r="B832" s="274"/>
      <c r="C832" s="274"/>
      <c r="D832" s="275"/>
      <c r="E832" s="275"/>
      <c r="F832" s="274"/>
      <c r="G832" s="274"/>
      <c r="H832" s="274"/>
      <c r="I832" s="242"/>
    </row>
    <row r="833" spans="1:9" ht="16">
      <c r="A833" s="274"/>
      <c r="B833" s="274"/>
      <c r="C833" s="274"/>
      <c r="D833" s="275"/>
      <c r="E833" s="275"/>
      <c r="F833" s="274"/>
      <c r="G833" s="274"/>
      <c r="H833" s="274"/>
      <c r="I833" s="242"/>
    </row>
    <row r="834" spans="1:9" ht="16">
      <c r="A834" s="274"/>
      <c r="B834" s="274"/>
      <c r="C834" s="274"/>
      <c r="D834" s="275"/>
      <c r="E834" s="275"/>
      <c r="F834" s="274"/>
      <c r="G834" s="274"/>
      <c r="H834" s="274"/>
      <c r="I834" s="242"/>
    </row>
    <row r="835" spans="1:9" ht="16">
      <c r="A835" s="274"/>
      <c r="B835" s="274"/>
      <c r="C835" s="274"/>
      <c r="D835" s="275"/>
      <c r="E835" s="275"/>
      <c r="F835" s="274"/>
      <c r="G835" s="274"/>
      <c r="H835" s="274"/>
      <c r="I835" s="242"/>
    </row>
    <row r="836" spans="1:9" ht="16">
      <c r="A836" s="274"/>
      <c r="B836" s="274"/>
      <c r="C836" s="274"/>
      <c r="D836" s="275"/>
      <c r="E836" s="275"/>
      <c r="F836" s="274"/>
      <c r="G836" s="274"/>
      <c r="H836" s="274"/>
      <c r="I836" s="242"/>
    </row>
    <row r="837" spans="1:9" ht="16">
      <c r="A837" s="274"/>
      <c r="B837" s="274"/>
      <c r="C837" s="274"/>
      <c r="D837" s="275"/>
      <c r="E837" s="275"/>
      <c r="F837" s="274"/>
      <c r="G837" s="274"/>
      <c r="H837" s="274"/>
      <c r="I837" s="242"/>
    </row>
    <row r="838" spans="1:9" ht="16">
      <c r="A838" s="274"/>
      <c r="B838" s="274"/>
      <c r="C838" s="274"/>
      <c r="D838" s="275"/>
      <c r="E838" s="275"/>
      <c r="F838" s="274"/>
      <c r="G838" s="274"/>
      <c r="H838" s="274"/>
      <c r="I838" s="242"/>
    </row>
    <row r="839" spans="1:9" ht="16">
      <c r="A839" s="274"/>
      <c r="B839" s="274"/>
      <c r="C839" s="274"/>
      <c r="D839" s="275"/>
      <c r="E839" s="275"/>
      <c r="F839" s="274"/>
      <c r="G839" s="274"/>
      <c r="H839" s="274"/>
      <c r="I839" s="242"/>
    </row>
    <row r="840" spans="1:9" ht="16">
      <c r="A840" s="274"/>
      <c r="B840" s="274"/>
      <c r="C840" s="274"/>
      <c r="D840" s="275"/>
      <c r="E840" s="275"/>
      <c r="F840" s="274"/>
      <c r="G840" s="274"/>
      <c r="H840" s="274"/>
      <c r="I840" s="242"/>
    </row>
    <row r="841" spans="1:9" ht="16">
      <c r="A841" s="274"/>
      <c r="B841" s="274"/>
      <c r="C841" s="274"/>
      <c r="D841" s="275"/>
      <c r="E841" s="275"/>
      <c r="F841" s="274"/>
      <c r="G841" s="274"/>
      <c r="H841" s="274"/>
      <c r="I841" s="242"/>
    </row>
    <row r="842" spans="1:9" ht="16">
      <c r="A842" s="274"/>
      <c r="B842" s="274"/>
      <c r="C842" s="274"/>
      <c r="D842" s="275"/>
      <c r="E842" s="275"/>
      <c r="F842" s="274"/>
      <c r="G842" s="274"/>
      <c r="H842" s="274"/>
      <c r="I842" s="242"/>
    </row>
    <row r="843" spans="1:9" ht="16">
      <c r="A843" s="274"/>
      <c r="B843" s="274"/>
      <c r="C843" s="274"/>
      <c r="D843" s="275"/>
      <c r="E843" s="275"/>
      <c r="F843" s="274"/>
      <c r="G843" s="274"/>
      <c r="H843" s="274"/>
      <c r="I843" s="242"/>
    </row>
    <row r="844" spans="1:9" ht="16">
      <c r="A844" s="274"/>
      <c r="B844" s="274"/>
      <c r="C844" s="274"/>
      <c r="D844" s="275"/>
      <c r="E844" s="275"/>
      <c r="F844" s="274"/>
      <c r="G844" s="274"/>
      <c r="H844" s="274"/>
      <c r="I844" s="242"/>
    </row>
    <row r="845" spans="1:9" ht="16">
      <c r="A845" s="274"/>
      <c r="B845" s="274"/>
      <c r="C845" s="274"/>
      <c r="D845" s="275"/>
      <c r="E845" s="275"/>
      <c r="F845" s="274"/>
      <c r="G845" s="274"/>
      <c r="H845" s="274"/>
      <c r="I845" s="242"/>
    </row>
    <row r="846" spans="1:9" ht="16">
      <c r="A846" s="274"/>
      <c r="B846" s="274"/>
      <c r="C846" s="274"/>
      <c r="D846" s="275"/>
      <c r="E846" s="275"/>
      <c r="F846" s="274"/>
      <c r="G846" s="274"/>
      <c r="H846" s="274"/>
      <c r="I846" s="242"/>
    </row>
    <row r="847" spans="1:9" ht="16">
      <c r="A847" s="274"/>
      <c r="B847" s="274"/>
      <c r="C847" s="274"/>
      <c r="D847" s="275"/>
      <c r="E847" s="275"/>
      <c r="F847" s="274"/>
      <c r="G847" s="274"/>
      <c r="H847" s="274"/>
      <c r="I847" s="242"/>
    </row>
    <row r="848" spans="1:9" ht="16">
      <c r="A848" s="274"/>
      <c r="B848" s="274"/>
      <c r="C848" s="274"/>
      <c r="D848" s="275"/>
      <c r="E848" s="275"/>
      <c r="F848" s="274"/>
      <c r="G848" s="274"/>
      <c r="H848" s="274"/>
      <c r="I848" s="242"/>
    </row>
    <row r="849" spans="1:9" ht="16">
      <c r="A849" s="274"/>
      <c r="B849" s="274"/>
      <c r="C849" s="274"/>
      <c r="D849" s="275"/>
      <c r="E849" s="275"/>
      <c r="F849" s="274"/>
      <c r="G849" s="274"/>
      <c r="H849" s="274"/>
      <c r="I849" s="242"/>
    </row>
    <row r="850" spans="1:9" ht="16">
      <c r="A850" s="274"/>
      <c r="B850" s="274"/>
      <c r="C850" s="274"/>
      <c r="D850" s="275"/>
      <c r="E850" s="275"/>
      <c r="F850" s="274"/>
      <c r="G850" s="274"/>
      <c r="H850" s="274"/>
      <c r="I850" s="242"/>
    </row>
    <row r="851" spans="1:9" ht="16">
      <c r="A851" s="274"/>
      <c r="B851" s="274"/>
      <c r="C851" s="274"/>
      <c r="D851" s="275"/>
      <c r="E851" s="275"/>
      <c r="F851" s="274"/>
      <c r="G851" s="274"/>
      <c r="H851" s="274"/>
      <c r="I851" s="242"/>
    </row>
    <row r="852" spans="1:9" ht="16">
      <c r="A852" s="274"/>
      <c r="B852" s="274"/>
      <c r="C852" s="274"/>
      <c r="D852" s="275"/>
      <c r="E852" s="275"/>
      <c r="F852" s="274"/>
      <c r="G852" s="274"/>
      <c r="H852" s="274"/>
      <c r="I852" s="242"/>
    </row>
    <row r="853" spans="1:9" ht="16">
      <c r="A853" s="274"/>
      <c r="B853" s="274"/>
      <c r="C853" s="274"/>
      <c r="D853" s="275"/>
      <c r="E853" s="275"/>
      <c r="F853" s="274"/>
      <c r="G853" s="274"/>
      <c r="H853" s="274"/>
      <c r="I853" s="242"/>
    </row>
    <row r="854" spans="1:9" ht="16">
      <c r="A854" s="274"/>
      <c r="B854" s="274"/>
      <c r="C854" s="274"/>
      <c r="D854" s="275"/>
      <c r="E854" s="275"/>
      <c r="F854" s="274"/>
      <c r="G854" s="274"/>
      <c r="H854" s="274"/>
      <c r="I854" s="242"/>
    </row>
    <row r="855" spans="1:9" ht="16">
      <c r="A855" s="274"/>
      <c r="B855" s="274"/>
      <c r="C855" s="274"/>
      <c r="D855" s="275"/>
      <c r="E855" s="275"/>
      <c r="F855" s="274"/>
      <c r="G855" s="274"/>
      <c r="H855" s="274"/>
      <c r="I855" s="242"/>
    </row>
    <row r="856" spans="1:9" ht="16">
      <c r="A856" s="274"/>
      <c r="B856" s="274"/>
      <c r="C856" s="274"/>
      <c r="D856" s="275"/>
      <c r="E856" s="275"/>
      <c r="F856" s="274"/>
      <c r="G856" s="274"/>
      <c r="H856" s="274"/>
      <c r="I856" s="242"/>
    </row>
    <row r="857" spans="1:9" ht="16">
      <c r="A857" s="274"/>
      <c r="B857" s="274"/>
      <c r="C857" s="274"/>
      <c r="D857" s="275"/>
      <c r="E857" s="275"/>
      <c r="F857" s="274"/>
      <c r="G857" s="274"/>
      <c r="H857" s="274"/>
      <c r="I857" s="242"/>
    </row>
    <row r="858" spans="1:9" ht="16">
      <c r="A858" s="274"/>
      <c r="B858" s="274"/>
      <c r="C858" s="274"/>
      <c r="D858" s="275"/>
      <c r="E858" s="275"/>
      <c r="F858" s="274"/>
      <c r="G858" s="274"/>
      <c r="H858" s="274"/>
      <c r="I858" s="242"/>
    </row>
    <row r="859" spans="1:9" ht="16">
      <c r="A859" s="274"/>
      <c r="B859" s="274"/>
      <c r="C859" s="274"/>
      <c r="D859" s="275"/>
      <c r="E859" s="275"/>
      <c r="F859" s="274"/>
      <c r="G859" s="274"/>
      <c r="H859" s="274"/>
      <c r="I859" s="242"/>
    </row>
    <row r="860" spans="1:9" ht="16">
      <c r="A860" s="274"/>
      <c r="B860" s="274"/>
      <c r="C860" s="274"/>
      <c r="D860" s="275"/>
      <c r="E860" s="275"/>
      <c r="F860" s="274"/>
      <c r="G860" s="274"/>
      <c r="H860" s="274"/>
      <c r="I860" s="242"/>
    </row>
    <row r="861" spans="1:9" ht="16">
      <c r="A861" s="274"/>
      <c r="B861" s="274"/>
      <c r="C861" s="274"/>
      <c r="D861" s="275"/>
      <c r="E861" s="275"/>
      <c r="F861" s="274"/>
      <c r="G861" s="274"/>
      <c r="H861" s="274"/>
      <c r="I861" s="242"/>
    </row>
    <row r="862" spans="1:9" ht="16">
      <c r="A862" s="274"/>
      <c r="B862" s="274"/>
      <c r="C862" s="274"/>
      <c r="D862" s="275"/>
      <c r="E862" s="275"/>
      <c r="F862" s="274"/>
      <c r="G862" s="274"/>
      <c r="H862" s="274"/>
      <c r="I862" s="242"/>
    </row>
    <row r="863" spans="1:9" ht="16">
      <c r="A863" s="274"/>
      <c r="B863" s="274"/>
      <c r="C863" s="274"/>
      <c r="D863" s="275"/>
      <c r="E863" s="275"/>
      <c r="F863" s="274"/>
      <c r="G863" s="274"/>
      <c r="H863" s="274"/>
      <c r="I863" s="242"/>
    </row>
    <row r="864" spans="1:9" ht="16">
      <c r="A864" s="274"/>
      <c r="B864" s="274"/>
      <c r="C864" s="274"/>
      <c r="D864" s="275"/>
      <c r="E864" s="275"/>
      <c r="F864" s="274"/>
      <c r="G864" s="274"/>
      <c r="H864" s="274"/>
      <c r="I864" s="242"/>
    </row>
    <row r="865" spans="1:9" ht="16">
      <c r="A865" s="274"/>
      <c r="B865" s="274"/>
      <c r="C865" s="274"/>
      <c r="D865" s="275"/>
      <c r="E865" s="275"/>
      <c r="F865" s="274"/>
      <c r="G865" s="274"/>
      <c r="H865" s="274"/>
      <c r="I865" s="242"/>
    </row>
    <row r="866" spans="1:9" ht="16">
      <c r="A866" s="274"/>
      <c r="B866" s="274"/>
      <c r="C866" s="274"/>
      <c r="D866" s="275"/>
      <c r="E866" s="275"/>
      <c r="F866" s="274"/>
      <c r="G866" s="274"/>
      <c r="H866" s="274"/>
      <c r="I866" s="242"/>
    </row>
    <row r="867" spans="1:9" ht="16">
      <c r="A867" s="274"/>
      <c r="B867" s="274"/>
      <c r="C867" s="274"/>
      <c r="D867" s="275"/>
      <c r="E867" s="275"/>
      <c r="F867" s="274"/>
      <c r="G867" s="274"/>
      <c r="H867" s="274"/>
      <c r="I867" s="242"/>
    </row>
    <row r="868" spans="1:9" ht="16">
      <c r="A868" s="274"/>
      <c r="B868" s="274"/>
      <c r="C868" s="274"/>
      <c r="D868" s="275"/>
      <c r="E868" s="275"/>
      <c r="F868" s="274"/>
      <c r="G868" s="274"/>
      <c r="H868" s="274"/>
      <c r="I868" s="242"/>
    </row>
    <row r="869" spans="1:9" ht="16">
      <c r="A869" s="274"/>
      <c r="B869" s="274"/>
      <c r="C869" s="274"/>
      <c r="D869" s="275"/>
      <c r="E869" s="275"/>
      <c r="F869" s="274"/>
      <c r="G869" s="274"/>
      <c r="H869" s="274"/>
      <c r="I869" s="242"/>
    </row>
    <row r="870" spans="1:9" ht="16">
      <c r="A870" s="274"/>
      <c r="B870" s="274"/>
      <c r="C870" s="274"/>
      <c r="D870" s="275"/>
      <c r="E870" s="275"/>
      <c r="F870" s="274"/>
      <c r="G870" s="274"/>
      <c r="H870" s="274"/>
      <c r="I870" s="242"/>
    </row>
    <row r="871" spans="1:9" ht="16">
      <c r="A871" s="274"/>
      <c r="B871" s="274"/>
      <c r="C871" s="274"/>
      <c r="D871" s="275"/>
      <c r="E871" s="275"/>
      <c r="F871" s="274"/>
      <c r="G871" s="274"/>
      <c r="H871" s="274"/>
      <c r="I871" s="242"/>
    </row>
    <row r="872" spans="1:9" ht="16">
      <c r="A872" s="274"/>
      <c r="B872" s="274"/>
      <c r="C872" s="274"/>
      <c r="D872" s="275"/>
      <c r="E872" s="275"/>
      <c r="F872" s="274"/>
      <c r="G872" s="274"/>
      <c r="H872" s="274"/>
      <c r="I872" s="242"/>
    </row>
    <row r="873" spans="1:9" ht="16">
      <c r="A873" s="274"/>
      <c r="B873" s="274"/>
      <c r="C873" s="274"/>
      <c r="D873" s="275"/>
      <c r="E873" s="275"/>
      <c r="F873" s="274"/>
      <c r="G873" s="274"/>
      <c r="H873" s="274"/>
      <c r="I873" s="242"/>
    </row>
    <row r="874" spans="1:9" ht="16">
      <c r="A874" s="274"/>
      <c r="B874" s="274"/>
      <c r="C874" s="274"/>
      <c r="D874" s="275"/>
      <c r="E874" s="275"/>
      <c r="F874" s="274"/>
      <c r="G874" s="274"/>
      <c r="H874" s="274"/>
      <c r="I874" s="242"/>
    </row>
    <row r="875" spans="1:9" ht="16">
      <c r="A875" s="274"/>
      <c r="B875" s="274"/>
      <c r="C875" s="274"/>
      <c r="D875" s="275"/>
      <c r="E875" s="275"/>
      <c r="F875" s="274"/>
      <c r="G875" s="274"/>
      <c r="H875" s="274"/>
      <c r="I875" s="242"/>
    </row>
    <row r="876" spans="1:9" ht="16">
      <c r="A876" s="274"/>
      <c r="B876" s="274"/>
      <c r="C876" s="274"/>
      <c r="D876" s="275"/>
      <c r="E876" s="275"/>
      <c r="F876" s="274"/>
      <c r="G876" s="274"/>
      <c r="H876" s="274"/>
      <c r="I876" s="242"/>
    </row>
    <row r="877" spans="1:9" ht="16">
      <c r="A877" s="274"/>
      <c r="B877" s="274"/>
      <c r="C877" s="274"/>
      <c r="D877" s="275"/>
      <c r="E877" s="275"/>
      <c r="F877" s="274"/>
      <c r="G877" s="274"/>
      <c r="H877" s="274"/>
      <c r="I877" s="242"/>
    </row>
    <row r="878" spans="1:9" ht="16">
      <c r="A878" s="274"/>
      <c r="B878" s="274"/>
      <c r="C878" s="274"/>
      <c r="D878" s="275"/>
      <c r="E878" s="275"/>
      <c r="F878" s="274"/>
      <c r="G878" s="274"/>
      <c r="H878" s="274"/>
      <c r="I878" s="242"/>
    </row>
    <row r="879" spans="1:9" ht="16">
      <c r="A879" s="274"/>
      <c r="B879" s="274"/>
      <c r="C879" s="274"/>
      <c r="D879" s="275"/>
      <c r="E879" s="275"/>
      <c r="F879" s="274"/>
      <c r="G879" s="274"/>
      <c r="H879" s="274"/>
      <c r="I879" s="242"/>
    </row>
    <row r="880" spans="1:9" ht="16">
      <c r="A880" s="274"/>
      <c r="B880" s="274"/>
      <c r="C880" s="274"/>
      <c r="D880" s="275"/>
      <c r="E880" s="275"/>
      <c r="F880" s="274"/>
      <c r="G880" s="274"/>
      <c r="H880" s="274"/>
      <c r="I880" s="242"/>
    </row>
    <row r="881" spans="1:9" ht="16">
      <c r="A881" s="274"/>
      <c r="B881" s="274"/>
      <c r="C881" s="274"/>
      <c r="D881" s="275"/>
      <c r="E881" s="275"/>
      <c r="F881" s="274"/>
      <c r="G881" s="274"/>
      <c r="H881" s="274"/>
      <c r="I881" s="242"/>
    </row>
    <row r="882" spans="1:9" ht="16">
      <c r="A882" s="274"/>
      <c r="B882" s="274"/>
      <c r="C882" s="274"/>
      <c r="D882" s="275"/>
      <c r="E882" s="275"/>
      <c r="F882" s="274"/>
      <c r="G882" s="274"/>
      <c r="H882" s="274"/>
      <c r="I882" s="242"/>
    </row>
    <row r="883" spans="1:9" ht="16">
      <c r="A883" s="274"/>
      <c r="B883" s="274"/>
      <c r="C883" s="274"/>
      <c r="D883" s="275"/>
      <c r="E883" s="275"/>
      <c r="F883" s="274"/>
      <c r="G883" s="274"/>
      <c r="H883" s="274"/>
      <c r="I883" s="242"/>
    </row>
    <row r="884" spans="1:9" ht="16">
      <c r="A884" s="274"/>
      <c r="B884" s="274"/>
      <c r="C884" s="274"/>
      <c r="D884" s="275"/>
      <c r="E884" s="275"/>
      <c r="F884" s="274"/>
      <c r="G884" s="274"/>
      <c r="H884" s="274"/>
      <c r="I884" s="242"/>
    </row>
    <row r="885" spans="1:9" ht="16">
      <c r="A885" s="274"/>
      <c r="B885" s="274"/>
      <c r="C885" s="274"/>
      <c r="D885" s="275"/>
      <c r="E885" s="275"/>
      <c r="F885" s="274"/>
      <c r="G885" s="274"/>
      <c r="H885" s="274"/>
      <c r="I885" s="242"/>
    </row>
    <row r="886" spans="1:9" ht="16">
      <c r="A886" s="274"/>
      <c r="B886" s="274"/>
      <c r="C886" s="274"/>
      <c r="D886" s="275"/>
      <c r="E886" s="275"/>
      <c r="F886" s="274"/>
      <c r="G886" s="274"/>
      <c r="H886" s="274"/>
      <c r="I886" s="242"/>
    </row>
    <row r="887" spans="1:9" ht="16">
      <c r="A887" s="274"/>
      <c r="B887" s="274"/>
      <c r="C887" s="274"/>
      <c r="D887" s="275"/>
      <c r="E887" s="275"/>
      <c r="F887" s="274"/>
      <c r="G887" s="274"/>
      <c r="H887" s="274"/>
      <c r="I887" s="242"/>
    </row>
    <row r="888" spans="1:9" ht="16">
      <c r="A888" s="274"/>
      <c r="B888" s="274"/>
      <c r="C888" s="274"/>
      <c r="D888" s="275"/>
      <c r="E888" s="275"/>
      <c r="F888" s="274"/>
      <c r="G888" s="274"/>
      <c r="H888" s="274"/>
      <c r="I888" s="242"/>
    </row>
    <row r="889" spans="1:9" ht="16">
      <c r="A889" s="274"/>
      <c r="B889" s="274"/>
      <c r="C889" s="274"/>
      <c r="D889" s="275"/>
      <c r="E889" s="275"/>
      <c r="F889" s="274"/>
      <c r="G889" s="274"/>
      <c r="H889" s="274"/>
      <c r="I889" s="242"/>
    </row>
    <row r="890" spans="1:9" ht="16">
      <c r="A890" s="274"/>
      <c r="B890" s="274"/>
      <c r="C890" s="274"/>
      <c r="D890" s="275"/>
      <c r="E890" s="275"/>
      <c r="F890" s="274"/>
      <c r="G890" s="274"/>
      <c r="H890" s="274"/>
      <c r="I890" s="242"/>
    </row>
    <row r="891" spans="1:9" ht="16">
      <c r="A891" s="274"/>
      <c r="B891" s="274"/>
      <c r="C891" s="274"/>
      <c r="D891" s="275"/>
      <c r="E891" s="275"/>
      <c r="F891" s="274"/>
      <c r="G891" s="274"/>
      <c r="H891" s="274"/>
      <c r="I891" s="242"/>
    </row>
    <row r="892" spans="1:9" ht="16">
      <c r="A892" s="274"/>
      <c r="B892" s="274"/>
      <c r="C892" s="274"/>
      <c r="D892" s="275"/>
      <c r="E892" s="275"/>
      <c r="F892" s="274"/>
      <c r="G892" s="274"/>
      <c r="H892" s="274"/>
      <c r="I892" s="242"/>
    </row>
    <row r="893" spans="1:9" ht="16">
      <c r="A893" s="274"/>
      <c r="B893" s="274"/>
      <c r="C893" s="274"/>
      <c r="D893" s="275"/>
      <c r="E893" s="275"/>
      <c r="F893" s="274"/>
      <c r="G893" s="274"/>
      <c r="H893" s="274"/>
      <c r="I893" s="242"/>
    </row>
    <row r="894" spans="1:9" ht="16">
      <c r="A894" s="274"/>
      <c r="B894" s="274"/>
      <c r="C894" s="274"/>
      <c r="D894" s="275"/>
      <c r="E894" s="275"/>
      <c r="F894" s="274"/>
      <c r="G894" s="274"/>
      <c r="H894" s="274"/>
      <c r="I894" s="242"/>
    </row>
    <row r="895" spans="1:9" ht="16">
      <c r="A895" s="274"/>
      <c r="B895" s="274"/>
      <c r="C895" s="274"/>
      <c r="D895" s="275"/>
      <c r="E895" s="275"/>
      <c r="F895" s="274"/>
      <c r="G895" s="274"/>
      <c r="H895" s="274"/>
      <c r="I895" s="242"/>
    </row>
    <row r="896" spans="1:9" ht="16">
      <c r="A896" s="274"/>
      <c r="B896" s="274"/>
      <c r="C896" s="274"/>
      <c r="D896" s="275"/>
      <c r="E896" s="275"/>
      <c r="F896" s="274"/>
      <c r="G896" s="274"/>
      <c r="H896" s="274"/>
      <c r="I896" s="242"/>
    </row>
    <row r="897" spans="1:9" ht="16">
      <c r="A897" s="274"/>
      <c r="B897" s="274"/>
      <c r="C897" s="274"/>
      <c r="D897" s="275"/>
      <c r="E897" s="275"/>
      <c r="F897" s="274"/>
      <c r="G897" s="274"/>
      <c r="H897" s="274"/>
      <c r="I897" s="242"/>
    </row>
    <row r="898" spans="1:9" ht="16">
      <c r="A898" s="274"/>
      <c r="B898" s="274"/>
      <c r="C898" s="274"/>
      <c r="D898" s="275"/>
      <c r="E898" s="275"/>
      <c r="F898" s="274"/>
      <c r="G898" s="274"/>
      <c r="H898" s="274"/>
      <c r="I898" s="242"/>
    </row>
    <row r="899" spans="1:9" ht="16">
      <c r="A899" s="274"/>
      <c r="B899" s="274"/>
      <c r="C899" s="274"/>
      <c r="D899" s="275"/>
      <c r="E899" s="275"/>
      <c r="F899" s="274"/>
      <c r="G899" s="274"/>
      <c r="H899" s="274"/>
      <c r="I899" s="242"/>
    </row>
    <row r="900" spans="1:9" ht="16">
      <c r="A900" s="274"/>
      <c r="B900" s="274"/>
      <c r="C900" s="274"/>
      <c r="D900" s="275"/>
      <c r="E900" s="275"/>
      <c r="F900" s="274"/>
      <c r="G900" s="274"/>
      <c r="H900" s="274"/>
      <c r="I900" s="242"/>
    </row>
    <row r="901" spans="1:9" ht="16">
      <c r="A901" s="274"/>
      <c r="B901" s="274"/>
      <c r="C901" s="274"/>
      <c r="D901" s="275"/>
      <c r="E901" s="275"/>
      <c r="F901" s="274"/>
      <c r="G901" s="274"/>
      <c r="H901" s="274"/>
      <c r="I901" s="242"/>
    </row>
    <row r="902" spans="1:9" ht="16">
      <c r="A902" s="274"/>
      <c r="B902" s="274"/>
      <c r="C902" s="274"/>
      <c r="D902" s="275"/>
      <c r="E902" s="275"/>
      <c r="F902" s="274"/>
      <c r="G902" s="274"/>
      <c r="H902" s="274"/>
      <c r="I902" s="242"/>
    </row>
    <row r="903" spans="1:9" ht="16">
      <c r="A903" s="274"/>
      <c r="B903" s="274"/>
      <c r="C903" s="274"/>
      <c r="D903" s="275"/>
      <c r="E903" s="275"/>
      <c r="F903" s="274"/>
      <c r="G903" s="274"/>
      <c r="H903" s="274"/>
      <c r="I903" s="242"/>
    </row>
    <row r="904" spans="1:9" ht="16">
      <c r="A904" s="274"/>
      <c r="B904" s="274"/>
      <c r="C904" s="274"/>
      <c r="D904" s="275"/>
      <c r="E904" s="275"/>
      <c r="F904" s="274"/>
      <c r="G904" s="274"/>
      <c r="H904" s="274"/>
      <c r="I904" s="242"/>
    </row>
    <row r="905" spans="1:9" ht="16">
      <c r="A905" s="274"/>
      <c r="B905" s="274"/>
      <c r="C905" s="274"/>
      <c r="D905" s="275"/>
      <c r="E905" s="275"/>
      <c r="F905" s="274"/>
      <c r="G905" s="274"/>
      <c r="H905" s="274"/>
      <c r="I905" s="242"/>
    </row>
    <row r="906" spans="1:9" ht="16">
      <c r="A906" s="274"/>
      <c r="B906" s="274"/>
      <c r="C906" s="274"/>
      <c r="D906" s="275"/>
      <c r="E906" s="275"/>
      <c r="F906" s="274"/>
      <c r="G906" s="274"/>
      <c r="H906" s="274"/>
      <c r="I906" s="242"/>
    </row>
    <row r="907" spans="1:9" ht="16">
      <c r="A907" s="274"/>
      <c r="B907" s="274"/>
      <c r="C907" s="274"/>
      <c r="D907" s="275"/>
      <c r="E907" s="275"/>
      <c r="F907" s="274"/>
      <c r="G907" s="274"/>
      <c r="H907" s="274"/>
      <c r="I907" s="242"/>
    </row>
    <row r="908" spans="1:9" ht="16">
      <c r="A908" s="274"/>
      <c r="B908" s="274"/>
      <c r="C908" s="274"/>
      <c r="D908" s="275"/>
      <c r="E908" s="275"/>
      <c r="F908" s="274"/>
      <c r="G908" s="274"/>
      <c r="H908" s="274"/>
      <c r="I908" s="242"/>
    </row>
    <row r="909" spans="1:9" ht="16">
      <c r="A909" s="274"/>
      <c r="B909" s="274"/>
      <c r="C909" s="274"/>
      <c r="D909" s="275"/>
      <c r="E909" s="275"/>
      <c r="F909" s="274"/>
      <c r="G909" s="274"/>
      <c r="H909" s="274"/>
      <c r="I909" s="242"/>
    </row>
    <row r="910" spans="1:9" ht="16">
      <c r="A910" s="274"/>
      <c r="B910" s="274"/>
      <c r="C910" s="274"/>
      <c r="D910" s="275"/>
      <c r="E910" s="275"/>
      <c r="F910" s="274"/>
      <c r="G910" s="274"/>
      <c r="H910" s="274"/>
      <c r="I910" s="242"/>
    </row>
    <row r="911" spans="1:9" ht="16">
      <c r="A911" s="274"/>
      <c r="B911" s="274"/>
      <c r="C911" s="274"/>
      <c r="D911" s="275"/>
      <c r="E911" s="275"/>
      <c r="F911" s="274"/>
      <c r="G911" s="274"/>
      <c r="H911" s="274"/>
      <c r="I911" s="242"/>
    </row>
    <row r="912" spans="1:9" ht="16">
      <c r="A912" s="274"/>
      <c r="B912" s="274"/>
      <c r="C912" s="274"/>
      <c r="D912" s="275"/>
      <c r="E912" s="275"/>
      <c r="F912" s="274"/>
      <c r="G912" s="274"/>
      <c r="H912" s="274"/>
      <c r="I912" s="242"/>
    </row>
    <row r="913" spans="1:9" ht="16">
      <c r="A913" s="274"/>
      <c r="B913" s="274"/>
      <c r="C913" s="274"/>
      <c r="D913" s="275"/>
      <c r="E913" s="275"/>
      <c r="F913" s="274"/>
      <c r="G913" s="274"/>
      <c r="H913" s="274"/>
      <c r="I913" s="242"/>
    </row>
    <row r="914" spans="1:9" ht="16">
      <c r="A914" s="274"/>
      <c r="B914" s="274"/>
      <c r="C914" s="274"/>
      <c r="D914" s="275"/>
      <c r="E914" s="275"/>
      <c r="F914" s="274"/>
      <c r="G914" s="274"/>
      <c r="H914" s="274"/>
      <c r="I914" s="242"/>
    </row>
    <row r="915" spans="1:9" ht="16">
      <c r="A915" s="274"/>
      <c r="B915" s="274"/>
      <c r="C915" s="274"/>
      <c r="D915" s="275"/>
      <c r="E915" s="275"/>
      <c r="F915" s="274"/>
      <c r="G915" s="274"/>
      <c r="H915" s="274"/>
      <c r="I915" s="242"/>
    </row>
    <row r="916" spans="1:9" ht="16">
      <c r="A916" s="274"/>
      <c r="B916" s="274"/>
      <c r="C916" s="274"/>
      <c r="D916" s="275"/>
      <c r="E916" s="275"/>
      <c r="F916" s="274"/>
      <c r="G916" s="274"/>
      <c r="H916" s="274"/>
      <c r="I916" s="242"/>
    </row>
    <row r="917" spans="1:9" ht="16">
      <c r="A917" s="274"/>
      <c r="B917" s="274"/>
      <c r="C917" s="274"/>
      <c r="D917" s="275"/>
      <c r="E917" s="275"/>
      <c r="F917" s="274"/>
      <c r="G917" s="274"/>
      <c r="H917" s="274"/>
      <c r="I917" s="242"/>
    </row>
    <row r="918" spans="1:9" ht="16">
      <c r="A918" s="274"/>
      <c r="B918" s="274"/>
      <c r="C918" s="274"/>
      <c r="D918" s="275"/>
      <c r="E918" s="275"/>
      <c r="F918" s="274"/>
      <c r="G918" s="274"/>
      <c r="H918" s="274"/>
      <c r="I918" s="242"/>
    </row>
    <row r="919" spans="1:9" ht="16">
      <c r="A919" s="274"/>
      <c r="B919" s="274"/>
      <c r="C919" s="274"/>
      <c r="D919" s="275"/>
      <c r="E919" s="275"/>
      <c r="F919" s="274"/>
      <c r="G919" s="274"/>
      <c r="H919" s="274"/>
      <c r="I919" s="242"/>
    </row>
    <row r="920" spans="1:9" ht="16">
      <c r="A920" s="274"/>
      <c r="B920" s="274"/>
      <c r="C920" s="274"/>
      <c r="D920" s="275"/>
      <c r="E920" s="275"/>
      <c r="F920" s="274"/>
      <c r="G920" s="274"/>
      <c r="H920" s="274"/>
      <c r="I920" s="242"/>
    </row>
    <row r="921" spans="1:9" ht="16">
      <c r="A921" s="274"/>
      <c r="B921" s="274"/>
      <c r="C921" s="274"/>
      <c r="D921" s="275"/>
      <c r="E921" s="275"/>
      <c r="F921" s="274"/>
      <c r="G921" s="274"/>
      <c r="H921" s="274"/>
      <c r="I921" s="242"/>
    </row>
    <row r="922" spans="1:9" ht="16">
      <c r="A922" s="274"/>
      <c r="B922" s="274"/>
      <c r="C922" s="274"/>
      <c r="D922" s="275"/>
      <c r="E922" s="275"/>
      <c r="F922" s="274"/>
      <c r="G922" s="274"/>
      <c r="H922" s="274"/>
      <c r="I922" s="242"/>
    </row>
    <row r="923" spans="1:9" ht="16">
      <c r="A923" s="274"/>
      <c r="B923" s="274"/>
      <c r="C923" s="274"/>
      <c r="D923" s="275"/>
      <c r="E923" s="275"/>
      <c r="F923" s="274"/>
      <c r="G923" s="274"/>
      <c r="H923" s="274"/>
      <c r="I923" s="242"/>
    </row>
    <row r="924" spans="1:9" ht="16">
      <c r="A924" s="274"/>
      <c r="B924" s="274"/>
      <c r="C924" s="274"/>
      <c r="D924" s="275"/>
      <c r="E924" s="275"/>
      <c r="F924" s="274"/>
      <c r="G924" s="274"/>
      <c r="H924" s="274"/>
      <c r="I924" s="242"/>
    </row>
    <row r="925" spans="1:9" ht="16">
      <c r="A925" s="274"/>
      <c r="B925" s="274"/>
      <c r="C925" s="274"/>
      <c r="D925" s="275"/>
      <c r="E925" s="275"/>
      <c r="F925" s="274"/>
      <c r="G925" s="274"/>
      <c r="H925" s="274"/>
      <c r="I925" s="242"/>
    </row>
    <row r="926" spans="1:9" ht="16">
      <c r="A926" s="274"/>
      <c r="B926" s="274"/>
      <c r="C926" s="274"/>
      <c r="D926" s="275"/>
      <c r="E926" s="275"/>
      <c r="F926" s="274"/>
      <c r="G926" s="274"/>
      <c r="H926" s="274"/>
      <c r="I926" s="242"/>
    </row>
    <row r="927" spans="1:9" ht="16">
      <c r="A927" s="274"/>
      <c r="B927" s="274"/>
      <c r="C927" s="274"/>
      <c r="D927" s="275"/>
      <c r="E927" s="275"/>
      <c r="F927" s="274"/>
      <c r="G927" s="274"/>
      <c r="H927" s="274"/>
      <c r="I927" s="242"/>
    </row>
    <row r="928" spans="1:9" ht="16">
      <c r="A928" s="274"/>
      <c r="B928" s="274"/>
      <c r="C928" s="274"/>
      <c r="D928" s="275"/>
      <c r="E928" s="275"/>
      <c r="F928" s="274"/>
      <c r="G928" s="274"/>
      <c r="H928" s="274"/>
      <c r="I928" s="242"/>
    </row>
    <row r="929" spans="1:9" ht="16">
      <c r="A929" s="274"/>
      <c r="B929" s="274"/>
      <c r="C929" s="274"/>
      <c r="D929" s="275"/>
      <c r="E929" s="275"/>
      <c r="F929" s="274"/>
      <c r="G929" s="274"/>
      <c r="H929" s="274"/>
      <c r="I929" s="242"/>
    </row>
    <row r="930" spans="1:9" ht="16">
      <c r="A930" s="274"/>
      <c r="B930" s="274"/>
      <c r="C930" s="274"/>
      <c r="D930" s="275"/>
      <c r="E930" s="275"/>
      <c r="F930" s="274"/>
      <c r="G930" s="274"/>
      <c r="H930" s="274"/>
      <c r="I930" s="242"/>
    </row>
    <row r="931" spans="1:9" ht="16">
      <c r="A931" s="274"/>
      <c r="B931" s="274"/>
      <c r="C931" s="274"/>
      <c r="D931" s="275"/>
      <c r="E931" s="275"/>
      <c r="F931" s="274"/>
      <c r="G931" s="274"/>
      <c r="H931" s="274"/>
      <c r="I931" s="242"/>
    </row>
    <row r="932" spans="1:9" ht="16">
      <c r="A932" s="274"/>
      <c r="B932" s="274"/>
      <c r="C932" s="274"/>
      <c r="D932" s="275"/>
      <c r="E932" s="275"/>
      <c r="F932" s="274"/>
      <c r="G932" s="274"/>
      <c r="H932" s="274"/>
      <c r="I932" s="242"/>
    </row>
    <row r="933" spans="1:9" ht="16">
      <c r="A933" s="274"/>
      <c r="B933" s="274"/>
      <c r="C933" s="274"/>
      <c r="D933" s="275"/>
      <c r="E933" s="275"/>
      <c r="F933" s="274"/>
      <c r="G933" s="274"/>
      <c r="H933" s="274"/>
      <c r="I933" s="242"/>
    </row>
    <row r="934" spans="1:9" ht="16">
      <c r="A934" s="274"/>
      <c r="B934" s="274"/>
      <c r="C934" s="274"/>
      <c r="D934" s="275"/>
      <c r="E934" s="275"/>
      <c r="F934" s="274"/>
      <c r="G934" s="274"/>
      <c r="H934" s="274"/>
      <c r="I934" s="242"/>
    </row>
    <row r="935" spans="1:9" ht="16">
      <c r="A935" s="274"/>
      <c r="B935" s="274"/>
      <c r="C935" s="274"/>
      <c r="D935" s="275"/>
      <c r="E935" s="275"/>
      <c r="F935" s="274"/>
      <c r="G935" s="274"/>
      <c r="H935" s="274"/>
      <c r="I935" s="242"/>
    </row>
    <row r="936" spans="1:9" ht="16">
      <c r="A936" s="274"/>
      <c r="B936" s="274"/>
      <c r="C936" s="274"/>
      <c r="D936" s="275"/>
      <c r="E936" s="275"/>
      <c r="F936" s="274"/>
      <c r="G936" s="274"/>
      <c r="H936" s="274"/>
      <c r="I936" s="242"/>
    </row>
    <row r="937" spans="1:9" ht="16">
      <c r="A937" s="274"/>
      <c r="B937" s="274"/>
      <c r="C937" s="274"/>
      <c r="D937" s="275"/>
      <c r="E937" s="275"/>
      <c r="F937" s="274"/>
      <c r="G937" s="274"/>
      <c r="H937" s="274"/>
      <c r="I937" s="242"/>
    </row>
    <row r="938" spans="1:9" ht="16">
      <c r="A938" s="274"/>
      <c r="B938" s="274"/>
      <c r="C938" s="274"/>
      <c r="D938" s="275"/>
      <c r="E938" s="275"/>
      <c r="F938" s="274"/>
      <c r="G938" s="274"/>
      <c r="H938" s="274"/>
      <c r="I938" s="242"/>
    </row>
    <row r="939" spans="1:9" ht="16">
      <c r="A939" s="274"/>
      <c r="B939" s="274"/>
      <c r="C939" s="274"/>
      <c r="D939" s="275"/>
      <c r="E939" s="275"/>
      <c r="F939" s="274"/>
      <c r="G939" s="274"/>
      <c r="H939" s="274"/>
      <c r="I939" s="242"/>
    </row>
    <row r="940" spans="1:9" ht="16">
      <c r="A940" s="274"/>
      <c r="B940" s="274"/>
      <c r="C940" s="274"/>
      <c r="D940" s="275"/>
      <c r="E940" s="275"/>
      <c r="F940" s="274"/>
      <c r="G940" s="274"/>
      <c r="H940" s="274"/>
      <c r="I940" s="242"/>
    </row>
    <row r="941" spans="1:9" ht="16">
      <c r="A941" s="274"/>
      <c r="B941" s="274"/>
      <c r="C941" s="274"/>
      <c r="D941" s="275"/>
      <c r="E941" s="275"/>
      <c r="F941" s="274"/>
      <c r="G941" s="274"/>
      <c r="H941" s="274"/>
      <c r="I941" s="242"/>
    </row>
    <row r="942" spans="1:9" ht="16">
      <c r="A942" s="274"/>
      <c r="B942" s="274"/>
      <c r="C942" s="274"/>
      <c r="D942" s="275"/>
      <c r="E942" s="275"/>
      <c r="F942" s="274"/>
      <c r="G942" s="274"/>
      <c r="H942" s="274"/>
      <c r="I942" s="242"/>
    </row>
    <row r="943" spans="1:9" ht="16">
      <c r="A943" s="274"/>
      <c r="B943" s="274"/>
      <c r="C943" s="274"/>
      <c r="D943" s="275"/>
      <c r="E943" s="275"/>
      <c r="F943" s="274"/>
      <c r="G943" s="274"/>
      <c r="H943" s="274"/>
      <c r="I943" s="242"/>
    </row>
    <row r="944" spans="1:9" ht="16">
      <c r="A944" s="274"/>
      <c r="B944" s="274"/>
      <c r="C944" s="274"/>
      <c r="D944" s="275"/>
      <c r="E944" s="275"/>
      <c r="F944" s="274"/>
      <c r="G944" s="274"/>
      <c r="H944" s="274"/>
      <c r="I944" s="242"/>
    </row>
    <row r="945" spans="1:9" ht="16">
      <c r="A945" s="274"/>
      <c r="B945" s="274"/>
      <c r="C945" s="274"/>
      <c r="D945" s="275"/>
      <c r="E945" s="275"/>
      <c r="F945" s="274"/>
      <c r="G945" s="274"/>
      <c r="H945" s="274"/>
      <c r="I945" s="242"/>
    </row>
    <row r="946" spans="1:9" ht="16">
      <c r="A946" s="274"/>
      <c r="B946" s="274"/>
      <c r="C946" s="274"/>
      <c r="D946" s="275"/>
      <c r="E946" s="275"/>
      <c r="F946" s="274"/>
      <c r="G946" s="274"/>
      <c r="H946" s="274"/>
      <c r="I946" s="242"/>
    </row>
    <row r="947" spans="1:9" ht="16">
      <c r="A947" s="274"/>
      <c r="B947" s="274"/>
      <c r="C947" s="274"/>
      <c r="D947" s="275"/>
      <c r="E947" s="275"/>
      <c r="F947" s="274"/>
      <c r="G947" s="274"/>
      <c r="H947" s="274"/>
      <c r="I947" s="242"/>
    </row>
    <row r="948" spans="1:9" ht="16">
      <c r="A948" s="274"/>
      <c r="B948" s="274"/>
      <c r="C948" s="274"/>
      <c r="D948" s="275"/>
      <c r="E948" s="275"/>
      <c r="F948" s="274"/>
      <c r="G948" s="274"/>
      <c r="H948" s="274"/>
      <c r="I948" s="242"/>
    </row>
    <row r="949" spans="1:9" ht="16">
      <c r="A949" s="274"/>
      <c r="B949" s="274"/>
      <c r="C949" s="274"/>
      <c r="D949" s="275"/>
      <c r="E949" s="275"/>
      <c r="F949" s="274"/>
      <c r="G949" s="274"/>
      <c r="H949" s="274"/>
      <c r="I949" s="242"/>
    </row>
    <row r="950" spans="1:9" ht="16">
      <c r="A950" s="274"/>
      <c r="B950" s="274"/>
      <c r="C950" s="274"/>
      <c r="D950" s="275"/>
      <c r="E950" s="275"/>
      <c r="F950" s="274"/>
      <c r="G950" s="274"/>
      <c r="H950" s="274"/>
      <c r="I950" s="242"/>
    </row>
    <row r="951" spans="1:9" ht="16">
      <c r="A951" s="274"/>
      <c r="B951" s="274"/>
      <c r="C951" s="274"/>
      <c r="D951" s="275"/>
      <c r="E951" s="275"/>
      <c r="F951" s="274"/>
      <c r="G951" s="274"/>
      <c r="H951" s="274"/>
      <c r="I951" s="242"/>
    </row>
    <row r="952" spans="1:9" ht="16">
      <c r="A952" s="274"/>
      <c r="B952" s="274"/>
      <c r="C952" s="274"/>
      <c r="D952" s="275"/>
      <c r="E952" s="275"/>
      <c r="F952" s="274"/>
      <c r="G952" s="274"/>
      <c r="H952" s="274"/>
      <c r="I952" s="242"/>
    </row>
    <row r="953" spans="1:9" ht="16">
      <c r="A953" s="274"/>
      <c r="B953" s="274"/>
      <c r="C953" s="274"/>
      <c r="D953" s="275"/>
      <c r="E953" s="275"/>
      <c r="F953" s="274"/>
      <c r="G953" s="274"/>
      <c r="H953" s="274"/>
      <c r="I953" s="242"/>
    </row>
    <row r="954" spans="1:9" ht="16">
      <c r="A954" s="274"/>
      <c r="B954" s="274"/>
      <c r="C954" s="274"/>
      <c r="D954" s="275"/>
      <c r="E954" s="275"/>
      <c r="F954" s="274"/>
      <c r="G954" s="274"/>
      <c r="H954" s="274"/>
      <c r="I954" s="242"/>
    </row>
    <row r="955" spans="1:9" ht="16">
      <c r="A955" s="274"/>
      <c r="B955" s="274"/>
      <c r="C955" s="274"/>
      <c r="D955" s="275"/>
      <c r="E955" s="275"/>
      <c r="F955" s="274"/>
      <c r="G955" s="274"/>
      <c r="H955" s="274"/>
      <c r="I955" s="242"/>
    </row>
    <row r="956" spans="1:9" ht="16">
      <c r="A956" s="274"/>
      <c r="B956" s="274"/>
      <c r="C956" s="274"/>
      <c r="D956" s="275"/>
      <c r="E956" s="275"/>
      <c r="F956" s="274"/>
      <c r="G956" s="274"/>
      <c r="H956" s="274"/>
      <c r="I956" s="242"/>
    </row>
    <row r="957" spans="1:9" ht="16">
      <c r="A957" s="274"/>
      <c r="B957" s="274"/>
      <c r="C957" s="274"/>
      <c r="D957" s="275"/>
      <c r="E957" s="275"/>
      <c r="F957" s="274"/>
      <c r="G957" s="274"/>
      <c r="H957" s="274"/>
      <c r="I957" s="242"/>
    </row>
    <row r="958" spans="1:9" ht="16">
      <c r="A958" s="274"/>
      <c r="B958" s="274"/>
      <c r="C958" s="274"/>
      <c r="D958" s="275"/>
      <c r="E958" s="275"/>
      <c r="F958" s="274"/>
      <c r="G958" s="274"/>
      <c r="H958" s="274"/>
      <c r="I958" s="242"/>
    </row>
    <row r="959" spans="1:9" ht="16">
      <c r="A959" s="274"/>
      <c r="B959" s="274"/>
      <c r="C959" s="274"/>
      <c r="D959" s="275"/>
      <c r="E959" s="275"/>
      <c r="F959" s="274"/>
      <c r="G959" s="274"/>
      <c r="H959" s="274"/>
      <c r="I959" s="242"/>
    </row>
    <row r="960" spans="1:9" ht="16">
      <c r="A960" s="274"/>
      <c r="B960" s="274"/>
      <c r="C960" s="274"/>
      <c r="D960" s="275"/>
      <c r="E960" s="275"/>
      <c r="F960" s="274"/>
      <c r="G960" s="274"/>
      <c r="H960" s="274"/>
      <c r="I960" s="242"/>
    </row>
    <row r="961" spans="1:9" ht="16">
      <c r="A961" s="274"/>
      <c r="B961" s="274"/>
      <c r="C961" s="274"/>
      <c r="D961" s="275"/>
      <c r="E961" s="275"/>
      <c r="F961" s="274"/>
      <c r="G961" s="274"/>
      <c r="H961" s="274"/>
      <c r="I961" s="242"/>
    </row>
    <row r="962" spans="1:9" ht="16">
      <c r="A962" s="274"/>
      <c r="B962" s="274"/>
      <c r="C962" s="274"/>
      <c r="D962" s="275"/>
      <c r="E962" s="275"/>
      <c r="F962" s="274"/>
      <c r="G962" s="274"/>
      <c r="H962" s="274"/>
      <c r="I962" s="242"/>
    </row>
    <row r="963" spans="1:9" ht="16">
      <c r="A963" s="274"/>
      <c r="B963" s="274"/>
      <c r="C963" s="274"/>
      <c r="D963" s="275"/>
      <c r="E963" s="275"/>
      <c r="F963" s="274"/>
      <c r="G963" s="274"/>
      <c r="H963" s="274"/>
      <c r="I963" s="242"/>
    </row>
    <row r="964" spans="1:9" ht="16">
      <c r="A964" s="274"/>
      <c r="B964" s="274"/>
      <c r="C964" s="274"/>
      <c r="D964" s="275"/>
      <c r="E964" s="275"/>
      <c r="F964" s="274"/>
      <c r="G964" s="274"/>
      <c r="H964" s="274"/>
      <c r="I964" s="242"/>
    </row>
    <row r="965" spans="1:9" ht="16">
      <c r="A965" s="274"/>
      <c r="B965" s="274"/>
      <c r="C965" s="274"/>
      <c r="D965" s="275"/>
      <c r="E965" s="275"/>
      <c r="F965" s="274"/>
      <c r="G965" s="274"/>
      <c r="H965" s="274"/>
      <c r="I965" s="242"/>
    </row>
    <row r="966" spans="1:9" ht="16">
      <c r="A966" s="274"/>
      <c r="B966" s="274"/>
      <c r="C966" s="274"/>
      <c r="D966" s="275"/>
      <c r="E966" s="275"/>
      <c r="F966" s="274"/>
      <c r="G966" s="274"/>
      <c r="H966" s="274"/>
      <c r="I966" s="242"/>
    </row>
    <row r="967" spans="1:9" ht="16">
      <c r="A967" s="274"/>
      <c r="B967" s="274"/>
      <c r="C967" s="274"/>
      <c r="D967" s="275"/>
      <c r="E967" s="275"/>
      <c r="F967" s="274"/>
      <c r="G967" s="274"/>
      <c r="H967" s="274"/>
      <c r="I967" s="242"/>
    </row>
    <row r="968" spans="1:9" ht="16">
      <c r="A968" s="274"/>
      <c r="B968" s="274"/>
      <c r="C968" s="274"/>
      <c r="D968" s="275"/>
      <c r="E968" s="275"/>
      <c r="F968" s="274"/>
      <c r="G968" s="274"/>
      <c r="H968" s="274"/>
      <c r="I968" s="242"/>
    </row>
    <row r="969" spans="1:9" ht="16">
      <c r="A969" s="274"/>
      <c r="B969" s="274"/>
      <c r="C969" s="274"/>
      <c r="D969" s="275"/>
      <c r="E969" s="275"/>
      <c r="F969" s="274"/>
      <c r="G969" s="274"/>
      <c r="H969" s="274"/>
      <c r="I969" s="242"/>
    </row>
    <row r="970" spans="1:9" ht="16">
      <c r="A970" s="274"/>
      <c r="B970" s="274"/>
      <c r="C970" s="274"/>
      <c r="D970" s="275"/>
      <c r="E970" s="275"/>
      <c r="F970" s="274"/>
      <c r="G970" s="274"/>
      <c r="H970" s="274"/>
      <c r="I970" s="242"/>
    </row>
    <row r="971" spans="1:9" ht="16">
      <c r="A971" s="274"/>
      <c r="B971" s="274"/>
      <c r="C971" s="274"/>
      <c r="D971" s="275"/>
      <c r="E971" s="275"/>
      <c r="F971" s="274"/>
      <c r="G971" s="274"/>
      <c r="H971" s="274"/>
      <c r="I971" s="242"/>
    </row>
    <row r="972" spans="1:9" ht="16">
      <c r="A972" s="274"/>
      <c r="B972" s="274"/>
      <c r="C972" s="274"/>
      <c r="D972" s="275"/>
      <c r="E972" s="275"/>
      <c r="F972" s="274"/>
      <c r="G972" s="274"/>
      <c r="H972" s="274"/>
      <c r="I972" s="242"/>
    </row>
    <row r="973" spans="1:9" ht="16">
      <c r="A973" s="274"/>
      <c r="B973" s="274"/>
      <c r="C973" s="274"/>
      <c r="D973" s="275"/>
      <c r="E973" s="275"/>
      <c r="F973" s="274"/>
      <c r="G973" s="274"/>
      <c r="H973" s="274"/>
      <c r="I973" s="242"/>
    </row>
    <row r="974" spans="1:9" ht="16">
      <c r="A974" s="274"/>
      <c r="B974" s="274"/>
      <c r="C974" s="274"/>
      <c r="D974" s="275"/>
      <c r="E974" s="275"/>
      <c r="F974" s="274"/>
      <c r="G974" s="274"/>
      <c r="H974" s="274"/>
      <c r="I974" s="242"/>
    </row>
    <row r="975" spans="1:9" ht="16">
      <c r="A975" s="274"/>
      <c r="B975" s="274"/>
      <c r="C975" s="274"/>
      <c r="D975" s="275"/>
      <c r="E975" s="275"/>
      <c r="F975" s="274"/>
      <c r="G975" s="274"/>
      <c r="H975" s="274"/>
      <c r="I975" s="242"/>
    </row>
    <row r="976" spans="1:9" ht="16">
      <c r="A976" s="274"/>
      <c r="B976" s="274"/>
      <c r="C976" s="274"/>
      <c r="D976" s="275"/>
      <c r="E976" s="275"/>
      <c r="F976" s="274"/>
      <c r="G976" s="274"/>
      <c r="H976" s="274"/>
      <c r="I976" s="242"/>
    </row>
    <row r="977" spans="1:9" ht="16">
      <c r="A977" s="274"/>
      <c r="B977" s="274"/>
      <c r="C977" s="274"/>
      <c r="D977" s="275"/>
      <c r="E977" s="275"/>
      <c r="F977" s="274"/>
      <c r="G977" s="274"/>
      <c r="H977" s="274"/>
      <c r="I977" s="242"/>
    </row>
    <row r="978" spans="1:9" ht="16">
      <c r="A978" s="274"/>
      <c r="B978" s="274"/>
      <c r="C978" s="274"/>
      <c r="D978" s="275"/>
      <c r="E978" s="275"/>
      <c r="F978" s="274"/>
      <c r="G978" s="274"/>
      <c r="H978" s="274"/>
      <c r="I978" s="242"/>
    </row>
    <row r="979" spans="1:9" ht="16">
      <c r="A979" s="274"/>
      <c r="B979" s="274"/>
      <c r="C979" s="274"/>
      <c r="D979" s="275"/>
      <c r="E979" s="275"/>
      <c r="F979" s="274"/>
      <c r="G979" s="274"/>
      <c r="H979" s="274"/>
      <c r="I979" s="242"/>
    </row>
    <row r="980" spans="1:9" ht="16">
      <c r="A980" s="274"/>
      <c r="B980" s="274"/>
      <c r="C980" s="274"/>
      <c r="D980" s="275"/>
      <c r="E980" s="275"/>
      <c r="F980" s="274"/>
      <c r="G980" s="274"/>
      <c r="H980" s="274"/>
      <c r="I980" s="242"/>
    </row>
    <row r="981" spans="1:9" ht="16">
      <c r="A981" s="274"/>
      <c r="B981" s="274"/>
      <c r="C981" s="274"/>
      <c r="D981" s="275"/>
      <c r="E981" s="275"/>
      <c r="F981" s="274"/>
      <c r="G981" s="274"/>
      <c r="H981" s="274"/>
      <c r="I981" s="242"/>
    </row>
    <row r="982" spans="1:9" ht="16">
      <c r="A982" s="274"/>
      <c r="B982" s="274"/>
      <c r="C982" s="274"/>
      <c r="D982" s="275"/>
      <c r="E982" s="275"/>
      <c r="F982" s="274"/>
      <c r="G982" s="274"/>
      <c r="H982" s="274"/>
      <c r="I982" s="242"/>
    </row>
    <row r="983" spans="1:9" ht="16">
      <c r="A983" s="274"/>
      <c r="B983" s="274"/>
      <c r="C983" s="274"/>
      <c r="D983" s="275"/>
      <c r="E983" s="275"/>
      <c r="F983" s="274"/>
      <c r="G983" s="274"/>
      <c r="H983" s="274"/>
      <c r="I983" s="242"/>
    </row>
    <row r="984" spans="1:9" ht="16">
      <c r="A984" s="274"/>
      <c r="B984" s="274"/>
      <c r="C984" s="274"/>
      <c r="D984" s="275"/>
      <c r="E984" s="275"/>
      <c r="F984" s="274"/>
      <c r="G984" s="274"/>
      <c r="H984" s="274"/>
      <c r="I984" s="242"/>
    </row>
    <row r="985" spans="1:9" ht="16">
      <c r="A985" s="274"/>
      <c r="B985" s="274"/>
      <c r="C985" s="274"/>
      <c r="D985" s="275"/>
      <c r="E985" s="275"/>
      <c r="F985" s="274"/>
      <c r="G985" s="274"/>
      <c r="H985" s="274"/>
      <c r="I985" s="242"/>
    </row>
    <row r="986" spans="1:9" ht="16">
      <c r="A986" s="274"/>
      <c r="B986" s="274"/>
      <c r="C986" s="274"/>
      <c r="D986" s="275"/>
      <c r="E986" s="275"/>
      <c r="F986" s="274"/>
      <c r="G986" s="274"/>
      <c r="H986" s="274"/>
      <c r="I986" s="242"/>
    </row>
    <row r="987" spans="1:9" ht="16">
      <c r="A987" s="274"/>
      <c r="B987" s="274"/>
      <c r="C987" s="274"/>
      <c r="D987" s="275"/>
      <c r="E987" s="275"/>
      <c r="F987" s="274"/>
      <c r="G987" s="274"/>
      <c r="H987" s="274"/>
      <c r="I987" s="242"/>
    </row>
    <row r="988" spans="1:9" ht="16">
      <c r="A988" s="274"/>
      <c r="B988" s="274"/>
      <c r="C988" s="274"/>
      <c r="D988" s="275"/>
      <c r="E988" s="275"/>
      <c r="F988" s="274"/>
      <c r="G988" s="274"/>
      <c r="H988" s="274"/>
      <c r="I988" s="242"/>
    </row>
    <row r="989" spans="1:9" ht="16">
      <c r="A989" s="274"/>
      <c r="B989" s="274"/>
      <c r="C989" s="274"/>
      <c r="D989" s="275"/>
      <c r="E989" s="275"/>
      <c r="F989" s="274"/>
      <c r="G989" s="274"/>
      <c r="H989" s="274"/>
      <c r="I989" s="242"/>
    </row>
    <row r="990" spans="1:9" ht="16">
      <c r="A990" s="274"/>
      <c r="B990" s="274"/>
      <c r="C990" s="274"/>
      <c r="D990" s="275"/>
      <c r="E990" s="275"/>
      <c r="F990" s="274"/>
      <c r="G990" s="274"/>
      <c r="H990" s="274"/>
      <c r="I990" s="242"/>
    </row>
    <row r="991" spans="1:9" ht="16">
      <c r="A991" s="274"/>
      <c r="B991" s="274"/>
      <c r="C991" s="274"/>
      <c r="D991" s="275"/>
      <c r="E991" s="275"/>
      <c r="F991" s="274"/>
      <c r="G991" s="274"/>
      <c r="H991" s="274"/>
      <c r="I991" s="242"/>
    </row>
    <row r="992" spans="1:9" ht="16">
      <c r="A992" s="274"/>
      <c r="B992" s="274"/>
      <c r="C992" s="274"/>
      <c r="D992" s="275"/>
      <c r="E992" s="275"/>
      <c r="F992" s="274"/>
      <c r="G992" s="274"/>
      <c r="H992" s="274"/>
      <c r="I992" s="242"/>
    </row>
    <row r="993" spans="1:9" ht="16">
      <c r="A993" s="274"/>
      <c r="B993" s="274"/>
      <c r="C993" s="274"/>
      <c r="D993" s="275"/>
      <c r="E993" s="275"/>
      <c r="F993" s="274"/>
      <c r="G993" s="274"/>
      <c r="H993" s="274"/>
      <c r="I993" s="242"/>
    </row>
    <row r="994" spans="1:9" ht="16">
      <c r="A994" s="274"/>
      <c r="B994" s="274"/>
      <c r="C994" s="274"/>
      <c r="D994" s="275"/>
      <c r="E994" s="275"/>
      <c r="F994" s="274"/>
      <c r="G994" s="274"/>
      <c r="H994" s="274"/>
      <c r="I994" s="242"/>
    </row>
    <row r="995" spans="1:9" ht="16">
      <c r="A995" s="274"/>
      <c r="B995" s="274"/>
      <c r="C995" s="274"/>
      <c r="D995" s="275"/>
      <c r="E995" s="275"/>
      <c r="F995" s="274"/>
      <c r="G995" s="274"/>
      <c r="H995" s="274"/>
      <c r="I995" s="242"/>
    </row>
    <row r="996" spans="1:9" ht="16">
      <c r="A996" s="274"/>
      <c r="B996" s="274"/>
      <c r="C996" s="274"/>
      <c r="D996" s="275"/>
      <c r="E996" s="275"/>
      <c r="F996" s="274"/>
      <c r="G996" s="274"/>
      <c r="H996" s="274"/>
      <c r="I996" s="242"/>
    </row>
    <row r="997" spans="1:9" ht="16">
      <c r="A997" s="274"/>
      <c r="B997" s="274"/>
      <c r="C997" s="274"/>
      <c r="D997" s="275"/>
      <c r="E997" s="275"/>
      <c r="F997" s="274"/>
      <c r="G997" s="274"/>
      <c r="H997" s="274"/>
      <c r="I997" s="242"/>
    </row>
    <row r="998" spans="1:9" ht="16">
      <c r="A998" s="274"/>
      <c r="B998" s="274"/>
      <c r="C998" s="274"/>
      <c r="D998" s="275"/>
      <c r="E998" s="275"/>
      <c r="F998" s="274"/>
      <c r="G998" s="274"/>
      <c r="H998" s="274"/>
      <c r="I998" s="2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70"/>
  <sheetViews>
    <sheetView workbookViewId="0"/>
  </sheetViews>
  <sheetFormatPr baseColWidth="10" defaultColWidth="12.6640625" defaultRowHeight="15.75" customHeight="1"/>
  <sheetData>
    <row r="1" spans="1:22">
      <c r="A1" s="457" t="s">
        <v>195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9"/>
      <c r="P1" s="11"/>
      <c r="Q1" s="11"/>
      <c r="R1" s="17"/>
      <c r="S1" s="17"/>
      <c r="T1" s="17"/>
      <c r="U1" s="17"/>
      <c r="V1" s="14"/>
    </row>
    <row r="2" spans="1:22">
      <c r="A2" s="1" t="s">
        <v>0</v>
      </c>
      <c r="B2" s="2" t="s">
        <v>1</v>
      </c>
      <c r="C2" s="2" t="s">
        <v>183</v>
      </c>
      <c r="D2" s="2" t="s">
        <v>3</v>
      </c>
      <c r="E2" s="2" t="s">
        <v>2</v>
      </c>
      <c r="F2" s="2" t="s">
        <v>4</v>
      </c>
      <c r="G2" s="2" t="s">
        <v>6</v>
      </c>
      <c r="H2" s="2"/>
      <c r="I2" s="2" t="s">
        <v>7</v>
      </c>
      <c r="J2" s="2" t="s">
        <v>9</v>
      </c>
      <c r="K2" s="2" t="s">
        <v>106</v>
      </c>
      <c r="L2" s="2" t="s">
        <v>107</v>
      </c>
      <c r="M2" s="2" t="s">
        <v>5</v>
      </c>
      <c r="N2" s="2" t="s">
        <v>12</v>
      </c>
      <c r="O2" s="2" t="s">
        <v>184</v>
      </c>
      <c r="P2" s="2"/>
      <c r="Q2" s="2" t="s">
        <v>108</v>
      </c>
      <c r="R2" s="2" t="s">
        <v>8</v>
      </c>
      <c r="S2" s="12" t="s">
        <v>185</v>
      </c>
      <c r="T2" s="2" t="s">
        <v>13</v>
      </c>
      <c r="U2" s="2"/>
      <c r="V2" s="14" t="s">
        <v>98</v>
      </c>
    </row>
    <row r="3" spans="1:22">
      <c r="A3" s="3" t="s">
        <v>14</v>
      </c>
      <c r="B3" s="4">
        <v>465188</v>
      </c>
      <c r="C3" s="5" t="s">
        <v>186</v>
      </c>
      <c r="D3" s="5" t="s">
        <v>196</v>
      </c>
      <c r="E3" s="6">
        <v>7800</v>
      </c>
      <c r="F3" s="6">
        <v>666.5</v>
      </c>
      <c r="G3" s="6">
        <v>850</v>
      </c>
      <c r="H3" s="6"/>
      <c r="I3" s="6">
        <v>2704.32</v>
      </c>
      <c r="J3" s="5">
        <v>2917</v>
      </c>
      <c r="K3" s="6">
        <f t="shared" ref="K3:K14" si="0">J3*0.071</f>
        <v>207.10699999999997</v>
      </c>
      <c r="L3" s="6">
        <f>J3*0.17</f>
        <v>495.89000000000004</v>
      </c>
      <c r="M3" s="6">
        <v>198.5</v>
      </c>
      <c r="N3" s="6">
        <v>160.46</v>
      </c>
      <c r="O3" s="6">
        <v>26.25</v>
      </c>
      <c r="P3" s="6"/>
      <c r="Q3" s="6">
        <f t="shared" ref="Q3:Q15" si="1">E3*0.01</f>
        <v>78</v>
      </c>
      <c r="R3" s="6"/>
      <c r="S3" s="6">
        <v>0</v>
      </c>
      <c r="T3" s="6">
        <f>E3*0.22-K3-M3-N3-Q3</f>
        <v>1071.933</v>
      </c>
      <c r="U3" s="4"/>
      <c r="V3" s="6">
        <f>E3*0.22</f>
        <v>1716</v>
      </c>
    </row>
    <row r="4" spans="1:22">
      <c r="A4" s="3" t="s">
        <v>187</v>
      </c>
      <c r="B4" s="4">
        <v>359886</v>
      </c>
      <c r="C4" s="5" t="s">
        <v>197</v>
      </c>
      <c r="D4" s="5">
        <v>0</v>
      </c>
      <c r="E4" s="6">
        <v>0</v>
      </c>
      <c r="F4" s="6">
        <v>666.5</v>
      </c>
      <c r="G4" s="6">
        <v>0</v>
      </c>
      <c r="H4" s="6"/>
      <c r="I4" s="6">
        <v>0</v>
      </c>
      <c r="J4" s="5">
        <v>0</v>
      </c>
      <c r="K4" s="6">
        <f t="shared" si="0"/>
        <v>0</v>
      </c>
      <c r="L4" s="6">
        <v>0</v>
      </c>
      <c r="M4" s="6">
        <v>163.25</v>
      </c>
      <c r="N4" s="6">
        <v>160.46</v>
      </c>
      <c r="O4" s="6">
        <v>26.25</v>
      </c>
      <c r="P4" s="6"/>
      <c r="Q4" s="6">
        <f t="shared" si="1"/>
        <v>0</v>
      </c>
      <c r="R4" s="6"/>
      <c r="S4" s="6">
        <v>0</v>
      </c>
      <c r="T4" s="6">
        <f t="shared" ref="T4:T6" si="2">E4*0.22</f>
        <v>0</v>
      </c>
      <c r="U4" s="6"/>
      <c r="V4" s="6">
        <v>0</v>
      </c>
    </row>
    <row r="5" spans="1:22">
      <c r="A5" s="3" t="s">
        <v>33</v>
      </c>
      <c r="B5" s="4">
        <v>352368</v>
      </c>
      <c r="C5" s="5" t="s">
        <v>197</v>
      </c>
      <c r="D5" s="5">
        <v>0</v>
      </c>
      <c r="E5" s="6">
        <v>0</v>
      </c>
      <c r="F5" s="6">
        <v>666.5</v>
      </c>
      <c r="G5" s="6">
        <v>0</v>
      </c>
      <c r="H5" s="6"/>
      <c r="I5" s="6">
        <v>0</v>
      </c>
      <c r="J5" s="5">
        <v>0</v>
      </c>
      <c r="K5" s="6">
        <f t="shared" si="0"/>
        <v>0</v>
      </c>
      <c r="L5" s="6">
        <v>0</v>
      </c>
      <c r="M5" s="6">
        <v>163.25</v>
      </c>
      <c r="N5" s="6">
        <v>160.46</v>
      </c>
      <c r="O5" s="6">
        <v>32.5</v>
      </c>
      <c r="P5" s="6"/>
      <c r="Q5" s="6">
        <f t="shared" si="1"/>
        <v>0</v>
      </c>
      <c r="R5" s="6"/>
      <c r="S5" s="6">
        <v>0</v>
      </c>
      <c r="T5" s="6">
        <f t="shared" si="2"/>
        <v>0</v>
      </c>
      <c r="U5" s="6"/>
      <c r="V5" s="6">
        <v>0</v>
      </c>
    </row>
    <row r="6" spans="1:22">
      <c r="A6" s="3" t="s">
        <v>40</v>
      </c>
      <c r="B6" s="4">
        <v>465184</v>
      </c>
      <c r="C6" s="5" t="s">
        <v>186</v>
      </c>
      <c r="D6" s="5" t="s">
        <v>198</v>
      </c>
      <c r="E6" s="6">
        <v>6400</v>
      </c>
      <c r="F6" s="6">
        <v>666.5</v>
      </c>
      <c r="G6" s="6">
        <v>850</v>
      </c>
      <c r="H6" s="6"/>
      <c r="I6" s="6">
        <v>954.84</v>
      </c>
      <c r="J6" s="5">
        <v>2710</v>
      </c>
      <c r="K6" s="6">
        <f t="shared" si="0"/>
        <v>192.41</v>
      </c>
      <c r="L6" s="6">
        <f>J6*0.17</f>
        <v>460.70000000000005</v>
      </c>
      <c r="M6" s="6" t="s">
        <v>111</v>
      </c>
      <c r="N6" s="6">
        <v>160.46</v>
      </c>
      <c r="O6" s="6">
        <v>40</v>
      </c>
      <c r="P6" s="6"/>
      <c r="Q6" s="6">
        <f t="shared" si="1"/>
        <v>64</v>
      </c>
      <c r="R6" s="6"/>
      <c r="S6" s="6">
        <v>0</v>
      </c>
      <c r="T6" s="6">
        <f t="shared" si="2"/>
        <v>1408</v>
      </c>
      <c r="U6" s="4"/>
      <c r="V6" s="6">
        <f>E6*0.22</f>
        <v>1408</v>
      </c>
    </row>
    <row r="7" spans="1:22">
      <c r="A7" s="3" t="s">
        <v>199</v>
      </c>
      <c r="B7" s="4">
        <v>465183</v>
      </c>
      <c r="C7" s="5" t="s">
        <v>197</v>
      </c>
      <c r="D7" s="6" t="s">
        <v>196</v>
      </c>
      <c r="E7" s="6">
        <v>8021</v>
      </c>
      <c r="F7" s="6">
        <v>666.5</v>
      </c>
      <c r="G7" s="6">
        <v>0</v>
      </c>
      <c r="H7" s="6"/>
      <c r="I7" s="6">
        <v>2393.17</v>
      </c>
      <c r="J7" s="5">
        <v>2548</v>
      </c>
      <c r="K7" s="6">
        <f t="shared" si="0"/>
        <v>180.90799999999999</v>
      </c>
      <c r="L7" s="6">
        <v>0</v>
      </c>
      <c r="M7" s="6">
        <v>198.5</v>
      </c>
      <c r="N7" s="6">
        <v>160.46</v>
      </c>
      <c r="O7" s="6">
        <v>0</v>
      </c>
      <c r="P7" s="6"/>
      <c r="Q7" s="6">
        <f t="shared" si="1"/>
        <v>80.210000000000008</v>
      </c>
      <c r="R7" s="6"/>
      <c r="S7" s="6">
        <v>0</v>
      </c>
      <c r="T7" s="6">
        <f>E7-(J7*0.75)-I7-F7-K7-M7-Q7-N7</f>
        <v>2430.252</v>
      </c>
      <c r="U7" s="6"/>
      <c r="V7" s="6">
        <f t="shared" ref="V7:V8" si="3">J7*0.75</f>
        <v>1911</v>
      </c>
    </row>
    <row r="8" spans="1:22">
      <c r="A8" s="3" t="s">
        <v>200</v>
      </c>
      <c r="B8" s="4">
        <v>465185</v>
      </c>
      <c r="C8" s="5" t="s">
        <v>197</v>
      </c>
      <c r="D8" s="6" t="s">
        <v>201</v>
      </c>
      <c r="E8" s="6">
        <v>5125</v>
      </c>
      <c r="F8" s="6">
        <v>666.5</v>
      </c>
      <c r="G8" s="6">
        <v>0</v>
      </c>
      <c r="H8" s="6"/>
      <c r="I8" s="6">
        <v>2531.42</v>
      </c>
      <c r="J8" s="5">
        <v>1995</v>
      </c>
      <c r="K8" s="6">
        <f t="shared" si="0"/>
        <v>141.64499999999998</v>
      </c>
      <c r="L8" s="6">
        <v>0</v>
      </c>
      <c r="M8" s="6">
        <v>198.5</v>
      </c>
      <c r="N8" s="6">
        <v>160.46</v>
      </c>
      <c r="O8" s="6">
        <v>32.5</v>
      </c>
      <c r="P8" s="6"/>
      <c r="Q8" s="6">
        <f t="shared" si="1"/>
        <v>51.25</v>
      </c>
      <c r="R8" s="6"/>
      <c r="S8" s="6">
        <v>0</v>
      </c>
      <c r="T8" s="6">
        <f>E8-(J8*0.75)-I8-K8-M8-N8-O8-Q8</f>
        <v>512.97499999999991</v>
      </c>
      <c r="U8" s="6"/>
      <c r="V8" s="6">
        <f t="shared" si="3"/>
        <v>1496.25</v>
      </c>
    </row>
    <row r="9" spans="1:22">
      <c r="A9" s="3" t="s">
        <v>62</v>
      </c>
      <c r="B9" s="4">
        <v>465180</v>
      </c>
      <c r="C9" s="5" t="s">
        <v>186</v>
      </c>
      <c r="D9" s="6" t="s">
        <v>202</v>
      </c>
      <c r="E9" s="6">
        <v>7025</v>
      </c>
      <c r="F9" s="6">
        <v>666.5</v>
      </c>
      <c r="G9" s="6">
        <v>850</v>
      </c>
      <c r="H9" s="6"/>
      <c r="I9" s="6">
        <v>1780.99</v>
      </c>
      <c r="J9" s="5">
        <v>2669</v>
      </c>
      <c r="K9" s="6">
        <f t="shared" si="0"/>
        <v>189.499</v>
      </c>
      <c r="L9" s="6">
        <f t="shared" ref="L9:L14" si="4">J9*0.17</f>
        <v>453.73</v>
      </c>
      <c r="M9" s="6" t="s">
        <v>111</v>
      </c>
      <c r="N9" s="6">
        <v>160.46</v>
      </c>
      <c r="O9" s="6">
        <v>26.25</v>
      </c>
      <c r="P9" s="6"/>
      <c r="Q9" s="6">
        <f t="shared" si="1"/>
        <v>70.25</v>
      </c>
      <c r="R9" s="6"/>
      <c r="S9" s="6">
        <v>0</v>
      </c>
      <c r="T9" s="6">
        <f t="shared" ref="T9:T14" si="5">E9*0.22</f>
        <v>1545.5</v>
      </c>
      <c r="U9" s="4"/>
      <c r="V9" s="6">
        <f t="shared" ref="V9:V10" si="6">E9*0.22</f>
        <v>1545.5</v>
      </c>
    </row>
    <row r="10" spans="1:22">
      <c r="A10" s="3" t="s">
        <v>191</v>
      </c>
      <c r="B10" s="4">
        <v>352372</v>
      </c>
      <c r="C10" s="5" t="s">
        <v>186</v>
      </c>
      <c r="D10" s="6" t="s">
        <v>203</v>
      </c>
      <c r="E10" s="6">
        <v>1850</v>
      </c>
      <c r="F10" s="6">
        <v>666.5</v>
      </c>
      <c r="G10" s="6">
        <v>850</v>
      </c>
      <c r="H10" s="6"/>
      <c r="I10" s="6">
        <v>454.35</v>
      </c>
      <c r="J10" s="5">
        <v>665</v>
      </c>
      <c r="K10" s="6">
        <f t="shared" si="0"/>
        <v>47.214999999999996</v>
      </c>
      <c r="L10" s="6">
        <f t="shared" si="4"/>
        <v>113.05000000000001</v>
      </c>
      <c r="M10" s="6" t="s">
        <v>120</v>
      </c>
      <c r="N10" s="6">
        <v>160.46</v>
      </c>
      <c r="O10" s="6">
        <v>40</v>
      </c>
      <c r="P10" s="6"/>
      <c r="Q10" s="6">
        <f t="shared" si="1"/>
        <v>18.5</v>
      </c>
      <c r="R10" s="6"/>
      <c r="S10" s="6">
        <v>0</v>
      </c>
      <c r="T10" s="6">
        <f t="shared" si="5"/>
        <v>407</v>
      </c>
      <c r="U10" s="4"/>
      <c r="V10" s="6">
        <f t="shared" si="6"/>
        <v>407</v>
      </c>
    </row>
    <row r="11" spans="1:22">
      <c r="A11" s="3" t="s">
        <v>75</v>
      </c>
      <c r="B11" s="4">
        <v>359885</v>
      </c>
      <c r="C11" s="5" t="s">
        <v>186</v>
      </c>
      <c r="D11" s="5">
        <v>0</v>
      </c>
      <c r="E11" s="6">
        <v>0</v>
      </c>
      <c r="F11" s="6">
        <v>666.5</v>
      </c>
      <c r="G11" s="6">
        <v>850</v>
      </c>
      <c r="H11" s="6"/>
      <c r="I11" s="6">
        <v>0</v>
      </c>
      <c r="J11" s="5">
        <v>0</v>
      </c>
      <c r="K11" s="6">
        <f t="shared" si="0"/>
        <v>0</v>
      </c>
      <c r="L11" s="6">
        <f t="shared" si="4"/>
        <v>0</v>
      </c>
      <c r="M11" s="6" t="s">
        <v>120</v>
      </c>
      <c r="N11" s="6">
        <v>160.46</v>
      </c>
      <c r="O11" s="6">
        <v>40</v>
      </c>
      <c r="P11" s="6"/>
      <c r="Q11" s="6">
        <f t="shared" si="1"/>
        <v>0</v>
      </c>
      <c r="R11" s="6"/>
      <c r="S11" s="6">
        <v>0</v>
      </c>
      <c r="T11" s="6">
        <f t="shared" si="5"/>
        <v>0</v>
      </c>
      <c r="U11" s="4"/>
      <c r="V11" s="4">
        <v>0</v>
      </c>
    </row>
    <row r="12" spans="1:22">
      <c r="A12" s="3" t="s">
        <v>82</v>
      </c>
      <c r="B12" s="4">
        <v>352371</v>
      </c>
      <c r="C12" s="5" t="s">
        <v>186</v>
      </c>
      <c r="D12" s="5" t="s">
        <v>204</v>
      </c>
      <c r="E12" s="6">
        <v>7781</v>
      </c>
      <c r="F12" s="6">
        <v>666.5</v>
      </c>
      <c r="G12" s="6">
        <v>850</v>
      </c>
      <c r="H12" s="6"/>
      <c r="I12" s="6">
        <v>2148.19</v>
      </c>
      <c r="J12" s="5">
        <v>2854</v>
      </c>
      <c r="K12" s="6">
        <f t="shared" si="0"/>
        <v>202.63399999999999</v>
      </c>
      <c r="L12" s="6">
        <f t="shared" si="4"/>
        <v>485.18</v>
      </c>
      <c r="M12" s="6" t="s">
        <v>120</v>
      </c>
      <c r="N12" s="6">
        <v>160.46</v>
      </c>
      <c r="O12" s="6">
        <v>32.5</v>
      </c>
      <c r="P12" s="6"/>
      <c r="Q12" s="6">
        <f t="shared" si="1"/>
        <v>77.81</v>
      </c>
      <c r="R12" s="6"/>
      <c r="S12" s="6">
        <v>0</v>
      </c>
      <c r="T12" s="6">
        <f t="shared" si="5"/>
        <v>1711.82</v>
      </c>
      <c r="U12" s="4"/>
      <c r="V12" s="6">
        <f t="shared" ref="V12:V14" si="7">E12*0.22</f>
        <v>1711.82</v>
      </c>
    </row>
    <row r="13" spans="1:22">
      <c r="A13" s="3" t="s">
        <v>88</v>
      </c>
      <c r="B13" s="4">
        <v>352376</v>
      </c>
      <c r="C13" s="5" t="s">
        <v>186</v>
      </c>
      <c r="D13" s="5">
        <v>0</v>
      </c>
      <c r="E13" s="6">
        <v>0</v>
      </c>
      <c r="F13" s="6">
        <v>666.5</v>
      </c>
      <c r="G13" s="6">
        <v>850</v>
      </c>
      <c r="H13" s="6"/>
      <c r="I13" s="6">
        <v>202.22</v>
      </c>
      <c r="J13" s="5">
        <v>0</v>
      </c>
      <c r="K13" s="6">
        <f t="shared" si="0"/>
        <v>0</v>
      </c>
      <c r="L13" s="6">
        <f t="shared" si="4"/>
        <v>0</v>
      </c>
      <c r="M13" s="6" t="s">
        <v>120</v>
      </c>
      <c r="N13" s="6">
        <v>160.46</v>
      </c>
      <c r="O13" s="6">
        <v>26.25</v>
      </c>
      <c r="P13" s="6"/>
      <c r="Q13" s="6">
        <f t="shared" si="1"/>
        <v>0</v>
      </c>
      <c r="R13" s="6"/>
      <c r="S13" s="6">
        <v>0</v>
      </c>
      <c r="T13" s="6">
        <f t="shared" si="5"/>
        <v>0</v>
      </c>
      <c r="U13" s="4"/>
      <c r="V13" s="6">
        <f t="shared" si="7"/>
        <v>0</v>
      </c>
    </row>
    <row r="14" spans="1:22">
      <c r="A14" s="3" t="s">
        <v>192</v>
      </c>
      <c r="B14" s="4">
        <v>352373</v>
      </c>
      <c r="C14" s="5" t="s">
        <v>193</v>
      </c>
      <c r="D14" s="5" t="s">
        <v>205</v>
      </c>
      <c r="E14" s="6">
        <v>9262</v>
      </c>
      <c r="F14" s="6">
        <v>666.5</v>
      </c>
      <c r="G14" s="6">
        <v>850</v>
      </c>
      <c r="H14" s="6"/>
      <c r="I14" s="6">
        <v>1870.2</v>
      </c>
      <c r="J14" s="5">
        <v>2560</v>
      </c>
      <c r="K14" s="6">
        <f t="shared" si="0"/>
        <v>181.76</v>
      </c>
      <c r="L14" s="6">
        <f t="shared" si="4"/>
        <v>435.20000000000005</v>
      </c>
      <c r="M14" s="6" t="s">
        <v>120</v>
      </c>
      <c r="N14" s="6">
        <v>160.46</v>
      </c>
      <c r="O14" s="6">
        <v>40</v>
      </c>
      <c r="P14" s="6"/>
      <c r="Q14" s="6">
        <f t="shared" si="1"/>
        <v>92.62</v>
      </c>
      <c r="R14" s="6"/>
      <c r="S14" s="6">
        <v>0</v>
      </c>
      <c r="T14" s="6">
        <f t="shared" si="5"/>
        <v>2037.64</v>
      </c>
      <c r="U14" s="4"/>
      <c r="V14" s="6">
        <f t="shared" si="7"/>
        <v>2037.64</v>
      </c>
    </row>
    <row r="15" spans="1:22">
      <c r="A15" s="7" t="s">
        <v>89</v>
      </c>
      <c r="B15" s="8">
        <v>12</v>
      </c>
      <c r="C15" s="13"/>
      <c r="D15" s="13"/>
      <c r="E15" s="10">
        <f t="shared" ref="E15:G15" si="8">SUM(E3:E14)</f>
        <v>53264</v>
      </c>
      <c r="F15" s="10">
        <f t="shared" si="8"/>
        <v>7998</v>
      </c>
      <c r="G15" s="10">
        <f t="shared" si="8"/>
        <v>6800</v>
      </c>
      <c r="H15" s="10"/>
      <c r="I15" s="10">
        <f>SUM(I3:I14)</f>
        <v>15039.7</v>
      </c>
      <c r="J15" s="13"/>
      <c r="K15" s="10">
        <f t="shared" ref="K15:O15" si="9">SUM(K3:K14)</f>
        <v>1343.1779999999999</v>
      </c>
      <c r="L15" s="10">
        <f t="shared" si="9"/>
        <v>2443.75</v>
      </c>
      <c r="M15" s="10">
        <f t="shared" si="9"/>
        <v>922</v>
      </c>
      <c r="N15" s="10">
        <f t="shared" si="9"/>
        <v>1925.5200000000002</v>
      </c>
      <c r="O15" s="10">
        <f t="shared" si="9"/>
        <v>362.5</v>
      </c>
      <c r="P15" s="10"/>
      <c r="Q15" s="10">
        <f t="shared" si="1"/>
        <v>532.64</v>
      </c>
      <c r="R15" s="10"/>
      <c r="S15" s="10">
        <v>0</v>
      </c>
      <c r="T15" s="10">
        <f>SUM(T3:T14)</f>
        <v>11125.119999999999</v>
      </c>
      <c r="U15" s="8"/>
      <c r="V15" s="10">
        <f>SUM(V3:V14)</f>
        <v>12233.21</v>
      </c>
    </row>
    <row r="17" spans="1:22">
      <c r="A17" s="457" t="s">
        <v>206</v>
      </c>
      <c r="B17" s="458"/>
      <c r="C17" s="458"/>
      <c r="D17" s="458"/>
      <c r="E17" s="458"/>
      <c r="F17" s="458"/>
      <c r="G17" s="458"/>
      <c r="H17" s="458"/>
      <c r="I17" s="458"/>
      <c r="J17" s="458"/>
      <c r="K17" s="458"/>
      <c r="L17" s="458"/>
      <c r="M17" s="458"/>
      <c r="N17" s="458"/>
      <c r="O17" s="459"/>
      <c r="P17" s="11"/>
      <c r="Q17" s="11"/>
      <c r="R17" s="17"/>
      <c r="S17" s="17"/>
      <c r="T17" s="17"/>
      <c r="U17" s="17"/>
      <c r="V17" s="14"/>
    </row>
    <row r="18" spans="1:22">
      <c r="A18" s="1" t="s">
        <v>0</v>
      </c>
      <c r="B18" s="2" t="s">
        <v>1</v>
      </c>
      <c r="C18" s="2" t="s">
        <v>183</v>
      </c>
      <c r="D18" s="2" t="s">
        <v>3</v>
      </c>
      <c r="E18" s="2" t="s">
        <v>2</v>
      </c>
      <c r="F18" s="2" t="s">
        <v>4</v>
      </c>
      <c r="G18" s="2" t="s">
        <v>6</v>
      </c>
      <c r="H18" s="2"/>
      <c r="I18" s="2" t="s">
        <v>7</v>
      </c>
      <c r="J18" s="2" t="s">
        <v>9</v>
      </c>
      <c r="K18" s="2" t="s">
        <v>106</v>
      </c>
      <c r="L18" s="2" t="s">
        <v>107</v>
      </c>
      <c r="M18" s="2" t="s">
        <v>5</v>
      </c>
      <c r="N18" s="2" t="s">
        <v>12</v>
      </c>
      <c r="O18" s="2" t="s">
        <v>184</v>
      </c>
      <c r="P18" s="2"/>
      <c r="Q18" s="2" t="s">
        <v>108</v>
      </c>
      <c r="R18" s="2" t="s">
        <v>8</v>
      </c>
      <c r="S18" s="12" t="s">
        <v>185</v>
      </c>
      <c r="T18" s="2" t="s">
        <v>13</v>
      </c>
      <c r="U18" s="2"/>
      <c r="V18" s="14" t="s">
        <v>98</v>
      </c>
    </row>
    <row r="19" spans="1:22">
      <c r="A19" s="3" t="s">
        <v>14</v>
      </c>
      <c r="B19" s="4">
        <v>465188</v>
      </c>
      <c r="C19" s="5" t="s">
        <v>186</v>
      </c>
      <c r="D19" s="4">
        <v>6</v>
      </c>
      <c r="E19" s="6">
        <v>8650</v>
      </c>
      <c r="F19" s="6">
        <v>666.5</v>
      </c>
      <c r="G19" s="6">
        <v>850</v>
      </c>
      <c r="H19" s="6"/>
      <c r="I19" s="6">
        <v>3274.62</v>
      </c>
      <c r="J19" s="5">
        <v>3666</v>
      </c>
      <c r="K19" s="6">
        <f t="shared" ref="K19:K33" si="10">J19*0.071</f>
        <v>260.286</v>
      </c>
      <c r="L19" s="6">
        <f>J19*0.17</f>
        <v>623.22</v>
      </c>
      <c r="M19" s="6">
        <v>198.5</v>
      </c>
      <c r="N19" s="6">
        <v>160.46</v>
      </c>
      <c r="O19" s="6">
        <v>26.25</v>
      </c>
      <c r="P19" s="6"/>
      <c r="Q19" s="6">
        <f t="shared" ref="Q19:Q34" si="11">E19*0.01</f>
        <v>86.5</v>
      </c>
      <c r="R19" s="6">
        <v>0</v>
      </c>
      <c r="S19" s="6">
        <v>0</v>
      </c>
      <c r="T19" s="6">
        <f>E19*0.22</f>
        <v>1903</v>
      </c>
      <c r="U19" s="6"/>
      <c r="V19" s="6">
        <f>E19*0.78-I19-L19-O19</f>
        <v>2822.91</v>
      </c>
    </row>
    <row r="20" spans="1:22">
      <c r="A20" s="3" t="s">
        <v>187</v>
      </c>
      <c r="B20" s="4">
        <v>359886</v>
      </c>
      <c r="C20" s="5" t="s">
        <v>197</v>
      </c>
      <c r="D20" s="4">
        <v>6</v>
      </c>
      <c r="E20" s="6">
        <v>5951</v>
      </c>
      <c r="F20" s="6">
        <v>666.5</v>
      </c>
      <c r="G20" s="6">
        <v>0</v>
      </c>
      <c r="H20" s="6"/>
      <c r="I20" s="6">
        <v>2801.76</v>
      </c>
      <c r="J20" s="5">
        <v>2327</v>
      </c>
      <c r="K20" s="6">
        <f t="shared" si="10"/>
        <v>165.21699999999998</v>
      </c>
      <c r="L20" s="6">
        <v>0</v>
      </c>
      <c r="M20" s="6">
        <v>163.25</v>
      </c>
      <c r="N20" s="6">
        <v>160.46</v>
      </c>
      <c r="O20" s="6">
        <v>26.25</v>
      </c>
      <c r="P20" s="6"/>
      <c r="Q20" s="6">
        <f t="shared" si="11"/>
        <v>59.51</v>
      </c>
      <c r="R20" s="6">
        <v>0</v>
      </c>
      <c r="S20" s="6">
        <v>7</v>
      </c>
      <c r="T20" s="6">
        <f>E20-(J20*0.75)-F20-I20-K20-M20-N20-O20-Q20</f>
        <v>162.8029999999998</v>
      </c>
      <c r="U20" s="6"/>
      <c r="V20" s="6">
        <f t="shared" ref="V20:V21" si="12">J20*0.75</f>
        <v>1745.25</v>
      </c>
    </row>
    <row r="21" spans="1:22">
      <c r="A21" s="3" t="s">
        <v>33</v>
      </c>
      <c r="B21" s="4">
        <v>352368</v>
      </c>
      <c r="C21" s="5" t="s">
        <v>197</v>
      </c>
      <c r="D21" s="4">
        <v>4</v>
      </c>
      <c r="E21" s="6">
        <v>2350</v>
      </c>
      <c r="F21" s="6">
        <v>666.5</v>
      </c>
      <c r="G21" s="6">
        <v>0</v>
      </c>
      <c r="H21" s="6"/>
      <c r="I21" s="6">
        <v>1000</v>
      </c>
      <c r="J21" s="5">
        <v>560</v>
      </c>
      <c r="K21" s="6">
        <f t="shared" si="10"/>
        <v>39.76</v>
      </c>
      <c r="L21" s="6">
        <v>0</v>
      </c>
      <c r="M21" s="6">
        <v>163.25</v>
      </c>
      <c r="N21" s="6">
        <v>160.46</v>
      </c>
      <c r="O21" s="6">
        <v>32.5</v>
      </c>
      <c r="P21" s="6"/>
      <c r="Q21" s="6">
        <f t="shared" si="11"/>
        <v>23.5</v>
      </c>
      <c r="R21" s="6">
        <v>11.04</v>
      </c>
      <c r="S21" s="6">
        <v>7</v>
      </c>
      <c r="T21" s="6">
        <f>E21-(J21*0.75)-F21-K21-M21-N21-O21-Q21-R21-I21</f>
        <v>-167.01</v>
      </c>
      <c r="U21" s="6"/>
      <c r="V21" s="6">
        <f t="shared" si="12"/>
        <v>420</v>
      </c>
    </row>
    <row r="22" spans="1:22">
      <c r="A22" s="3" t="s">
        <v>40</v>
      </c>
      <c r="B22" s="4">
        <v>465184</v>
      </c>
      <c r="C22" s="5" t="s">
        <v>186</v>
      </c>
      <c r="D22" s="4">
        <v>7</v>
      </c>
      <c r="E22" s="6">
        <v>9700</v>
      </c>
      <c r="F22" s="6">
        <v>666.5</v>
      </c>
      <c r="G22" s="6">
        <v>850</v>
      </c>
      <c r="H22" s="6"/>
      <c r="I22" s="6">
        <v>2889.66</v>
      </c>
      <c r="J22" s="5">
        <v>4109</v>
      </c>
      <c r="K22" s="6">
        <f t="shared" si="10"/>
        <v>291.73899999999998</v>
      </c>
      <c r="L22" s="6">
        <f>J22*0.17</f>
        <v>698.53000000000009</v>
      </c>
      <c r="M22" s="6" t="s">
        <v>111</v>
      </c>
      <c r="N22" s="6">
        <v>160.46</v>
      </c>
      <c r="O22" s="6">
        <v>40</v>
      </c>
      <c r="P22" s="6"/>
      <c r="Q22" s="6">
        <f t="shared" si="11"/>
        <v>97</v>
      </c>
      <c r="R22" s="6">
        <v>23.2</v>
      </c>
      <c r="S22" s="6">
        <v>0</v>
      </c>
      <c r="T22" s="6">
        <f>E22*0.22</f>
        <v>2134</v>
      </c>
      <c r="U22" s="6"/>
      <c r="V22" s="6">
        <f>E22*0.78-I22-L22-O22-R22</f>
        <v>3914.61</v>
      </c>
    </row>
    <row r="23" spans="1:22">
      <c r="A23" s="3" t="s">
        <v>199</v>
      </c>
      <c r="B23" s="4">
        <v>465183</v>
      </c>
      <c r="C23" s="5" t="s">
        <v>197</v>
      </c>
      <c r="D23" s="4">
        <v>4</v>
      </c>
      <c r="E23" s="6">
        <v>4600</v>
      </c>
      <c r="F23" s="6">
        <v>666.5</v>
      </c>
      <c r="G23" s="6">
        <v>0</v>
      </c>
      <c r="H23" s="6"/>
      <c r="I23" s="6">
        <v>1912.34</v>
      </c>
      <c r="J23" s="5">
        <v>2048</v>
      </c>
      <c r="K23" s="6">
        <f t="shared" si="10"/>
        <v>145.40799999999999</v>
      </c>
      <c r="L23" s="6">
        <v>0</v>
      </c>
      <c r="M23" s="6">
        <v>198.5</v>
      </c>
      <c r="N23" s="6">
        <v>160.46</v>
      </c>
      <c r="O23" s="6">
        <v>0</v>
      </c>
      <c r="P23" s="6"/>
      <c r="Q23" s="6">
        <f t="shared" si="11"/>
        <v>46</v>
      </c>
      <c r="R23" s="6">
        <v>0</v>
      </c>
      <c r="S23" s="6">
        <v>7</v>
      </c>
      <c r="T23" s="6">
        <f>E23-(J23*0.75)-F23-K23-M23-N23-Q23-I23</f>
        <v>-65.207999999999856</v>
      </c>
      <c r="U23" s="6"/>
      <c r="V23" s="6">
        <f t="shared" ref="V23:V24" si="13">J23*0.75</f>
        <v>1536</v>
      </c>
    </row>
    <row r="24" spans="1:22">
      <c r="A24" s="3" t="s">
        <v>200</v>
      </c>
      <c r="B24" s="4">
        <v>465185</v>
      </c>
      <c r="C24" s="5" t="s">
        <v>197</v>
      </c>
      <c r="D24" s="4">
        <v>6</v>
      </c>
      <c r="E24" s="6">
        <v>9655</v>
      </c>
      <c r="F24" s="6">
        <v>666.5</v>
      </c>
      <c r="G24" s="6">
        <v>0</v>
      </c>
      <c r="H24" s="6"/>
      <c r="I24" s="6">
        <v>2645.23</v>
      </c>
      <c r="J24" s="5">
        <v>3692</v>
      </c>
      <c r="K24" s="6">
        <f t="shared" si="10"/>
        <v>262.13200000000001</v>
      </c>
      <c r="L24" s="6">
        <v>0</v>
      </c>
      <c r="M24" s="6">
        <v>198.5</v>
      </c>
      <c r="N24" s="6">
        <v>160.46</v>
      </c>
      <c r="O24" s="6">
        <v>32.5</v>
      </c>
      <c r="P24" s="6"/>
      <c r="Q24" s="6">
        <f t="shared" si="11"/>
        <v>96.55</v>
      </c>
      <c r="R24" s="6">
        <v>106.24</v>
      </c>
      <c r="S24" s="6">
        <v>7</v>
      </c>
      <c r="T24" s="6">
        <f>E24-(J24*0.75)-F24-I24-K24-M24-N24-O24-Q24-R24</f>
        <v>2717.8879999999999</v>
      </c>
      <c r="U24" s="6"/>
      <c r="V24" s="6">
        <f t="shared" si="13"/>
        <v>2769</v>
      </c>
    </row>
    <row r="25" spans="1:22">
      <c r="A25" s="3" t="s">
        <v>62</v>
      </c>
      <c r="B25" s="4">
        <v>465180</v>
      </c>
      <c r="C25" s="5" t="s">
        <v>186</v>
      </c>
      <c r="D25" s="4">
        <v>4</v>
      </c>
      <c r="E25" s="6">
        <v>5650</v>
      </c>
      <c r="F25" s="6">
        <v>666.5</v>
      </c>
      <c r="G25" s="6">
        <v>850</v>
      </c>
      <c r="H25" s="6"/>
      <c r="I25" s="6">
        <v>1560.54</v>
      </c>
      <c r="J25" s="5">
        <v>1652</v>
      </c>
      <c r="K25" s="6">
        <f t="shared" si="10"/>
        <v>117.29199999999999</v>
      </c>
      <c r="L25" s="6">
        <f t="shared" ref="L25:L30" si="14">J25*0.17</f>
        <v>280.84000000000003</v>
      </c>
      <c r="M25" s="6" t="s">
        <v>111</v>
      </c>
      <c r="N25" s="6">
        <v>160.46</v>
      </c>
      <c r="O25" s="6">
        <v>26.25</v>
      </c>
      <c r="P25" s="6"/>
      <c r="Q25" s="6">
        <f t="shared" si="11"/>
        <v>56.5</v>
      </c>
      <c r="R25" s="6">
        <v>0</v>
      </c>
      <c r="S25" s="6">
        <v>0</v>
      </c>
      <c r="T25" s="6">
        <f>E25*0.22</f>
        <v>1243</v>
      </c>
      <c r="U25" s="6"/>
      <c r="V25" s="6">
        <f>E25*0.78-I25-L25-O25</f>
        <v>2539.37</v>
      </c>
    </row>
    <row r="26" spans="1:22">
      <c r="A26" s="3" t="s">
        <v>191</v>
      </c>
      <c r="B26" s="4">
        <v>352372</v>
      </c>
      <c r="C26" s="5" t="s">
        <v>186</v>
      </c>
      <c r="D26" s="4">
        <v>0</v>
      </c>
      <c r="E26" s="6">
        <v>0</v>
      </c>
      <c r="F26" s="6">
        <v>666.5</v>
      </c>
      <c r="G26" s="6">
        <v>850</v>
      </c>
      <c r="H26" s="6"/>
      <c r="I26" s="6">
        <v>0</v>
      </c>
      <c r="J26" s="5">
        <v>0</v>
      </c>
      <c r="K26" s="6">
        <f t="shared" si="10"/>
        <v>0</v>
      </c>
      <c r="L26" s="6">
        <f t="shared" si="14"/>
        <v>0</v>
      </c>
      <c r="M26" s="6" t="s">
        <v>120</v>
      </c>
      <c r="N26" s="6">
        <v>160.46</v>
      </c>
      <c r="O26" s="6">
        <v>40</v>
      </c>
      <c r="P26" s="6"/>
      <c r="Q26" s="6">
        <f t="shared" si="11"/>
        <v>0</v>
      </c>
      <c r="R26" s="6">
        <v>0</v>
      </c>
      <c r="S26" s="6">
        <v>0</v>
      </c>
      <c r="T26" s="4">
        <v>0</v>
      </c>
      <c r="U26" s="6"/>
      <c r="V26" s="6">
        <f>E26*0.78</f>
        <v>0</v>
      </c>
    </row>
    <row r="27" spans="1:22">
      <c r="A27" s="3" t="s">
        <v>75</v>
      </c>
      <c r="B27" s="4">
        <v>359885</v>
      </c>
      <c r="C27" s="5" t="s">
        <v>186</v>
      </c>
      <c r="D27" s="4">
        <v>4</v>
      </c>
      <c r="E27" s="6">
        <v>5700</v>
      </c>
      <c r="F27" s="6">
        <v>666.5</v>
      </c>
      <c r="G27" s="6">
        <v>850</v>
      </c>
      <c r="H27" s="6"/>
      <c r="I27" s="6">
        <v>1512.54</v>
      </c>
      <c r="J27" s="5">
        <v>2466</v>
      </c>
      <c r="K27" s="6">
        <f t="shared" si="10"/>
        <v>175.08599999999998</v>
      </c>
      <c r="L27" s="6">
        <f t="shared" si="14"/>
        <v>419.22</v>
      </c>
      <c r="M27" s="6" t="s">
        <v>120</v>
      </c>
      <c r="N27" s="6">
        <v>160.46</v>
      </c>
      <c r="O27" s="6">
        <v>40</v>
      </c>
      <c r="P27" s="6"/>
      <c r="Q27" s="6">
        <f t="shared" si="11"/>
        <v>57</v>
      </c>
      <c r="R27" s="6">
        <v>0</v>
      </c>
      <c r="S27" s="6">
        <v>0</v>
      </c>
      <c r="T27" s="6">
        <f t="shared" ref="T27:T29" si="15">E27*0.22</f>
        <v>1254</v>
      </c>
      <c r="U27" s="6"/>
      <c r="V27" s="6">
        <f>E27*0.78-I27-L27-O27</f>
        <v>2474.2399999999998</v>
      </c>
    </row>
    <row r="28" spans="1:22">
      <c r="A28" s="3" t="s">
        <v>82</v>
      </c>
      <c r="B28" s="4">
        <v>352371</v>
      </c>
      <c r="C28" s="5" t="s">
        <v>186</v>
      </c>
      <c r="D28" s="4">
        <v>7</v>
      </c>
      <c r="E28" s="6">
        <v>10250</v>
      </c>
      <c r="F28" s="6">
        <v>666.5</v>
      </c>
      <c r="G28" s="6">
        <v>850</v>
      </c>
      <c r="H28" s="6"/>
      <c r="I28" s="6">
        <v>2616.75</v>
      </c>
      <c r="J28" s="5">
        <v>3574</v>
      </c>
      <c r="K28" s="6">
        <f t="shared" si="10"/>
        <v>253.75399999999999</v>
      </c>
      <c r="L28" s="6">
        <f t="shared" si="14"/>
        <v>607.58000000000004</v>
      </c>
      <c r="M28" s="6" t="s">
        <v>120</v>
      </c>
      <c r="N28" s="6">
        <v>160.46</v>
      </c>
      <c r="O28" s="6">
        <v>32.5</v>
      </c>
      <c r="P28" s="6"/>
      <c r="Q28" s="6">
        <f t="shared" si="11"/>
        <v>102.5</v>
      </c>
      <c r="R28" s="6">
        <v>36.99</v>
      </c>
      <c r="S28" s="6">
        <v>0</v>
      </c>
      <c r="T28" s="6">
        <f t="shared" si="15"/>
        <v>2255</v>
      </c>
      <c r="U28" s="6"/>
      <c r="V28" s="6">
        <f>E28*0.78-I29-L29-O29-R28</f>
        <v>5308.4</v>
      </c>
    </row>
    <row r="29" spans="1:22">
      <c r="A29" s="3" t="s">
        <v>88</v>
      </c>
      <c r="B29" s="4">
        <v>352376</v>
      </c>
      <c r="C29" s="5" t="s">
        <v>186</v>
      </c>
      <c r="D29" s="4">
        <v>4</v>
      </c>
      <c r="E29" s="6">
        <v>6478</v>
      </c>
      <c r="F29" s="6">
        <v>666.5</v>
      </c>
      <c r="G29" s="6">
        <v>850</v>
      </c>
      <c r="H29" s="6"/>
      <c r="I29" s="6">
        <v>2219.44</v>
      </c>
      <c r="J29" s="5">
        <v>2376</v>
      </c>
      <c r="K29" s="6">
        <f t="shared" si="10"/>
        <v>168.696</v>
      </c>
      <c r="L29" s="6">
        <f t="shared" si="14"/>
        <v>403.92</v>
      </c>
      <c r="M29" s="6" t="s">
        <v>120</v>
      </c>
      <c r="N29" s="6">
        <v>160.46</v>
      </c>
      <c r="O29" s="6">
        <v>26.25</v>
      </c>
      <c r="P29" s="6"/>
      <c r="Q29" s="6">
        <f t="shared" si="11"/>
        <v>64.78</v>
      </c>
      <c r="R29" s="6">
        <v>49.65</v>
      </c>
      <c r="S29" s="6">
        <v>0</v>
      </c>
      <c r="T29" s="6">
        <f t="shared" si="15"/>
        <v>1425.16</v>
      </c>
      <c r="U29" s="6"/>
      <c r="V29" s="6">
        <f>E29*0.78-I29-L29-O29-R29</f>
        <v>2353.58</v>
      </c>
    </row>
    <row r="30" spans="1:22">
      <c r="A30" s="3" t="s">
        <v>192</v>
      </c>
      <c r="B30" s="4">
        <v>352373</v>
      </c>
      <c r="C30" s="5" t="s">
        <v>193</v>
      </c>
      <c r="D30" s="4">
        <v>5</v>
      </c>
      <c r="E30" s="6">
        <v>5927</v>
      </c>
      <c r="F30" s="6">
        <v>666.5</v>
      </c>
      <c r="G30" s="6">
        <v>850</v>
      </c>
      <c r="H30" s="6"/>
      <c r="I30" s="6">
        <v>2083.1799999999998</v>
      </c>
      <c r="J30" s="5">
        <v>2080</v>
      </c>
      <c r="K30" s="6">
        <f t="shared" si="10"/>
        <v>147.67999999999998</v>
      </c>
      <c r="L30" s="6">
        <f t="shared" si="14"/>
        <v>353.6</v>
      </c>
      <c r="M30" s="6" t="s">
        <v>120</v>
      </c>
      <c r="N30" s="6">
        <v>160.46</v>
      </c>
      <c r="O30" s="6">
        <v>40</v>
      </c>
      <c r="P30" s="6"/>
      <c r="Q30" s="6">
        <f t="shared" si="11"/>
        <v>59.27</v>
      </c>
      <c r="R30" s="6">
        <v>116.49</v>
      </c>
      <c r="S30" s="6">
        <v>0</v>
      </c>
      <c r="T30" s="6">
        <f>E30*0.3</f>
        <v>1778.1</v>
      </c>
      <c r="U30" s="6"/>
      <c r="V30" s="6">
        <f>E30*0.7-I30-L30-O30-R30</f>
        <v>1555.6299999999999</v>
      </c>
    </row>
    <row r="31" spans="1:22">
      <c r="A31" s="3" t="s">
        <v>207</v>
      </c>
      <c r="B31" s="4">
        <v>465186</v>
      </c>
      <c r="C31" s="5" t="s">
        <v>197</v>
      </c>
      <c r="D31" s="4">
        <v>3</v>
      </c>
      <c r="E31" s="6">
        <v>2700</v>
      </c>
      <c r="F31" s="6">
        <v>666.5</v>
      </c>
      <c r="G31" s="6">
        <v>0</v>
      </c>
      <c r="H31" s="6"/>
      <c r="I31" s="6">
        <v>750</v>
      </c>
      <c r="J31" s="5">
        <v>1130</v>
      </c>
      <c r="K31" s="6">
        <f t="shared" si="10"/>
        <v>80.22999999999999</v>
      </c>
      <c r="L31" s="6">
        <v>0</v>
      </c>
      <c r="M31" s="6">
        <v>163.25</v>
      </c>
      <c r="N31" s="6">
        <v>160.46</v>
      </c>
      <c r="O31" s="6">
        <v>26.25</v>
      </c>
      <c r="P31" s="6"/>
      <c r="Q31" s="6">
        <f t="shared" si="11"/>
        <v>27</v>
      </c>
      <c r="R31" s="6">
        <v>0</v>
      </c>
      <c r="S31" s="6">
        <v>7</v>
      </c>
      <c r="T31" s="6">
        <f>E31-(J31*0.75)-F31-K31-I31-M31-N31-O31-Q31</f>
        <v>-21.190000000000026</v>
      </c>
      <c r="U31" s="6"/>
      <c r="V31" s="6">
        <f t="shared" ref="V31:V33" si="16">J31*0.75</f>
        <v>847.5</v>
      </c>
    </row>
    <row r="32" spans="1:22">
      <c r="A32" s="3" t="s">
        <v>208</v>
      </c>
      <c r="B32" s="4">
        <v>465189</v>
      </c>
      <c r="C32" s="5" t="s">
        <v>197</v>
      </c>
      <c r="D32" s="4">
        <v>3</v>
      </c>
      <c r="E32" s="6">
        <v>4325</v>
      </c>
      <c r="F32" s="6">
        <v>666.5</v>
      </c>
      <c r="G32" s="6">
        <v>0</v>
      </c>
      <c r="H32" s="6"/>
      <c r="I32" s="6">
        <v>500</v>
      </c>
      <c r="J32" s="5">
        <v>1237</v>
      </c>
      <c r="K32" s="6">
        <f t="shared" si="10"/>
        <v>87.826999999999998</v>
      </c>
      <c r="L32" s="6">
        <v>0</v>
      </c>
      <c r="M32" s="6">
        <v>163.25</v>
      </c>
      <c r="N32" s="6">
        <v>160.46</v>
      </c>
      <c r="O32" s="6">
        <v>26.25</v>
      </c>
      <c r="P32" s="6"/>
      <c r="Q32" s="6">
        <f t="shared" si="11"/>
        <v>43.25</v>
      </c>
      <c r="R32" s="6">
        <v>0</v>
      </c>
      <c r="S32" s="6">
        <v>7</v>
      </c>
      <c r="T32" s="6">
        <f t="shared" ref="T32:T33" si="17">E32-(J32*0.75)-F32-I32-K32-M32-N32-O32-Q32-R32</f>
        <v>1749.7129999999997</v>
      </c>
      <c r="U32" s="6"/>
      <c r="V32" s="6">
        <f t="shared" si="16"/>
        <v>927.75</v>
      </c>
    </row>
    <row r="33" spans="1:22">
      <c r="A33" s="3" t="s">
        <v>209</v>
      </c>
      <c r="B33" s="4">
        <v>465182</v>
      </c>
      <c r="C33" s="5" t="s">
        <v>197</v>
      </c>
      <c r="D33" s="4">
        <v>5</v>
      </c>
      <c r="E33" s="6">
        <v>4100</v>
      </c>
      <c r="F33" s="6">
        <v>666.5</v>
      </c>
      <c r="G33" s="6">
        <v>0</v>
      </c>
      <c r="H33" s="6"/>
      <c r="I33" s="6">
        <v>500</v>
      </c>
      <c r="J33" s="5">
        <v>1666</v>
      </c>
      <c r="K33" s="6">
        <f t="shared" si="10"/>
        <v>118.28599999999999</v>
      </c>
      <c r="L33" s="6">
        <v>0</v>
      </c>
      <c r="M33" s="6">
        <v>163.25</v>
      </c>
      <c r="N33" s="6">
        <v>160.46</v>
      </c>
      <c r="O33" s="6">
        <v>26.25</v>
      </c>
      <c r="P33" s="6"/>
      <c r="Q33" s="6">
        <f t="shared" si="11"/>
        <v>41</v>
      </c>
      <c r="R33" s="6">
        <v>0</v>
      </c>
      <c r="S33" s="6">
        <v>7</v>
      </c>
      <c r="T33" s="6">
        <f t="shared" si="17"/>
        <v>1174.7539999999999</v>
      </c>
      <c r="U33" s="6"/>
      <c r="V33" s="6">
        <f t="shared" si="16"/>
        <v>1249.5</v>
      </c>
    </row>
    <row r="34" spans="1:22">
      <c r="A34" s="7" t="s">
        <v>89</v>
      </c>
      <c r="B34" s="8">
        <v>15</v>
      </c>
      <c r="C34" s="13"/>
      <c r="D34" s="8">
        <f>AVERAGE(D19:D33)</f>
        <v>4.5333333333333332</v>
      </c>
      <c r="E34" s="10">
        <f>SUM(E19:E33)</f>
        <v>86036</v>
      </c>
      <c r="F34" s="10">
        <f t="shared" ref="F34:G34" si="18">SUM(F19:F30)</f>
        <v>7998</v>
      </c>
      <c r="G34" s="10">
        <f t="shared" si="18"/>
        <v>6800</v>
      </c>
      <c r="H34" s="10"/>
      <c r="I34" s="10">
        <f t="shared" ref="I34:J34" si="19">SUM(I19:I33)</f>
        <v>26266.06</v>
      </c>
      <c r="J34" s="13">
        <f t="shared" si="19"/>
        <v>32583</v>
      </c>
      <c r="K34" s="10">
        <f t="shared" ref="K34:O34" si="20">SUM(K19:K30)</f>
        <v>2027.0499999999997</v>
      </c>
      <c r="L34" s="10">
        <f t="shared" si="20"/>
        <v>3386.9100000000003</v>
      </c>
      <c r="M34" s="10">
        <f t="shared" si="20"/>
        <v>922</v>
      </c>
      <c r="N34" s="10">
        <f t="shared" si="20"/>
        <v>1925.5200000000002</v>
      </c>
      <c r="O34" s="10">
        <f t="shared" si="20"/>
        <v>362.5</v>
      </c>
      <c r="P34" s="10"/>
      <c r="Q34" s="10">
        <f t="shared" si="11"/>
        <v>860.36</v>
      </c>
      <c r="R34" s="10"/>
      <c r="S34" s="10">
        <f t="shared" ref="S34:T34" si="21">SUM(S19:S33)</f>
        <v>49</v>
      </c>
      <c r="T34" s="10">
        <f t="shared" si="21"/>
        <v>17544.009999999998</v>
      </c>
      <c r="U34" s="8"/>
      <c r="V34" s="10">
        <f>E34*0.78</f>
        <v>67108.08</v>
      </c>
    </row>
    <row r="36" spans="1:22">
      <c r="A36" s="457" t="s">
        <v>210</v>
      </c>
      <c r="B36" s="458"/>
      <c r="C36" s="458"/>
      <c r="D36" s="458"/>
      <c r="E36" s="458"/>
      <c r="F36" s="458"/>
      <c r="G36" s="458"/>
      <c r="H36" s="458"/>
      <c r="I36" s="458"/>
      <c r="J36" s="458"/>
      <c r="K36" s="458"/>
      <c r="L36" s="458"/>
      <c r="M36" s="458"/>
      <c r="N36" s="458"/>
      <c r="O36" s="459"/>
      <c r="P36" s="11"/>
      <c r="Q36" s="11"/>
      <c r="R36" s="17"/>
      <c r="S36" s="17"/>
      <c r="T36" s="17"/>
      <c r="U36" s="17"/>
      <c r="V36" s="14"/>
    </row>
    <row r="37" spans="1:22">
      <c r="A37" s="1" t="s">
        <v>0</v>
      </c>
      <c r="B37" s="2" t="s">
        <v>1</v>
      </c>
      <c r="C37" s="2" t="s">
        <v>183</v>
      </c>
      <c r="D37" s="2" t="s">
        <v>3</v>
      </c>
      <c r="E37" s="2" t="s">
        <v>2</v>
      </c>
      <c r="F37" s="2" t="s">
        <v>4</v>
      </c>
      <c r="G37" s="2" t="s">
        <v>6</v>
      </c>
      <c r="H37" s="2"/>
      <c r="I37" s="2" t="s">
        <v>7</v>
      </c>
      <c r="J37" s="2" t="s">
        <v>9</v>
      </c>
      <c r="K37" s="2" t="s">
        <v>106</v>
      </c>
      <c r="L37" s="2" t="s">
        <v>107</v>
      </c>
      <c r="M37" s="2" t="s">
        <v>5</v>
      </c>
      <c r="N37" s="2" t="s">
        <v>12</v>
      </c>
      <c r="O37" s="2" t="s">
        <v>184</v>
      </c>
      <c r="P37" s="2"/>
      <c r="Q37" s="2" t="s">
        <v>108</v>
      </c>
      <c r="R37" s="2" t="s">
        <v>8</v>
      </c>
      <c r="S37" s="12" t="s">
        <v>185</v>
      </c>
      <c r="T37" s="2" t="s">
        <v>13</v>
      </c>
      <c r="U37" s="2"/>
      <c r="V37" s="14" t="s">
        <v>98</v>
      </c>
    </row>
    <row r="38" spans="1:22">
      <c r="A38" s="18" t="s">
        <v>211</v>
      </c>
      <c r="B38" s="19">
        <v>465188</v>
      </c>
      <c r="C38" s="20" t="s">
        <v>186</v>
      </c>
      <c r="D38" s="19" t="s">
        <v>212</v>
      </c>
      <c r="E38" s="21">
        <v>8000</v>
      </c>
      <c r="F38" s="21">
        <v>666.5</v>
      </c>
      <c r="G38" s="21">
        <v>850</v>
      </c>
      <c r="H38" s="21"/>
      <c r="I38" s="21">
        <v>2647.66</v>
      </c>
      <c r="J38" s="20">
        <v>3391</v>
      </c>
      <c r="K38" s="21">
        <f t="shared" ref="K38:K52" si="22">J38*0.071</f>
        <v>240.76099999999997</v>
      </c>
      <c r="L38" s="21">
        <f>J38*0.17</f>
        <v>576.47</v>
      </c>
      <c r="M38" s="21">
        <v>198.5</v>
      </c>
      <c r="N38" s="21">
        <v>160.46</v>
      </c>
      <c r="O38" s="21">
        <v>26.25</v>
      </c>
      <c r="P38" s="21"/>
      <c r="Q38" s="21">
        <f t="shared" ref="Q38:Q53" si="23">E38*0.01</f>
        <v>80</v>
      </c>
      <c r="R38" s="21">
        <v>0</v>
      </c>
      <c r="S38" s="21">
        <v>0</v>
      </c>
      <c r="T38" s="21">
        <f>E38*0.22-M38-N38-Q38</f>
        <v>1321.04</v>
      </c>
      <c r="U38" s="21"/>
      <c r="V38" s="21">
        <f>E38*0.78-G38-I38-L38-O38-R38</f>
        <v>2139.62</v>
      </c>
    </row>
    <row r="39" spans="1:22">
      <c r="A39" s="22" t="s">
        <v>187</v>
      </c>
      <c r="B39" s="23">
        <v>465181</v>
      </c>
      <c r="C39" s="24" t="s">
        <v>197</v>
      </c>
      <c r="D39" s="23" t="s">
        <v>213</v>
      </c>
      <c r="E39" s="25">
        <v>8720</v>
      </c>
      <c r="F39" s="25">
        <v>666.5</v>
      </c>
      <c r="G39" s="25">
        <v>0</v>
      </c>
      <c r="H39" s="25"/>
      <c r="I39" s="25">
        <v>2007.65</v>
      </c>
      <c r="J39" s="24">
        <v>2567</v>
      </c>
      <c r="K39" s="25">
        <f t="shared" si="22"/>
        <v>182.25699999999998</v>
      </c>
      <c r="L39" s="25">
        <v>0</v>
      </c>
      <c r="M39" s="25">
        <v>163.25</v>
      </c>
      <c r="N39" s="25">
        <v>160.46</v>
      </c>
      <c r="O39" s="25">
        <v>26.25</v>
      </c>
      <c r="P39" s="25"/>
      <c r="Q39" s="25">
        <f t="shared" si="23"/>
        <v>87.2</v>
      </c>
      <c r="R39" s="25">
        <v>0</v>
      </c>
      <c r="S39" s="25">
        <v>7</v>
      </c>
      <c r="T39" s="25">
        <f t="shared" ref="T39:T40" si="24">E39-J39*0.75-K39-F39-M39-N39-O39-Q39-I39</f>
        <v>3501.1830000000004</v>
      </c>
      <c r="U39" s="25"/>
      <c r="V39" s="25">
        <f t="shared" ref="V39:V40" si="25">J39*0.75</f>
        <v>1925.25</v>
      </c>
    </row>
    <row r="40" spans="1:22">
      <c r="A40" s="22" t="s">
        <v>33</v>
      </c>
      <c r="B40" s="23">
        <v>352368</v>
      </c>
      <c r="C40" s="24" t="s">
        <v>197</v>
      </c>
      <c r="D40" s="23" t="s">
        <v>214</v>
      </c>
      <c r="E40" s="25">
        <v>6400</v>
      </c>
      <c r="F40" s="25">
        <v>666.5</v>
      </c>
      <c r="G40" s="25">
        <v>0</v>
      </c>
      <c r="H40" s="25"/>
      <c r="I40" s="25">
        <v>2000</v>
      </c>
      <c r="J40" s="24">
        <v>1806</v>
      </c>
      <c r="K40" s="25">
        <f t="shared" si="22"/>
        <v>128.226</v>
      </c>
      <c r="L40" s="25">
        <v>0</v>
      </c>
      <c r="M40" s="25">
        <v>163.25</v>
      </c>
      <c r="N40" s="25">
        <v>160.46</v>
      </c>
      <c r="O40" s="25">
        <v>32.5</v>
      </c>
      <c r="P40" s="25"/>
      <c r="Q40" s="25">
        <f t="shared" si="23"/>
        <v>64</v>
      </c>
      <c r="R40" s="25">
        <v>0</v>
      </c>
      <c r="S40" s="25">
        <v>7</v>
      </c>
      <c r="T40" s="25">
        <f t="shared" si="24"/>
        <v>1830.5640000000003</v>
      </c>
      <c r="U40" s="25"/>
      <c r="V40" s="25">
        <f t="shared" si="25"/>
        <v>1354.5</v>
      </c>
    </row>
    <row r="41" spans="1:22">
      <c r="A41" s="18" t="s">
        <v>215</v>
      </c>
      <c r="B41" s="19">
        <v>465184</v>
      </c>
      <c r="C41" s="20" t="s">
        <v>186</v>
      </c>
      <c r="D41" s="19" t="s">
        <v>214</v>
      </c>
      <c r="E41" s="21">
        <v>8950</v>
      </c>
      <c r="F41" s="21">
        <v>666.5</v>
      </c>
      <c r="G41" s="21">
        <v>850</v>
      </c>
      <c r="H41" s="21"/>
      <c r="I41" s="21">
        <v>2049.34</v>
      </c>
      <c r="J41" s="20">
        <v>2980</v>
      </c>
      <c r="K41" s="21">
        <f t="shared" si="22"/>
        <v>211.57999999999998</v>
      </c>
      <c r="L41" s="21">
        <f>J41*0.17</f>
        <v>506.6</v>
      </c>
      <c r="M41" s="21">
        <v>198.5</v>
      </c>
      <c r="N41" s="21">
        <v>160.46</v>
      </c>
      <c r="O41" s="21">
        <v>40</v>
      </c>
      <c r="P41" s="21"/>
      <c r="Q41" s="21">
        <f t="shared" si="23"/>
        <v>89.5</v>
      </c>
      <c r="R41" s="21">
        <v>19.399999999999999</v>
      </c>
      <c r="S41" s="21">
        <v>0</v>
      </c>
      <c r="T41" s="21">
        <f>E41*0.22-M41-N41-Q41</f>
        <v>1520.54</v>
      </c>
      <c r="U41" s="21"/>
      <c r="V41" s="21">
        <f>E41*0.78-G41-L41-O41-R41-I41</f>
        <v>3515.66</v>
      </c>
    </row>
    <row r="42" spans="1:22">
      <c r="A42" s="26" t="s">
        <v>199</v>
      </c>
      <c r="B42" s="27">
        <v>465183</v>
      </c>
      <c r="C42" s="28" t="s">
        <v>197</v>
      </c>
      <c r="D42" s="27">
        <v>0</v>
      </c>
      <c r="E42" s="29">
        <v>0</v>
      </c>
      <c r="F42" s="29">
        <v>666.5</v>
      </c>
      <c r="G42" s="29">
        <v>0</v>
      </c>
      <c r="H42" s="29"/>
      <c r="I42" s="29">
        <v>0</v>
      </c>
      <c r="J42" s="28">
        <v>0</v>
      </c>
      <c r="K42" s="29">
        <f t="shared" si="22"/>
        <v>0</v>
      </c>
      <c r="L42" s="29">
        <v>0</v>
      </c>
      <c r="M42" s="29">
        <v>198.5</v>
      </c>
      <c r="N42" s="29">
        <v>160.46</v>
      </c>
      <c r="O42" s="29">
        <v>0</v>
      </c>
      <c r="P42" s="29"/>
      <c r="Q42" s="29">
        <f t="shared" si="23"/>
        <v>0</v>
      </c>
      <c r="R42" s="29">
        <v>0</v>
      </c>
      <c r="S42" s="29">
        <v>7</v>
      </c>
      <c r="T42" s="27"/>
      <c r="U42" s="29"/>
      <c r="V42" s="29"/>
    </row>
    <row r="43" spans="1:22">
      <c r="A43" s="22" t="s">
        <v>200</v>
      </c>
      <c r="B43" s="23">
        <v>352377</v>
      </c>
      <c r="C43" s="24" t="s">
        <v>197</v>
      </c>
      <c r="D43" s="23" t="s">
        <v>216</v>
      </c>
      <c r="E43" s="25">
        <v>5500</v>
      </c>
      <c r="F43" s="25">
        <v>666.5</v>
      </c>
      <c r="G43" s="25">
        <v>0</v>
      </c>
      <c r="H43" s="25"/>
      <c r="I43" s="25">
        <v>2346.5100000000002</v>
      </c>
      <c r="J43" s="24">
        <v>2082</v>
      </c>
      <c r="K43" s="25">
        <f t="shared" si="22"/>
        <v>147.82199999999997</v>
      </c>
      <c r="L43" s="25">
        <v>0</v>
      </c>
      <c r="M43" s="25">
        <v>198.5</v>
      </c>
      <c r="N43" s="25">
        <v>160.46</v>
      </c>
      <c r="O43" s="25">
        <v>32.5</v>
      </c>
      <c r="P43" s="25"/>
      <c r="Q43" s="25">
        <f t="shared" si="23"/>
        <v>55</v>
      </c>
      <c r="R43" s="25">
        <v>101.31</v>
      </c>
      <c r="S43" s="25">
        <v>7</v>
      </c>
      <c r="T43" s="25">
        <f>E43-J43*0.75-K43-F43-M43-N43-O43-Q43-I43-R43</f>
        <v>229.89799999999963</v>
      </c>
      <c r="U43" s="25"/>
      <c r="V43" s="25">
        <f>J43*0.75</f>
        <v>1561.5</v>
      </c>
    </row>
    <row r="44" spans="1:22">
      <c r="A44" s="18" t="s">
        <v>217</v>
      </c>
      <c r="B44" s="19">
        <v>465180</v>
      </c>
      <c r="C44" s="20" t="s">
        <v>186</v>
      </c>
      <c r="D44" s="19">
        <v>0</v>
      </c>
      <c r="E44" s="21">
        <v>0</v>
      </c>
      <c r="F44" s="21">
        <v>666.5</v>
      </c>
      <c r="G44" s="21">
        <v>850</v>
      </c>
      <c r="H44" s="21"/>
      <c r="I44" s="21">
        <v>0</v>
      </c>
      <c r="J44" s="20">
        <v>0</v>
      </c>
      <c r="K44" s="21">
        <f t="shared" si="22"/>
        <v>0</v>
      </c>
      <c r="L44" s="21">
        <f t="shared" ref="L44:L49" si="26">J44*0.17</f>
        <v>0</v>
      </c>
      <c r="M44" s="21" t="s">
        <v>111</v>
      </c>
      <c r="N44" s="21">
        <v>160.46</v>
      </c>
      <c r="O44" s="21">
        <v>26.25</v>
      </c>
      <c r="P44" s="21"/>
      <c r="Q44" s="21">
        <f t="shared" si="23"/>
        <v>0</v>
      </c>
      <c r="R44" s="21">
        <v>0</v>
      </c>
      <c r="S44" s="21">
        <v>0</v>
      </c>
      <c r="T44" s="19"/>
      <c r="U44" s="21"/>
      <c r="V44" s="21"/>
    </row>
    <row r="45" spans="1:22">
      <c r="A45" s="22" t="s">
        <v>218</v>
      </c>
      <c r="B45" s="23">
        <v>352372</v>
      </c>
      <c r="C45" s="24" t="s">
        <v>197</v>
      </c>
      <c r="D45" s="23" t="s">
        <v>219</v>
      </c>
      <c r="E45" s="25">
        <v>9573</v>
      </c>
      <c r="F45" s="25">
        <v>666.5</v>
      </c>
      <c r="G45" s="25">
        <v>0</v>
      </c>
      <c r="H45" s="25"/>
      <c r="I45" s="25">
        <v>2139.37</v>
      </c>
      <c r="J45" s="24">
        <v>3903</v>
      </c>
      <c r="K45" s="25">
        <f t="shared" si="22"/>
        <v>277.113</v>
      </c>
      <c r="L45" s="25">
        <f t="shared" si="26"/>
        <v>663.51</v>
      </c>
      <c r="M45" s="25">
        <v>163.25</v>
      </c>
      <c r="N45" s="25">
        <v>160.46</v>
      </c>
      <c r="O45" s="25">
        <v>40</v>
      </c>
      <c r="P45" s="25"/>
      <c r="Q45" s="25">
        <f t="shared" si="23"/>
        <v>95.73</v>
      </c>
      <c r="R45" s="25">
        <v>125.93</v>
      </c>
      <c r="S45" s="25">
        <v>7</v>
      </c>
      <c r="T45" s="25">
        <f>E45-F45-K45-(J45*0.75)-M45-N45-O45-Q45-I45-S45-R45</f>
        <v>2970.3970000000013</v>
      </c>
      <c r="U45" s="25"/>
      <c r="V45" s="25">
        <f t="shared" ref="V45:V46" si="27">J45*0.75</f>
        <v>2927.25</v>
      </c>
    </row>
    <row r="46" spans="1:22">
      <c r="A46" s="22" t="s">
        <v>220</v>
      </c>
      <c r="B46" s="23">
        <v>465185</v>
      </c>
      <c r="C46" s="24" t="s">
        <v>197</v>
      </c>
      <c r="D46" s="23" t="s">
        <v>212</v>
      </c>
      <c r="E46" s="25">
        <v>9360</v>
      </c>
      <c r="F46" s="25">
        <v>666.5</v>
      </c>
      <c r="G46" s="25">
        <v>0</v>
      </c>
      <c r="H46" s="25"/>
      <c r="I46" s="25">
        <v>2399.7600000000002</v>
      </c>
      <c r="J46" s="24">
        <v>2888</v>
      </c>
      <c r="K46" s="25">
        <f t="shared" si="22"/>
        <v>205.04799999999997</v>
      </c>
      <c r="L46" s="25">
        <f t="shared" si="26"/>
        <v>490.96000000000004</v>
      </c>
      <c r="M46" s="25">
        <v>163.25</v>
      </c>
      <c r="N46" s="25">
        <v>160.46</v>
      </c>
      <c r="O46" s="25">
        <v>40</v>
      </c>
      <c r="P46" s="25"/>
      <c r="Q46" s="25">
        <f t="shared" si="23"/>
        <v>93.600000000000009</v>
      </c>
      <c r="R46" s="25">
        <v>9.6</v>
      </c>
      <c r="S46" s="25">
        <v>7</v>
      </c>
      <c r="T46" s="25">
        <f>E46-F46-I46-K46-M46-N46-O46-Q46-J46*0.75-R46</f>
        <v>3455.7819999999997</v>
      </c>
      <c r="U46" s="25"/>
      <c r="V46" s="25">
        <f t="shared" si="27"/>
        <v>2166</v>
      </c>
    </row>
    <row r="47" spans="1:22">
      <c r="A47" s="18" t="s">
        <v>221</v>
      </c>
      <c r="B47" s="19">
        <v>352371</v>
      </c>
      <c r="C47" s="20" t="s">
        <v>186</v>
      </c>
      <c r="D47" s="19" t="s">
        <v>222</v>
      </c>
      <c r="E47" s="21">
        <v>3295</v>
      </c>
      <c r="F47" s="21">
        <v>666.5</v>
      </c>
      <c r="G47" s="21">
        <v>850</v>
      </c>
      <c r="H47" s="21"/>
      <c r="I47" s="21">
        <v>811.1</v>
      </c>
      <c r="J47" s="20">
        <v>1079</v>
      </c>
      <c r="K47" s="21">
        <f t="shared" si="22"/>
        <v>76.608999999999995</v>
      </c>
      <c r="L47" s="21">
        <f t="shared" si="26"/>
        <v>183.43</v>
      </c>
      <c r="M47" s="21">
        <v>163.25</v>
      </c>
      <c r="N47" s="21">
        <v>160.46</v>
      </c>
      <c r="O47" s="21">
        <v>32.5</v>
      </c>
      <c r="P47" s="21"/>
      <c r="Q47" s="21">
        <f t="shared" si="23"/>
        <v>32.950000000000003</v>
      </c>
      <c r="R47" s="21">
        <v>37.200000000000003</v>
      </c>
      <c r="S47" s="21">
        <v>0</v>
      </c>
      <c r="T47" s="21">
        <f>E47*0.22-M47-N47-Q47</f>
        <v>368.23999999999995</v>
      </c>
      <c r="U47" s="21"/>
      <c r="V47" s="21">
        <f>E47*0.78-G47-I47-L47-R47</f>
        <v>688.36999999999989</v>
      </c>
    </row>
    <row r="48" spans="1:22">
      <c r="A48" s="22" t="s">
        <v>223</v>
      </c>
      <c r="B48" s="23">
        <v>465183</v>
      </c>
      <c r="C48" s="24" t="s">
        <v>197</v>
      </c>
      <c r="D48" s="23" t="s">
        <v>214</v>
      </c>
      <c r="E48" s="25">
        <v>6350</v>
      </c>
      <c r="F48" s="25">
        <v>666.5</v>
      </c>
      <c r="G48" s="25">
        <v>0</v>
      </c>
      <c r="H48" s="25"/>
      <c r="I48" s="25">
        <v>2079.35</v>
      </c>
      <c r="J48" s="24">
        <v>2447</v>
      </c>
      <c r="K48" s="25">
        <f t="shared" si="22"/>
        <v>173.73699999999999</v>
      </c>
      <c r="L48" s="25">
        <f t="shared" si="26"/>
        <v>415.99</v>
      </c>
      <c r="M48" s="25">
        <v>163.25</v>
      </c>
      <c r="N48" s="25">
        <v>160.46</v>
      </c>
      <c r="O48" s="25">
        <v>26.25</v>
      </c>
      <c r="P48" s="25"/>
      <c r="Q48" s="25">
        <f t="shared" si="23"/>
        <v>63.5</v>
      </c>
      <c r="R48" s="25">
        <v>23.96</v>
      </c>
      <c r="S48" s="25">
        <v>7</v>
      </c>
      <c r="T48" s="25">
        <f>E48-F48-I48-K48-M48-N48-O48-Q48-J48*0.75</f>
        <v>1181.703</v>
      </c>
      <c r="U48" s="25"/>
      <c r="V48" s="25">
        <f t="shared" ref="V48:V51" si="28">J48*0.75</f>
        <v>1835.25</v>
      </c>
    </row>
    <row r="49" spans="1:22">
      <c r="A49" s="22" t="s">
        <v>224</v>
      </c>
      <c r="B49" s="23">
        <v>465187</v>
      </c>
      <c r="C49" s="24" t="s">
        <v>197</v>
      </c>
      <c r="D49" s="23" t="s">
        <v>219</v>
      </c>
      <c r="E49" s="25">
        <v>7458</v>
      </c>
      <c r="F49" s="25">
        <v>666.5</v>
      </c>
      <c r="G49" s="25">
        <v>0</v>
      </c>
      <c r="H49" s="25"/>
      <c r="I49" s="25">
        <v>2827.7</v>
      </c>
      <c r="J49" s="24">
        <v>3065</v>
      </c>
      <c r="K49" s="25">
        <f t="shared" si="22"/>
        <v>217.61499999999998</v>
      </c>
      <c r="L49" s="25">
        <f t="shared" si="26"/>
        <v>521.05000000000007</v>
      </c>
      <c r="M49" s="25">
        <v>163.25</v>
      </c>
      <c r="N49" s="25">
        <v>160.46</v>
      </c>
      <c r="O49" s="25">
        <v>40</v>
      </c>
      <c r="P49" s="25"/>
      <c r="Q49" s="25">
        <f t="shared" si="23"/>
        <v>74.58</v>
      </c>
      <c r="R49" s="25">
        <v>15.07</v>
      </c>
      <c r="S49" s="25">
        <v>7</v>
      </c>
      <c r="T49" s="25">
        <f t="shared" ref="T49:T50" si="29">E49-F49-I49-J49*0.75-K49-M49-N49-O49-Q49-R49-S49</f>
        <v>987.07500000000005</v>
      </c>
      <c r="U49" s="25"/>
      <c r="V49" s="25">
        <f t="shared" si="28"/>
        <v>2298.75</v>
      </c>
    </row>
    <row r="50" spans="1:22">
      <c r="A50" s="22" t="s">
        <v>207</v>
      </c>
      <c r="B50" s="23">
        <v>465186</v>
      </c>
      <c r="C50" s="24" t="s">
        <v>197</v>
      </c>
      <c r="D50" s="23" t="s">
        <v>205</v>
      </c>
      <c r="E50" s="25">
        <v>6650</v>
      </c>
      <c r="F50" s="25">
        <v>666.5</v>
      </c>
      <c r="G50" s="25">
        <v>0</v>
      </c>
      <c r="H50" s="25"/>
      <c r="I50" s="25">
        <v>1509.08</v>
      </c>
      <c r="J50" s="24">
        <v>2588</v>
      </c>
      <c r="K50" s="25">
        <f t="shared" si="22"/>
        <v>183.74799999999999</v>
      </c>
      <c r="L50" s="25">
        <v>0</v>
      </c>
      <c r="M50" s="25">
        <v>163.25</v>
      </c>
      <c r="N50" s="25">
        <v>160.46</v>
      </c>
      <c r="O50" s="25">
        <v>26.25</v>
      </c>
      <c r="P50" s="25"/>
      <c r="Q50" s="25">
        <f t="shared" si="23"/>
        <v>66.5</v>
      </c>
      <c r="R50" s="25">
        <v>0</v>
      </c>
      <c r="S50" s="25">
        <v>7</v>
      </c>
      <c r="T50" s="25">
        <f t="shared" si="29"/>
        <v>1926.212</v>
      </c>
      <c r="U50" s="25"/>
      <c r="V50" s="25">
        <f t="shared" si="28"/>
        <v>1941</v>
      </c>
    </row>
    <row r="51" spans="1:22">
      <c r="A51" s="22" t="s">
        <v>208</v>
      </c>
      <c r="B51" s="23">
        <v>465189</v>
      </c>
      <c r="C51" s="24" t="s">
        <v>197</v>
      </c>
      <c r="D51" s="23" t="s">
        <v>204</v>
      </c>
      <c r="E51" s="25">
        <v>8500</v>
      </c>
      <c r="F51" s="25">
        <v>666.5</v>
      </c>
      <c r="G51" s="25">
        <v>0</v>
      </c>
      <c r="H51" s="25"/>
      <c r="I51" s="25">
        <v>1779.8</v>
      </c>
      <c r="J51" s="24">
        <v>2760</v>
      </c>
      <c r="K51" s="25">
        <f t="shared" si="22"/>
        <v>195.95999999999998</v>
      </c>
      <c r="L51" s="25">
        <v>0</v>
      </c>
      <c r="M51" s="25">
        <v>163.25</v>
      </c>
      <c r="N51" s="25">
        <v>160.46</v>
      </c>
      <c r="O51" s="25">
        <v>26.25</v>
      </c>
      <c r="P51" s="25"/>
      <c r="Q51" s="25">
        <f t="shared" si="23"/>
        <v>85</v>
      </c>
      <c r="R51" s="25">
        <v>0</v>
      </c>
      <c r="S51" s="25">
        <v>7</v>
      </c>
      <c r="T51" s="25">
        <f>E51-F51-I51-J51*0.75-M51-N51-O51-Q51-R51-S51</f>
        <v>3541.74</v>
      </c>
      <c r="U51" s="25"/>
      <c r="V51" s="25">
        <f t="shared" si="28"/>
        <v>2070</v>
      </c>
    </row>
    <row r="52" spans="1:22">
      <c r="A52" s="26" t="s">
        <v>209</v>
      </c>
      <c r="B52" s="27">
        <v>465182</v>
      </c>
      <c r="C52" s="28" t="s">
        <v>197</v>
      </c>
      <c r="D52" s="27" t="s">
        <v>203</v>
      </c>
      <c r="E52" s="29">
        <v>1849</v>
      </c>
      <c r="F52" s="29">
        <v>666.5</v>
      </c>
      <c r="G52" s="29">
        <v>0</v>
      </c>
      <c r="H52" s="29"/>
      <c r="I52" s="29">
        <v>874.88</v>
      </c>
      <c r="J52" s="28">
        <v>443</v>
      </c>
      <c r="K52" s="29">
        <f t="shared" si="22"/>
        <v>31.452999999999996</v>
      </c>
      <c r="L52" s="29">
        <v>0</v>
      </c>
      <c r="M52" s="29">
        <v>163.25</v>
      </c>
      <c r="N52" s="29">
        <v>160.46</v>
      </c>
      <c r="O52" s="29">
        <v>26.25</v>
      </c>
      <c r="P52" s="29"/>
      <c r="Q52" s="29">
        <f t="shared" si="23"/>
        <v>18.490000000000002</v>
      </c>
      <c r="R52" s="29">
        <v>0</v>
      </c>
      <c r="S52" s="29">
        <v>7</v>
      </c>
      <c r="T52" s="29">
        <f>E52-F52-I52-K52-M52-N52-O52-Q52-R52-S52</f>
        <v>-99.282999999999987</v>
      </c>
      <c r="U52" s="29"/>
      <c r="V52" s="29">
        <f>E52</f>
        <v>1849</v>
      </c>
    </row>
    <row r="53" spans="1:22">
      <c r="A53" s="30" t="s">
        <v>89</v>
      </c>
      <c r="B53" s="31">
        <v>14</v>
      </c>
      <c r="C53" s="32" t="s">
        <v>225</v>
      </c>
      <c r="D53" s="31">
        <v>4</v>
      </c>
      <c r="E53" s="33">
        <f>SUM(E38:E52)</f>
        <v>90605</v>
      </c>
      <c r="F53" s="33">
        <f t="shared" ref="F53:G53" si="30">SUM(F38:F49)</f>
        <v>7998</v>
      </c>
      <c r="G53" s="33">
        <f t="shared" si="30"/>
        <v>3400</v>
      </c>
      <c r="H53" s="33"/>
      <c r="I53" s="33">
        <f t="shared" ref="I53:L53" si="31">SUM(I38:I52)</f>
        <v>25472.199999999997</v>
      </c>
      <c r="J53" s="32">
        <f t="shared" si="31"/>
        <v>31999</v>
      </c>
      <c r="K53" s="33">
        <f t="shared" si="31"/>
        <v>2271.9289999999996</v>
      </c>
      <c r="L53" s="33">
        <f t="shared" si="31"/>
        <v>3358.01</v>
      </c>
      <c r="M53" s="33">
        <f t="shared" ref="M53:O53" si="32">SUM(M38:M49)</f>
        <v>1936.75</v>
      </c>
      <c r="N53" s="33">
        <f t="shared" si="32"/>
        <v>1925.5200000000002</v>
      </c>
      <c r="O53" s="33">
        <f t="shared" si="32"/>
        <v>362.5</v>
      </c>
      <c r="P53" s="33"/>
      <c r="Q53" s="33">
        <f t="shared" si="23"/>
        <v>906.05000000000007</v>
      </c>
      <c r="R53" s="33">
        <f t="shared" ref="R53:T53" si="33">SUM(R38:R52)</f>
        <v>332.46999999999997</v>
      </c>
      <c r="S53" s="33">
        <f t="shared" si="33"/>
        <v>77</v>
      </c>
      <c r="T53" s="33">
        <f t="shared" si="33"/>
        <v>22735.090999999997</v>
      </c>
      <c r="U53" s="31"/>
      <c r="V53" s="33">
        <f>SUM(V38:V52)</f>
        <v>26272.149999999998</v>
      </c>
    </row>
    <row r="55" spans="1:22">
      <c r="A55" s="457" t="s">
        <v>226</v>
      </c>
      <c r="B55" s="458"/>
      <c r="C55" s="458"/>
      <c r="D55" s="458"/>
      <c r="E55" s="458"/>
      <c r="F55" s="458"/>
      <c r="G55" s="458"/>
      <c r="H55" s="458"/>
      <c r="I55" s="458"/>
      <c r="J55" s="458"/>
      <c r="K55" s="458"/>
      <c r="L55" s="458"/>
      <c r="M55" s="458"/>
      <c r="N55" s="458"/>
      <c r="O55" s="459"/>
      <c r="P55" s="11"/>
      <c r="Q55" s="11"/>
      <c r="R55" s="17"/>
      <c r="S55" s="17"/>
      <c r="T55" s="17"/>
      <c r="U55" s="17"/>
      <c r="V55" s="14"/>
    </row>
    <row r="56" spans="1:22">
      <c r="A56" s="1" t="s">
        <v>0</v>
      </c>
      <c r="B56" s="2" t="s">
        <v>1</v>
      </c>
      <c r="C56" s="2" t="s">
        <v>183</v>
      </c>
      <c r="D56" s="2" t="s">
        <v>3</v>
      </c>
      <c r="E56" s="2" t="s">
        <v>2</v>
      </c>
      <c r="F56" s="2" t="s">
        <v>4</v>
      </c>
      <c r="G56" s="2" t="s">
        <v>6</v>
      </c>
      <c r="H56" s="2"/>
      <c r="I56" s="2" t="s">
        <v>7</v>
      </c>
      <c r="J56" s="2" t="s">
        <v>9</v>
      </c>
      <c r="K56" s="2" t="s">
        <v>106</v>
      </c>
      <c r="L56" s="2" t="s">
        <v>107</v>
      </c>
      <c r="M56" s="2" t="s">
        <v>5</v>
      </c>
      <c r="N56" s="2" t="s">
        <v>12</v>
      </c>
      <c r="O56" s="2" t="s">
        <v>184</v>
      </c>
      <c r="P56" s="2"/>
      <c r="Q56" s="2" t="s">
        <v>108</v>
      </c>
      <c r="R56" s="2" t="s">
        <v>8</v>
      </c>
      <c r="S56" s="12" t="s">
        <v>185</v>
      </c>
      <c r="T56" s="2" t="s">
        <v>13</v>
      </c>
      <c r="U56" s="2"/>
      <c r="V56" s="14" t="s">
        <v>98</v>
      </c>
    </row>
    <row r="57" spans="1:22">
      <c r="A57" s="18" t="s">
        <v>211</v>
      </c>
      <c r="B57" s="19">
        <v>465188</v>
      </c>
      <c r="C57" s="20" t="s">
        <v>186</v>
      </c>
      <c r="D57" s="19" t="s">
        <v>227</v>
      </c>
      <c r="E57" s="21">
        <v>10510</v>
      </c>
      <c r="F57" s="21">
        <v>666.5</v>
      </c>
      <c r="G57" s="21">
        <v>850</v>
      </c>
      <c r="H57" s="21"/>
      <c r="I57" s="21">
        <v>3195.82</v>
      </c>
      <c r="J57" s="20">
        <v>4133</v>
      </c>
      <c r="K57" s="21">
        <f t="shared" ref="K57:K69" si="34">J57*0.071</f>
        <v>293.44299999999998</v>
      </c>
      <c r="L57" s="21">
        <f>J57*0.17</f>
        <v>702.61</v>
      </c>
      <c r="M57" s="21">
        <v>198.5</v>
      </c>
      <c r="N57" s="21">
        <v>450</v>
      </c>
      <c r="O57" s="21">
        <v>26.25</v>
      </c>
      <c r="P57" s="21"/>
      <c r="Q57" s="21">
        <f t="shared" ref="Q57:Q70" si="35">E57*0.01</f>
        <v>105.10000000000001</v>
      </c>
      <c r="R57" s="21"/>
      <c r="S57" s="21">
        <v>0</v>
      </c>
      <c r="T57" s="21">
        <f>E57*0.22-M57-N57-Q57</f>
        <v>1558.6</v>
      </c>
      <c r="U57" s="21"/>
      <c r="V57" s="21">
        <f>E57*0.78-G57-I57-L57-O57-R57</f>
        <v>3423.1200000000013</v>
      </c>
    </row>
    <row r="58" spans="1:22">
      <c r="A58" s="22" t="s">
        <v>33</v>
      </c>
      <c r="B58" s="23">
        <v>352368</v>
      </c>
      <c r="C58" s="24" t="s">
        <v>197</v>
      </c>
      <c r="D58" s="23" t="s">
        <v>228</v>
      </c>
      <c r="E58" s="25">
        <v>3850</v>
      </c>
      <c r="F58" s="25">
        <v>666.5</v>
      </c>
      <c r="G58" s="25">
        <v>0</v>
      </c>
      <c r="H58" s="25"/>
      <c r="I58" s="25">
        <v>1500</v>
      </c>
      <c r="J58" s="24">
        <v>1195</v>
      </c>
      <c r="K58" s="25">
        <f t="shared" si="34"/>
        <v>84.844999999999999</v>
      </c>
      <c r="L58" s="25">
        <v>0</v>
      </c>
      <c r="M58" s="25">
        <v>163.25</v>
      </c>
      <c r="N58" s="25">
        <v>450</v>
      </c>
      <c r="O58" s="25">
        <v>32.5</v>
      </c>
      <c r="P58" s="25"/>
      <c r="Q58" s="25">
        <f t="shared" si="35"/>
        <v>38.5</v>
      </c>
      <c r="R58" s="25" t="s">
        <v>229</v>
      </c>
      <c r="S58" s="25">
        <v>7</v>
      </c>
      <c r="T58" s="25">
        <f>E58-J58*0.75-K58-M58-N58-O58-Q58-I58-F58</f>
        <v>18.1550000000002</v>
      </c>
      <c r="U58" s="25"/>
      <c r="V58" s="25">
        <f>J58*0.75</f>
        <v>896.25</v>
      </c>
    </row>
    <row r="59" spans="1:22">
      <c r="A59" s="18" t="s">
        <v>215</v>
      </c>
      <c r="B59" s="19">
        <v>465184</v>
      </c>
      <c r="C59" s="20" t="s">
        <v>186</v>
      </c>
      <c r="D59" s="19" t="s">
        <v>216</v>
      </c>
      <c r="E59" s="21">
        <v>3000</v>
      </c>
      <c r="F59" s="21">
        <v>666.5</v>
      </c>
      <c r="G59" s="21">
        <v>850</v>
      </c>
      <c r="H59" s="21"/>
      <c r="I59" s="21">
        <v>994.43</v>
      </c>
      <c r="J59" s="20">
        <v>1059</v>
      </c>
      <c r="K59" s="21">
        <f t="shared" si="34"/>
        <v>75.188999999999993</v>
      </c>
      <c r="L59" s="21">
        <f>J59*0.17</f>
        <v>180.03</v>
      </c>
      <c r="M59" s="21">
        <v>198.5</v>
      </c>
      <c r="N59" s="21">
        <v>450</v>
      </c>
      <c r="O59" s="21">
        <v>40</v>
      </c>
      <c r="P59" s="21"/>
      <c r="Q59" s="21">
        <f t="shared" si="35"/>
        <v>30</v>
      </c>
      <c r="R59" s="21">
        <v>14.1</v>
      </c>
      <c r="S59" s="21">
        <v>0</v>
      </c>
      <c r="T59" s="21">
        <f>E59*0.22-M59-N59-Q59</f>
        <v>-18.5</v>
      </c>
      <c r="U59" s="21"/>
      <c r="V59" s="21">
        <f>E59*0.78-G59-L59-O59-R59-I59</f>
        <v>261.44000000000017</v>
      </c>
    </row>
    <row r="60" spans="1:22">
      <c r="A60" s="22" t="s">
        <v>200</v>
      </c>
      <c r="B60" s="23">
        <v>352377</v>
      </c>
      <c r="C60" s="24" t="s">
        <v>197</v>
      </c>
      <c r="D60" s="23">
        <v>0</v>
      </c>
      <c r="E60" s="25">
        <v>0</v>
      </c>
      <c r="F60" s="25">
        <v>666.5</v>
      </c>
      <c r="G60" s="25">
        <v>0</v>
      </c>
      <c r="H60" s="25"/>
      <c r="I60" s="25">
        <v>0</v>
      </c>
      <c r="J60" s="24">
        <v>0</v>
      </c>
      <c r="K60" s="25">
        <f t="shared" si="34"/>
        <v>0</v>
      </c>
      <c r="L60" s="25">
        <v>0</v>
      </c>
      <c r="M60" s="25">
        <v>198.5</v>
      </c>
      <c r="N60" s="25">
        <v>450</v>
      </c>
      <c r="O60" s="25">
        <v>32.5</v>
      </c>
      <c r="P60" s="25"/>
      <c r="Q60" s="25">
        <f t="shared" si="35"/>
        <v>0</v>
      </c>
      <c r="R60" s="25"/>
      <c r="S60" s="25">
        <v>7</v>
      </c>
      <c r="T60" s="25">
        <f>E60-J60*0.75-K60-F60-M60-N60-O60-Q60-I60-R60</f>
        <v>-1347.5</v>
      </c>
      <c r="U60" s="25"/>
      <c r="V60" s="25">
        <f>J60*0.75</f>
        <v>0</v>
      </c>
    </row>
    <row r="61" spans="1:22">
      <c r="A61" s="18" t="s">
        <v>217</v>
      </c>
      <c r="B61" s="19">
        <v>465180</v>
      </c>
      <c r="C61" s="20" t="s">
        <v>186</v>
      </c>
      <c r="D61" s="19" t="s">
        <v>219</v>
      </c>
      <c r="E61" s="21">
        <v>7150</v>
      </c>
      <c r="F61" s="21">
        <v>666.5</v>
      </c>
      <c r="G61" s="21">
        <v>850</v>
      </c>
      <c r="H61" s="21"/>
      <c r="I61" s="21">
        <v>2837.75</v>
      </c>
      <c r="J61" s="20">
        <v>2777</v>
      </c>
      <c r="K61" s="21">
        <f t="shared" si="34"/>
        <v>197.16699999999997</v>
      </c>
      <c r="L61" s="21">
        <f t="shared" ref="L61:L66" si="36">J61*0.17</f>
        <v>472.09000000000003</v>
      </c>
      <c r="M61" s="21">
        <v>198.5</v>
      </c>
      <c r="N61" s="21">
        <v>450</v>
      </c>
      <c r="O61" s="21">
        <v>26.25</v>
      </c>
      <c r="P61" s="21"/>
      <c r="Q61" s="21">
        <f t="shared" si="35"/>
        <v>71.5</v>
      </c>
      <c r="R61" s="21"/>
      <c r="S61" s="21">
        <v>0</v>
      </c>
      <c r="T61" s="21">
        <f>E61*0.22-M61-N61-Q61</f>
        <v>853</v>
      </c>
      <c r="U61" s="21"/>
      <c r="V61" s="21">
        <f>E61*0.78-I61-G61-L61</f>
        <v>1417.1599999999999</v>
      </c>
    </row>
    <row r="62" spans="1:22">
      <c r="A62" s="22" t="s">
        <v>218</v>
      </c>
      <c r="B62" s="23">
        <v>352372</v>
      </c>
      <c r="C62" s="24" t="s">
        <v>197</v>
      </c>
      <c r="D62" s="23">
        <v>0</v>
      </c>
      <c r="E62" s="25">
        <v>0</v>
      </c>
      <c r="F62" s="25">
        <v>666.5</v>
      </c>
      <c r="G62" s="25">
        <v>0</v>
      </c>
      <c r="H62" s="25"/>
      <c r="I62" s="25">
        <v>0</v>
      </c>
      <c r="J62" s="24">
        <v>0</v>
      </c>
      <c r="K62" s="25">
        <f t="shared" si="34"/>
        <v>0</v>
      </c>
      <c r="L62" s="25">
        <f t="shared" si="36"/>
        <v>0</v>
      </c>
      <c r="M62" s="25">
        <v>163.25</v>
      </c>
      <c r="N62" s="25">
        <v>450</v>
      </c>
      <c r="O62" s="25">
        <v>40</v>
      </c>
      <c r="P62" s="25"/>
      <c r="Q62" s="25">
        <f t="shared" si="35"/>
        <v>0</v>
      </c>
      <c r="R62" s="25"/>
      <c r="S62" s="25">
        <v>7</v>
      </c>
      <c r="T62" s="25">
        <f>E62-F62-K62-(J62*0.75)-M62-N62-O62-Q62-I62-S62-R62</f>
        <v>-1326.75</v>
      </c>
      <c r="U62" s="25"/>
      <c r="V62" s="25">
        <f t="shared" ref="V62:V63" si="37">J62*0.75</f>
        <v>0</v>
      </c>
    </row>
    <row r="63" spans="1:22">
      <c r="A63" s="22" t="s">
        <v>220</v>
      </c>
      <c r="B63" s="23">
        <v>465185</v>
      </c>
      <c r="C63" s="24" t="s">
        <v>197</v>
      </c>
      <c r="D63" s="23" t="s">
        <v>213</v>
      </c>
      <c r="E63" s="25">
        <v>8625</v>
      </c>
      <c r="F63" s="25">
        <v>666.5</v>
      </c>
      <c r="G63" s="25">
        <v>0</v>
      </c>
      <c r="H63" s="25"/>
      <c r="I63" s="25">
        <v>2571.75</v>
      </c>
      <c r="J63" s="24">
        <v>2916</v>
      </c>
      <c r="K63" s="25">
        <f t="shared" si="34"/>
        <v>207.03599999999997</v>
      </c>
      <c r="L63" s="25">
        <f t="shared" si="36"/>
        <v>495.72</v>
      </c>
      <c r="M63" s="25">
        <v>163.25</v>
      </c>
      <c r="N63" s="25">
        <v>450</v>
      </c>
      <c r="O63" s="25">
        <v>40</v>
      </c>
      <c r="P63" s="25"/>
      <c r="Q63" s="25">
        <f t="shared" si="35"/>
        <v>86.25</v>
      </c>
      <c r="R63" s="25"/>
      <c r="S63" s="25">
        <v>7</v>
      </c>
      <c r="T63" s="25">
        <f>E63-F63-I63-K63-M63-N63-O63-Q63-J63*0.75-R63</f>
        <v>2253.2139999999999</v>
      </c>
      <c r="U63" s="25"/>
      <c r="V63" s="25">
        <f t="shared" si="37"/>
        <v>2187</v>
      </c>
    </row>
    <row r="64" spans="1:22">
      <c r="A64" s="18" t="s">
        <v>221</v>
      </c>
      <c r="B64" s="19">
        <v>352371</v>
      </c>
      <c r="C64" s="20" t="s">
        <v>186</v>
      </c>
      <c r="D64" s="19" t="s">
        <v>228</v>
      </c>
      <c r="E64" s="21">
        <v>5150</v>
      </c>
      <c r="F64" s="21">
        <v>666.5</v>
      </c>
      <c r="G64" s="21">
        <v>850</v>
      </c>
      <c r="H64" s="21"/>
      <c r="I64" s="21">
        <v>2246.9699999999998</v>
      </c>
      <c r="J64" s="20">
        <v>1836</v>
      </c>
      <c r="K64" s="21">
        <f t="shared" si="34"/>
        <v>130.35599999999999</v>
      </c>
      <c r="L64" s="21">
        <f t="shared" si="36"/>
        <v>312.12</v>
      </c>
      <c r="M64" s="21">
        <v>163.25</v>
      </c>
      <c r="N64" s="21">
        <v>450</v>
      </c>
      <c r="O64" s="21">
        <v>32.5</v>
      </c>
      <c r="P64" s="21"/>
      <c r="Q64" s="21">
        <f t="shared" si="35"/>
        <v>51.5</v>
      </c>
      <c r="R64" s="21">
        <v>67.599999999999994</v>
      </c>
      <c r="S64" s="21">
        <v>0</v>
      </c>
      <c r="T64" s="21">
        <f>E64*0.22-M64-N64-Q64</f>
        <v>468.25</v>
      </c>
      <c r="U64" s="21"/>
      <c r="V64" s="21">
        <f>E64*0.78-G64-I64-L64-R64</f>
        <v>540.31000000000017</v>
      </c>
    </row>
    <row r="65" spans="1:22">
      <c r="A65" s="22" t="s">
        <v>223</v>
      </c>
      <c r="B65" s="23">
        <v>465183</v>
      </c>
      <c r="C65" s="24" t="s">
        <v>197</v>
      </c>
      <c r="D65" s="23" t="s">
        <v>219</v>
      </c>
      <c r="E65" s="25">
        <v>8195</v>
      </c>
      <c r="F65" s="25">
        <v>666.5</v>
      </c>
      <c r="G65" s="25">
        <v>0</v>
      </c>
      <c r="H65" s="25"/>
      <c r="I65" s="25">
        <v>3247.87</v>
      </c>
      <c r="J65" s="24">
        <v>3751</v>
      </c>
      <c r="K65" s="25">
        <f t="shared" si="34"/>
        <v>266.32099999999997</v>
      </c>
      <c r="L65" s="25">
        <f t="shared" si="36"/>
        <v>637.67000000000007</v>
      </c>
      <c r="M65" s="25">
        <v>163.25</v>
      </c>
      <c r="N65" s="25">
        <v>450</v>
      </c>
      <c r="O65" s="25">
        <v>26.25</v>
      </c>
      <c r="P65" s="25"/>
      <c r="Q65" s="25">
        <f t="shared" si="35"/>
        <v>81.95</v>
      </c>
      <c r="R65" s="25"/>
      <c r="S65" s="25">
        <v>7</v>
      </c>
      <c r="T65" s="25">
        <f t="shared" ref="T65:T66" si="38">E65-F65-I65-K65-M65-N65-O65-Q65-J65*0.75-R65</f>
        <v>479.60900000000038</v>
      </c>
      <c r="U65" s="25"/>
      <c r="V65" s="25">
        <f t="shared" ref="V65:V69" si="39">J65*0.75</f>
        <v>2813.25</v>
      </c>
    </row>
    <row r="66" spans="1:22">
      <c r="A66" s="22" t="s">
        <v>224</v>
      </c>
      <c r="B66" s="23">
        <v>465187</v>
      </c>
      <c r="C66" s="24" t="s">
        <v>197</v>
      </c>
      <c r="D66" s="23" t="s">
        <v>230</v>
      </c>
      <c r="E66" s="25">
        <v>9390</v>
      </c>
      <c r="F66" s="25">
        <v>666.5</v>
      </c>
      <c r="G66" s="25">
        <v>0</v>
      </c>
      <c r="H66" s="25"/>
      <c r="I66" s="25">
        <v>3149.32</v>
      </c>
      <c r="J66" s="24">
        <v>3018</v>
      </c>
      <c r="K66" s="25">
        <f t="shared" si="34"/>
        <v>214.27799999999999</v>
      </c>
      <c r="L66" s="25">
        <f t="shared" si="36"/>
        <v>513.06000000000006</v>
      </c>
      <c r="M66" s="25">
        <v>163.25</v>
      </c>
      <c r="N66" s="25">
        <v>450</v>
      </c>
      <c r="O66" s="25">
        <v>40</v>
      </c>
      <c r="P66" s="25"/>
      <c r="Q66" s="25">
        <f t="shared" si="35"/>
        <v>93.9</v>
      </c>
      <c r="R66" s="25"/>
      <c r="S66" s="25">
        <v>7</v>
      </c>
      <c r="T66" s="25">
        <f t="shared" si="38"/>
        <v>2349.2520000000004</v>
      </c>
      <c r="U66" s="25"/>
      <c r="V66" s="25">
        <f t="shared" si="39"/>
        <v>2263.5</v>
      </c>
    </row>
    <row r="67" spans="1:22">
      <c r="A67" s="22" t="s">
        <v>207</v>
      </c>
      <c r="B67" s="23">
        <v>465186</v>
      </c>
      <c r="C67" s="24" t="s">
        <v>197</v>
      </c>
      <c r="D67" s="23" t="s">
        <v>231</v>
      </c>
      <c r="E67" s="25">
        <v>6075</v>
      </c>
      <c r="F67" s="25">
        <v>666.5</v>
      </c>
      <c r="G67" s="25">
        <v>0</v>
      </c>
      <c r="H67" s="25"/>
      <c r="I67" s="25">
        <v>1791.57</v>
      </c>
      <c r="J67" s="24">
        <v>2169</v>
      </c>
      <c r="K67" s="25">
        <f t="shared" si="34"/>
        <v>153.999</v>
      </c>
      <c r="L67" s="25">
        <v>0</v>
      </c>
      <c r="M67" s="25">
        <v>163.25</v>
      </c>
      <c r="N67" s="25">
        <v>450</v>
      </c>
      <c r="O67" s="25">
        <v>26.25</v>
      </c>
      <c r="P67" s="25"/>
      <c r="Q67" s="25">
        <f t="shared" si="35"/>
        <v>60.75</v>
      </c>
      <c r="R67" s="25"/>
      <c r="S67" s="25">
        <v>7</v>
      </c>
      <c r="T67" s="25">
        <f>E67-F67-I67-J67*0.75-K67-M67-N67-O67-Q67-R67-S67</f>
        <v>1128.9310000000003</v>
      </c>
      <c r="U67" s="25"/>
      <c r="V67" s="25">
        <f t="shared" si="39"/>
        <v>1626.75</v>
      </c>
    </row>
    <row r="68" spans="1:22">
      <c r="A68" s="22" t="s">
        <v>208</v>
      </c>
      <c r="B68" s="23">
        <v>465189</v>
      </c>
      <c r="C68" s="24" t="s">
        <v>197</v>
      </c>
      <c r="D68" s="23" t="s">
        <v>203</v>
      </c>
      <c r="E68" s="25">
        <v>2800</v>
      </c>
      <c r="F68" s="25">
        <v>666.5</v>
      </c>
      <c r="G68" s="25">
        <v>0</v>
      </c>
      <c r="H68" s="25"/>
      <c r="I68" s="25">
        <v>500</v>
      </c>
      <c r="J68" s="24">
        <v>1044</v>
      </c>
      <c r="K68" s="25">
        <f t="shared" si="34"/>
        <v>74.123999999999995</v>
      </c>
      <c r="L68" s="25">
        <v>0</v>
      </c>
      <c r="M68" s="25">
        <v>163.25</v>
      </c>
      <c r="N68" s="25">
        <v>450</v>
      </c>
      <c r="O68" s="25">
        <v>26.25</v>
      </c>
      <c r="P68" s="25"/>
      <c r="Q68" s="25">
        <f t="shared" si="35"/>
        <v>28</v>
      </c>
      <c r="R68" s="25"/>
      <c r="S68" s="25">
        <v>7</v>
      </c>
      <c r="T68" s="25">
        <f t="shared" ref="T68:T69" si="40">E68-F68-I68-J68*0.75-M68-N68-O68-Q68-R68-S68</f>
        <v>176</v>
      </c>
      <c r="U68" s="25"/>
      <c r="V68" s="25">
        <f t="shared" si="39"/>
        <v>783</v>
      </c>
    </row>
    <row r="69" spans="1:22">
      <c r="A69" s="34" t="s">
        <v>232</v>
      </c>
      <c r="B69" s="23">
        <v>465181</v>
      </c>
      <c r="C69" s="34" t="s">
        <v>197</v>
      </c>
      <c r="D69" s="34" t="s">
        <v>233</v>
      </c>
      <c r="E69" s="35">
        <v>3790</v>
      </c>
      <c r="F69" s="25">
        <v>666.5</v>
      </c>
      <c r="G69" s="25">
        <v>0</v>
      </c>
      <c r="H69" s="36"/>
      <c r="I69" s="37">
        <v>1161.49</v>
      </c>
      <c r="J69" s="38">
        <v>1481</v>
      </c>
      <c r="K69" s="25">
        <f t="shared" si="34"/>
        <v>105.151</v>
      </c>
      <c r="L69" s="25">
        <v>0</v>
      </c>
      <c r="M69" s="25">
        <v>163.25</v>
      </c>
      <c r="N69" s="25">
        <v>450</v>
      </c>
      <c r="O69" s="25">
        <v>26.25</v>
      </c>
      <c r="P69" s="25"/>
      <c r="Q69" s="25">
        <f t="shared" si="35"/>
        <v>37.9</v>
      </c>
      <c r="R69" s="34"/>
      <c r="S69" s="25">
        <v>7</v>
      </c>
      <c r="T69" s="35">
        <f t="shared" si="40"/>
        <v>166.85999999999999</v>
      </c>
      <c r="U69" s="35"/>
      <c r="V69" s="35">
        <f t="shared" si="39"/>
        <v>1110.75</v>
      </c>
    </row>
    <row r="70" spans="1:22">
      <c r="A70" s="39" t="s">
        <v>89</v>
      </c>
      <c r="B70" s="40">
        <v>13</v>
      </c>
      <c r="C70" s="41" t="s">
        <v>225</v>
      </c>
      <c r="D70" s="40"/>
      <c r="E70" s="42">
        <f t="shared" ref="E70:F70" si="41">SUM(E57:E69)</f>
        <v>68535</v>
      </c>
      <c r="F70" s="42">
        <f t="shared" si="41"/>
        <v>8664.5</v>
      </c>
      <c r="G70" s="42">
        <f>SUM(G57:G66)</f>
        <v>3400</v>
      </c>
      <c r="H70" s="42"/>
      <c r="I70" s="42">
        <f t="shared" ref="I70:O70" si="42">SUM(I57:I69)</f>
        <v>23196.97</v>
      </c>
      <c r="J70" s="41">
        <f t="shared" si="42"/>
        <v>25379</v>
      </c>
      <c r="K70" s="42">
        <f t="shared" si="42"/>
        <v>1801.9090000000001</v>
      </c>
      <c r="L70" s="42">
        <f t="shared" si="42"/>
        <v>3313.3</v>
      </c>
      <c r="M70" s="42">
        <f t="shared" si="42"/>
        <v>2263.25</v>
      </c>
      <c r="N70" s="42">
        <f t="shared" si="42"/>
        <v>5850</v>
      </c>
      <c r="O70" s="42">
        <f t="shared" si="42"/>
        <v>415</v>
      </c>
      <c r="P70" s="42"/>
      <c r="Q70" s="42">
        <f t="shared" si="35"/>
        <v>685.35</v>
      </c>
      <c r="R70" s="42">
        <f t="shared" ref="R70:T70" si="43">SUM(R57:R69)</f>
        <v>81.699999999999989</v>
      </c>
      <c r="S70" s="42">
        <f t="shared" si="43"/>
        <v>63</v>
      </c>
      <c r="T70" s="42">
        <f t="shared" si="43"/>
        <v>6759.121000000001</v>
      </c>
      <c r="U70" s="40"/>
      <c r="V70" s="42">
        <f>SUM(V57:V69)</f>
        <v>17322.53</v>
      </c>
    </row>
  </sheetData>
  <mergeCells count="4">
    <mergeCell ref="A1:O1"/>
    <mergeCell ref="A17:O17"/>
    <mergeCell ref="A36:O36"/>
    <mergeCell ref="A55:O5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T3885"/>
  <sheetViews>
    <sheetView workbookViewId="0">
      <pane ySplit="3" topLeftCell="A1763" activePane="bottomLeft" state="frozen"/>
      <selection pane="bottomLeft" activeCell="B5" sqref="B5"/>
    </sheetView>
  </sheetViews>
  <sheetFormatPr baseColWidth="10" defaultColWidth="12.6640625" defaultRowHeight="15.75" customHeight="1"/>
  <cols>
    <col min="1" max="1" width="24" customWidth="1"/>
    <col min="2" max="2" width="20" customWidth="1"/>
    <col min="5" max="5" width="13.1640625" customWidth="1"/>
    <col min="17" max="20" width="14.5" customWidth="1"/>
  </cols>
  <sheetData>
    <row r="1" spans="1:20" ht="13">
      <c r="A1" s="276" t="s">
        <v>845</v>
      </c>
      <c r="B1" s="277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9"/>
      <c r="T1" s="280"/>
    </row>
    <row r="2" spans="1:20" ht="13">
      <c r="A2" s="281" t="s">
        <v>846</v>
      </c>
      <c r="B2" s="282"/>
      <c r="C2" s="282"/>
      <c r="D2" s="282"/>
      <c r="E2" s="282"/>
      <c r="F2" s="283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79"/>
      <c r="T2" s="280"/>
    </row>
    <row r="3" spans="1:20" ht="13">
      <c r="A3" s="284" t="s">
        <v>847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5"/>
      <c r="T3" s="280"/>
    </row>
    <row r="4" spans="1:20" ht="13">
      <c r="A4" s="472" t="s">
        <v>848</v>
      </c>
      <c r="B4" s="466"/>
      <c r="C4" s="466"/>
      <c r="D4" s="466"/>
      <c r="E4" s="466"/>
      <c r="F4" s="466"/>
      <c r="G4" s="466"/>
      <c r="H4" s="466"/>
      <c r="I4" s="466"/>
      <c r="J4" s="466"/>
      <c r="K4" s="466"/>
      <c r="L4" s="466"/>
      <c r="M4" s="466"/>
      <c r="N4" s="466"/>
      <c r="O4" s="466"/>
      <c r="P4" s="466"/>
      <c r="Q4" s="466"/>
      <c r="R4" s="466"/>
      <c r="S4" s="280"/>
      <c r="T4" s="280"/>
    </row>
    <row r="5" spans="1:20" ht="13">
      <c r="A5" s="287" t="s">
        <v>849</v>
      </c>
      <c r="B5" s="287" t="s">
        <v>1</v>
      </c>
      <c r="C5" s="462" t="s">
        <v>850</v>
      </c>
      <c r="D5" s="463"/>
      <c r="E5" s="464"/>
      <c r="F5" s="465" t="s">
        <v>851</v>
      </c>
      <c r="G5" s="466"/>
      <c r="H5" s="467"/>
      <c r="I5" s="468" t="s">
        <v>852</v>
      </c>
      <c r="J5" s="463"/>
      <c r="K5" s="464"/>
      <c r="L5" s="468" t="s">
        <v>852</v>
      </c>
      <c r="M5" s="463"/>
      <c r="N5" s="464"/>
      <c r="O5" s="290" t="s">
        <v>852</v>
      </c>
      <c r="P5" s="288"/>
      <c r="Q5" s="288"/>
      <c r="R5" s="291"/>
      <c r="S5" s="280"/>
      <c r="T5" s="280"/>
    </row>
    <row r="6" spans="1:20" ht="13">
      <c r="A6" s="292" t="s">
        <v>853</v>
      </c>
      <c r="B6" s="293">
        <v>352368</v>
      </c>
      <c r="C6" s="294"/>
      <c r="D6" s="295"/>
      <c r="E6" s="296"/>
      <c r="F6" s="294">
        <v>550.16999999999996</v>
      </c>
      <c r="G6" s="295">
        <v>97.12</v>
      </c>
      <c r="H6" s="297"/>
      <c r="I6" s="298"/>
      <c r="J6" s="299"/>
      <c r="K6" s="300"/>
      <c r="L6" s="294"/>
      <c r="M6" s="301"/>
      <c r="N6" s="297"/>
      <c r="O6" s="294"/>
      <c r="P6" s="301"/>
      <c r="Q6" s="297"/>
      <c r="R6" s="302"/>
      <c r="S6" s="303"/>
      <c r="T6" s="280"/>
    </row>
    <row r="7" spans="1:20" ht="13">
      <c r="A7" s="276" t="s">
        <v>82</v>
      </c>
      <c r="B7" s="276">
        <v>352371</v>
      </c>
      <c r="C7" s="304"/>
      <c r="D7" s="305"/>
      <c r="E7" s="306"/>
      <c r="F7" s="304">
        <v>1850.32</v>
      </c>
      <c r="G7" s="305">
        <v>349.47</v>
      </c>
      <c r="H7" s="307">
        <v>6.83</v>
      </c>
      <c r="I7" s="308">
        <v>750</v>
      </c>
      <c r="J7" s="309">
        <v>128.417</v>
      </c>
      <c r="K7" s="307">
        <v>0</v>
      </c>
      <c r="L7" s="304">
        <v>400</v>
      </c>
      <c r="M7" s="309">
        <v>69.665999999999997</v>
      </c>
      <c r="N7" s="307">
        <v>0</v>
      </c>
      <c r="O7" s="304">
        <v>700</v>
      </c>
      <c r="P7" s="309">
        <v>127.985</v>
      </c>
      <c r="Q7" s="307">
        <v>0</v>
      </c>
      <c r="R7" s="302"/>
      <c r="S7" s="303"/>
      <c r="T7" s="280"/>
    </row>
    <row r="8" spans="1:20" ht="13">
      <c r="A8" s="276"/>
      <c r="B8" s="276">
        <v>352372</v>
      </c>
      <c r="C8" s="304"/>
      <c r="D8" s="305"/>
      <c r="E8" s="306"/>
      <c r="F8" s="304"/>
      <c r="G8" s="305"/>
      <c r="H8" s="307"/>
      <c r="I8" s="308"/>
      <c r="J8" s="309"/>
      <c r="K8" s="307"/>
      <c r="L8" s="304"/>
      <c r="M8" s="309"/>
      <c r="N8" s="307"/>
      <c r="O8" s="304"/>
      <c r="P8" s="309"/>
      <c r="Q8" s="307"/>
      <c r="R8" s="302"/>
      <c r="S8" s="303"/>
      <c r="T8" s="280"/>
    </row>
    <row r="9" spans="1:20" ht="13">
      <c r="A9" s="276"/>
      <c r="B9" s="276">
        <v>352373</v>
      </c>
      <c r="C9" s="304"/>
      <c r="D9" s="305"/>
      <c r="E9" s="306"/>
      <c r="F9" s="304"/>
      <c r="G9" s="305"/>
      <c r="H9" s="307"/>
      <c r="I9" s="308"/>
      <c r="J9" s="309"/>
      <c r="K9" s="307"/>
      <c r="L9" s="304"/>
      <c r="M9" s="309"/>
      <c r="N9" s="307"/>
      <c r="O9" s="304"/>
      <c r="P9" s="309"/>
      <c r="Q9" s="307"/>
      <c r="R9" s="302"/>
      <c r="S9" s="303"/>
      <c r="T9" s="280"/>
    </row>
    <row r="10" spans="1:20" ht="13">
      <c r="A10" s="276" t="s">
        <v>854</v>
      </c>
      <c r="B10" s="276">
        <v>352374</v>
      </c>
      <c r="C10" s="304"/>
      <c r="D10" s="305"/>
      <c r="E10" s="306"/>
      <c r="F10" s="304"/>
      <c r="G10" s="305"/>
      <c r="H10" s="307"/>
      <c r="I10" s="308"/>
      <c r="J10" s="309"/>
      <c r="K10" s="307"/>
      <c r="L10" s="304"/>
      <c r="M10" s="309"/>
      <c r="N10" s="307"/>
      <c r="O10" s="304"/>
      <c r="P10" s="309"/>
      <c r="Q10" s="307"/>
      <c r="R10" s="302"/>
      <c r="S10" s="303"/>
      <c r="T10" s="280"/>
    </row>
    <row r="11" spans="1:20" ht="13">
      <c r="A11" s="276" t="s">
        <v>855</v>
      </c>
      <c r="B11" s="276">
        <v>352375</v>
      </c>
      <c r="C11" s="304"/>
      <c r="D11" s="305"/>
      <c r="E11" s="306"/>
      <c r="F11" s="304">
        <v>1595.17</v>
      </c>
      <c r="G11" s="305">
        <v>267.87</v>
      </c>
      <c r="H11" s="307">
        <v>0</v>
      </c>
      <c r="I11" s="308"/>
      <c r="J11" s="309"/>
      <c r="K11" s="307"/>
      <c r="L11" s="304"/>
      <c r="M11" s="309"/>
      <c r="N11" s="307"/>
      <c r="O11" s="304"/>
      <c r="P11" s="309"/>
      <c r="Q11" s="307"/>
      <c r="R11" s="302"/>
      <c r="S11" s="303"/>
      <c r="T11" s="280"/>
    </row>
    <row r="12" spans="1:20" ht="13">
      <c r="A12" s="276" t="s">
        <v>62</v>
      </c>
      <c r="B12" s="276">
        <v>352376</v>
      </c>
      <c r="C12" s="304"/>
      <c r="D12" s="305"/>
      <c r="E12" s="306"/>
      <c r="F12" s="304">
        <v>1373</v>
      </c>
      <c r="G12" s="305">
        <v>254.88</v>
      </c>
      <c r="H12" s="307"/>
      <c r="I12" s="308">
        <v>301.75</v>
      </c>
      <c r="J12" s="309">
        <v>52.033999999999999</v>
      </c>
      <c r="K12" s="307">
        <v>0</v>
      </c>
      <c r="L12" s="304">
        <v>1000</v>
      </c>
      <c r="M12" s="309">
        <v>179.708</v>
      </c>
      <c r="N12" s="307">
        <v>0</v>
      </c>
      <c r="O12" s="304">
        <v>900</v>
      </c>
      <c r="P12" s="309">
        <v>152.02600000000001</v>
      </c>
      <c r="Q12" s="307">
        <v>0</v>
      </c>
      <c r="R12" s="302"/>
      <c r="S12" s="303"/>
      <c r="T12" s="280"/>
    </row>
    <row r="13" spans="1:20" ht="13">
      <c r="A13" s="276" t="s">
        <v>54</v>
      </c>
      <c r="B13" s="276">
        <v>352377</v>
      </c>
      <c r="C13" s="304">
        <v>2215.79</v>
      </c>
      <c r="D13" s="305">
        <v>431.59</v>
      </c>
      <c r="E13" s="306">
        <v>106.89</v>
      </c>
      <c r="F13" s="304"/>
      <c r="G13" s="305"/>
      <c r="H13" s="307"/>
      <c r="I13" s="308"/>
      <c r="J13" s="309"/>
      <c r="K13" s="307"/>
      <c r="L13" s="304"/>
      <c r="M13" s="309"/>
      <c r="N13" s="307"/>
      <c r="O13" s="304"/>
      <c r="P13" s="309"/>
      <c r="Q13" s="307"/>
      <c r="R13" s="302"/>
      <c r="S13" s="303"/>
      <c r="T13" s="280"/>
    </row>
    <row r="14" spans="1:20" ht="13">
      <c r="A14" s="281" t="s">
        <v>856</v>
      </c>
      <c r="B14" s="276">
        <v>359885</v>
      </c>
      <c r="C14" s="304"/>
      <c r="D14" s="305"/>
      <c r="E14" s="306"/>
      <c r="F14" s="304"/>
      <c r="G14" s="305"/>
      <c r="H14" s="307"/>
      <c r="I14" s="308"/>
      <c r="J14" s="309"/>
      <c r="K14" s="307"/>
      <c r="L14" s="304"/>
      <c r="M14" s="309"/>
      <c r="N14" s="307"/>
      <c r="O14" s="304"/>
      <c r="P14" s="309"/>
      <c r="Q14" s="307"/>
      <c r="R14" s="302"/>
      <c r="S14" s="303"/>
      <c r="T14" s="280"/>
    </row>
    <row r="15" spans="1:20" ht="13">
      <c r="A15" s="276" t="s">
        <v>857</v>
      </c>
      <c r="B15" s="276">
        <v>359886</v>
      </c>
      <c r="C15" s="304">
        <v>2173.79</v>
      </c>
      <c r="D15" s="305">
        <v>425.76</v>
      </c>
      <c r="E15" s="306">
        <v>103.22</v>
      </c>
      <c r="F15" s="304">
        <v>629.37</v>
      </c>
      <c r="G15" s="305">
        <v>107.27</v>
      </c>
      <c r="H15" s="307">
        <v>0</v>
      </c>
      <c r="I15" s="308"/>
      <c r="J15" s="309"/>
      <c r="K15" s="307"/>
      <c r="L15" s="304"/>
      <c r="M15" s="309"/>
      <c r="N15" s="307"/>
      <c r="O15" s="304"/>
      <c r="P15" s="309"/>
      <c r="Q15" s="307"/>
      <c r="R15" s="302"/>
      <c r="S15" s="303"/>
      <c r="T15" s="280"/>
    </row>
    <row r="16" spans="1:20" ht="13">
      <c r="A16" s="276" t="s">
        <v>319</v>
      </c>
      <c r="B16" s="276">
        <v>465180</v>
      </c>
      <c r="C16" s="304">
        <v>814.49</v>
      </c>
      <c r="D16" s="305">
        <v>154.81</v>
      </c>
      <c r="E16" s="306">
        <v>47.66</v>
      </c>
      <c r="F16" s="304"/>
      <c r="G16" s="305"/>
      <c r="H16" s="307"/>
      <c r="I16" s="308"/>
      <c r="J16" s="309"/>
      <c r="K16" s="307"/>
      <c r="L16" s="304"/>
      <c r="M16" s="309"/>
      <c r="N16" s="307"/>
      <c r="O16" s="304"/>
      <c r="P16" s="309"/>
      <c r="Q16" s="307"/>
      <c r="R16" s="302"/>
      <c r="S16" s="303"/>
      <c r="T16" s="280"/>
    </row>
    <row r="17" spans="1:20" ht="13">
      <c r="A17" s="276" t="s">
        <v>858</v>
      </c>
      <c r="B17" s="276">
        <v>465181</v>
      </c>
      <c r="C17" s="304">
        <f>1944.92+681.17</f>
        <v>2626.09</v>
      </c>
      <c r="D17" s="305">
        <f>330.84+117.83</f>
        <v>448.66999999999996</v>
      </c>
      <c r="E17" s="306">
        <f>74.87+11</f>
        <v>85.87</v>
      </c>
      <c r="F17" s="304"/>
      <c r="G17" s="305"/>
      <c r="H17" s="307"/>
      <c r="I17" s="308"/>
      <c r="J17" s="309"/>
      <c r="K17" s="307"/>
      <c r="L17" s="304"/>
      <c r="M17" s="309"/>
      <c r="N17" s="307"/>
      <c r="O17" s="304"/>
      <c r="P17" s="309"/>
      <c r="Q17" s="307"/>
      <c r="R17" s="302"/>
      <c r="S17" s="303"/>
      <c r="T17" s="280"/>
    </row>
    <row r="18" spans="1:20" ht="13">
      <c r="A18" s="276" t="s">
        <v>191</v>
      </c>
      <c r="B18" s="276">
        <v>465182</v>
      </c>
      <c r="C18" s="304">
        <v>3171.02</v>
      </c>
      <c r="D18" s="305">
        <v>550.41999999999996</v>
      </c>
      <c r="E18" s="306">
        <v>113.92</v>
      </c>
      <c r="F18" s="304"/>
      <c r="G18" s="305"/>
      <c r="H18" s="307"/>
      <c r="I18" s="308"/>
      <c r="J18" s="309"/>
      <c r="K18" s="307"/>
      <c r="L18" s="304"/>
      <c r="M18" s="309"/>
      <c r="N18" s="307"/>
      <c r="O18" s="304"/>
      <c r="P18" s="309"/>
      <c r="Q18" s="307"/>
      <c r="R18" s="302"/>
      <c r="S18" s="303"/>
      <c r="T18" s="280"/>
    </row>
    <row r="19" spans="1:20" ht="13">
      <c r="A19" s="276" t="s">
        <v>88</v>
      </c>
      <c r="B19" s="276">
        <v>465183</v>
      </c>
      <c r="C19" s="304">
        <f>3435.28-66</f>
        <v>3369.28</v>
      </c>
      <c r="D19" s="305">
        <v>620.83000000000004</v>
      </c>
      <c r="E19" s="306">
        <v>126.92</v>
      </c>
      <c r="F19" s="304"/>
      <c r="G19" s="305"/>
      <c r="H19" s="307"/>
      <c r="I19" s="308"/>
      <c r="J19" s="309"/>
      <c r="K19" s="307"/>
      <c r="L19" s="304"/>
      <c r="M19" s="309"/>
      <c r="N19" s="307"/>
      <c r="O19" s="304"/>
      <c r="P19" s="309"/>
      <c r="Q19" s="307"/>
      <c r="R19" s="302"/>
      <c r="S19" s="303"/>
      <c r="T19" s="280"/>
    </row>
    <row r="20" spans="1:20" ht="13">
      <c r="A20" s="281" t="s">
        <v>40</v>
      </c>
      <c r="B20" s="276">
        <v>465184</v>
      </c>
      <c r="C20" s="304"/>
      <c r="D20" s="305"/>
      <c r="E20" s="306"/>
      <c r="F20" s="304"/>
      <c r="G20" s="305"/>
      <c r="H20" s="307"/>
      <c r="I20" s="308"/>
      <c r="J20" s="309"/>
      <c r="K20" s="307"/>
      <c r="L20" s="304"/>
      <c r="M20" s="309"/>
      <c r="N20" s="307"/>
      <c r="O20" s="304"/>
      <c r="P20" s="309"/>
      <c r="Q20" s="307"/>
      <c r="R20" s="302"/>
      <c r="S20" s="303"/>
      <c r="T20" s="280"/>
    </row>
    <row r="21" spans="1:20" ht="13">
      <c r="A21" s="276" t="s">
        <v>75</v>
      </c>
      <c r="B21" s="276">
        <v>465185</v>
      </c>
      <c r="C21" s="304">
        <v>3753.18</v>
      </c>
      <c r="D21" s="305">
        <v>675.6</v>
      </c>
      <c r="E21" s="306">
        <v>208.42</v>
      </c>
      <c r="F21" s="304"/>
      <c r="G21" s="305"/>
      <c r="H21" s="307"/>
      <c r="I21" s="308"/>
      <c r="J21" s="309"/>
      <c r="K21" s="307"/>
      <c r="L21" s="304"/>
      <c r="M21" s="309"/>
      <c r="N21" s="307"/>
      <c r="O21" s="304"/>
      <c r="P21" s="309"/>
      <c r="Q21" s="307"/>
      <c r="R21" s="302"/>
      <c r="S21" s="303"/>
      <c r="T21" s="280"/>
    </row>
    <row r="22" spans="1:20" ht="13">
      <c r="A22" s="276" t="s">
        <v>859</v>
      </c>
      <c r="B22" s="276">
        <v>465186</v>
      </c>
      <c r="C22" s="304"/>
      <c r="D22" s="305"/>
      <c r="E22" s="306"/>
      <c r="F22" s="304"/>
      <c r="G22" s="305"/>
      <c r="H22" s="307"/>
      <c r="I22" s="308"/>
      <c r="J22" s="309"/>
      <c r="K22" s="307"/>
      <c r="L22" s="304"/>
      <c r="M22" s="309"/>
      <c r="N22" s="307"/>
      <c r="O22" s="304"/>
      <c r="P22" s="309"/>
      <c r="Q22" s="307"/>
      <c r="R22" s="302"/>
      <c r="S22" s="303"/>
      <c r="T22" s="280"/>
    </row>
    <row r="23" spans="1:20" ht="13">
      <c r="A23" s="276" t="s">
        <v>192</v>
      </c>
      <c r="B23" s="276">
        <v>465187</v>
      </c>
      <c r="C23" s="304">
        <f>2647.5-42.5</f>
        <v>2605</v>
      </c>
      <c r="D23" s="305">
        <v>461.94</v>
      </c>
      <c r="E23" s="306">
        <v>45.03</v>
      </c>
      <c r="F23" s="310"/>
      <c r="G23" s="311"/>
      <c r="H23" s="312"/>
      <c r="I23" s="308"/>
      <c r="J23" s="309"/>
      <c r="K23" s="307"/>
      <c r="L23" s="304"/>
      <c r="M23" s="309"/>
      <c r="N23" s="307"/>
      <c r="O23" s="304"/>
      <c r="P23" s="309"/>
      <c r="Q23" s="307"/>
      <c r="R23" s="302"/>
      <c r="S23" s="303"/>
      <c r="T23" s="280"/>
    </row>
    <row r="24" spans="1:20" ht="13">
      <c r="A24" s="281" t="s">
        <v>14</v>
      </c>
      <c r="B24" s="276">
        <v>465188</v>
      </c>
      <c r="C24" s="304">
        <v>471.34</v>
      </c>
      <c r="D24" s="305">
        <v>87.87</v>
      </c>
      <c r="E24" s="306">
        <v>28.12</v>
      </c>
      <c r="F24" s="304"/>
      <c r="G24" s="305"/>
      <c r="H24" s="307"/>
      <c r="I24" s="308"/>
      <c r="J24" s="309"/>
      <c r="K24" s="307"/>
      <c r="L24" s="304"/>
      <c r="M24" s="309"/>
      <c r="N24" s="307"/>
      <c r="O24" s="304"/>
      <c r="P24" s="309"/>
      <c r="Q24" s="307"/>
      <c r="R24" s="302"/>
      <c r="S24" s="303"/>
      <c r="T24" s="280"/>
    </row>
    <row r="25" spans="1:20" ht="13">
      <c r="A25" s="313"/>
      <c r="B25" s="313">
        <v>465189</v>
      </c>
      <c r="C25" s="310"/>
      <c r="D25" s="311"/>
      <c r="E25" s="314"/>
      <c r="F25" s="315"/>
      <c r="G25" s="316"/>
      <c r="H25" s="317"/>
      <c r="I25" s="318"/>
      <c r="J25" s="319"/>
      <c r="K25" s="312"/>
      <c r="L25" s="315"/>
      <c r="M25" s="320"/>
      <c r="N25" s="317"/>
      <c r="O25" s="315"/>
      <c r="P25" s="320"/>
      <c r="Q25" s="317"/>
      <c r="R25" s="302"/>
      <c r="S25" s="303"/>
      <c r="T25" s="280"/>
    </row>
    <row r="26" spans="1:20" ht="13">
      <c r="A26" s="469" t="s">
        <v>860</v>
      </c>
      <c r="B26" s="464"/>
      <c r="C26" s="321" t="s">
        <v>676</v>
      </c>
      <c r="D26" s="322" t="s">
        <v>861</v>
      </c>
      <c r="E26" s="323" t="s">
        <v>862</v>
      </c>
      <c r="F26" s="324" t="s">
        <v>676</v>
      </c>
      <c r="G26" s="325" t="s">
        <v>861</v>
      </c>
      <c r="H26" s="325" t="s">
        <v>862</v>
      </c>
      <c r="I26" s="321" t="s">
        <v>676</v>
      </c>
      <c r="J26" s="322" t="s">
        <v>861</v>
      </c>
      <c r="K26" s="323" t="s">
        <v>862</v>
      </c>
      <c r="L26" s="321" t="s">
        <v>676</v>
      </c>
      <c r="M26" s="322" t="s">
        <v>861</v>
      </c>
      <c r="N26" s="323" t="s">
        <v>862</v>
      </c>
      <c r="O26" s="321" t="s">
        <v>676</v>
      </c>
      <c r="P26" s="322" t="s">
        <v>861</v>
      </c>
      <c r="Q26" s="323" t="s">
        <v>862</v>
      </c>
      <c r="R26" s="280"/>
      <c r="S26" s="280"/>
      <c r="T26" s="280"/>
    </row>
    <row r="27" spans="1:20" ht="13">
      <c r="A27" s="470" t="s">
        <v>863</v>
      </c>
      <c r="B27" s="471"/>
      <c r="C27" s="326">
        <f t="shared" ref="C27:E27" si="0">SUM(C6:C25)+SUM(F6:F25)+SUM(I6:I25)+SUM(L6:L25)+SUM(O6:O25)</f>
        <v>31249.759999999998</v>
      </c>
      <c r="D27" s="327">
        <f t="shared" si="0"/>
        <v>5643.9360000000006</v>
      </c>
      <c r="E27" s="328">
        <f t="shared" si="0"/>
        <v>872.88</v>
      </c>
      <c r="F27" s="329"/>
      <c r="G27" s="329"/>
      <c r="H27" s="329"/>
      <c r="I27" s="329"/>
      <c r="J27" s="329"/>
      <c r="K27" s="329"/>
      <c r="L27" s="329"/>
      <c r="M27" s="329"/>
      <c r="N27" s="329"/>
      <c r="O27" s="329"/>
      <c r="P27" s="329"/>
      <c r="Q27" s="329"/>
      <c r="R27" s="280"/>
      <c r="S27" s="280"/>
      <c r="T27" s="280"/>
    </row>
    <row r="28" spans="1:20" ht="13">
      <c r="A28" s="329"/>
      <c r="B28" s="329"/>
      <c r="C28" s="329"/>
      <c r="D28" s="329"/>
      <c r="E28" s="329"/>
      <c r="F28" s="329"/>
      <c r="G28" s="329"/>
      <c r="H28" s="329"/>
      <c r="I28" s="329"/>
      <c r="J28" s="329"/>
      <c r="K28" s="329"/>
      <c r="L28" s="329"/>
      <c r="M28" s="329"/>
      <c r="N28" s="329"/>
      <c r="O28" s="329"/>
      <c r="P28" s="329"/>
      <c r="Q28" s="329"/>
      <c r="R28" s="280"/>
      <c r="S28" s="280"/>
      <c r="T28" s="280"/>
    </row>
    <row r="29" spans="1:20" ht="13">
      <c r="A29" s="286" t="s">
        <v>864</v>
      </c>
      <c r="B29" s="330"/>
      <c r="C29" s="330"/>
      <c r="D29" s="330"/>
      <c r="E29" s="330"/>
      <c r="F29" s="330"/>
      <c r="G29" s="330"/>
      <c r="H29" s="330"/>
      <c r="I29" s="330"/>
      <c r="J29" s="330"/>
      <c r="K29" s="330"/>
      <c r="L29" s="330"/>
      <c r="M29" s="330"/>
      <c r="N29" s="330"/>
      <c r="O29" s="330"/>
      <c r="P29" s="330"/>
      <c r="Q29" s="330"/>
      <c r="R29" s="291"/>
      <c r="S29" s="280"/>
      <c r="T29" s="280"/>
    </row>
    <row r="30" spans="1:20" ht="13">
      <c r="A30" s="287" t="s">
        <v>849</v>
      </c>
      <c r="B30" s="287" t="s">
        <v>1</v>
      </c>
      <c r="C30" s="462" t="s">
        <v>850</v>
      </c>
      <c r="D30" s="463"/>
      <c r="E30" s="464"/>
      <c r="F30" s="465" t="s">
        <v>851</v>
      </c>
      <c r="G30" s="466"/>
      <c r="H30" s="467"/>
      <c r="I30" s="468" t="s">
        <v>852</v>
      </c>
      <c r="J30" s="463"/>
      <c r="K30" s="464"/>
      <c r="L30" s="468" t="s">
        <v>852</v>
      </c>
      <c r="M30" s="463"/>
      <c r="N30" s="464"/>
      <c r="O30" s="290" t="s">
        <v>865</v>
      </c>
      <c r="P30" s="288"/>
      <c r="Q30" s="288"/>
      <c r="R30" s="291"/>
      <c r="S30" s="280"/>
      <c r="T30" s="280"/>
    </row>
    <row r="31" spans="1:20" ht="13">
      <c r="A31" s="292"/>
      <c r="B31" s="293">
        <v>352368</v>
      </c>
      <c r="C31" s="294"/>
      <c r="D31" s="295"/>
      <c r="E31" s="296"/>
      <c r="F31" s="294"/>
      <c r="G31" s="295"/>
      <c r="H31" s="297"/>
      <c r="I31" s="298"/>
      <c r="J31" s="299"/>
      <c r="K31" s="300"/>
      <c r="L31" s="294"/>
      <c r="M31" s="301"/>
      <c r="N31" s="297"/>
      <c r="O31" s="331" t="s">
        <v>586</v>
      </c>
      <c r="P31" s="301">
        <v>0</v>
      </c>
      <c r="Q31" s="332"/>
      <c r="R31" s="291"/>
      <c r="S31" s="280"/>
      <c r="T31" s="280"/>
    </row>
    <row r="32" spans="1:20" ht="13">
      <c r="A32" s="276" t="s">
        <v>82</v>
      </c>
      <c r="B32" s="276">
        <v>352371</v>
      </c>
      <c r="C32" s="304">
        <v>2336.2199999999998</v>
      </c>
      <c r="D32" s="305">
        <v>500.64</v>
      </c>
      <c r="E32" s="306">
        <v>380.99</v>
      </c>
      <c r="F32" s="304"/>
      <c r="G32" s="305"/>
      <c r="H32" s="307"/>
      <c r="I32" s="308"/>
      <c r="J32" s="309"/>
      <c r="K32" s="307"/>
      <c r="L32" s="304"/>
      <c r="M32" s="309"/>
      <c r="N32" s="307"/>
      <c r="O32" s="333" t="s">
        <v>866</v>
      </c>
      <c r="P32" s="305">
        <v>500.64</v>
      </c>
      <c r="Q32" s="334">
        <f>O32/P32</f>
        <v>4.4463087248322148</v>
      </c>
      <c r="R32" s="291"/>
      <c r="S32" s="280"/>
      <c r="T32" s="280"/>
    </row>
    <row r="33" spans="1:20" ht="13">
      <c r="A33" s="276"/>
      <c r="B33" s="276">
        <v>352372</v>
      </c>
      <c r="C33" s="304"/>
      <c r="D33" s="305"/>
      <c r="E33" s="306"/>
      <c r="F33" s="304"/>
      <c r="G33" s="305"/>
      <c r="H33" s="307"/>
      <c r="I33" s="308"/>
      <c r="J33" s="309"/>
      <c r="K33" s="307"/>
      <c r="L33" s="304"/>
      <c r="M33" s="309"/>
      <c r="N33" s="307"/>
      <c r="O33" s="333" t="s">
        <v>586</v>
      </c>
      <c r="P33" s="309">
        <v>0</v>
      </c>
      <c r="Q33" s="334"/>
      <c r="R33" s="291"/>
      <c r="S33" s="280"/>
      <c r="T33" s="280"/>
    </row>
    <row r="34" spans="1:20" ht="13">
      <c r="A34" s="276"/>
      <c r="B34" s="276">
        <v>352373</v>
      </c>
      <c r="C34" s="304"/>
      <c r="D34" s="305"/>
      <c r="E34" s="306"/>
      <c r="F34" s="304"/>
      <c r="G34" s="305"/>
      <c r="H34" s="307"/>
      <c r="I34" s="308"/>
      <c r="J34" s="309"/>
      <c r="K34" s="307"/>
      <c r="L34" s="304"/>
      <c r="M34" s="309"/>
      <c r="N34" s="307"/>
      <c r="O34" s="333" t="s">
        <v>586</v>
      </c>
      <c r="P34" s="309">
        <v>0</v>
      </c>
      <c r="Q34" s="334"/>
      <c r="R34" s="291"/>
      <c r="S34" s="280"/>
      <c r="T34" s="280"/>
    </row>
    <row r="35" spans="1:20" ht="13">
      <c r="A35" s="276" t="s">
        <v>854</v>
      </c>
      <c r="B35" s="276">
        <v>352374</v>
      </c>
      <c r="C35" s="304">
        <v>1596.27</v>
      </c>
      <c r="D35" s="305">
        <v>298.70999999999998</v>
      </c>
      <c r="E35" s="306">
        <v>55.34</v>
      </c>
      <c r="F35" s="304">
        <v>726.63</v>
      </c>
      <c r="G35" s="305">
        <v>125.91</v>
      </c>
      <c r="H35" s="307">
        <v>0</v>
      </c>
      <c r="I35" s="308"/>
      <c r="J35" s="309"/>
      <c r="K35" s="307"/>
      <c r="L35" s="304"/>
      <c r="M35" s="309"/>
      <c r="N35" s="307"/>
      <c r="O35" s="333" t="s">
        <v>867</v>
      </c>
      <c r="P35" s="309">
        <v>424.62</v>
      </c>
      <c r="Q35" s="334">
        <f t="shared" ref="Q35:Q44" si="1">O35/P35</f>
        <v>5.2329141349912867</v>
      </c>
      <c r="R35" s="291"/>
      <c r="S35" s="280"/>
      <c r="T35" s="280"/>
    </row>
    <row r="36" spans="1:20" ht="13">
      <c r="A36" s="276" t="s">
        <v>855</v>
      </c>
      <c r="B36" s="276">
        <v>352375</v>
      </c>
      <c r="C36" s="304"/>
      <c r="D36" s="305"/>
      <c r="E36" s="306"/>
      <c r="F36" s="304">
        <v>1384.63</v>
      </c>
      <c r="G36" s="305">
        <v>248</v>
      </c>
      <c r="H36" s="307">
        <v>0</v>
      </c>
      <c r="I36" s="308"/>
      <c r="J36" s="309"/>
      <c r="K36" s="307"/>
      <c r="L36" s="304"/>
      <c r="M36" s="309"/>
      <c r="N36" s="307"/>
      <c r="O36" s="333" t="s">
        <v>868</v>
      </c>
      <c r="P36" s="305">
        <v>248</v>
      </c>
      <c r="Q36" s="334">
        <f t="shared" si="1"/>
        <v>4.104838709677419</v>
      </c>
      <c r="R36" s="291"/>
      <c r="S36" s="280"/>
      <c r="T36" s="280"/>
    </row>
    <row r="37" spans="1:20" ht="13">
      <c r="A37" s="276" t="s">
        <v>62</v>
      </c>
      <c r="B37" s="276">
        <v>352376</v>
      </c>
      <c r="C37" s="304"/>
      <c r="D37" s="305"/>
      <c r="E37" s="306"/>
      <c r="F37" s="304">
        <v>1511</v>
      </c>
      <c r="G37" s="305">
        <v>276.76</v>
      </c>
      <c r="H37" s="307">
        <v>0</v>
      </c>
      <c r="I37" s="308"/>
      <c r="J37" s="309"/>
      <c r="K37" s="307"/>
      <c r="L37" s="304"/>
      <c r="M37" s="309"/>
      <c r="N37" s="307"/>
      <c r="O37" s="333" t="s">
        <v>869</v>
      </c>
      <c r="P37" s="305">
        <v>276.76</v>
      </c>
      <c r="Q37" s="334">
        <f t="shared" si="1"/>
        <v>8.4224598930481278</v>
      </c>
      <c r="R37" s="291"/>
      <c r="S37" s="280"/>
      <c r="T37" s="280"/>
    </row>
    <row r="38" spans="1:20" ht="13">
      <c r="A38" s="276" t="s">
        <v>54</v>
      </c>
      <c r="B38" s="276">
        <v>352377</v>
      </c>
      <c r="C38" s="304">
        <v>2023.56</v>
      </c>
      <c r="D38" s="305">
        <v>394.89</v>
      </c>
      <c r="E38" s="306">
        <v>148.13</v>
      </c>
      <c r="F38" s="304"/>
      <c r="G38" s="305"/>
      <c r="H38" s="307"/>
      <c r="I38" s="308"/>
      <c r="J38" s="309"/>
      <c r="K38" s="307"/>
      <c r="L38" s="304"/>
      <c r="M38" s="309"/>
      <c r="N38" s="307"/>
      <c r="O38" s="333" t="s">
        <v>870</v>
      </c>
      <c r="P38" s="305">
        <v>394.89</v>
      </c>
      <c r="Q38" s="334">
        <f t="shared" si="1"/>
        <v>5.2748866773025398</v>
      </c>
      <c r="R38" s="291"/>
      <c r="S38" s="280"/>
      <c r="T38" s="280"/>
    </row>
    <row r="39" spans="1:20" ht="13">
      <c r="A39" s="281" t="s">
        <v>856</v>
      </c>
      <c r="B39" s="276">
        <v>359885</v>
      </c>
      <c r="C39" s="304">
        <v>2094.59</v>
      </c>
      <c r="D39" s="305">
        <v>411.74</v>
      </c>
      <c r="E39" s="306">
        <v>70.17</v>
      </c>
      <c r="F39" s="304"/>
      <c r="G39" s="305"/>
      <c r="H39" s="307"/>
      <c r="I39" s="308"/>
      <c r="J39" s="309"/>
      <c r="K39" s="307"/>
      <c r="L39" s="304"/>
      <c r="M39" s="309"/>
      <c r="N39" s="307"/>
      <c r="O39" s="333" t="s">
        <v>871</v>
      </c>
      <c r="P39" s="305">
        <v>411.74</v>
      </c>
      <c r="Q39" s="334">
        <f t="shared" si="1"/>
        <v>7.9321902171273129</v>
      </c>
      <c r="R39" s="291"/>
      <c r="S39" s="280"/>
      <c r="T39" s="280"/>
    </row>
    <row r="40" spans="1:20" ht="13">
      <c r="A40" s="276" t="s">
        <v>857</v>
      </c>
      <c r="B40" s="276">
        <v>359886</v>
      </c>
      <c r="C40" s="304">
        <v>1744.41</v>
      </c>
      <c r="D40" s="305">
        <v>328.82</v>
      </c>
      <c r="E40" s="306">
        <v>49.67</v>
      </c>
      <c r="F40" s="304"/>
      <c r="G40" s="305"/>
      <c r="H40" s="307"/>
      <c r="I40" s="308"/>
      <c r="J40" s="309"/>
      <c r="K40" s="307"/>
      <c r="L40" s="304"/>
      <c r="M40" s="309"/>
      <c r="N40" s="307"/>
      <c r="O40" s="333" t="s">
        <v>872</v>
      </c>
      <c r="P40" s="305">
        <v>328.82</v>
      </c>
      <c r="Q40" s="334">
        <f t="shared" si="1"/>
        <v>7.0676966121282163</v>
      </c>
      <c r="R40" s="291"/>
      <c r="S40" s="280"/>
      <c r="T40" s="280"/>
    </row>
    <row r="41" spans="1:20" ht="13">
      <c r="A41" s="276" t="s">
        <v>319</v>
      </c>
      <c r="B41" s="276">
        <v>465180</v>
      </c>
      <c r="C41" s="304">
        <v>2460.29</v>
      </c>
      <c r="D41" s="305">
        <v>470.45</v>
      </c>
      <c r="E41" s="306">
        <v>144.81</v>
      </c>
      <c r="F41" s="304"/>
      <c r="G41" s="305"/>
      <c r="H41" s="307"/>
      <c r="I41" s="308"/>
      <c r="J41" s="309"/>
      <c r="K41" s="307"/>
      <c r="L41" s="304"/>
      <c r="M41" s="309"/>
      <c r="N41" s="307"/>
      <c r="O41" s="333" t="s">
        <v>873</v>
      </c>
      <c r="P41" s="305">
        <v>470.45</v>
      </c>
      <c r="Q41" s="334">
        <f t="shared" si="1"/>
        <v>5.7221808906366247</v>
      </c>
      <c r="R41" s="291"/>
      <c r="S41" s="280"/>
      <c r="T41" s="280"/>
    </row>
    <row r="42" spans="1:20" ht="13">
      <c r="A42" s="276" t="s">
        <v>858</v>
      </c>
      <c r="B42" s="276">
        <v>465181</v>
      </c>
      <c r="C42" s="304">
        <v>2842.74</v>
      </c>
      <c r="D42" s="305">
        <v>514.02</v>
      </c>
      <c r="E42" s="306">
        <v>91.89</v>
      </c>
      <c r="F42" s="304"/>
      <c r="G42" s="305"/>
      <c r="H42" s="307"/>
      <c r="I42" s="308"/>
      <c r="J42" s="309"/>
      <c r="K42" s="307"/>
      <c r="L42" s="304"/>
      <c r="M42" s="309"/>
      <c r="N42" s="307"/>
      <c r="O42" s="333" t="s">
        <v>874</v>
      </c>
      <c r="P42" s="305">
        <v>514.02</v>
      </c>
      <c r="Q42" s="334">
        <f t="shared" si="1"/>
        <v>5.4861678533909188</v>
      </c>
      <c r="R42" s="291"/>
      <c r="S42" s="280"/>
      <c r="T42" s="280"/>
    </row>
    <row r="43" spans="1:20" ht="13">
      <c r="A43" s="276" t="s">
        <v>191</v>
      </c>
      <c r="B43" s="276">
        <v>465182</v>
      </c>
      <c r="C43" s="304">
        <v>4084.61</v>
      </c>
      <c r="D43" s="305">
        <v>720.32</v>
      </c>
      <c r="E43" s="306">
        <v>86.65</v>
      </c>
      <c r="F43" s="304"/>
      <c r="G43" s="305"/>
      <c r="H43" s="307"/>
      <c r="I43" s="308"/>
      <c r="J43" s="309"/>
      <c r="K43" s="307"/>
      <c r="L43" s="304"/>
      <c r="M43" s="309"/>
      <c r="N43" s="307"/>
      <c r="O43" s="333" t="s">
        <v>875</v>
      </c>
      <c r="P43" s="305">
        <v>720.32</v>
      </c>
      <c r="Q43" s="334">
        <f t="shared" si="1"/>
        <v>4.5146601510439801</v>
      </c>
      <c r="R43" s="291"/>
      <c r="S43" s="280"/>
      <c r="T43" s="280"/>
    </row>
    <row r="44" spans="1:20" ht="13">
      <c r="A44" s="276" t="s">
        <v>88</v>
      </c>
      <c r="B44" s="276">
        <v>465183</v>
      </c>
      <c r="C44" s="304">
        <v>3198.6</v>
      </c>
      <c r="D44" s="305">
        <v>646.27</v>
      </c>
      <c r="E44" s="306">
        <v>331.68</v>
      </c>
      <c r="F44" s="304"/>
      <c r="G44" s="305"/>
      <c r="H44" s="307"/>
      <c r="I44" s="308"/>
      <c r="J44" s="309"/>
      <c r="K44" s="307"/>
      <c r="L44" s="304"/>
      <c r="M44" s="309"/>
      <c r="N44" s="307"/>
      <c r="O44" s="333" t="s">
        <v>876</v>
      </c>
      <c r="P44" s="305">
        <v>646.27</v>
      </c>
      <c r="Q44" s="334">
        <f t="shared" si="1"/>
        <v>5.9526204218051282</v>
      </c>
      <c r="R44" s="291"/>
      <c r="S44" s="280"/>
      <c r="T44" s="280"/>
    </row>
    <row r="45" spans="1:20" ht="13">
      <c r="A45" s="281" t="s">
        <v>40</v>
      </c>
      <c r="B45" s="276">
        <v>465184</v>
      </c>
      <c r="C45" s="304"/>
      <c r="D45" s="305"/>
      <c r="E45" s="306"/>
      <c r="F45" s="304"/>
      <c r="G45" s="305"/>
      <c r="H45" s="307"/>
      <c r="I45" s="308"/>
      <c r="J45" s="309"/>
      <c r="K45" s="307"/>
      <c r="L45" s="304"/>
      <c r="M45" s="309"/>
      <c r="N45" s="307"/>
      <c r="O45" s="333" t="s">
        <v>586</v>
      </c>
      <c r="P45" s="309">
        <v>0</v>
      </c>
      <c r="Q45" s="334"/>
      <c r="R45" s="291"/>
      <c r="S45" s="280"/>
      <c r="T45" s="280"/>
    </row>
    <row r="46" spans="1:20" ht="13">
      <c r="A46" s="276" t="s">
        <v>75</v>
      </c>
      <c r="B46" s="276">
        <v>465185</v>
      </c>
      <c r="C46" s="304">
        <v>1872.47</v>
      </c>
      <c r="D46" s="305">
        <v>343.98</v>
      </c>
      <c r="E46" s="306">
        <v>106.31</v>
      </c>
      <c r="F46" s="304"/>
      <c r="G46" s="305"/>
      <c r="H46" s="307"/>
      <c r="I46" s="308"/>
      <c r="J46" s="309"/>
      <c r="K46" s="307"/>
      <c r="L46" s="304"/>
      <c r="M46" s="309"/>
      <c r="N46" s="307"/>
      <c r="O46" s="333" t="s">
        <v>877</v>
      </c>
      <c r="P46" s="305">
        <v>343.98</v>
      </c>
      <c r="Q46" s="334">
        <f t="shared" ref="Q46:Q49" si="2">O46/P46</f>
        <v>8.2766439909297045</v>
      </c>
      <c r="R46" s="291"/>
      <c r="S46" s="280"/>
      <c r="T46" s="280"/>
    </row>
    <row r="47" spans="1:20" ht="13">
      <c r="A47" s="276" t="s">
        <v>859</v>
      </c>
      <c r="B47" s="276">
        <v>465186</v>
      </c>
      <c r="C47" s="304">
        <v>3309.55</v>
      </c>
      <c r="D47" s="305">
        <v>631.09</v>
      </c>
      <c r="E47" s="306">
        <v>89.32</v>
      </c>
      <c r="F47" s="304"/>
      <c r="G47" s="305"/>
      <c r="H47" s="307"/>
      <c r="I47" s="308"/>
      <c r="J47" s="309"/>
      <c r="K47" s="307"/>
      <c r="L47" s="304"/>
      <c r="M47" s="309"/>
      <c r="N47" s="307"/>
      <c r="O47" s="333" t="s">
        <v>878</v>
      </c>
      <c r="P47" s="305">
        <v>631.09</v>
      </c>
      <c r="Q47" s="334">
        <f t="shared" si="2"/>
        <v>5.8200890522746356</v>
      </c>
      <c r="R47" s="291"/>
      <c r="S47" s="280"/>
      <c r="T47" s="280"/>
    </row>
    <row r="48" spans="1:20" ht="13">
      <c r="A48" s="276" t="s">
        <v>192</v>
      </c>
      <c r="B48" s="276">
        <v>465187</v>
      </c>
      <c r="C48" s="304">
        <v>2163.4699999999998</v>
      </c>
      <c r="D48" s="305">
        <v>408.33</v>
      </c>
      <c r="E48" s="306">
        <v>38.61</v>
      </c>
      <c r="F48" s="310"/>
      <c r="G48" s="311"/>
      <c r="H48" s="312"/>
      <c r="I48" s="308"/>
      <c r="J48" s="309"/>
      <c r="K48" s="307"/>
      <c r="L48" s="304"/>
      <c r="M48" s="309"/>
      <c r="N48" s="307"/>
      <c r="O48" s="333" t="s">
        <v>879</v>
      </c>
      <c r="P48" s="305">
        <v>408.33</v>
      </c>
      <c r="Q48" s="334">
        <f t="shared" si="2"/>
        <v>8.0302696348541627</v>
      </c>
      <c r="R48" s="291"/>
      <c r="S48" s="280"/>
      <c r="T48" s="280"/>
    </row>
    <row r="49" spans="1:20" ht="13">
      <c r="A49" s="281" t="s">
        <v>14</v>
      </c>
      <c r="B49" s="276">
        <v>465188</v>
      </c>
      <c r="C49" s="304">
        <v>1504.25</v>
      </c>
      <c r="D49" s="305">
        <v>305.10000000000002</v>
      </c>
      <c r="E49" s="306">
        <v>94.48</v>
      </c>
      <c r="F49" s="304"/>
      <c r="G49" s="305"/>
      <c r="H49" s="307"/>
      <c r="I49" s="308"/>
      <c r="J49" s="309"/>
      <c r="K49" s="307"/>
      <c r="L49" s="304"/>
      <c r="M49" s="309"/>
      <c r="N49" s="307"/>
      <c r="O49" s="333" t="s">
        <v>880</v>
      </c>
      <c r="P49" s="305">
        <v>305.10000000000002</v>
      </c>
      <c r="Q49" s="334">
        <f t="shared" si="2"/>
        <v>5.8144870534251059</v>
      </c>
      <c r="R49" s="291"/>
      <c r="S49" s="280"/>
      <c r="T49" s="280"/>
    </row>
    <row r="50" spans="1:20" ht="13">
      <c r="A50" s="313"/>
      <c r="B50" s="313">
        <v>465189</v>
      </c>
      <c r="C50" s="310"/>
      <c r="D50" s="311"/>
      <c r="E50" s="314"/>
      <c r="F50" s="315"/>
      <c r="G50" s="316"/>
      <c r="H50" s="317"/>
      <c r="I50" s="318"/>
      <c r="J50" s="319"/>
      <c r="K50" s="312"/>
      <c r="L50" s="315"/>
      <c r="M50" s="320"/>
      <c r="N50" s="317"/>
      <c r="O50" s="335" t="s">
        <v>586</v>
      </c>
      <c r="P50" s="320">
        <v>0</v>
      </c>
      <c r="Q50" s="334"/>
      <c r="R50" s="291"/>
      <c r="S50" s="280"/>
      <c r="T50" s="280"/>
    </row>
    <row r="51" spans="1:20" ht="13">
      <c r="A51" s="469" t="s">
        <v>860</v>
      </c>
      <c r="B51" s="464"/>
      <c r="C51" s="321" t="s">
        <v>676</v>
      </c>
      <c r="D51" s="322" t="s">
        <v>861</v>
      </c>
      <c r="E51" s="323" t="s">
        <v>862</v>
      </c>
      <c r="F51" s="324" t="s">
        <v>676</v>
      </c>
      <c r="G51" s="325" t="s">
        <v>861</v>
      </c>
      <c r="H51" s="325" t="s">
        <v>862</v>
      </c>
      <c r="I51" s="321" t="s">
        <v>676</v>
      </c>
      <c r="J51" s="322" t="s">
        <v>861</v>
      </c>
      <c r="K51" s="323" t="s">
        <v>862</v>
      </c>
      <c r="L51" s="321" t="s">
        <v>676</v>
      </c>
      <c r="M51" s="322" t="s">
        <v>861</v>
      </c>
      <c r="N51" s="323" t="s">
        <v>862</v>
      </c>
      <c r="O51" s="321" t="s">
        <v>881</v>
      </c>
      <c r="P51" s="322" t="s">
        <v>861</v>
      </c>
      <c r="Q51" s="323" t="s">
        <v>865</v>
      </c>
      <c r="R51" s="280"/>
      <c r="S51" s="280"/>
      <c r="T51" s="280"/>
    </row>
    <row r="52" spans="1:20" ht="13">
      <c r="A52" s="470" t="s">
        <v>863</v>
      </c>
      <c r="B52" s="471"/>
      <c r="C52" s="326">
        <f t="shared" ref="C52:E52" si="3">SUM(C31:C50)+SUM(F31:F50)+SUM(I31:I50)+SUM(L31:L50)</f>
        <v>34853.29</v>
      </c>
      <c r="D52" s="327">
        <f t="shared" si="3"/>
        <v>6625.0300000000007</v>
      </c>
      <c r="E52" s="328">
        <f t="shared" si="3"/>
        <v>1688.0499999999997</v>
      </c>
      <c r="F52" s="329"/>
      <c r="G52" s="329"/>
      <c r="H52" s="329"/>
      <c r="I52" s="329"/>
      <c r="J52" s="329"/>
      <c r="K52" s="329"/>
      <c r="L52" s="329"/>
      <c r="M52" s="329"/>
      <c r="N52" s="329"/>
      <c r="O52" s="329"/>
      <c r="P52" s="329"/>
      <c r="Q52" s="329"/>
      <c r="R52" s="280"/>
      <c r="S52" s="280"/>
      <c r="T52" s="280"/>
    </row>
    <row r="53" spans="1:20" ht="13">
      <c r="A53" s="329"/>
      <c r="B53" s="329"/>
      <c r="C53" s="329"/>
      <c r="D53" s="329"/>
      <c r="E53" s="329"/>
      <c r="F53" s="329"/>
      <c r="G53" s="329"/>
      <c r="H53" s="329"/>
      <c r="I53" s="329"/>
      <c r="J53" s="329"/>
      <c r="K53" s="329"/>
      <c r="L53" s="329"/>
      <c r="M53" s="329"/>
      <c r="N53" s="329"/>
      <c r="O53" s="329"/>
      <c r="P53" s="329"/>
      <c r="Q53" s="329"/>
      <c r="R53" s="280"/>
      <c r="S53" s="280"/>
      <c r="T53" s="280"/>
    </row>
    <row r="54" spans="1:20" ht="13">
      <c r="A54" s="286" t="s">
        <v>882</v>
      </c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30"/>
      <c r="P54" s="330"/>
      <c r="Q54" s="330"/>
      <c r="R54" s="291"/>
      <c r="S54" s="280"/>
      <c r="T54" s="280"/>
    </row>
    <row r="55" spans="1:20" ht="13">
      <c r="A55" s="287" t="s">
        <v>849</v>
      </c>
      <c r="B55" s="287" t="s">
        <v>1</v>
      </c>
      <c r="C55" s="462" t="s">
        <v>850</v>
      </c>
      <c r="D55" s="463"/>
      <c r="E55" s="464"/>
      <c r="F55" s="465" t="s">
        <v>851</v>
      </c>
      <c r="G55" s="466"/>
      <c r="H55" s="467"/>
      <c r="I55" s="468" t="s">
        <v>852</v>
      </c>
      <c r="J55" s="463"/>
      <c r="K55" s="464"/>
      <c r="L55" s="468" t="s">
        <v>852</v>
      </c>
      <c r="M55" s="463"/>
      <c r="N55" s="464"/>
      <c r="O55" s="290" t="s">
        <v>865</v>
      </c>
      <c r="P55" s="288"/>
      <c r="Q55" s="288"/>
      <c r="R55" s="291"/>
      <c r="S55" s="280"/>
      <c r="T55" s="280"/>
    </row>
    <row r="56" spans="1:20" ht="13">
      <c r="A56" s="292"/>
      <c r="B56" s="293">
        <v>352368</v>
      </c>
      <c r="C56" s="294"/>
      <c r="D56" s="295"/>
      <c r="E56" s="296"/>
      <c r="F56" s="294"/>
      <c r="G56" s="295"/>
      <c r="H56" s="297"/>
      <c r="I56" s="298"/>
      <c r="J56" s="299"/>
      <c r="K56" s="300"/>
      <c r="L56" s="294"/>
      <c r="M56" s="301"/>
      <c r="N56" s="297"/>
      <c r="O56" s="331"/>
      <c r="P56" s="301"/>
      <c r="Q56" s="297"/>
      <c r="R56" s="302"/>
      <c r="S56" s="303"/>
      <c r="T56" s="280"/>
    </row>
    <row r="57" spans="1:20" ht="13">
      <c r="A57" s="276" t="s">
        <v>82</v>
      </c>
      <c r="B57" s="276">
        <v>352371</v>
      </c>
      <c r="C57" s="304">
        <v>2685.4</v>
      </c>
      <c r="D57" s="305">
        <v>591.67999999999995</v>
      </c>
      <c r="E57" s="306">
        <v>602.94000000000005</v>
      </c>
      <c r="F57" s="304"/>
      <c r="G57" s="305"/>
      <c r="H57" s="307"/>
      <c r="I57" s="308"/>
      <c r="J57" s="309"/>
      <c r="K57" s="307"/>
      <c r="L57" s="304"/>
      <c r="M57" s="309"/>
      <c r="N57" s="307"/>
      <c r="O57" s="333"/>
      <c r="P57" s="305"/>
      <c r="Q57" s="307"/>
      <c r="R57" s="302"/>
      <c r="S57" s="303"/>
      <c r="T57" s="280"/>
    </row>
    <row r="58" spans="1:20" ht="13">
      <c r="A58" s="276" t="s">
        <v>883</v>
      </c>
      <c r="B58" s="276">
        <v>352372</v>
      </c>
      <c r="C58" s="304">
        <f>1888.56-39</f>
        <v>1849.56</v>
      </c>
      <c r="D58" s="305">
        <v>361.12</v>
      </c>
      <c r="E58" s="306">
        <v>35.130000000000003</v>
      </c>
      <c r="F58" s="304"/>
      <c r="G58" s="305"/>
      <c r="H58" s="307"/>
      <c r="I58" s="308"/>
      <c r="J58" s="309"/>
      <c r="K58" s="307"/>
      <c r="L58" s="304"/>
      <c r="M58" s="309"/>
      <c r="N58" s="307"/>
      <c r="O58" s="333"/>
      <c r="P58" s="305"/>
      <c r="Q58" s="307"/>
      <c r="R58" s="302"/>
      <c r="S58" s="303"/>
      <c r="T58" s="280"/>
    </row>
    <row r="59" spans="1:20" ht="13">
      <c r="A59" s="276"/>
      <c r="B59" s="276">
        <v>352373</v>
      </c>
      <c r="C59" s="304"/>
      <c r="D59" s="305"/>
      <c r="E59" s="306"/>
      <c r="F59" s="304"/>
      <c r="G59" s="305"/>
      <c r="H59" s="307"/>
      <c r="I59" s="308"/>
      <c r="J59" s="309"/>
      <c r="K59" s="307"/>
      <c r="L59" s="304"/>
      <c r="M59" s="309"/>
      <c r="N59" s="307"/>
      <c r="O59" s="333"/>
      <c r="P59" s="309"/>
      <c r="Q59" s="307"/>
      <c r="R59" s="302"/>
      <c r="S59" s="303"/>
      <c r="T59" s="280"/>
    </row>
    <row r="60" spans="1:20" ht="13">
      <c r="A60" s="276" t="s">
        <v>854</v>
      </c>
      <c r="B60" s="276">
        <v>352374</v>
      </c>
      <c r="C60" s="304">
        <v>3122.92</v>
      </c>
      <c r="D60" s="305">
        <v>652.24</v>
      </c>
      <c r="E60" s="306">
        <v>135.47999999999999</v>
      </c>
      <c r="F60" s="304"/>
      <c r="G60" s="305"/>
      <c r="H60" s="307"/>
      <c r="I60" s="308"/>
      <c r="J60" s="309"/>
      <c r="K60" s="307"/>
      <c r="L60" s="304"/>
      <c r="M60" s="309"/>
      <c r="N60" s="307"/>
      <c r="O60" s="333"/>
      <c r="P60" s="305"/>
      <c r="Q60" s="307"/>
      <c r="R60" s="302"/>
      <c r="S60" s="303"/>
      <c r="T60" s="280"/>
    </row>
    <row r="61" spans="1:20" ht="13">
      <c r="A61" s="276" t="s">
        <v>855</v>
      </c>
      <c r="B61" s="276">
        <v>352375</v>
      </c>
      <c r="C61" s="304">
        <v>1927.37</v>
      </c>
      <c r="D61" s="305">
        <v>370.69</v>
      </c>
      <c r="E61" s="306">
        <v>36.369999999999997</v>
      </c>
      <c r="F61" s="304"/>
      <c r="G61" s="305"/>
      <c r="H61" s="307"/>
      <c r="I61" s="308"/>
      <c r="J61" s="309"/>
      <c r="K61" s="307"/>
      <c r="L61" s="304"/>
      <c r="M61" s="309"/>
      <c r="N61" s="307"/>
      <c r="O61" s="333"/>
      <c r="P61" s="305"/>
      <c r="Q61" s="307"/>
      <c r="R61" s="302"/>
      <c r="S61" s="303"/>
      <c r="T61" s="280"/>
    </row>
    <row r="62" spans="1:20" ht="13">
      <c r="A62" s="276" t="s">
        <v>62</v>
      </c>
      <c r="B62" s="276">
        <v>352376</v>
      </c>
      <c r="C62" s="304"/>
      <c r="D62" s="305"/>
      <c r="E62" s="306"/>
      <c r="F62" s="304"/>
      <c r="G62" s="305"/>
      <c r="H62" s="307"/>
      <c r="I62" s="308"/>
      <c r="J62" s="309"/>
      <c r="K62" s="307"/>
      <c r="L62" s="304"/>
      <c r="M62" s="309"/>
      <c r="N62" s="307"/>
      <c r="O62" s="333"/>
      <c r="P62" s="309"/>
      <c r="Q62" s="307"/>
      <c r="R62" s="302"/>
      <c r="S62" s="303"/>
      <c r="T62" s="280"/>
    </row>
    <row r="63" spans="1:20" ht="13">
      <c r="A63" s="276" t="s">
        <v>54</v>
      </c>
      <c r="B63" s="276">
        <v>352377</v>
      </c>
      <c r="C63" s="304">
        <v>1775.94</v>
      </c>
      <c r="D63" s="305">
        <v>347.9</v>
      </c>
      <c r="E63" s="306">
        <v>166.91</v>
      </c>
      <c r="F63" s="304"/>
      <c r="G63" s="305"/>
      <c r="H63" s="307"/>
      <c r="I63" s="308"/>
      <c r="J63" s="309"/>
      <c r="K63" s="307"/>
      <c r="L63" s="304"/>
      <c r="M63" s="309"/>
      <c r="N63" s="307"/>
      <c r="O63" s="333"/>
      <c r="P63" s="305"/>
      <c r="Q63" s="307"/>
      <c r="R63" s="302"/>
      <c r="S63" s="303"/>
      <c r="T63" s="280"/>
    </row>
    <row r="64" spans="1:20" ht="13">
      <c r="A64" s="281" t="s">
        <v>856</v>
      </c>
      <c r="B64" s="276">
        <v>359885</v>
      </c>
      <c r="C64" s="304">
        <f>1949.49+640.5</f>
        <v>2589.9899999999998</v>
      </c>
      <c r="D64" s="305">
        <f>382.16+109.88</f>
        <v>492.04</v>
      </c>
      <c r="E64" s="306">
        <v>35.159999999999997</v>
      </c>
      <c r="F64" s="304"/>
      <c r="G64" s="305"/>
      <c r="H64" s="307"/>
      <c r="I64" s="308"/>
      <c r="J64" s="309"/>
      <c r="K64" s="307"/>
      <c r="L64" s="304"/>
      <c r="M64" s="309"/>
      <c r="N64" s="307"/>
      <c r="O64" s="333"/>
      <c r="P64" s="305"/>
      <c r="Q64" s="307"/>
      <c r="R64" s="302"/>
      <c r="S64" s="303"/>
      <c r="T64" s="280"/>
    </row>
    <row r="65" spans="1:20" ht="13">
      <c r="A65" s="276" t="s">
        <v>857</v>
      </c>
      <c r="B65" s="276">
        <v>359886</v>
      </c>
      <c r="C65" s="304">
        <f>1443.96+583.19</f>
        <v>2027.15</v>
      </c>
      <c r="D65" s="305">
        <f>287.5+121.48</f>
        <v>408.98</v>
      </c>
      <c r="E65" s="306">
        <f>50.65+37.26</f>
        <v>87.91</v>
      </c>
      <c r="F65" s="304"/>
      <c r="G65" s="305"/>
      <c r="H65" s="307"/>
      <c r="I65" s="308"/>
      <c r="J65" s="309"/>
      <c r="K65" s="307"/>
      <c r="L65" s="304"/>
      <c r="M65" s="309"/>
      <c r="N65" s="307"/>
      <c r="O65" s="333"/>
      <c r="P65" s="305"/>
      <c r="Q65" s="307"/>
      <c r="R65" s="302"/>
      <c r="S65" s="303"/>
      <c r="T65" s="280"/>
    </row>
    <row r="66" spans="1:20" ht="13">
      <c r="A66" s="276" t="s">
        <v>319</v>
      </c>
      <c r="B66" s="276">
        <v>465180</v>
      </c>
      <c r="C66" s="304">
        <f>2404.38</f>
        <v>2404.38</v>
      </c>
      <c r="D66" s="305">
        <v>466.61</v>
      </c>
      <c r="E66" s="306">
        <v>118.71</v>
      </c>
      <c r="F66" s="304"/>
      <c r="G66" s="305"/>
      <c r="H66" s="307"/>
      <c r="I66" s="308"/>
      <c r="J66" s="309"/>
      <c r="K66" s="307"/>
      <c r="L66" s="304"/>
      <c r="M66" s="309"/>
      <c r="N66" s="307"/>
      <c r="O66" s="333"/>
      <c r="P66" s="305"/>
      <c r="Q66" s="307"/>
      <c r="R66" s="302"/>
      <c r="S66" s="303"/>
      <c r="T66" s="280"/>
    </row>
    <row r="67" spans="1:20" ht="13">
      <c r="A67" s="276" t="s">
        <v>858</v>
      </c>
      <c r="B67" s="276">
        <v>465181</v>
      </c>
      <c r="C67" s="304">
        <v>2339.71</v>
      </c>
      <c r="D67" s="305">
        <v>436.62</v>
      </c>
      <c r="E67" s="306">
        <v>114.38</v>
      </c>
      <c r="F67" s="304"/>
      <c r="G67" s="305"/>
      <c r="H67" s="307"/>
      <c r="I67" s="308"/>
      <c r="J67" s="309"/>
      <c r="K67" s="307"/>
      <c r="L67" s="304"/>
      <c r="M67" s="309"/>
      <c r="N67" s="307"/>
      <c r="O67" s="333"/>
      <c r="P67" s="305"/>
      <c r="Q67" s="307"/>
      <c r="R67" s="302"/>
      <c r="S67" s="303"/>
      <c r="T67" s="280"/>
    </row>
    <row r="68" spans="1:20" ht="13">
      <c r="A68" s="276" t="s">
        <v>191</v>
      </c>
      <c r="B68" s="276">
        <v>465182</v>
      </c>
      <c r="C68" s="304">
        <v>856.71</v>
      </c>
      <c r="D68" s="305">
        <v>165.92</v>
      </c>
      <c r="E68" s="306">
        <v>50.06</v>
      </c>
      <c r="F68" s="304"/>
      <c r="G68" s="305"/>
      <c r="H68" s="307"/>
      <c r="I68" s="308"/>
      <c r="J68" s="309"/>
      <c r="K68" s="307"/>
      <c r="L68" s="304"/>
      <c r="M68" s="309"/>
      <c r="N68" s="307"/>
      <c r="O68" s="333"/>
      <c r="P68" s="305"/>
      <c r="Q68" s="307"/>
      <c r="R68" s="302"/>
      <c r="S68" s="303"/>
      <c r="T68" s="280"/>
    </row>
    <row r="69" spans="1:20" ht="13">
      <c r="A69" s="276" t="s">
        <v>88</v>
      </c>
      <c r="B69" s="276">
        <v>465183</v>
      </c>
      <c r="C69" s="304">
        <f>2707.2-26</f>
        <v>2681.2</v>
      </c>
      <c r="D69" s="305">
        <v>499.03</v>
      </c>
      <c r="E69" s="306">
        <v>70.42</v>
      </c>
      <c r="F69" s="304"/>
      <c r="G69" s="305"/>
      <c r="H69" s="307"/>
      <c r="I69" s="308"/>
      <c r="J69" s="309"/>
      <c r="K69" s="307"/>
      <c r="L69" s="304"/>
      <c r="M69" s="309"/>
      <c r="N69" s="307"/>
      <c r="O69" s="333"/>
      <c r="P69" s="305"/>
      <c r="Q69" s="307"/>
      <c r="R69" s="302"/>
      <c r="S69" s="303"/>
      <c r="T69" s="280"/>
    </row>
    <row r="70" spans="1:20" ht="13">
      <c r="A70" s="281" t="s">
        <v>40</v>
      </c>
      <c r="B70" s="276">
        <v>465184</v>
      </c>
      <c r="C70" s="304">
        <v>2524.9</v>
      </c>
      <c r="D70" s="305">
        <v>453.34</v>
      </c>
      <c r="E70" s="306">
        <v>33.369999999999997</v>
      </c>
      <c r="F70" s="304"/>
      <c r="G70" s="305"/>
      <c r="H70" s="307"/>
      <c r="I70" s="308"/>
      <c r="J70" s="309"/>
      <c r="K70" s="307"/>
      <c r="L70" s="304"/>
      <c r="M70" s="309"/>
      <c r="N70" s="307"/>
      <c r="O70" s="333"/>
      <c r="P70" s="305"/>
      <c r="Q70" s="307"/>
      <c r="R70" s="302"/>
      <c r="S70" s="303"/>
      <c r="T70" s="280"/>
    </row>
    <row r="71" spans="1:20" ht="13">
      <c r="A71" s="276" t="s">
        <v>75</v>
      </c>
      <c r="B71" s="276">
        <v>465185</v>
      </c>
      <c r="C71" s="304">
        <v>860.02</v>
      </c>
      <c r="D71" s="336">
        <v>175.56</v>
      </c>
      <c r="E71" s="306">
        <v>54.17</v>
      </c>
      <c r="F71" s="304"/>
      <c r="G71" s="305"/>
      <c r="H71" s="307"/>
      <c r="I71" s="308"/>
      <c r="J71" s="309"/>
      <c r="K71" s="307"/>
      <c r="L71" s="304"/>
      <c r="M71" s="309"/>
      <c r="N71" s="307"/>
      <c r="O71" s="333"/>
      <c r="P71" s="305"/>
      <c r="Q71" s="307"/>
      <c r="R71" s="302"/>
      <c r="S71" s="303"/>
      <c r="T71" s="280"/>
    </row>
    <row r="72" spans="1:20" ht="13">
      <c r="A72" s="276" t="s">
        <v>859</v>
      </c>
      <c r="B72" s="276">
        <v>465186</v>
      </c>
      <c r="C72" s="304">
        <f>1785.43-336.85</f>
        <v>1448.58</v>
      </c>
      <c r="D72" s="305">
        <v>336.85</v>
      </c>
      <c r="E72" s="306">
        <v>32.25</v>
      </c>
      <c r="F72" s="304"/>
      <c r="G72" s="305"/>
      <c r="H72" s="307"/>
      <c r="I72" s="308"/>
      <c r="J72" s="309"/>
      <c r="K72" s="307"/>
      <c r="L72" s="304"/>
      <c r="M72" s="309"/>
      <c r="N72" s="307"/>
      <c r="O72" s="333"/>
      <c r="P72" s="305"/>
      <c r="Q72" s="307"/>
      <c r="R72" s="302"/>
      <c r="S72" s="303"/>
      <c r="T72" s="280"/>
    </row>
    <row r="73" spans="1:20" ht="13">
      <c r="A73" s="276" t="s">
        <v>192</v>
      </c>
      <c r="B73" s="276">
        <v>465187</v>
      </c>
      <c r="C73" s="304">
        <v>2421.7399999999998</v>
      </c>
      <c r="D73" s="305">
        <v>336.85</v>
      </c>
      <c r="E73" s="306">
        <v>197.92</v>
      </c>
      <c r="F73" s="310"/>
      <c r="G73" s="311"/>
      <c r="H73" s="312"/>
      <c r="I73" s="308"/>
      <c r="J73" s="309"/>
      <c r="K73" s="307"/>
      <c r="L73" s="304"/>
      <c r="M73" s="309"/>
      <c r="N73" s="307"/>
      <c r="O73" s="333"/>
      <c r="P73" s="305"/>
      <c r="Q73" s="307"/>
      <c r="R73" s="302"/>
      <c r="S73" s="303"/>
      <c r="T73" s="280"/>
    </row>
    <row r="74" spans="1:20" ht="13">
      <c r="A74" s="337" t="s">
        <v>14</v>
      </c>
      <c r="B74" s="276">
        <v>465188</v>
      </c>
      <c r="C74" s="304">
        <v>3226.56</v>
      </c>
      <c r="D74" s="305">
        <v>610.12</v>
      </c>
      <c r="E74" s="306">
        <v>175.18</v>
      </c>
      <c r="F74" s="304"/>
      <c r="G74" s="305"/>
      <c r="H74" s="307"/>
      <c r="I74" s="308"/>
      <c r="J74" s="309"/>
      <c r="K74" s="307"/>
      <c r="L74" s="304"/>
      <c r="M74" s="309"/>
      <c r="N74" s="307"/>
      <c r="O74" s="333"/>
      <c r="P74" s="305"/>
      <c r="Q74" s="307"/>
      <c r="R74" s="302"/>
      <c r="S74" s="303"/>
      <c r="T74" s="280"/>
    </row>
    <row r="75" spans="1:20" ht="13">
      <c r="A75" s="313"/>
      <c r="B75" s="313">
        <v>465189</v>
      </c>
      <c r="C75" s="310"/>
      <c r="D75" s="311"/>
      <c r="E75" s="314"/>
      <c r="F75" s="315"/>
      <c r="G75" s="316"/>
      <c r="H75" s="317"/>
      <c r="I75" s="318"/>
      <c r="J75" s="319"/>
      <c r="K75" s="312"/>
      <c r="L75" s="315"/>
      <c r="M75" s="320"/>
      <c r="N75" s="317"/>
      <c r="O75" s="335"/>
      <c r="P75" s="320"/>
      <c r="Q75" s="338"/>
      <c r="R75" s="302"/>
      <c r="S75" s="303"/>
      <c r="T75" s="280"/>
    </row>
    <row r="76" spans="1:20" ht="13">
      <c r="A76" s="469" t="s">
        <v>860</v>
      </c>
      <c r="B76" s="464"/>
      <c r="C76" s="321" t="s">
        <v>676</v>
      </c>
      <c r="D76" s="322" t="s">
        <v>861</v>
      </c>
      <c r="E76" s="323" t="s">
        <v>862</v>
      </c>
      <c r="F76" s="324" t="s">
        <v>676</v>
      </c>
      <c r="G76" s="325" t="s">
        <v>861</v>
      </c>
      <c r="H76" s="325" t="s">
        <v>862</v>
      </c>
      <c r="I76" s="321" t="s">
        <v>676</v>
      </c>
      <c r="J76" s="322" t="s">
        <v>861</v>
      </c>
      <c r="K76" s="323" t="s">
        <v>862</v>
      </c>
      <c r="L76" s="321" t="s">
        <v>676</v>
      </c>
      <c r="M76" s="322" t="s">
        <v>861</v>
      </c>
      <c r="N76" s="323" t="s">
        <v>862</v>
      </c>
      <c r="O76" s="321" t="s">
        <v>881</v>
      </c>
      <c r="P76" s="322" t="s">
        <v>861</v>
      </c>
      <c r="Q76" s="323" t="s">
        <v>865</v>
      </c>
      <c r="R76" s="280"/>
      <c r="S76" s="280"/>
      <c r="T76" s="280"/>
    </row>
    <row r="77" spans="1:20" ht="13">
      <c r="A77" s="470" t="s">
        <v>863</v>
      </c>
      <c r="B77" s="471"/>
      <c r="C77" s="326">
        <f t="shared" ref="C77:E77" si="4">SUM(C56:C75)+SUM(F56:F75)+SUM(I56:I75)+SUM(L56:L75)</f>
        <v>34742.129999999997</v>
      </c>
      <c r="D77" s="327">
        <f t="shared" si="4"/>
        <v>6705.5500000000011</v>
      </c>
      <c r="E77" s="328">
        <f t="shared" si="4"/>
        <v>1946.3600000000004</v>
      </c>
      <c r="F77" s="329"/>
      <c r="G77" s="329"/>
      <c r="H77" s="329"/>
      <c r="I77" s="329"/>
      <c r="J77" s="329"/>
      <c r="K77" s="329"/>
      <c r="L77" s="329"/>
      <c r="M77" s="329"/>
      <c r="N77" s="329"/>
      <c r="O77" s="329"/>
      <c r="P77" s="329"/>
      <c r="Q77" s="329"/>
      <c r="R77" s="280"/>
      <c r="S77" s="280"/>
      <c r="T77" s="280"/>
    </row>
    <row r="78" spans="1:20" ht="13">
      <c r="A78" s="329"/>
      <c r="B78" s="329"/>
      <c r="C78" s="329"/>
      <c r="D78" s="329"/>
      <c r="E78" s="329"/>
      <c r="F78" s="329"/>
      <c r="G78" s="329"/>
      <c r="H78" s="329"/>
      <c r="I78" s="329"/>
      <c r="J78" s="329"/>
      <c r="K78" s="329"/>
      <c r="L78" s="329"/>
      <c r="M78" s="329"/>
      <c r="N78" s="329"/>
      <c r="O78" s="329"/>
      <c r="P78" s="329"/>
      <c r="Q78" s="329"/>
      <c r="R78" s="280"/>
      <c r="S78" s="280"/>
      <c r="T78" s="280"/>
    </row>
    <row r="79" spans="1:20" ht="13">
      <c r="A79" s="286" t="s">
        <v>884</v>
      </c>
      <c r="B79" s="330"/>
      <c r="C79" s="330"/>
      <c r="D79" s="330"/>
      <c r="E79" s="330"/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291"/>
      <c r="S79" s="280"/>
      <c r="T79" s="280"/>
    </row>
    <row r="80" spans="1:20" ht="13">
      <c r="A80" s="287" t="s">
        <v>849</v>
      </c>
      <c r="B80" s="287" t="s">
        <v>1</v>
      </c>
      <c r="C80" s="462" t="s">
        <v>850</v>
      </c>
      <c r="D80" s="463"/>
      <c r="E80" s="464"/>
      <c r="F80" s="465" t="s">
        <v>851</v>
      </c>
      <c r="G80" s="466"/>
      <c r="H80" s="467"/>
      <c r="I80" s="468" t="s">
        <v>852</v>
      </c>
      <c r="J80" s="463"/>
      <c r="K80" s="464"/>
      <c r="L80" s="465" t="s">
        <v>852</v>
      </c>
      <c r="M80" s="466"/>
      <c r="N80" s="467"/>
      <c r="O80" s="289" t="s">
        <v>865</v>
      </c>
      <c r="P80" s="339"/>
      <c r="Q80" s="339"/>
      <c r="R80" s="291"/>
      <c r="S80" s="280"/>
      <c r="T80" s="280"/>
    </row>
    <row r="81" spans="1:20" ht="13">
      <c r="A81" s="292"/>
      <c r="B81" s="293">
        <v>352368</v>
      </c>
      <c r="C81" s="294"/>
      <c r="D81" s="295"/>
      <c r="E81" s="296"/>
      <c r="F81" s="294"/>
      <c r="G81" s="295"/>
      <c r="H81" s="297"/>
      <c r="I81" s="294"/>
      <c r="J81" s="301"/>
      <c r="K81" s="297"/>
      <c r="L81" s="294"/>
      <c r="M81" s="301"/>
      <c r="N81" s="297"/>
      <c r="O81" s="331"/>
      <c r="P81" s="301"/>
      <c r="Q81" s="297" t="e">
        <f t="shared" ref="Q81:Q101" si="5">O81/P81</f>
        <v>#DIV/0!</v>
      </c>
      <c r="R81" s="302"/>
      <c r="S81" s="303"/>
      <c r="T81" s="280"/>
    </row>
    <row r="82" spans="1:20" ht="13">
      <c r="A82" s="276" t="s">
        <v>82</v>
      </c>
      <c r="B82" s="276">
        <v>352371</v>
      </c>
      <c r="C82" s="304">
        <v>1491.99</v>
      </c>
      <c r="D82" s="305">
        <v>316.08</v>
      </c>
      <c r="E82" s="306">
        <v>260.77999999999997</v>
      </c>
      <c r="F82" s="304"/>
      <c r="G82" s="305"/>
      <c r="H82" s="307"/>
      <c r="I82" s="304">
        <v>605</v>
      </c>
      <c r="J82" s="309">
        <v>130.136</v>
      </c>
      <c r="K82" s="307"/>
      <c r="L82" s="304"/>
      <c r="M82" s="309"/>
      <c r="N82" s="307"/>
      <c r="O82" s="333" t="s">
        <v>885</v>
      </c>
      <c r="P82" s="305">
        <v>316.08</v>
      </c>
      <c r="Q82" s="307">
        <f t="shared" si="5"/>
        <v>8.0960516324981029</v>
      </c>
      <c r="R82" s="302"/>
      <c r="S82" s="303"/>
      <c r="T82" s="280"/>
    </row>
    <row r="83" spans="1:20" ht="13">
      <c r="A83" s="276" t="s">
        <v>883</v>
      </c>
      <c r="B83" s="276">
        <v>352372</v>
      </c>
      <c r="C83" s="304">
        <v>2845.92</v>
      </c>
      <c r="D83" s="305">
        <v>558</v>
      </c>
      <c r="E83" s="306">
        <v>41.25</v>
      </c>
      <c r="F83" s="304"/>
      <c r="G83" s="305"/>
      <c r="H83" s="307"/>
      <c r="I83" s="304"/>
      <c r="J83" s="309"/>
      <c r="K83" s="307"/>
      <c r="L83" s="304"/>
      <c r="M83" s="309"/>
      <c r="N83" s="307"/>
      <c r="O83" s="333" t="s">
        <v>871</v>
      </c>
      <c r="P83" s="305">
        <v>558</v>
      </c>
      <c r="Q83" s="307">
        <f t="shared" si="5"/>
        <v>5.8530465949820787</v>
      </c>
      <c r="R83" s="302"/>
      <c r="S83" s="303"/>
      <c r="T83" s="280"/>
    </row>
    <row r="84" spans="1:20" ht="13">
      <c r="A84" s="276"/>
      <c r="B84" s="276">
        <v>352373</v>
      </c>
      <c r="C84" s="304"/>
      <c r="D84" s="305"/>
      <c r="E84" s="306"/>
      <c r="F84" s="304"/>
      <c r="G84" s="305"/>
      <c r="H84" s="307"/>
      <c r="I84" s="304"/>
      <c r="J84" s="309"/>
      <c r="K84" s="307"/>
      <c r="L84" s="304"/>
      <c r="M84" s="309"/>
      <c r="N84" s="307"/>
      <c r="O84" s="333"/>
      <c r="P84" s="309"/>
      <c r="Q84" s="307" t="e">
        <f t="shared" si="5"/>
        <v>#DIV/0!</v>
      </c>
      <c r="R84" s="302"/>
      <c r="S84" s="303"/>
      <c r="T84" s="280"/>
    </row>
    <row r="85" spans="1:20" ht="13">
      <c r="A85" s="276" t="s">
        <v>854</v>
      </c>
      <c r="B85" s="276">
        <v>352374</v>
      </c>
      <c r="C85" s="304">
        <v>1584.02</v>
      </c>
      <c r="D85" s="305">
        <v>331.68</v>
      </c>
      <c r="E85" s="306">
        <v>58.1</v>
      </c>
      <c r="F85" s="304"/>
      <c r="G85" s="305"/>
      <c r="H85" s="307"/>
      <c r="I85" s="304"/>
      <c r="J85" s="309"/>
      <c r="K85" s="307"/>
      <c r="L85" s="304"/>
      <c r="M85" s="309"/>
      <c r="N85" s="307"/>
      <c r="O85" s="333" t="s">
        <v>886</v>
      </c>
      <c r="P85" s="305">
        <v>331.68</v>
      </c>
      <c r="Q85" s="307">
        <f t="shared" si="5"/>
        <v>5.8550410033767486</v>
      </c>
      <c r="R85" s="302"/>
      <c r="S85" s="303"/>
      <c r="T85" s="280"/>
    </row>
    <row r="86" spans="1:20" ht="13">
      <c r="A86" s="276" t="s">
        <v>855</v>
      </c>
      <c r="B86" s="276">
        <v>352375</v>
      </c>
      <c r="C86" s="304">
        <v>2596.3000000000002</v>
      </c>
      <c r="D86" s="305">
        <v>524.72</v>
      </c>
      <c r="E86" s="306">
        <v>329.49</v>
      </c>
      <c r="F86" s="304"/>
      <c r="G86" s="305"/>
      <c r="H86" s="307"/>
      <c r="I86" s="304"/>
      <c r="J86" s="309"/>
      <c r="K86" s="307"/>
      <c r="L86" s="304"/>
      <c r="M86" s="309"/>
      <c r="N86" s="307"/>
      <c r="O86" s="333" t="s">
        <v>887</v>
      </c>
      <c r="P86" s="305">
        <v>524.72</v>
      </c>
      <c r="Q86" s="307">
        <f t="shared" si="5"/>
        <v>5.7649794175941453</v>
      </c>
      <c r="R86" s="302"/>
      <c r="S86" s="303"/>
      <c r="T86" s="280"/>
    </row>
    <row r="87" spans="1:20" ht="13">
      <c r="A87" s="276" t="s">
        <v>62</v>
      </c>
      <c r="B87" s="276">
        <v>352376</v>
      </c>
      <c r="C87" s="304">
        <v>2951.94</v>
      </c>
      <c r="D87" s="305">
        <v>606.14</v>
      </c>
      <c r="E87" s="306">
        <v>134.85</v>
      </c>
      <c r="F87" s="304"/>
      <c r="G87" s="305"/>
      <c r="H87" s="307"/>
      <c r="I87" s="304"/>
      <c r="J87" s="309"/>
      <c r="K87" s="307"/>
      <c r="L87" s="304"/>
      <c r="M87" s="309"/>
      <c r="N87" s="307"/>
      <c r="O87" s="333" t="s">
        <v>888</v>
      </c>
      <c r="P87" s="305">
        <v>606.14</v>
      </c>
      <c r="Q87" s="307">
        <f t="shared" si="5"/>
        <v>5.0582373709044115E-3</v>
      </c>
      <c r="R87" s="302"/>
      <c r="S87" s="303"/>
      <c r="T87" s="280"/>
    </row>
    <row r="88" spans="1:20" ht="13">
      <c r="A88" s="276" t="s">
        <v>54</v>
      </c>
      <c r="B88" s="276">
        <v>352377</v>
      </c>
      <c r="C88" s="304">
        <v>1309.17</v>
      </c>
      <c r="D88" s="305">
        <v>294.58</v>
      </c>
      <c r="E88" s="306">
        <v>251.34</v>
      </c>
      <c r="F88" s="304"/>
      <c r="G88" s="305"/>
      <c r="H88" s="307"/>
      <c r="I88" s="304"/>
      <c r="J88" s="309"/>
      <c r="K88" s="307"/>
      <c r="L88" s="304"/>
      <c r="M88" s="309"/>
      <c r="N88" s="307"/>
      <c r="O88" s="333" t="s">
        <v>889</v>
      </c>
      <c r="P88" s="305">
        <v>294.58</v>
      </c>
      <c r="Q88" s="307">
        <f t="shared" si="5"/>
        <v>5.0071287935365607</v>
      </c>
      <c r="R88" s="302"/>
      <c r="S88" s="303"/>
      <c r="T88" s="280"/>
    </row>
    <row r="89" spans="1:20" ht="13">
      <c r="A89" s="281" t="s">
        <v>856</v>
      </c>
      <c r="B89" s="276">
        <v>359885</v>
      </c>
      <c r="C89" s="304">
        <v>1605.32</v>
      </c>
      <c r="D89" s="305">
        <v>336.68</v>
      </c>
      <c r="E89" s="306">
        <v>0</v>
      </c>
      <c r="F89" s="304"/>
      <c r="G89" s="305"/>
      <c r="H89" s="307"/>
      <c r="I89" s="304"/>
      <c r="J89" s="309"/>
      <c r="K89" s="307"/>
      <c r="L89" s="304"/>
      <c r="M89" s="309"/>
      <c r="N89" s="307"/>
      <c r="O89" s="333" t="s">
        <v>890</v>
      </c>
      <c r="P89" s="305">
        <v>336.68</v>
      </c>
      <c r="Q89" s="307">
        <f t="shared" si="5"/>
        <v>5.0522751574195084</v>
      </c>
      <c r="R89" s="302"/>
      <c r="S89" s="303"/>
      <c r="T89" s="280"/>
    </row>
    <row r="90" spans="1:20" ht="13">
      <c r="A90" s="276" t="s">
        <v>857</v>
      </c>
      <c r="B90" s="276">
        <v>359886</v>
      </c>
      <c r="C90" s="304">
        <v>1392.71</v>
      </c>
      <c r="D90" s="305">
        <v>273.2</v>
      </c>
      <c r="E90" s="306">
        <v>71.64</v>
      </c>
      <c r="F90" s="304"/>
      <c r="G90" s="305"/>
      <c r="H90" s="307"/>
      <c r="I90" s="304"/>
      <c r="J90" s="309"/>
      <c r="K90" s="307"/>
      <c r="L90" s="304"/>
      <c r="M90" s="309"/>
      <c r="N90" s="307"/>
      <c r="O90" s="333" t="s">
        <v>891</v>
      </c>
      <c r="P90" s="305">
        <v>273.2</v>
      </c>
      <c r="Q90" s="307">
        <f t="shared" si="5"/>
        <v>7.8367496339677896</v>
      </c>
      <c r="R90" s="302"/>
      <c r="S90" s="303"/>
      <c r="T90" s="280"/>
    </row>
    <row r="91" spans="1:20" ht="13">
      <c r="A91" s="276" t="s">
        <v>319</v>
      </c>
      <c r="B91" s="276">
        <v>465180</v>
      </c>
      <c r="C91" s="304">
        <v>2703.93</v>
      </c>
      <c r="D91" s="305">
        <v>578.59</v>
      </c>
      <c r="E91" s="306">
        <v>177.76</v>
      </c>
      <c r="F91" s="304"/>
      <c r="G91" s="305"/>
      <c r="H91" s="307"/>
      <c r="I91" s="304"/>
      <c r="J91" s="309"/>
      <c r="K91" s="307"/>
      <c r="L91" s="304"/>
      <c r="M91" s="309"/>
      <c r="N91" s="307"/>
      <c r="O91" s="333" t="s">
        <v>892</v>
      </c>
      <c r="P91" s="305">
        <v>578.59</v>
      </c>
      <c r="Q91" s="307">
        <f t="shared" si="5"/>
        <v>5.1124284899497052</v>
      </c>
      <c r="R91" s="302"/>
      <c r="S91" s="303"/>
      <c r="T91" s="280"/>
    </row>
    <row r="92" spans="1:20" ht="13">
      <c r="A92" s="276" t="s">
        <v>858</v>
      </c>
      <c r="B92" s="276">
        <v>465181</v>
      </c>
      <c r="C92" s="304">
        <v>1373.08</v>
      </c>
      <c r="D92" s="305">
        <v>261.23</v>
      </c>
      <c r="E92" s="306">
        <v>24.51</v>
      </c>
      <c r="F92" s="304"/>
      <c r="G92" s="305"/>
      <c r="H92" s="307"/>
      <c r="I92" s="304"/>
      <c r="J92" s="309"/>
      <c r="K92" s="307"/>
      <c r="L92" s="304"/>
      <c r="M92" s="309"/>
      <c r="N92" s="307"/>
      <c r="O92" s="333" t="s">
        <v>893</v>
      </c>
      <c r="P92" s="305">
        <v>261.23</v>
      </c>
      <c r="Q92" s="307">
        <f t="shared" si="5"/>
        <v>4.0003062435401748</v>
      </c>
      <c r="R92" s="302"/>
      <c r="S92" s="303"/>
      <c r="T92" s="280"/>
    </row>
    <row r="93" spans="1:20" ht="13">
      <c r="A93" s="276" t="s">
        <v>191</v>
      </c>
      <c r="B93" s="276">
        <v>465182</v>
      </c>
      <c r="C93" s="304">
        <v>1535.08</v>
      </c>
      <c r="D93" s="305">
        <v>311.61</v>
      </c>
      <c r="E93" s="306">
        <v>30.14</v>
      </c>
      <c r="F93" s="304"/>
      <c r="G93" s="305"/>
      <c r="H93" s="307"/>
      <c r="I93" s="304"/>
      <c r="J93" s="309"/>
      <c r="K93" s="307"/>
      <c r="L93" s="304"/>
      <c r="M93" s="309"/>
      <c r="N93" s="307"/>
      <c r="O93" s="333" t="s">
        <v>894</v>
      </c>
      <c r="P93" s="305">
        <v>311.61</v>
      </c>
      <c r="Q93" s="307">
        <f t="shared" si="5"/>
        <v>8.8122974230608762</v>
      </c>
      <c r="R93" s="302"/>
      <c r="S93" s="303"/>
      <c r="T93" s="280"/>
    </row>
    <row r="94" spans="1:20" ht="13">
      <c r="A94" s="276" t="s">
        <v>88</v>
      </c>
      <c r="B94" s="276">
        <v>465183</v>
      </c>
      <c r="C94" s="304">
        <v>2506.38</v>
      </c>
      <c r="D94" s="305">
        <v>515.45000000000005</v>
      </c>
      <c r="E94" s="306">
        <v>146.41999999999999</v>
      </c>
      <c r="F94" s="304"/>
      <c r="G94" s="305"/>
      <c r="H94" s="307"/>
      <c r="I94" s="304">
        <v>400</v>
      </c>
      <c r="J94" s="309">
        <v>68.271000000000001</v>
      </c>
      <c r="K94" s="307"/>
      <c r="L94" s="304"/>
      <c r="M94" s="309"/>
      <c r="N94" s="307"/>
      <c r="O94" s="333" t="s">
        <v>325</v>
      </c>
      <c r="P94" s="305">
        <v>515.45000000000005</v>
      </c>
      <c r="Q94" s="307">
        <f t="shared" si="5"/>
        <v>6.3575516538946548</v>
      </c>
      <c r="R94" s="302"/>
      <c r="S94" s="303"/>
      <c r="T94" s="280"/>
    </row>
    <row r="95" spans="1:20" ht="13">
      <c r="A95" s="281" t="s">
        <v>40</v>
      </c>
      <c r="B95" s="276">
        <v>465184</v>
      </c>
      <c r="C95" s="304">
        <v>2245.2800000000002</v>
      </c>
      <c r="D95" s="305">
        <v>478.62</v>
      </c>
      <c r="E95" s="306">
        <v>46.08</v>
      </c>
      <c r="F95" s="304"/>
      <c r="G95" s="305"/>
      <c r="H95" s="307"/>
      <c r="I95" s="304"/>
      <c r="J95" s="309"/>
      <c r="K95" s="307"/>
      <c r="L95" s="304"/>
      <c r="M95" s="309"/>
      <c r="N95" s="307"/>
      <c r="O95" s="333" t="s">
        <v>895</v>
      </c>
      <c r="P95" s="305">
        <v>478.62</v>
      </c>
      <c r="Q95" s="307">
        <f t="shared" si="5"/>
        <v>3.656345326146003</v>
      </c>
      <c r="R95" s="302"/>
      <c r="S95" s="303"/>
      <c r="T95" s="280"/>
    </row>
    <row r="96" spans="1:20" ht="13">
      <c r="A96" s="276" t="s">
        <v>75</v>
      </c>
      <c r="B96" s="276">
        <v>465185</v>
      </c>
      <c r="C96" s="304">
        <v>2987.65</v>
      </c>
      <c r="D96" s="336">
        <v>583.44000000000005</v>
      </c>
      <c r="E96" s="306">
        <v>122.63</v>
      </c>
      <c r="F96" s="304"/>
      <c r="G96" s="305"/>
      <c r="H96" s="307"/>
      <c r="I96" s="304">
        <v>400</v>
      </c>
      <c r="J96" s="309"/>
      <c r="K96" s="307"/>
      <c r="L96" s="304"/>
      <c r="M96" s="309"/>
      <c r="N96" s="307"/>
      <c r="O96" s="333" t="s">
        <v>896</v>
      </c>
      <c r="P96" s="336">
        <v>583.44000000000005</v>
      </c>
      <c r="Q96" s="307">
        <f t="shared" si="5"/>
        <v>5.5001371177841758</v>
      </c>
      <c r="R96" s="302"/>
      <c r="S96" s="303"/>
      <c r="T96" s="280"/>
    </row>
    <row r="97" spans="1:20" ht="13">
      <c r="A97" s="276" t="s">
        <v>859</v>
      </c>
      <c r="B97" s="276">
        <v>465186</v>
      </c>
      <c r="C97" s="304">
        <v>2692.84</v>
      </c>
      <c r="D97" s="305">
        <v>485.54</v>
      </c>
      <c r="E97" s="306">
        <v>46.94</v>
      </c>
      <c r="F97" s="304"/>
      <c r="G97" s="305"/>
      <c r="H97" s="307"/>
      <c r="I97" s="304"/>
      <c r="J97" s="309"/>
      <c r="K97" s="307"/>
      <c r="L97" s="304"/>
      <c r="M97" s="309"/>
      <c r="N97" s="307"/>
      <c r="O97" s="333" t="s">
        <v>897</v>
      </c>
      <c r="P97" s="305">
        <v>485.54</v>
      </c>
      <c r="Q97" s="307">
        <f t="shared" si="5"/>
        <v>5.6081888206944841</v>
      </c>
      <c r="R97" s="302"/>
      <c r="S97" s="303"/>
      <c r="T97" s="280"/>
    </row>
    <row r="98" spans="1:20" ht="13">
      <c r="A98" s="276" t="s">
        <v>192</v>
      </c>
      <c r="B98" s="276">
        <v>465187</v>
      </c>
      <c r="C98" s="304">
        <v>1405.79</v>
      </c>
      <c r="D98" s="305">
        <v>282.64</v>
      </c>
      <c r="E98" s="306">
        <v>87.36</v>
      </c>
      <c r="F98" s="304"/>
      <c r="G98" s="305"/>
      <c r="H98" s="307"/>
      <c r="I98" s="304"/>
      <c r="J98" s="309"/>
      <c r="K98" s="307"/>
      <c r="L98" s="304"/>
      <c r="M98" s="309"/>
      <c r="N98" s="307"/>
      <c r="O98" s="333" t="s">
        <v>898</v>
      </c>
      <c r="P98" s="305">
        <v>282.64</v>
      </c>
      <c r="Q98" s="307">
        <f t="shared" si="5"/>
        <v>8.2790829323521091</v>
      </c>
      <c r="R98" s="302"/>
      <c r="S98" s="303"/>
      <c r="T98" s="280"/>
    </row>
    <row r="99" spans="1:20" ht="13">
      <c r="A99" s="337" t="s">
        <v>14</v>
      </c>
      <c r="B99" s="276">
        <v>465188</v>
      </c>
      <c r="C99" s="304">
        <v>2466.29</v>
      </c>
      <c r="D99" s="305">
        <v>503.53</v>
      </c>
      <c r="E99" s="306">
        <v>155.62</v>
      </c>
      <c r="F99" s="304"/>
      <c r="G99" s="305"/>
      <c r="H99" s="307"/>
      <c r="I99" s="304"/>
      <c r="J99" s="309"/>
      <c r="K99" s="307"/>
      <c r="L99" s="304"/>
      <c r="M99" s="309"/>
      <c r="N99" s="307"/>
      <c r="O99" s="333" t="s">
        <v>899</v>
      </c>
      <c r="P99" s="305">
        <v>503.53</v>
      </c>
      <c r="Q99" s="307">
        <f t="shared" si="5"/>
        <v>5.1297837268881699</v>
      </c>
      <c r="R99" s="302"/>
      <c r="S99" s="303"/>
      <c r="T99" s="280"/>
    </row>
    <row r="100" spans="1:20" ht="13">
      <c r="A100" s="313" t="s">
        <v>322</v>
      </c>
      <c r="B100" s="313">
        <v>465189</v>
      </c>
      <c r="C100" s="310">
        <v>2005.82</v>
      </c>
      <c r="D100" s="311">
        <v>424.68</v>
      </c>
      <c r="E100" s="314">
        <v>41.48</v>
      </c>
      <c r="F100" s="304"/>
      <c r="G100" s="305"/>
      <c r="H100" s="307"/>
      <c r="I100" s="310"/>
      <c r="J100" s="319"/>
      <c r="K100" s="312"/>
      <c r="L100" s="304"/>
      <c r="M100" s="309"/>
      <c r="N100" s="307"/>
      <c r="O100" s="333" t="s">
        <v>900</v>
      </c>
      <c r="P100" s="311">
        <v>424.68</v>
      </c>
      <c r="Q100" s="307">
        <f t="shared" si="5"/>
        <v>8.5664500329659976</v>
      </c>
      <c r="R100" s="302"/>
      <c r="S100" s="303"/>
      <c r="T100" s="280"/>
    </row>
    <row r="101" spans="1:20" ht="13">
      <c r="A101" s="340" t="s">
        <v>901</v>
      </c>
      <c r="B101" s="313">
        <v>1650</v>
      </c>
      <c r="C101" s="310">
        <v>1002.56</v>
      </c>
      <c r="D101" s="311">
        <v>196.25</v>
      </c>
      <c r="E101" s="314">
        <v>0</v>
      </c>
      <c r="F101" s="315"/>
      <c r="G101" s="316"/>
      <c r="H101" s="317"/>
      <c r="I101" s="315"/>
      <c r="J101" s="320"/>
      <c r="K101" s="317"/>
      <c r="L101" s="315"/>
      <c r="M101" s="320"/>
      <c r="N101" s="317"/>
      <c r="O101" s="335"/>
      <c r="P101" s="311">
        <v>196.25</v>
      </c>
      <c r="Q101" s="317">
        <f t="shared" si="5"/>
        <v>0</v>
      </c>
      <c r="R101" s="303"/>
      <c r="S101" s="303"/>
      <c r="T101" s="329"/>
    </row>
    <row r="102" spans="1:20" ht="13">
      <c r="A102" s="469" t="s">
        <v>860</v>
      </c>
      <c r="B102" s="464"/>
      <c r="C102" s="321" t="s">
        <v>676</v>
      </c>
      <c r="D102" s="322" t="s">
        <v>861</v>
      </c>
      <c r="E102" s="323" t="s">
        <v>862</v>
      </c>
      <c r="F102" s="321" t="s">
        <v>676</v>
      </c>
      <c r="G102" s="322" t="s">
        <v>861</v>
      </c>
      <c r="H102" s="323" t="s">
        <v>862</v>
      </c>
      <c r="I102" s="321" t="s">
        <v>676</v>
      </c>
      <c r="J102" s="322" t="s">
        <v>861</v>
      </c>
      <c r="K102" s="323" t="s">
        <v>862</v>
      </c>
      <c r="L102" s="321" t="s">
        <v>676</v>
      </c>
      <c r="M102" s="322" t="s">
        <v>861</v>
      </c>
      <c r="N102" s="323" t="s">
        <v>862</v>
      </c>
      <c r="O102" s="321" t="s">
        <v>881</v>
      </c>
      <c r="P102" s="322" t="s">
        <v>861</v>
      </c>
      <c r="Q102" s="323" t="s">
        <v>865</v>
      </c>
      <c r="R102" s="280"/>
      <c r="S102" s="280"/>
      <c r="T102" s="280"/>
    </row>
    <row r="103" spans="1:20" ht="13">
      <c r="A103" s="470" t="s">
        <v>863</v>
      </c>
      <c r="B103" s="471"/>
      <c r="C103" s="326">
        <f t="shared" ref="C103:E103" si="6">SUM(C81:C100)+SUM(F81:F100)+SUM(I81:I100)+SUM(L81:L100)</f>
        <v>39104.51</v>
      </c>
      <c r="D103" s="327">
        <f t="shared" si="6"/>
        <v>7864.8169999999991</v>
      </c>
      <c r="E103" s="328">
        <f t="shared" si="6"/>
        <v>2026.3900000000003</v>
      </c>
      <c r="F103" s="329"/>
      <c r="G103" s="329"/>
      <c r="H103" s="329"/>
      <c r="I103" s="329"/>
      <c r="J103" s="329"/>
      <c r="K103" s="329"/>
      <c r="L103" s="329"/>
      <c r="M103" s="329"/>
      <c r="N103" s="329"/>
      <c r="O103" s="329"/>
      <c r="P103" s="329"/>
      <c r="Q103" s="329"/>
      <c r="R103" s="280"/>
      <c r="S103" s="280"/>
      <c r="T103" s="280"/>
    </row>
    <row r="104" spans="1:20" ht="13">
      <c r="A104" s="329"/>
      <c r="B104" s="329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29"/>
      <c r="N104" s="329"/>
      <c r="O104" s="329"/>
      <c r="P104" s="329"/>
      <c r="Q104" s="329"/>
      <c r="R104" s="329"/>
      <c r="S104" s="329"/>
      <c r="T104" s="280"/>
    </row>
    <row r="105" spans="1:20" ht="13">
      <c r="A105" s="286" t="s">
        <v>902</v>
      </c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0"/>
      <c r="P105" s="330"/>
      <c r="Q105" s="330"/>
      <c r="R105" s="291"/>
      <c r="S105" s="280"/>
      <c r="T105" s="280"/>
    </row>
    <row r="106" spans="1:20" ht="13">
      <c r="A106" s="287" t="s">
        <v>849</v>
      </c>
      <c r="B106" s="287" t="s">
        <v>1</v>
      </c>
      <c r="C106" s="462" t="s">
        <v>850</v>
      </c>
      <c r="D106" s="463"/>
      <c r="E106" s="464"/>
      <c r="F106" s="465" t="s">
        <v>851</v>
      </c>
      <c r="G106" s="466"/>
      <c r="H106" s="467"/>
      <c r="I106" s="468" t="s">
        <v>852</v>
      </c>
      <c r="J106" s="463"/>
      <c r="K106" s="464"/>
      <c r="L106" s="465" t="s">
        <v>852</v>
      </c>
      <c r="M106" s="466"/>
      <c r="N106" s="467"/>
      <c r="O106" s="289" t="s">
        <v>865</v>
      </c>
      <c r="P106" s="339"/>
      <c r="Q106" s="339"/>
      <c r="R106" s="291"/>
      <c r="S106" s="280"/>
      <c r="T106" s="280"/>
    </row>
    <row r="107" spans="1:20" ht="13">
      <c r="A107" s="292"/>
      <c r="B107" s="293">
        <v>352368</v>
      </c>
      <c r="C107" s="294"/>
      <c r="D107" s="295">
        <v>0</v>
      </c>
      <c r="E107" s="296"/>
      <c r="F107" s="294"/>
      <c r="G107" s="295"/>
      <c r="H107" s="297"/>
      <c r="I107" s="294"/>
      <c r="J107" s="301"/>
      <c r="K107" s="297"/>
      <c r="L107" s="294"/>
      <c r="M107" s="301"/>
      <c r="N107" s="297"/>
      <c r="O107" s="331" t="s">
        <v>586</v>
      </c>
      <c r="P107" s="295">
        <f t="shared" ref="P107:P112" si="7">D107</f>
        <v>0</v>
      </c>
      <c r="Q107" s="297" t="e">
        <f t="shared" ref="Q107:Q127" si="8">O107/P107</f>
        <v>#DIV/0!</v>
      </c>
      <c r="R107" s="302"/>
      <c r="S107" s="303"/>
      <c r="T107" s="280"/>
    </row>
    <row r="108" spans="1:20" ht="13">
      <c r="A108" s="276" t="s">
        <v>82</v>
      </c>
      <c r="B108" s="276">
        <v>352371</v>
      </c>
      <c r="C108" s="304">
        <v>2468.19</v>
      </c>
      <c r="D108" s="305">
        <v>526.22</v>
      </c>
      <c r="E108" s="306">
        <v>281.33999999999997</v>
      </c>
      <c r="F108" s="304"/>
      <c r="G108" s="305"/>
      <c r="H108" s="307"/>
      <c r="I108" s="304"/>
      <c r="J108" s="309"/>
      <c r="K108" s="307"/>
      <c r="L108" s="304"/>
      <c r="M108" s="309"/>
      <c r="N108" s="307"/>
      <c r="O108" s="333" t="s">
        <v>903</v>
      </c>
      <c r="P108" s="305">
        <f t="shared" si="7"/>
        <v>526.22</v>
      </c>
      <c r="Q108" s="307">
        <f t="shared" si="8"/>
        <v>5.3817794838660635</v>
      </c>
      <c r="R108" s="302"/>
      <c r="S108" s="303"/>
      <c r="T108" s="280"/>
    </row>
    <row r="109" spans="1:20" ht="13">
      <c r="A109" s="276" t="s">
        <v>883</v>
      </c>
      <c r="B109" s="276">
        <v>352372</v>
      </c>
      <c r="C109" s="304">
        <v>726.34</v>
      </c>
      <c r="D109" s="305">
        <v>156.63</v>
      </c>
      <c r="E109" s="306">
        <v>14.7</v>
      </c>
      <c r="F109" s="304"/>
      <c r="G109" s="305"/>
      <c r="H109" s="307"/>
      <c r="I109" s="304"/>
      <c r="J109" s="309"/>
      <c r="K109" s="307"/>
      <c r="L109" s="304"/>
      <c r="M109" s="309"/>
      <c r="N109" s="307"/>
      <c r="O109" s="333" t="s">
        <v>904</v>
      </c>
      <c r="P109" s="305">
        <f t="shared" si="7"/>
        <v>156.63</v>
      </c>
      <c r="Q109" s="307">
        <f t="shared" si="8"/>
        <v>6.7164655557683712</v>
      </c>
      <c r="R109" s="302"/>
      <c r="S109" s="303"/>
      <c r="T109" s="280"/>
    </row>
    <row r="110" spans="1:20" ht="13">
      <c r="A110" s="276" t="s">
        <v>54</v>
      </c>
      <c r="B110" s="276">
        <v>352377</v>
      </c>
      <c r="C110" s="304"/>
      <c r="D110" s="305">
        <v>0</v>
      </c>
      <c r="E110" s="306"/>
      <c r="F110" s="304"/>
      <c r="G110" s="305"/>
      <c r="H110" s="307"/>
      <c r="I110" s="304"/>
      <c r="J110" s="309"/>
      <c r="K110" s="307"/>
      <c r="L110" s="304"/>
      <c r="M110" s="309"/>
      <c r="N110" s="307"/>
      <c r="O110" s="333" t="s">
        <v>905</v>
      </c>
      <c r="P110" s="305">
        <f t="shared" si="7"/>
        <v>0</v>
      </c>
      <c r="Q110" s="307" t="e">
        <f t="shared" si="8"/>
        <v>#DIV/0!</v>
      </c>
      <c r="R110" s="302"/>
      <c r="S110" s="303"/>
      <c r="T110" s="280"/>
    </row>
    <row r="111" spans="1:20" ht="13">
      <c r="A111" s="276" t="s">
        <v>854</v>
      </c>
      <c r="B111" s="276">
        <v>352374</v>
      </c>
      <c r="C111" s="304"/>
      <c r="D111" s="305">
        <v>0</v>
      </c>
      <c r="E111" s="306"/>
      <c r="F111" s="304"/>
      <c r="G111" s="305"/>
      <c r="H111" s="307"/>
      <c r="I111" s="304"/>
      <c r="J111" s="309"/>
      <c r="K111" s="307"/>
      <c r="L111" s="304"/>
      <c r="M111" s="309"/>
      <c r="N111" s="307"/>
      <c r="O111" s="333" t="s">
        <v>586</v>
      </c>
      <c r="P111" s="305">
        <f t="shared" si="7"/>
        <v>0</v>
      </c>
      <c r="Q111" s="307" t="e">
        <f t="shared" si="8"/>
        <v>#DIV/0!</v>
      </c>
      <c r="R111" s="302"/>
      <c r="S111" s="303"/>
      <c r="T111" s="280"/>
    </row>
    <row r="112" spans="1:20" ht="13">
      <c r="A112" s="276" t="s">
        <v>855</v>
      </c>
      <c r="B112" s="276">
        <v>352375</v>
      </c>
      <c r="C112" s="304">
        <v>516.46</v>
      </c>
      <c r="D112" s="305">
        <v>101.28</v>
      </c>
      <c r="E112" s="306">
        <v>10.119999999999999</v>
      </c>
      <c r="F112" s="304"/>
      <c r="G112" s="305"/>
      <c r="H112" s="307"/>
      <c r="I112" s="304"/>
      <c r="J112" s="309"/>
      <c r="K112" s="307"/>
      <c r="L112" s="304"/>
      <c r="M112" s="309"/>
      <c r="N112" s="307"/>
      <c r="O112" s="333" t="s">
        <v>586</v>
      </c>
      <c r="P112" s="305">
        <f t="shared" si="7"/>
        <v>101.28</v>
      </c>
      <c r="Q112" s="307">
        <f t="shared" si="8"/>
        <v>0</v>
      </c>
      <c r="R112" s="302"/>
      <c r="S112" s="303"/>
      <c r="T112" s="280"/>
    </row>
    <row r="113" spans="1:20" ht="13">
      <c r="A113" s="276" t="s">
        <v>62</v>
      </c>
      <c r="B113" s="276">
        <v>352376</v>
      </c>
      <c r="C113" s="304">
        <v>2423.48</v>
      </c>
      <c r="D113" s="305">
        <v>499.67</v>
      </c>
      <c r="E113" s="306">
        <v>154.71</v>
      </c>
      <c r="F113" s="304"/>
      <c r="G113" s="305"/>
      <c r="H113" s="307"/>
      <c r="I113" s="304">
        <v>495</v>
      </c>
      <c r="J113" s="309">
        <v>89</v>
      </c>
      <c r="K113" s="307"/>
      <c r="L113" s="304"/>
      <c r="M113" s="309"/>
      <c r="N113" s="307"/>
      <c r="O113" s="333" t="s">
        <v>906</v>
      </c>
      <c r="P113" s="305">
        <f>D113+J113</f>
        <v>588.67000000000007</v>
      </c>
      <c r="Q113" s="307">
        <f t="shared" si="8"/>
        <v>6.0203509606400862</v>
      </c>
      <c r="R113" s="302"/>
      <c r="S113" s="303"/>
      <c r="T113" s="280"/>
    </row>
    <row r="114" spans="1:20" ht="13">
      <c r="A114" s="276" t="s">
        <v>907</v>
      </c>
      <c r="B114" s="276">
        <v>352377</v>
      </c>
      <c r="C114" s="304">
        <v>1787.01</v>
      </c>
      <c r="D114" s="305">
        <v>353.22</v>
      </c>
      <c r="E114" s="306">
        <v>110.73</v>
      </c>
      <c r="F114" s="304"/>
      <c r="G114" s="305"/>
      <c r="H114" s="307"/>
      <c r="I114" s="304"/>
      <c r="J114" s="309"/>
      <c r="K114" s="307"/>
      <c r="L114" s="304"/>
      <c r="M114" s="309"/>
      <c r="N114" s="307"/>
      <c r="O114" s="333" t="s">
        <v>908</v>
      </c>
      <c r="P114" s="305">
        <f t="shared" ref="P114:P127" si="9">D114</f>
        <v>353.22</v>
      </c>
      <c r="Q114" s="307">
        <f t="shared" si="8"/>
        <v>2.3384859294490683</v>
      </c>
      <c r="R114" s="302"/>
      <c r="S114" s="303"/>
      <c r="T114" s="280"/>
    </row>
    <row r="115" spans="1:20" ht="13">
      <c r="A115" s="281" t="s">
        <v>856</v>
      </c>
      <c r="B115" s="276">
        <v>359885</v>
      </c>
      <c r="C115" s="304">
        <v>1420.82</v>
      </c>
      <c r="D115" s="305">
        <v>240.98</v>
      </c>
      <c r="E115" s="306">
        <v>48.9</v>
      </c>
      <c r="F115" s="304"/>
      <c r="G115" s="305"/>
      <c r="H115" s="307"/>
      <c r="I115" s="304"/>
      <c r="J115" s="309"/>
      <c r="K115" s="307"/>
      <c r="L115" s="304"/>
      <c r="M115" s="309"/>
      <c r="N115" s="307"/>
      <c r="O115" s="333" t="s">
        <v>909</v>
      </c>
      <c r="P115" s="305">
        <f t="shared" si="9"/>
        <v>240.98</v>
      </c>
      <c r="Q115" s="307">
        <f t="shared" si="8"/>
        <v>7.4031039920325341</v>
      </c>
      <c r="R115" s="302"/>
      <c r="S115" s="303"/>
      <c r="T115" s="280"/>
    </row>
    <row r="116" spans="1:20" ht="13">
      <c r="A116" s="276" t="s">
        <v>857</v>
      </c>
      <c r="B116" s="276">
        <v>359886</v>
      </c>
      <c r="C116" s="304"/>
      <c r="D116" s="305">
        <v>0</v>
      </c>
      <c r="E116" s="306"/>
      <c r="F116" s="304"/>
      <c r="G116" s="305"/>
      <c r="H116" s="307"/>
      <c r="I116" s="304"/>
      <c r="J116" s="309"/>
      <c r="K116" s="307"/>
      <c r="L116" s="304"/>
      <c r="M116" s="309"/>
      <c r="N116" s="307"/>
      <c r="O116" s="333" t="s">
        <v>586</v>
      </c>
      <c r="P116" s="305">
        <f t="shared" si="9"/>
        <v>0</v>
      </c>
      <c r="Q116" s="307" t="e">
        <f t="shared" si="8"/>
        <v>#DIV/0!</v>
      </c>
      <c r="R116" s="302"/>
      <c r="S116" s="303"/>
      <c r="T116" s="280"/>
    </row>
    <row r="117" spans="1:20" ht="13">
      <c r="A117" s="276" t="s">
        <v>319</v>
      </c>
      <c r="B117" s="276">
        <v>465180</v>
      </c>
      <c r="C117" s="304">
        <v>1829.23</v>
      </c>
      <c r="D117" s="305">
        <v>398.61</v>
      </c>
      <c r="E117" s="306">
        <v>105.12</v>
      </c>
      <c r="F117" s="304"/>
      <c r="G117" s="305"/>
      <c r="H117" s="307"/>
      <c r="I117" s="304"/>
      <c r="J117" s="309"/>
      <c r="K117" s="307"/>
      <c r="L117" s="304"/>
      <c r="M117" s="309"/>
      <c r="N117" s="307"/>
      <c r="O117" s="333" t="s">
        <v>910</v>
      </c>
      <c r="P117" s="305">
        <f t="shared" si="9"/>
        <v>398.61</v>
      </c>
      <c r="Q117" s="307">
        <f t="shared" si="8"/>
        <v>4.718898171144728</v>
      </c>
      <c r="R117" s="302"/>
      <c r="S117" s="303"/>
      <c r="T117" s="280"/>
    </row>
    <row r="118" spans="1:20" ht="13">
      <c r="A118" s="276" t="s">
        <v>858</v>
      </c>
      <c r="B118" s="276">
        <v>465181</v>
      </c>
      <c r="C118" s="304"/>
      <c r="D118" s="305">
        <v>0</v>
      </c>
      <c r="E118" s="306"/>
      <c r="F118" s="304"/>
      <c r="G118" s="305"/>
      <c r="H118" s="307"/>
      <c r="I118" s="304"/>
      <c r="J118" s="309"/>
      <c r="K118" s="307"/>
      <c r="L118" s="304"/>
      <c r="M118" s="309"/>
      <c r="N118" s="307"/>
      <c r="O118" s="333" t="s">
        <v>586</v>
      </c>
      <c r="P118" s="305">
        <f t="shared" si="9"/>
        <v>0</v>
      </c>
      <c r="Q118" s="307" t="e">
        <f t="shared" si="8"/>
        <v>#DIV/0!</v>
      </c>
      <c r="R118" s="302"/>
      <c r="S118" s="303"/>
      <c r="T118" s="280"/>
    </row>
    <row r="119" spans="1:20" ht="13">
      <c r="A119" s="276" t="s">
        <v>191</v>
      </c>
      <c r="B119" s="276">
        <v>465182</v>
      </c>
      <c r="C119" s="304">
        <v>1517.69</v>
      </c>
      <c r="D119" s="305">
        <v>329.63</v>
      </c>
      <c r="E119" s="306">
        <v>58.18</v>
      </c>
      <c r="F119" s="304"/>
      <c r="G119" s="305"/>
      <c r="H119" s="307"/>
      <c r="I119" s="304"/>
      <c r="J119" s="309"/>
      <c r="K119" s="307"/>
      <c r="L119" s="304"/>
      <c r="M119" s="309"/>
      <c r="N119" s="307"/>
      <c r="O119" s="333" t="s">
        <v>911</v>
      </c>
      <c r="P119" s="305">
        <f t="shared" si="9"/>
        <v>329.63</v>
      </c>
      <c r="Q119" s="307">
        <f t="shared" si="8"/>
        <v>5.5395443375906321</v>
      </c>
      <c r="R119" s="302"/>
      <c r="S119" s="303"/>
      <c r="T119" s="280"/>
    </row>
    <row r="120" spans="1:20" ht="13">
      <c r="A120" s="276" t="s">
        <v>88</v>
      </c>
      <c r="B120" s="276">
        <v>465183</v>
      </c>
      <c r="C120" s="304">
        <v>1331.68</v>
      </c>
      <c r="D120" s="305">
        <v>261.08</v>
      </c>
      <c r="E120" s="306">
        <v>57.15</v>
      </c>
      <c r="F120" s="304"/>
      <c r="G120" s="305"/>
      <c r="H120" s="307"/>
      <c r="I120" s="304"/>
      <c r="J120" s="309"/>
      <c r="K120" s="307"/>
      <c r="L120" s="304"/>
      <c r="M120" s="309"/>
      <c r="N120" s="307"/>
      <c r="O120" s="333" t="s">
        <v>912</v>
      </c>
      <c r="P120" s="305">
        <f t="shared" si="9"/>
        <v>261.08</v>
      </c>
      <c r="Q120" s="307">
        <f t="shared" si="8"/>
        <v>3.7881109238547572</v>
      </c>
      <c r="R120" s="302"/>
      <c r="S120" s="303"/>
      <c r="T120" s="280"/>
    </row>
    <row r="121" spans="1:20" ht="13">
      <c r="A121" s="281" t="s">
        <v>40</v>
      </c>
      <c r="B121" s="276">
        <v>465184</v>
      </c>
      <c r="C121" s="304">
        <v>2860.49</v>
      </c>
      <c r="D121" s="305">
        <v>579.54999999999995</v>
      </c>
      <c r="E121" s="306">
        <v>55.64</v>
      </c>
      <c r="F121" s="304"/>
      <c r="G121" s="305"/>
      <c r="H121" s="307"/>
      <c r="I121" s="304"/>
      <c r="J121" s="309"/>
      <c r="K121" s="307"/>
      <c r="L121" s="304"/>
      <c r="M121" s="309"/>
      <c r="N121" s="307"/>
      <c r="O121" s="333"/>
      <c r="P121" s="305">
        <f t="shared" si="9"/>
        <v>579.54999999999995</v>
      </c>
      <c r="Q121" s="307">
        <f t="shared" si="8"/>
        <v>0</v>
      </c>
      <c r="R121" s="302"/>
      <c r="S121" s="303"/>
      <c r="T121" s="280"/>
    </row>
    <row r="122" spans="1:20" ht="13">
      <c r="A122" s="276" t="s">
        <v>75</v>
      </c>
      <c r="B122" s="276">
        <v>465185</v>
      </c>
      <c r="C122" s="304">
        <v>2176.17</v>
      </c>
      <c r="D122" s="336">
        <v>461.98</v>
      </c>
      <c r="E122" s="306">
        <v>142.9</v>
      </c>
      <c r="F122" s="304"/>
      <c r="G122" s="305"/>
      <c r="H122" s="307"/>
      <c r="I122" s="304"/>
      <c r="J122" s="309"/>
      <c r="K122" s="307"/>
      <c r="L122" s="304"/>
      <c r="M122" s="309"/>
      <c r="N122" s="307"/>
      <c r="O122" s="333" t="s">
        <v>913</v>
      </c>
      <c r="P122" s="305">
        <f t="shared" si="9"/>
        <v>461.98</v>
      </c>
      <c r="Q122" s="307">
        <f t="shared" si="8"/>
        <v>6.9310359755833586</v>
      </c>
      <c r="R122" s="302"/>
      <c r="S122" s="303"/>
      <c r="T122" s="280"/>
    </row>
    <row r="123" spans="1:20" ht="13">
      <c r="A123" s="276" t="s">
        <v>859</v>
      </c>
      <c r="B123" s="276">
        <v>465186</v>
      </c>
      <c r="C123" s="304">
        <v>770.76</v>
      </c>
      <c r="D123" s="305">
        <v>149.4</v>
      </c>
      <c r="E123" s="306">
        <v>14.93</v>
      </c>
      <c r="F123" s="304"/>
      <c r="G123" s="305"/>
      <c r="H123" s="307"/>
      <c r="I123" s="304"/>
      <c r="J123" s="309"/>
      <c r="K123" s="307"/>
      <c r="L123" s="304"/>
      <c r="M123" s="309"/>
      <c r="N123" s="307"/>
      <c r="O123" s="333" t="s">
        <v>586</v>
      </c>
      <c r="P123" s="305">
        <f t="shared" si="9"/>
        <v>149.4</v>
      </c>
      <c r="Q123" s="307">
        <f t="shared" si="8"/>
        <v>0</v>
      </c>
      <c r="R123" s="302"/>
      <c r="S123" s="303"/>
      <c r="T123" s="280"/>
    </row>
    <row r="124" spans="1:20" ht="13">
      <c r="A124" s="276" t="s">
        <v>192</v>
      </c>
      <c r="B124" s="276">
        <v>465187</v>
      </c>
      <c r="C124" s="304"/>
      <c r="D124" s="305">
        <v>0</v>
      </c>
      <c r="E124" s="306"/>
      <c r="F124" s="304"/>
      <c r="G124" s="305"/>
      <c r="H124" s="307"/>
      <c r="I124" s="304"/>
      <c r="J124" s="309"/>
      <c r="K124" s="307"/>
      <c r="L124" s="304"/>
      <c r="M124" s="309"/>
      <c r="N124" s="307"/>
      <c r="O124" s="333" t="s">
        <v>586</v>
      </c>
      <c r="P124" s="305">
        <f t="shared" si="9"/>
        <v>0</v>
      </c>
      <c r="Q124" s="307" t="e">
        <f t="shared" si="8"/>
        <v>#DIV/0!</v>
      </c>
      <c r="R124" s="302"/>
      <c r="S124" s="303"/>
      <c r="T124" s="280"/>
    </row>
    <row r="125" spans="1:20" ht="13">
      <c r="A125" s="337" t="s">
        <v>14</v>
      </c>
      <c r="B125" s="276">
        <v>465188</v>
      </c>
      <c r="C125" s="304">
        <v>3790.01</v>
      </c>
      <c r="D125" s="305">
        <v>751.81</v>
      </c>
      <c r="E125" s="306">
        <v>233.57</v>
      </c>
      <c r="F125" s="304"/>
      <c r="G125" s="305"/>
      <c r="H125" s="307"/>
      <c r="I125" s="304"/>
      <c r="J125" s="309"/>
      <c r="K125" s="307"/>
      <c r="L125" s="304"/>
      <c r="M125" s="309"/>
      <c r="N125" s="307"/>
      <c r="O125" s="333" t="s">
        <v>914</v>
      </c>
      <c r="P125" s="305">
        <f t="shared" si="9"/>
        <v>751.81</v>
      </c>
      <c r="Q125" s="307">
        <f t="shared" si="8"/>
        <v>6.4923318391614906</v>
      </c>
      <c r="R125" s="302"/>
      <c r="S125" s="303"/>
      <c r="T125" s="280"/>
    </row>
    <row r="126" spans="1:20" ht="13">
      <c r="A126" s="313" t="s">
        <v>322</v>
      </c>
      <c r="B126" s="313">
        <v>465189</v>
      </c>
      <c r="C126" s="310">
        <v>2619.46</v>
      </c>
      <c r="D126" s="311">
        <v>554.5</v>
      </c>
      <c r="E126" s="314">
        <v>77.849999999999994</v>
      </c>
      <c r="F126" s="304"/>
      <c r="G126" s="305"/>
      <c r="H126" s="307"/>
      <c r="I126" s="310"/>
      <c r="J126" s="319"/>
      <c r="K126" s="312"/>
      <c r="L126" s="304"/>
      <c r="M126" s="309"/>
      <c r="N126" s="307"/>
      <c r="O126" s="333" t="s">
        <v>915</v>
      </c>
      <c r="P126" s="305">
        <f t="shared" si="9"/>
        <v>554.5</v>
      </c>
      <c r="Q126" s="307">
        <f t="shared" si="8"/>
        <v>7.4156898106402167</v>
      </c>
      <c r="R126" s="302"/>
      <c r="S126" s="303"/>
      <c r="T126" s="280"/>
    </row>
    <row r="127" spans="1:20" ht="13">
      <c r="A127" s="341" t="s">
        <v>901</v>
      </c>
      <c r="B127" s="313">
        <v>1650</v>
      </c>
      <c r="C127" s="310">
        <v>1749.64</v>
      </c>
      <c r="D127" s="311">
        <v>285.49</v>
      </c>
      <c r="E127" s="314">
        <v>95.16</v>
      </c>
      <c r="F127" s="315"/>
      <c r="G127" s="316"/>
      <c r="H127" s="317"/>
      <c r="I127" s="315"/>
      <c r="J127" s="320"/>
      <c r="K127" s="317"/>
      <c r="L127" s="315"/>
      <c r="M127" s="320"/>
      <c r="N127" s="317"/>
      <c r="O127" s="335" t="s">
        <v>586</v>
      </c>
      <c r="P127" s="305">
        <f t="shared" si="9"/>
        <v>285.49</v>
      </c>
      <c r="Q127" s="317">
        <f t="shared" si="8"/>
        <v>0</v>
      </c>
      <c r="R127" s="303"/>
      <c r="S127" s="303"/>
      <c r="T127" s="329"/>
    </row>
    <row r="128" spans="1:20" ht="13">
      <c r="A128" s="469" t="s">
        <v>860</v>
      </c>
      <c r="B128" s="464"/>
      <c r="C128" s="321" t="s">
        <v>676</v>
      </c>
      <c r="D128" s="322" t="s">
        <v>861</v>
      </c>
      <c r="E128" s="323" t="s">
        <v>862</v>
      </c>
      <c r="F128" s="321" t="s">
        <v>676</v>
      </c>
      <c r="G128" s="322" t="s">
        <v>861</v>
      </c>
      <c r="H128" s="323" t="s">
        <v>862</v>
      </c>
      <c r="I128" s="321" t="s">
        <v>676</v>
      </c>
      <c r="J128" s="322" t="s">
        <v>861</v>
      </c>
      <c r="K128" s="323" t="s">
        <v>862</v>
      </c>
      <c r="L128" s="321" t="s">
        <v>676</v>
      </c>
      <c r="M128" s="322" t="s">
        <v>861</v>
      </c>
      <c r="N128" s="323" t="s">
        <v>862</v>
      </c>
      <c r="O128" s="321" t="s">
        <v>881</v>
      </c>
      <c r="P128" s="322" t="s">
        <v>861</v>
      </c>
      <c r="Q128" s="323" t="s">
        <v>865</v>
      </c>
      <c r="R128" s="280"/>
      <c r="S128" s="280"/>
      <c r="T128" s="280"/>
    </row>
    <row r="129" spans="1:20" ht="13">
      <c r="A129" s="470" t="s">
        <v>863</v>
      </c>
      <c r="B129" s="471"/>
      <c r="C129" s="326">
        <f t="shared" ref="C129:E129" si="10">SUM(C107:C126)+SUM(F107:F126)+SUM(I107:I126)+SUM(L107:L126)</f>
        <v>26732.789999999994</v>
      </c>
      <c r="D129" s="327">
        <f t="shared" si="10"/>
        <v>5453.5599999999995</v>
      </c>
      <c r="E129" s="328">
        <f t="shared" si="10"/>
        <v>1365.84</v>
      </c>
      <c r="F129" s="329"/>
      <c r="G129" s="329"/>
      <c r="H129" s="329"/>
      <c r="I129" s="329"/>
      <c r="J129" s="329"/>
      <c r="K129" s="329"/>
      <c r="L129" s="329"/>
      <c r="M129" s="329"/>
      <c r="N129" s="329"/>
      <c r="O129" s="329"/>
      <c r="P129" s="329"/>
      <c r="Q129" s="329"/>
      <c r="R129" s="280"/>
      <c r="S129" s="280"/>
      <c r="T129" s="280"/>
    </row>
    <row r="130" spans="1:20" ht="13">
      <c r="A130" s="329"/>
      <c r="B130" s="329"/>
      <c r="C130" s="329"/>
      <c r="D130" s="329"/>
      <c r="E130" s="329"/>
      <c r="F130" s="329"/>
      <c r="G130" s="329"/>
      <c r="H130" s="329"/>
      <c r="I130" s="329"/>
      <c r="J130" s="329"/>
      <c r="K130" s="329"/>
      <c r="L130" s="329"/>
      <c r="M130" s="329"/>
      <c r="N130" s="329"/>
      <c r="O130" s="329"/>
      <c r="P130" s="329"/>
      <c r="Q130" s="329"/>
      <c r="R130" s="329"/>
      <c r="S130" s="329"/>
      <c r="T130" s="280"/>
    </row>
    <row r="131" spans="1:20" ht="13">
      <c r="A131" s="286" t="s">
        <v>916</v>
      </c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30"/>
      <c r="P131" s="330"/>
      <c r="Q131" s="330"/>
      <c r="R131" s="291"/>
      <c r="S131" s="280"/>
      <c r="T131" s="280"/>
    </row>
    <row r="132" spans="1:20" ht="13">
      <c r="A132" s="287" t="s">
        <v>849</v>
      </c>
      <c r="B132" s="287" t="s">
        <v>1</v>
      </c>
      <c r="C132" s="462" t="s">
        <v>850</v>
      </c>
      <c r="D132" s="463"/>
      <c r="E132" s="464"/>
      <c r="F132" s="465" t="s">
        <v>851</v>
      </c>
      <c r="G132" s="466"/>
      <c r="H132" s="467"/>
      <c r="I132" s="468" t="s">
        <v>852</v>
      </c>
      <c r="J132" s="463"/>
      <c r="K132" s="464"/>
      <c r="L132" s="465" t="s">
        <v>852</v>
      </c>
      <c r="M132" s="466"/>
      <c r="N132" s="467"/>
      <c r="O132" s="289" t="s">
        <v>865</v>
      </c>
      <c r="P132" s="339"/>
      <c r="Q132" s="339"/>
      <c r="R132" s="291"/>
      <c r="S132" s="280"/>
      <c r="T132" s="280"/>
    </row>
    <row r="133" spans="1:20" ht="13">
      <c r="A133" s="292" t="s">
        <v>917</v>
      </c>
      <c r="B133" s="293">
        <v>352368</v>
      </c>
      <c r="C133" s="294">
        <v>1511.55</v>
      </c>
      <c r="D133" s="295">
        <v>314.7</v>
      </c>
      <c r="E133" s="296">
        <v>60.23</v>
      </c>
      <c r="F133" s="294"/>
      <c r="G133" s="295"/>
      <c r="H133" s="297"/>
      <c r="I133" s="294"/>
      <c r="J133" s="301"/>
      <c r="K133" s="297"/>
      <c r="L133" s="294"/>
      <c r="M133" s="301"/>
      <c r="N133" s="297"/>
      <c r="O133" s="331" t="s">
        <v>918</v>
      </c>
      <c r="P133" s="305">
        <f t="shared" ref="P133:P136" si="11">D133</f>
        <v>314.7</v>
      </c>
      <c r="Q133" s="297">
        <f t="shared" ref="Q133:Q153" si="12">O133/P133</f>
        <v>5.6561804893549414</v>
      </c>
      <c r="R133" s="302"/>
      <c r="S133" s="303"/>
      <c r="T133" s="280"/>
    </row>
    <row r="134" spans="1:20" ht="13">
      <c r="A134" s="276" t="s">
        <v>82</v>
      </c>
      <c r="B134" s="276">
        <v>352371</v>
      </c>
      <c r="C134" s="304">
        <v>2636.77</v>
      </c>
      <c r="D134" s="305">
        <v>605.36</v>
      </c>
      <c r="E134" s="306">
        <v>478.8</v>
      </c>
      <c r="F134" s="304"/>
      <c r="G134" s="305"/>
      <c r="H134" s="307"/>
      <c r="I134" s="304"/>
      <c r="J134" s="309"/>
      <c r="K134" s="307"/>
      <c r="L134" s="304"/>
      <c r="M134" s="309"/>
      <c r="N134" s="307"/>
      <c r="O134" s="333" t="s">
        <v>919</v>
      </c>
      <c r="P134" s="305">
        <f t="shared" si="11"/>
        <v>605.36</v>
      </c>
      <c r="Q134" s="307">
        <f t="shared" si="12"/>
        <v>5.8262851856746396</v>
      </c>
      <c r="R134" s="302"/>
      <c r="S134" s="303"/>
      <c r="T134" s="280"/>
    </row>
    <row r="135" spans="1:20" ht="13">
      <c r="A135" s="276" t="s">
        <v>883</v>
      </c>
      <c r="B135" s="276">
        <v>352372</v>
      </c>
      <c r="C135" s="304">
        <v>2570.11</v>
      </c>
      <c r="D135" s="305">
        <v>542.29999999999995</v>
      </c>
      <c r="E135" s="306">
        <v>73.87</v>
      </c>
      <c r="F135" s="304"/>
      <c r="G135" s="305"/>
      <c r="H135" s="307"/>
      <c r="I135" s="304"/>
      <c r="J135" s="309"/>
      <c r="K135" s="307"/>
      <c r="L135" s="304"/>
      <c r="M135" s="309"/>
      <c r="N135" s="307"/>
      <c r="O135" s="333" t="s">
        <v>920</v>
      </c>
      <c r="P135" s="305">
        <f t="shared" si="11"/>
        <v>542.29999999999995</v>
      </c>
      <c r="Q135" s="307">
        <f t="shared" si="12"/>
        <v>6.3507283791259459</v>
      </c>
      <c r="R135" s="302"/>
      <c r="S135" s="303"/>
      <c r="T135" s="280"/>
    </row>
    <row r="136" spans="1:20" ht="13">
      <c r="A136" s="276"/>
      <c r="B136" s="276">
        <v>352373</v>
      </c>
      <c r="C136" s="304"/>
      <c r="D136" s="305"/>
      <c r="E136" s="306"/>
      <c r="F136" s="304"/>
      <c r="G136" s="305"/>
      <c r="H136" s="307"/>
      <c r="I136" s="304"/>
      <c r="J136" s="309"/>
      <c r="K136" s="307"/>
      <c r="L136" s="304"/>
      <c r="M136" s="309"/>
      <c r="N136" s="307"/>
      <c r="O136" s="333"/>
      <c r="P136" s="305">
        <f t="shared" si="11"/>
        <v>0</v>
      </c>
      <c r="Q136" s="307" t="e">
        <f t="shared" si="12"/>
        <v>#DIV/0!</v>
      </c>
      <c r="R136" s="302"/>
      <c r="S136" s="303"/>
      <c r="T136" s="280"/>
    </row>
    <row r="137" spans="1:20" ht="13">
      <c r="A137" s="276" t="s">
        <v>854</v>
      </c>
      <c r="B137" s="276">
        <v>352374</v>
      </c>
      <c r="C137" s="304">
        <v>948.94</v>
      </c>
      <c r="D137" s="305">
        <v>191.09</v>
      </c>
      <c r="E137" s="306">
        <v>19.100000000000001</v>
      </c>
      <c r="F137" s="304"/>
      <c r="G137" s="305"/>
      <c r="H137" s="307"/>
      <c r="I137" s="304">
        <v>300</v>
      </c>
      <c r="J137" s="309">
        <v>64</v>
      </c>
      <c r="K137" s="307">
        <v>0</v>
      </c>
      <c r="L137" s="304">
        <v>574</v>
      </c>
      <c r="M137" s="309">
        <v>115</v>
      </c>
      <c r="N137" s="307">
        <v>0</v>
      </c>
      <c r="O137" s="333" t="s">
        <v>921</v>
      </c>
      <c r="P137" s="305">
        <f>D137+J137+M137</f>
        <v>370.09000000000003</v>
      </c>
      <c r="Q137" s="307">
        <f t="shared" si="12"/>
        <v>3.0316949931097836</v>
      </c>
      <c r="R137" s="302"/>
      <c r="S137" s="303"/>
      <c r="T137" s="280"/>
    </row>
    <row r="138" spans="1:20" ht="13">
      <c r="A138" s="276"/>
      <c r="B138" s="276">
        <v>352375</v>
      </c>
      <c r="C138" s="304"/>
      <c r="D138" s="305"/>
      <c r="E138" s="306"/>
      <c r="F138" s="304"/>
      <c r="G138" s="305"/>
      <c r="H138" s="307"/>
      <c r="I138" s="304"/>
      <c r="J138" s="309"/>
      <c r="K138" s="307"/>
      <c r="L138" s="304"/>
      <c r="M138" s="309"/>
      <c r="N138" s="307"/>
      <c r="O138" s="333"/>
      <c r="P138" s="305">
        <f t="shared" ref="P138:P153" si="13">D138</f>
        <v>0</v>
      </c>
      <c r="Q138" s="307" t="e">
        <f t="shared" si="12"/>
        <v>#DIV/0!</v>
      </c>
      <c r="R138" s="302"/>
      <c r="S138" s="303"/>
      <c r="T138" s="280"/>
    </row>
    <row r="139" spans="1:20" ht="13">
      <c r="A139" s="276" t="s">
        <v>62</v>
      </c>
      <c r="B139" s="276">
        <v>352376</v>
      </c>
      <c r="C139" s="342">
        <v>2761.84</v>
      </c>
      <c r="D139" s="305">
        <v>598.30999999999995</v>
      </c>
      <c r="E139" s="306">
        <v>186.3</v>
      </c>
      <c r="F139" s="304"/>
      <c r="G139" s="305"/>
      <c r="H139" s="307"/>
      <c r="I139" s="304"/>
      <c r="J139" s="309"/>
      <c r="K139" s="307"/>
      <c r="L139" s="304"/>
      <c r="M139" s="309"/>
      <c r="N139" s="307"/>
      <c r="O139" s="333" t="s">
        <v>922</v>
      </c>
      <c r="P139" s="305">
        <f t="shared" si="13"/>
        <v>598.30999999999995</v>
      </c>
      <c r="Q139" s="307">
        <f t="shared" si="12"/>
        <v>6.7623807056542597</v>
      </c>
      <c r="R139" s="302"/>
      <c r="S139" s="303"/>
      <c r="T139" s="280"/>
    </row>
    <row r="140" spans="1:20" ht="13">
      <c r="A140" s="276" t="s">
        <v>907</v>
      </c>
      <c r="B140" s="276">
        <v>352377</v>
      </c>
      <c r="C140" s="304">
        <v>2017.14</v>
      </c>
      <c r="D140" s="305">
        <v>407.46</v>
      </c>
      <c r="E140" s="306">
        <v>126.79</v>
      </c>
      <c r="F140" s="304"/>
      <c r="G140" s="305"/>
      <c r="H140" s="307"/>
      <c r="I140" s="304"/>
      <c r="J140" s="309"/>
      <c r="K140" s="307"/>
      <c r="L140" s="304"/>
      <c r="M140" s="309"/>
      <c r="N140" s="307"/>
      <c r="O140" s="333" t="s">
        <v>923</v>
      </c>
      <c r="P140" s="305">
        <f t="shared" si="13"/>
        <v>407.46</v>
      </c>
      <c r="Q140" s="307">
        <f t="shared" si="12"/>
        <v>4.9133657291513284</v>
      </c>
      <c r="R140" s="302"/>
      <c r="S140" s="303"/>
      <c r="T140" s="280"/>
    </row>
    <row r="141" spans="1:20" ht="13">
      <c r="A141" s="276"/>
      <c r="B141" s="276">
        <v>359885</v>
      </c>
      <c r="C141" s="304"/>
      <c r="D141" s="305"/>
      <c r="E141" s="306"/>
      <c r="F141" s="304"/>
      <c r="G141" s="305"/>
      <c r="H141" s="307"/>
      <c r="I141" s="304"/>
      <c r="J141" s="309"/>
      <c r="K141" s="307"/>
      <c r="L141" s="304"/>
      <c r="M141" s="309"/>
      <c r="N141" s="307"/>
      <c r="O141" s="333"/>
      <c r="P141" s="305">
        <f t="shared" si="13"/>
        <v>0</v>
      </c>
      <c r="Q141" s="307" t="e">
        <f t="shared" si="12"/>
        <v>#DIV/0!</v>
      </c>
      <c r="R141" s="302"/>
      <c r="S141" s="303"/>
      <c r="T141" s="280"/>
    </row>
    <row r="142" spans="1:20" ht="13">
      <c r="A142" s="276" t="s">
        <v>857</v>
      </c>
      <c r="B142" s="276">
        <v>359886</v>
      </c>
      <c r="C142" s="304">
        <v>948.61</v>
      </c>
      <c r="D142" s="305">
        <v>214.3</v>
      </c>
      <c r="E142" s="306">
        <v>35.15</v>
      </c>
      <c r="F142" s="304"/>
      <c r="G142" s="305"/>
      <c r="H142" s="307"/>
      <c r="I142" s="304"/>
      <c r="J142" s="309"/>
      <c r="K142" s="307"/>
      <c r="L142" s="304"/>
      <c r="M142" s="309"/>
      <c r="N142" s="307"/>
      <c r="O142" s="333" t="s">
        <v>924</v>
      </c>
      <c r="P142" s="305">
        <f t="shared" si="13"/>
        <v>214.3</v>
      </c>
      <c r="Q142" s="307">
        <f t="shared" si="12"/>
        <v>4.3723751749883339</v>
      </c>
      <c r="R142" s="302"/>
      <c r="S142" s="303"/>
      <c r="T142" s="280"/>
    </row>
    <row r="143" spans="1:20" ht="13">
      <c r="A143" s="276" t="s">
        <v>319</v>
      </c>
      <c r="B143" s="276">
        <v>465180</v>
      </c>
      <c r="C143" s="304"/>
      <c r="D143" s="305"/>
      <c r="E143" s="306"/>
      <c r="F143" s="304"/>
      <c r="G143" s="305"/>
      <c r="H143" s="307"/>
      <c r="I143" s="304"/>
      <c r="J143" s="309"/>
      <c r="K143" s="307"/>
      <c r="L143" s="304"/>
      <c r="M143" s="309"/>
      <c r="N143" s="307"/>
      <c r="O143" s="333"/>
      <c r="P143" s="305">
        <f t="shared" si="13"/>
        <v>0</v>
      </c>
      <c r="Q143" s="307" t="e">
        <f t="shared" si="12"/>
        <v>#DIV/0!</v>
      </c>
      <c r="R143" s="302"/>
      <c r="S143" s="303"/>
      <c r="T143" s="280"/>
    </row>
    <row r="144" spans="1:20" ht="13">
      <c r="A144" s="276" t="s">
        <v>858</v>
      </c>
      <c r="B144" s="276">
        <v>465181</v>
      </c>
      <c r="C144" s="304">
        <v>1142.29</v>
      </c>
      <c r="D144" s="305">
        <v>238.71</v>
      </c>
      <c r="E144" s="306">
        <v>47.81</v>
      </c>
      <c r="F144" s="304"/>
      <c r="G144" s="305"/>
      <c r="H144" s="307"/>
      <c r="I144" s="304"/>
      <c r="J144" s="309"/>
      <c r="K144" s="307"/>
      <c r="L144" s="304"/>
      <c r="M144" s="309"/>
      <c r="N144" s="307"/>
      <c r="O144" s="333" t="s">
        <v>925</v>
      </c>
      <c r="P144" s="305">
        <f t="shared" si="13"/>
        <v>238.71</v>
      </c>
      <c r="Q144" s="307">
        <f t="shared" si="12"/>
        <v>4.1640484269615854</v>
      </c>
      <c r="R144" s="302"/>
      <c r="S144" s="303"/>
      <c r="T144" s="280"/>
    </row>
    <row r="145" spans="1:20" ht="13">
      <c r="A145" s="276" t="s">
        <v>191</v>
      </c>
      <c r="B145" s="276">
        <v>465182</v>
      </c>
      <c r="C145" s="304">
        <v>3214.42</v>
      </c>
      <c r="D145" s="305">
        <v>673.57</v>
      </c>
      <c r="E145" s="306">
        <v>198.64</v>
      </c>
      <c r="F145" s="304"/>
      <c r="G145" s="305"/>
      <c r="H145" s="307"/>
      <c r="I145" s="304"/>
      <c r="J145" s="309"/>
      <c r="K145" s="307"/>
      <c r="L145" s="304"/>
      <c r="M145" s="309"/>
      <c r="N145" s="307"/>
      <c r="O145" s="333" t="s">
        <v>926</v>
      </c>
      <c r="P145" s="305">
        <f t="shared" si="13"/>
        <v>673.57</v>
      </c>
      <c r="Q145" s="307">
        <f t="shared" si="12"/>
        <v>5.7870748400314733</v>
      </c>
      <c r="R145" s="302"/>
      <c r="S145" s="303"/>
      <c r="T145" s="280"/>
    </row>
    <row r="146" spans="1:20" ht="13">
      <c r="A146" s="276" t="s">
        <v>88</v>
      </c>
      <c r="B146" s="276">
        <v>465183</v>
      </c>
      <c r="C146" s="304">
        <v>418.94</v>
      </c>
      <c r="D146" s="305">
        <v>91.89</v>
      </c>
      <c r="E146" s="306">
        <v>9.18</v>
      </c>
      <c r="F146" s="304"/>
      <c r="G146" s="305"/>
      <c r="H146" s="307"/>
      <c r="I146" s="304"/>
      <c r="J146" s="309"/>
      <c r="K146" s="307"/>
      <c r="L146" s="304"/>
      <c r="M146" s="309"/>
      <c r="N146" s="307"/>
      <c r="O146" s="333" t="s">
        <v>927</v>
      </c>
      <c r="P146" s="305">
        <f t="shared" si="13"/>
        <v>91.89</v>
      </c>
      <c r="Q146" s="307">
        <f t="shared" si="12"/>
        <v>17.68418761562738</v>
      </c>
      <c r="R146" s="302"/>
      <c r="S146" s="303"/>
      <c r="T146" s="280"/>
    </row>
    <row r="147" spans="1:20" ht="13">
      <c r="A147" s="276" t="s">
        <v>40</v>
      </c>
      <c r="B147" s="276">
        <v>465184</v>
      </c>
      <c r="C147" s="304">
        <v>3516.43</v>
      </c>
      <c r="D147" s="305">
        <v>707.08</v>
      </c>
      <c r="E147" s="306">
        <v>119.12</v>
      </c>
      <c r="F147" s="304"/>
      <c r="G147" s="305"/>
      <c r="H147" s="307"/>
      <c r="I147" s="304"/>
      <c r="J147" s="309"/>
      <c r="K147" s="307"/>
      <c r="L147" s="304"/>
      <c r="M147" s="309"/>
      <c r="N147" s="307"/>
      <c r="O147" s="333" t="s">
        <v>928</v>
      </c>
      <c r="P147" s="305">
        <f t="shared" si="13"/>
        <v>707.08</v>
      </c>
      <c r="Q147" s="307">
        <f t="shared" si="12"/>
        <v>6.2722747072467042</v>
      </c>
      <c r="R147" s="302"/>
      <c r="S147" s="303"/>
      <c r="T147" s="280"/>
    </row>
    <row r="148" spans="1:20" ht="13">
      <c r="A148" s="276" t="s">
        <v>75</v>
      </c>
      <c r="B148" s="276">
        <v>465185</v>
      </c>
      <c r="C148" s="304">
        <v>812.73</v>
      </c>
      <c r="D148" s="336">
        <v>174.79</v>
      </c>
      <c r="E148" s="306">
        <v>54.06</v>
      </c>
      <c r="F148" s="304"/>
      <c r="G148" s="305"/>
      <c r="H148" s="307"/>
      <c r="I148" s="304"/>
      <c r="J148" s="309"/>
      <c r="K148" s="307"/>
      <c r="L148" s="304"/>
      <c r="M148" s="309"/>
      <c r="N148" s="307"/>
      <c r="O148" s="333" t="s">
        <v>929</v>
      </c>
      <c r="P148" s="305">
        <f t="shared" si="13"/>
        <v>174.79</v>
      </c>
      <c r="Q148" s="307">
        <f t="shared" si="12"/>
        <v>7.1399965673093426</v>
      </c>
      <c r="R148" s="302"/>
      <c r="S148" s="303"/>
      <c r="T148" s="280"/>
    </row>
    <row r="149" spans="1:20" ht="13">
      <c r="A149" s="276" t="s">
        <v>859</v>
      </c>
      <c r="B149" s="276">
        <v>465186</v>
      </c>
      <c r="C149" s="304">
        <v>748.18</v>
      </c>
      <c r="D149" s="305">
        <v>153.81</v>
      </c>
      <c r="E149" s="306">
        <v>14.46</v>
      </c>
      <c r="F149" s="304"/>
      <c r="G149" s="305"/>
      <c r="H149" s="307"/>
      <c r="I149" s="304"/>
      <c r="J149" s="309"/>
      <c r="K149" s="307"/>
      <c r="L149" s="304"/>
      <c r="M149" s="309"/>
      <c r="N149" s="307"/>
      <c r="O149" s="333" t="s">
        <v>930</v>
      </c>
      <c r="P149" s="305">
        <f t="shared" si="13"/>
        <v>153.81</v>
      </c>
      <c r="Q149" s="307">
        <f t="shared" si="12"/>
        <v>8.0423899616409855</v>
      </c>
      <c r="R149" s="302"/>
      <c r="S149" s="303"/>
      <c r="T149" s="280"/>
    </row>
    <row r="150" spans="1:20" ht="13">
      <c r="A150" s="276" t="s">
        <v>192</v>
      </c>
      <c r="B150" s="276">
        <v>465187</v>
      </c>
      <c r="C150" s="304"/>
      <c r="D150" s="305"/>
      <c r="E150" s="306"/>
      <c r="F150" s="304"/>
      <c r="G150" s="305"/>
      <c r="H150" s="307"/>
      <c r="I150" s="304"/>
      <c r="J150" s="309"/>
      <c r="K150" s="307"/>
      <c r="L150" s="304"/>
      <c r="M150" s="309"/>
      <c r="N150" s="307"/>
      <c r="O150" s="333"/>
      <c r="P150" s="305">
        <f t="shared" si="13"/>
        <v>0</v>
      </c>
      <c r="Q150" s="307" t="e">
        <f t="shared" si="12"/>
        <v>#DIV/0!</v>
      </c>
      <c r="R150" s="302"/>
      <c r="S150" s="303"/>
      <c r="T150" s="280"/>
    </row>
    <row r="151" spans="1:20" ht="13">
      <c r="A151" s="337" t="s">
        <v>14</v>
      </c>
      <c r="B151" s="276">
        <v>465188</v>
      </c>
      <c r="C151" s="304">
        <v>2612.15</v>
      </c>
      <c r="D151" s="305">
        <v>557.77</v>
      </c>
      <c r="E151" s="306">
        <v>170.76</v>
      </c>
      <c r="F151" s="304"/>
      <c r="G151" s="305"/>
      <c r="H151" s="307"/>
      <c r="I151" s="304"/>
      <c r="J151" s="309"/>
      <c r="K151" s="307"/>
      <c r="L151" s="304"/>
      <c r="M151" s="309"/>
      <c r="N151" s="307"/>
      <c r="O151" s="333" t="s">
        <v>931</v>
      </c>
      <c r="P151" s="305">
        <f t="shared" si="13"/>
        <v>557.77</v>
      </c>
      <c r="Q151" s="307">
        <f t="shared" si="12"/>
        <v>6.0347455044193849E-3</v>
      </c>
      <c r="R151" s="302"/>
      <c r="S151" s="303"/>
      <c r="T151" s="280"/>
    </row>
    <row r="152" spans="1:20" ht="13">
      <c r="A152" s="313" t="s">
        <v>322</v>
      </c>
      <c r="B152" s="313">
        <v>465189</v>
      </c>
      <c r="C152" s="310">
        <v>1518.05</v>
      </c>
      <c r="D152" s="311">
        <v>325.43</v>
      </c>
      <c r="E152" s="314">
        <v>65.239999999999995</v>
      </c>
      <c r="F152" s="304"/>
      <c r="G152" s="305"/>
      <c r="H152" s="307"/>
      <c r="I152" s="310"/>
      <c r="J152" s="319"/>
      <c r="K152" s="312"/>
      <c r="L152" s="304"/>
      <c r="M152" s="309"/>
      <c r="N152" s="307"/>
      <c r="O152" s="333" t="s">
        <v>932</v>
      </c>
      <c r="P152" s="305">
        <f t="shared" si="13"/>
        <v>325.43</v>
      </c>
      <c r="Q152" s="307">
        <f t="shared" si="12"/>
        <v>5.3897919675506252</v>
      </c>
      <c r="R152" s="302"/>
      <c r="S152" s="303"/>
      <c r="T152" s="280"/>
    </row>
    <row r="153" spans="1:20" ht="13">
      <c r="A153" s="341" t="s">
        <v>901</v>
      </c>
      <c r="B153" s="313">
        <v>1650</v>
      </c>
      <c r="C153" s="310">
        <v>3875.69</v>
      </c>
      <c r="D153" s="311">
        <v>819.71</v>
      </c>
      <c r="E153" s="314">
        <v>183.75</v>
      </c>
      <c r="F153" s="315"/>
      <c r="G153" s="316"/>
      <c r="H153" s="317"/>
      <c r="I153" s="315"/>
      <c r="J153" s="320"/>
      <c r="K153" s="317"/>
      <c r="L153" s="315"/>
      <c r="M153" s="320"/>
      <c r="N153" s="317"/>
      <c r="O153" s="335" t="s">
        <v>933</v>
      </c>
      <c r="P153" s="305">
        <f t="shared" si="13"/>
        <v>819.71</v>
      </c>
      <c r="Q153" s="317">
        <f t="shared" si="12"/>
        <v>5.3958107135450337</v>
      </c>
      <c r="R153" s="303"/>
      <c r="S153" s="303"/>
      <c r="T153" s="329"/>
    </row>
    <row r="154" spans="1:20" ht="13">
      <c r="A154" s="469" t="s">
        <v>860</v>
      </c>
      <c r="B154" s="464"/>
      <c r="C154" s="321" t="s">
        <v>676</v>
      </c>
      <c r="D154" s="322" t="s">
        <v>861</v>
      </c>
      <c r="E154" s="323" t="s">
        <v>862</v>
      </c>
      <c r="F154" s="321" t="s">
        <v>676</v>
      </c>
      <c r="G154" s="322" t="s">
        <v>861</v>
      </c>
      <c r="H154" s="323" t="s">
        <v>862</v>
      </c>
      <c r="I154" s="321" t="s">
        <v>676</v>
      </c>
      <c r="J154" s="322" t="s">
        <v>861</v>
      </c>
      <c r="K154" s="323" t="s">
        <v>862</v>
      </c>
      <c r="L154" s="321" t="s">
        <v>676</v>
      </c>
      <c r="M154" s="322" t="s">
        <v>861</v>
      </c>
      <c r="N154" s="323" t="s">
        <v>862</v>
      </c>
      <c r="O154" s="321" t="s">
        <v>881</v>
      </c>
      <c r="P154" s="322" t="s">
        <v>861</v>
      </c>
      <c r="Q154" s="323" t="s">
        <v>865</v>
      </c>
      <c r="R154" s="280"/>
      <c r="S154" s="280"/>
      <c r="T154" s="280"/>
    </row>
    <row r="155" spans="1:20" ht="13">
      <c r="A155" s="470" t="s">
        <v>863</v>
      </c>
      <c r="B155" s="471"/>
      <c r="C155" s="326">
        <f t="shared" ref="C155:E155" si="14">SUM(C133:C152)+SUM(F133:F152)+SUM(I133:I152)+SUM(L133:L152)</f>
        <v>28252.149999999998</v>
      </c>
      <c r="D155" s="327">
        <f t="shared" si="14"/>
        <v>5975.5700000000015</v>
      </c>
      <c r="E155" s="328">
        <f t="shared" si="14"/>
        <v>1659.5100000000002</v>
      </c>
      <c r="F155" s="329"/>
      <c r="G155" s="329"/>
      <c r="H155" s="329"/>
      <c r="I155" s="329"/>
      <c r="J155" s="329"/>
      <c r="K155" s="329"/>
      <c r="L155" s="329"/>
      <c r="M155" s="329"/>
      <c r="N155" s="329"/>
      <c r="O155" s="329"/>
      <c r="P155" s="329"/>
      <c r="Q155" s="329"/>
      <c r="R155" s="280"/>
      <c r="S155" s="280"/>
      <c r="T155" s="280"/>
    </row>
    <row r="156" spans="1:20" ht="13">
      <c r="A156" s="329"/>
      <c r="B156" s="329"/>
      <c r="C156" s="329"/>
      <c r="D156" s="329"/>
      <c r="E156" s="329"/>
      <c r="F156" s="329"/>
      <c r="G156" s="329"/>
      <c r="H156" s="329"/>
      <c r="I156" s="329"/>
      <c r="J156" s="329"/>
      <c r="K156" s="329"/>
      <c r="L156" s="329"/>
      <c r="M156" s="329"/>
      <c r="N156" s="329"/>
      <c r="O156" s="329"/>
      <c r="P156" s="329"/>
      <c r="Q156" s="329"/>
      <c r="R156" s="329"/>
      <c r="S156" s="329"/>
      <c r="T156" s="280"/>
    </row>
    <row r="157" spans="1:20" ht="13">
      <c r="A157" s="286" t="s">
        <v>934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291"/>
      <c r="S157" s="280"/>
      <c r="T157" s="280"/>
    </row>
    <row r="158" spans="1:20" ht="13">
      <c r="A158" s="287" t="s">
        <v>849</v>
      </c>
      <c r="B158" s="287" t="s">
        <v>1</v>
      </c>
      <c r="C158" s="462" t="s">
        <v>850</v>
      </c>
      <c r="D158" s="463"/>
      <c r="E158" s="464"/>
      <c r="F158" s="465" t="s">
        <v>851</v>
      </c>
      <c r="G158" s="466"/>
      <c r="H158" s="467"/>
      <c r="I158" s="468" t="s">
        <v>852</v>
      </c>
      <c r="J158" s="463"/>
      <c r="K158" s="464"/>
      <c r="L158" s="465" t="s">
        <v>852</v>
      </c>
      <c r="M158" s="466"/>
      <c r="N158" s="467"/>
      <c r="O158" s="289" t="s">
        <v>865</v>
      </c>
      <c r="P158" s="339"/>
      <c r="Q158" s="339"/>
      <c r="R158" s="291"/>
      <c r="S158" s="280"/>
      <c r="T158" s="280"/>
    </row>
    <row r="159" spans="1:20" ht="13">
      <c r="A159" s="292" t="s">
        <v>40</v>
      </c>
      <c r="B159" s="293">
        <v>352368</v>
      </c>
      <c r="C159" s="294">
        <v>1514.53</v>
      </c>
      <c r="D159" s="295">
        <v>303.82</v>
      </c>
      <c r="E159" s="296">
        <v>24.77</v>
      </c>
      <c r="F159" s="294"/>
      <c r="G159" s="295"/>
      <c r="H159" s="297"/>
      <c r="I159" s="294"/>
      <c r="J159" s="301"/>
      <c r="K159" s="297"/>
      <c r="L159" s="294"/>
      <c r="M159" s="301"/>
      <c r="N159" s="297"/>
      <c r="O159" s="331" t="s">
        <v>918</v>
      </c>
      <c r="P159" s="305">
        <f t="shared" ref="P159:P162" si="15">D159</f>
        <v>303.82</v>
      </c>
      <c r="Q159" s="297">
        <f t="shared" ref="Q159:Q179" si="16">O159/P159</f>
        <v>5.8587321440326514</v>
      </c>
      <c r="R159" s="302"/>
      <c r="S159" s="303"/>
      <c r="T159" s="280"/>
    </row>
    <row r="160" spans="1:20" ht="13">
      <c r="A160" s="276" t="s">
        <v>82</v>
      </c>
      <c r="B160" s="276">
        <v>352371</v>
      </c>
      <c r="C160" s="304">
        <v>2774.91</v>
      </c>
      <c r="D160" s="305">
        <v>630.29</v>
      </c>
      <c r="E160" s="306">
        <v>258.08999999999997</v>
      </c>
      <c r="F160" s="304"/>
      <c r="G160" s="305"/>
      <c r="H160" s="307"/>
      <c r="I160" s="304"/>
      <c r="J160" s="309"/>
      <c r="K160" s="307"/>
      <c r="L160" s="304"/>
      <c r="M160" s="309"/>
      <c r="N160" s="307"/>
      <c r="O160" s="333" t="s">
        <v>935</v>
      </c>
      <c r="P160" s="305">
        <f t="shared" si="15"/>
        <v>630.29</v>
      </c>
      <c r="Q160" s="307">
        <f t="shared" si="16"/>
        <v>4.1933078424217429</v>
      </c>
      <c r="R160" s="302"/>
      <c r="S160" s="303"/>
      <c r="T160" s="280"/>
    </row>
    <row r="161" spans="1:20" ht="13">
      <c r="A161" s="276" t="s">
        <v>883</v>
      </c>
      <c r="B161" s="276">
        <v>352372</v>
      </c>
      <c r="C161" s="304">
        <v>3029.45</v>
      </c>
      <c r="D161" s="305">
        <v>639.89</v>
      </c>
      <c r="E161" s="306">
        <v>128.62</v>
      </c>
      <c r="F161" s="304"/>
      <c r="G161" s="305"/>
      <c r="H161" s="307"/>
      <c r="I161" s="304"/>
      <c r="J161" s="309"/>
      <c r="K161" s="307"/>
      <c r="L161" s="304"/>
      <c r="M161" s="309"/>
      <c r="N161" s="307"/>
      <c r="O161" s="333" t="s">
        <v>936</v>
      </c>
      <c r="P161" s="305">
        <f t="shared" si="15"/>
        <v>639.89</v>
      </c>
      <c r="Q161" s="307">
        <f t="shared" si="16"/>
        <v>6.1354295269499444</v>
      </c>
      <c r="R161" s="302"/>
      <c r="S161" s="303"/>
      <c r="T161" s="280"/>
    </row>
    <row r="162" spans="1:20" ht="13">
      <c r="A162" s="276"/>
      <c r="B162" s="276">
        <v>352373</v>
      </c>
      <c r="C162" s="304"/>
      <c r="D162" s="305"/>
      <c r="E162" s="306"/>
      <c r="F162" s="304"/>
      <c r="G162" s="305"/>
      <c r="H162" s="307"/>
      <c r="I162" s="304"/>
      <c r="J162" s="309"/>
      <c r="K162" s="307"/>
      <c r="L162" s="304"/>
      <c r="M162" s="309"/>
      <c r="N162" s="307"/>
      <c r="O162" s="333"/>
      <c r="P162" s="305">
        <f t="shared" si="15"/>
        <v>0</v>
      </c>
      <c r="Q162" s="307" t="e">
        <f t="shared" si="16"/>
        <v>#DIV/0!</v>
      </c>
      <c r="R162" s="302"/>
      <c r="S162" s="303"/>
      <c r="T162" s="280"/>
    </row>
    <row r="163" spans="1:20" ht="13">
      <c r="A163" s="276"/>
      <c r="B163" s="276">
        <v>352374</v>
      </c>
      <c r="C163" s="304"/>
      <c r="D163" s="305"/>
      <c r="E163" s="306"/>
      <c r="F163" s="304"/>
      <c r="G163" s="305"/>
      <c r="H163" s="307"/>
      <c r="I163" s="304"/>
      <c r="J163" s="309"/>
      <c r="K163" s="307"/>
      <c r="L163" s="304"/>
      <c r="M163" s="309"/>
      <c r="N163" s="307"/>
      <c r="O163" s="333"/>
      <c r="P163" s="305">
        <f>D163+J163+M163</f>
        <v>0</v>
      </c>
      <c r="Q163" s="307" t="e">
        <f t="shared" si="16"/>
        <v>#DIV/0!</v>
      </c>
      <c r="R163" s="302"/>
      <c r="S163" s="303"/>
      <c r="T163" s="280"/>
    </row>
    <row r="164" spans="1:20" ht="13">
      <c r="A164" s="276"/>
      <c r="B164" s="276">
        <v>352375</v>
      </c>
      <c r="C164" s="304"/>
      <c r="D164" s="305"/>
      <c r="E164" s="306"/>
      <c r="F164" s="304"/>
      <c r="G164" s="305"/>
      <c r="H164" s="307"/>
      <c r="I164" s="304"/>
      <c r="J164" s="309"/>
      <c r="K164" s="307"/>
      <c r="L164" s="304"/>
      <c r="M164" s="309"/>
      <c r="N164" s="307"/>
      <c r="O164" s="333"/>
      <c r="P164" s="305">
        <f t="shared" ref="P164:P179" si="17">D164</f>
        <v>0</v>
      </c>
      <c r="Q164" s="307" t="e">
        <f t="shared" si="16"/>
        <v>#DIV/0!</v>
      </c>
      <c r="R164" s="302"/>
      <c r="S164" s="303"/>
      <c r="T164" s="280"/>
    </row>
    <row r="165" spans="1:20" ht="13">
      <c r="A165" s="276" t="s">
        <v>62</v>
      </c>
      <c r="B165" s="276">
        <v>352376</v>
      </c>
      <c r="C165" s="342">
        <v>2480.17</v>
      </c>
      <c r="D165" s="305">
        <v>551.16999999999996</v>
      </c>
      <c r="E165" s="306">
        <v>170.62</v>
      </c>
      <c r="F165" s="304"/>
      <c r="G165" s="305"/>
      <c r="H165" s="307"/>
      <c r="I165" s="304"/>
      <c r="J165" s="309"/>
      <c r="K165" s="307"/>
      <c r="L165" s="304"/>
      <c r="M165" s="309"/>
      <c r="N165" s="307"/>
      <c r="O165" s="333" t="s">
        <v>937</v>
      </c>
      <c r="P165" s="305">
        <f t="shared" si="17"/>
        <v>551.16999999999996</v>
      </c>
      <c r="Q165" s="307">
        <f t="shared" si="16"/>
        <v>5.7350726636065099</v>
      </c>
      <c r="R165" s="302"/>
      <c r="S165" s="303"/>
      <c r="T165" s="280"/>
    </row>
    <row r="166" spans="1:20" ht="13">
      <c r="A166" s="276" t="s">
        <v>907</v>
      </c>
      <c r="B166" s="276">
        <v>352377</v>
      </c>
      <c r="C166" s="304">
        <v>2257.79</v>
      </c>
      <c r="D166" s="305">
        <v>474.84</v>
      </c>
      <c r="E166" s="306">
        <v>146.68</v>
      </c>
      <c r="F166" s="304"/>
      <c r="G166" s="305"/>
      <c r="H166" s="307"/>
      <c r="I166" s="304"/>
      <c r="J166" s="309"/>
      <c r="K166" s="307"/>
      <c r="L166" s="304"/>
      <c r="M166" s="309"/>
      <c r="N166" s="307"/>
      <c r="O166" s="333" t="s">
        <v>938</v>
      </c>
      <c r="P166" s="305">
        <f t="shared" si="17"/>
        <v>474.84</v>
      </c>
      <c r="Q166" s="307">
        <f t="shared" si="16"/>
        <v>7.0887035633055353</v>
      </c>
      <c r="R166" s="302"/>
      <c r="S166" s="303"/>
      <c r="T166" s="280"/>
    </row>
    <row r="167" spans="1:20" ht="13">
      <c r="A167" s="276" t="s">
        <v>939</v>
      </c>
      <c r="B167" s="276">
        <v>359885</v>
      </c>
      <c r="C167" s="304">
        <v>3309.09</v>
      </c>
      <c r="D167" s="305">
        <v>653.46</v>
      </c>
      <c r="E167" s="306">
        <v>62.75</v>
      </c>
      <c r="F167" s="304"/>
      <c r="G167" s="305"/>
      <c r="H167" s="307"/>
      <c r="I167" s="304"/>
      <c r="J167" s="309"/>
      <c r="K167" s="307"/>
      <c r="L167" s="304"/>
      <c r="M167" s="309"/>
      <c r="N167" s="307"/>
      <c r="O167" s="333" t="s">
        <v>940</v>
      </c>
      <c r="P167" s="305">
        <f t="shared" si="17"/>
        <v>653.46</v>
      </c>
      <c r="Q167" s="307">
        <f t="shared" si="16"/>
        <v>4.5220824534018913</v>
      </c>
      <c r="R167" s="302"/>
      <c r="S167" s="303"/>
      <c r="T167" s="280"/>
    </row>
    <row r="168" spans="1:20" ht="13">
      <c r="A168" s="276" t="s">
        <v>917</v>
      </c>
      <c r="B168" s="276">
        <v>359886</v>
      </c>
      <c r="C168" s="304">
        <v>2064.67</v>
      </c>
      <c r="D168" s="305">
        <v>420.75</v>
      </c>
      <c r="E168" s="306">
        <v>41.41</v>
      </c>
      <c r="F168" s="304"/>
      <c r="G168" s="305"/>
      <c r="H168" s="307"/>
      <c r="I168" s="304"/>
      <c r="J168" s="309"/>
      <c r="K168" s="307"/>
      <c r="L168" s="304"/>
      <c r="M168" s="309"/>
      <c r="N168" s="307"/>
      <c r="O168" s="333" t="s">
        <v>941</v>
      </c>
      <c r="P168" s="305">
        <f t="shared" si="17"/>
        <v>420.75</v>
      </c>
      <c r="Q168" s="307">
        <f t="shared" si="16"/>
        <v>4.8270944741532977</v>
      </c>
      <c r="R168" s="302"/>
      <c r="S168" s="303"/>
      <c r="T168" s="280"/>
    </row>
    <row r="169" spans="1:20" ht="13">
      <c r="A169" s="276" t="s">
        <v>319</v>
      </c>
      <c r="B169" s="276">
        <v>465180</v>
      </c>
      <c r="C169" s="304">
        <v>2012.06</v>
      </c>
      <c r="D169" s="305">
        <v>429.94</v>
      </c>
      <c r="E169" s="306">
        <v>131.72</v>
      </c>
      <c r="F169" s="304"/>
      <c r="G169" s="305"/>
      <c r="H169" s="307"/>
      <c r="I169" s="304"/>
      <c r="J169" s="309"/>
      <c r="K169" s="307"/>
      <c r="L169" s="304"/>
      <c r="M169" s="309"/>
      <c r="N169" s="307"/>
      <c r="O169" s="333" t="s">
        <v>942</v>
      </c>
      <c r="P169" s="305">
        <f t="shared" si="17"/>
        <v>429.94</v>
      </c>
      <c r="Q169" s="307">
        <f t="shared" si="16"/>
        <v>7.3917290784760663</v>
      </c>
      <c r="R169" s="302"/>
      <c r="S169" s="303"/>
      <c r="T169" s="280"/>
    </row>
    <row r="170" spans="1:20" ht="13">
      <c r="A170" s="276" t="s">
        <v>858</v>
      </c>
      <c r="B170" s="276">
        <v>465181</v>
      </c>
      <c r="C170" s="304">
        <v>2614.1</v>
      </c>
      <c r="D170" s="305">
        <v>525.92999999999995</v>
      </c>
      <c r="E170" s="306">
        <v>98.05</v>
      </c>
      <c r="F170" s="304"/>
      <c r="G170" s="305"/>
      <c r="H170" s="307"/>
      <c r="I170" s="304"/>
      <c r="J170" s="309"/>
      <c r="K170" s="307"/>
      <c r="L170" s="304"/>
      <c r="M170" s="309"/>
      <c r="N170" s="307"/>
      <c r="O170" s="333" t="s">
        <v>943</v>
      </c>
      <c r="P170" s="305">
        <f t="shared" si="17"/>
        <v>525.92999999999995</v>
      </c>
      <c r="Q170" s="307">
        <f t="shared" si="16"/>
        <v>6.5255832525241004</v>
      </c>
      <c r="R170" s="302"/>
      <c r="S170" s="303"/>
      <c r="T170" s="280"/>
    </row>
    <row r="171" spans="1:20" ht="13">
      <c r="A171" s="276" t="s">
        <v>191</v>
      </c>
      <c r="B171" s="276">
        <v>465182</v>
      </c>
      <c r="C171" s="304">
        <v>2893.95</v>
      </c>
      <c r="D171" s="305">
        <v>598.55999999999995</v>
      </c>
      <c r="E171" s="306">
        <v>165.18</v>
      </c>
      <c r="F171" s="304"/>
      <c r="G171" s="305"/>
      <c r="H171" s="307"/>
      <c r="I171" s="304"/>
      <c r="J171" s="309"/>
      <c r="K171" s="307"/>
      <c r="L171" s="304"/>
      <c r="M171" s="309"/>
      <c r="N171" s="307"/>
      <c r="O171" s="333" t="s">
        <v>944</v>
      </c>
      <c r="P171" s="305">
        <f t="shared" si="17"/>
        <v>598.55999999999995</v>
      </c>
      <c r="Q171" s="307">
        <f t="shared" si="16"/>
        <v>5.7320903501737508</v>
      </c>
      <c r="R171" s="302"/>
      <c r="S171" s="303"/>
      <c r="T171" s="280"/>
    </row>
    <row r="172" spans="1:20" ht="13">
      <c r="A172" s="276" t="s">
        <v>88</v>
      </c>
      <c r="B172" s="276">
        <v>465183</v>
      </c>
      <c r="C172" s="304">
        <v>2643.29</v>
      </c>
      <c r="D172" s="305">
        <v>579.85</v>
      </c>
      <c r="E172" s="305">
        <v>165.37</v>
      </c>
      <c r="F172" s="304"/>
      <c r="G172" s="305"/>
      <c r="H172" s="307"/>
      <c r="I172" s="304"/>
      <c r="J172" s="309"/>
      <c r="K172" s="307"/>
      <c r="L172" s="304"/>
      <c r="M172" s="309"/>
      <c r="N172" s="307"/>
      <c r="O172" s="333" t="s">
        <v>945</v>
      </c>
      <c r="P172" s="305">
        <f t="shared" si="17"/>
        <v>579.85</v>
      </c>
      <c r="Q172" s="307">
        <f t="shared" si="16"/>
        <v>4.8409071311546086</v>
      </c>
      <c r="R172" s="302"/>
      <c r="S172" s="303"/>
      <c r="T172" s="280"/>
    </row>
    <row r="173" spans="1:20" ht="13">
      <c r="A173" s="276" t="s">
        <v>40</v>
      </c>
      <c r="B173" s="276">
        <v>465184</v>
      </c>
      <c r="C173" s="304"/>
      <c r="D173" s="305"/>
      <c r="E173" s="306"/>
      <c r="F173" s="304"/>
      <c r="G173" s="305"/>
      <c r="H173" s="307"/>
      <c r="I173" s="304"/>
      <c r="J173" s="309"/>
      <c r="K173" s="307"/>
      <c r="L173" s="304"/>
      <c r="M173" s="309"/>
      <c r="N173" s="307"/>
      <c r="O173" s="333"/>
      <c r="P173" s="305">
        <f t="shared" si="17"/>
        <v>0</v>
      </c>
      <c r="Q173" s="307" t="e">
        <f t="shared" si="16"/>
        <v>#DIV/0!</v>
      </c>
      <c r="R173" s="302"/>
      <c r="S173" s="303"/>
      <c r="T173" s="280"/>
    </row>
    <row r="174" spans="1:20" ht="13">
      <c r="A174" s="276" t="s">
        <v>75</v>
      </c>
      <c r="B174" s="276">
        <v>465185</v>
      </c>
      <c r="C174" s="304">
        <v>2958.11</v>
      </c>
      <c r="D174" s="336">
        <v>592.64</v>
      </c>
      <c r="E174" s="306">
        <v>170.86</v>
      </c>
      <c r="F174" s="304"/>
      <c r="G174" s="305"/>
      <c r="H174" s="307"/>
      <c r="I174" s="304"/>
      <c r="J174" s="309"/>
      <c r="K174" s="307"/>
      <c r="L174" s="304"/>
      <c r="M174" s="309"/>
      <c r="N174" s="307"/>
      <c r="O174" s="333" t="s">
        <v>946</v>
      </c>
      <c r="P174" s="305">
        <f t="shared" si="17"/>
        <v>592.64</v>
      </c>
      <c r="Q174" s="307">
        <f t="shared" si="16"/>
        <v>6.0120815334773221</v>
      </c>
      <c r="R174" s="302"/>
      <c r="S174" s="303"/>
      <c r="T174" s="280"/>
    </row>
    <row r="175" spans="1:20" ht="13">
      <c r="A175" s="276" t="s">
        <v>859</v>
      </c>
      <c r="B175" s="276">
        <v>465186</v>
      </c>
      <c r="C175" s="304">
        <v>525.25</v>
      </c>
      <c r="D175" s="305">
        <v>113.92</v>
      </c>
      <c r="E175" s="306">
        <v>35.19</v>
      </c>
      <c r="F175" s="304"/>
      <c r="G175" s="305"/>
      <c r="H175" s="307"/>
      <c r="I175" s="304"/>
      <c r="J175" s="309"/>
      <c r="K175" s="307"/>
      <c r="L175" s="304"/>
      <c r="M175" s="309"/>
      <c r="N175" s="307"/>
      <c r="O175" s="333" t="s">
        <v>947</v>
      </c>
      <c r="P175" s="305">
        <f t="shared" si="17"/>
        <v>113.92</v>
      </c>
      <c r="Q175" s="307">
        <f t="shared" si="16"/>
        <v>10.75316011235955</v>
      </c>
      <c r="R175" s="302"/>
      <c r="S175" s="303"/>
      <c r="T175" s="280"/>
    </row>
    <row r="176" spans="1:20" ht="13">
      <c r="A176" s="276" t="s">
        <v>192</v>
      </c>
      <c r="B176" s="276">
        <v>465187</v>
      </c>
      <c r="C176" s="304">
        <v>1657.73</v>
      </c>
      <c r="D176" s="305">
        <v>327.45999999999998</v>
      </c>
      <c r="E176" s="306">
        <v>71.02</v>
      </c>
      <c r="F176" s="304"/>
      <c r="G176" s="305"/>
      <c r="H176" s="307"/>
      <c r="I176" s="304"/>
      <c r="J176" s="309"/>
      <c r="K176" s="307"/>
      <c r="L176" s="304"/>
      <c r="M176" s="309"/>
      <c r="N176" s="307"/>
      <c r="O176" s="333" t="s">
        <v>948</v>
      </c>
      <c r="P176" s="305">
        <f t="shared" si="17"/>
        <v>327.45999999999998</v>
      </c>
      <c r="Q176" s="307">
        <f t="shared" si="16"/>
        <v>4.1806632871190379</v>
      </c>
      <c r="R176" s="302"/>
      <c r="S176" s="303"/>
      <c r="T176" s="280"/>
    </row>
    <row r="177" spans="1:20" ht="13">
      <c r="A177" s="337" t="s">
        <v>14</v>
      </c>
      <c r="B177" s="276">
        <v>352374</v>
      </c>
      <c r="C177" s="304">
        <v>2002.37</v>
      </c>
      <c r="D177" s="305">
        <v>423.62</v>
      </c>
      <c r="E177" s="306">
        <v>130.12</v>
      </c>
      <c r="F177" s="304"/>
      <c r="G177" s="305"/>
      <c r="H177" s="307"/>
      <c r="I177" s="304"/>
      <c r="J177" s="309"/>
      <c r="K177" s="307"/>
      <c r="L177" s="304"/>
      <c r="M177" s="309"/>
      <c r="N177" s="307"/>
      <c r="O177" s="333" t="s">
        <v>949</v>
      </c>
      <c r="P177" s="305">
        <f t="shared" si="17"/>
        <v>423.62</v>
      </c>
      <c r="Q177" s="307">
        <f t="shared" si="16"/>
        <v>6.5365185779708233</v>
      </c>
      <c r="R177" s="302"/>
      <c r="S177" s="303"/>
      <c r="T177" s="280"/>
    </row>
    <row r="178" spans="1:20" ht="13">
      <c r="A178" s="313" t="s">
        <v>322</v>
      </c>
      <c r="B178" s="313">
        <v>465189</v>
      </c>
      <c r="C178" s="310">
        <v>2921.93</v>
      </c>
      <c r="D178" s="311">
        <v>603.73</v>
      </c>
      <c r="E178" s="314">
        <v>71.73</v>
      </c>
      <c r="F178" s="304"/>
      <c r="G178" s="305"/>
      <c r="H178" s="307"/>
      <c r="I178" s="310"/>
      <c r="J178" s="319"/>
      <c r="K178" s="312"/>
      <c r="L178" s="304"/>
      <c r="M178" s="309"/>
      <c r="N178" s="307"/>
      <c r="O178" s="333" t="s">
        <v>950</v>
      </c>
      <c r="P178" s="305">
        <f t="shared" si="17"/>
        <v>603.73</v>
      </c>
      <c r="Q178" s="307">
        <f t="shared" si="16"/>
        <v>7.4370993656104547</v>
      </c>
      <c r="R178" s="302"/>
      <c r="S178" s="303"/>
      <c r="T178" s="280"/>
    </row>
    <row r="179" spans="1:20" ht="13">
      <c r="A179" s="341" t="s">
        <v>901</v>
      </c>
      <c r="B179" s="313">
        <v>1650</v>
      </c>
      <c r="C179" s="310">
        <v>576.16999999999996</v>
      </c>
      <c r="D179" s="311">
        <v>127.27</v>
      </c>
      <c r="E179" s="314">
        <v>12.71</v>
      </c>
      <c r="F179" s="315"/>
      <c r="G179" s="316"/>
      <c r="H179" s="317"/>
      <c r="I179" s="315"/>
      <c r="J179" s="320"/>
      <c r="K179" s="317"/>
      <c r="L179" s="315"/>
      <c r="M179" s="320"/>
      <c r="N179" s="317"/>
      <c r="O179" s="335" t="s">
        <v>951</v>
      </c>
      <c r="P179" s="305">
        <f t="shared" si="17"/>
        <v>127.27</v>
      </c>
      <c r="Q179" s="317">
        <f t="shared" si="16"/>
        <v>5.6101202168617901</v>
      </c>
      <c r="R179" s="303"/>
      <c r="S179" s="303"/>
      <c r="T179" s="329"/>
    </row>
    <row r="180" spans="1:20" ht="13">
      <c r="A180" s="469" t="s">
        <v>860</v>
      </c>
      <c r="B180" s="464"/>
      <c r="C180" s="321" t="s">
        <v>676</v>
      </c>
      <c r="D180" s="322" t="s">
        <v>861</v>
      </c>
      <c r="E180" s="323" t="s">
        <v>862</v>
      </c>
      <c r="F180" s="321" t="s">
        <v>676</v>
      </c>
      <c r="G180" s="322" t="s">
        <v>861</v>
      </c>
      <c r="H180" s="323" t="s">
        <v>862</v>
      </c>
      <c r="I180" s="321" t="s">
        <v>676</v>
      </c>
      <c r="J180" s="322" t="s">
        <v>861</v>
      </c>
      <c r="K180" s="323" t="s">
        <v>862</v>
      </c>
      <c r="L180" s="321" t="s">
        <v>676</v>
      </c>
      <c r="M180" s="322" t="s">
        <v>861</v>
      </c>
      <c r="N180" s="323" t="s">
        <v>862</v>
      </c>
      <c r="O180" s="321" t="s">
        <v>881</v>
      </c>
      <c r="P180" s="322" t="s">
        <v>861</v>
      </c>
      <c r="Q180" s="323" t="s">
        <v>865</v>
      </c>
      <c r="R180" s="280"/>
      <c r="S180" s="280"/>
      <c r="T180" s="280"/>
    </row>
    <row r="181" spans="1:20" ht="13">
      <c r="A181" s="470" t="s">
        <v>863</v>
      </c>
      <c r="B181" s="471"/>
      <c r="C181" s="326">
        <f t="shared" ref="C181:E181" si="18">SUM(C159:C178)+SUM(F159:F178)+SUM(I159:I178)+SUM(L159:L178)</f>
        <v>37659.4</v>
      </c>
      <c r="D181" s="327">
        <f t="shared" si="18"/>
        <v>7869.8700000000008</v>
      </c>
      <c r="E181" s="328">
        <f t="shared" si="18"/>
        <v>1872.1800000000003</v>
      </c>
      <c r="F181" s="329"/>
      <c r="G181" s="329"/>
      <c r="H181" s="329"/>
      <c r="I181" s="329"/>
      <c r="J181" s="329"/>
      <c r="K181" s="329"/>
      <c r="L181" s="329"/>
      <c r="M181" s="329"/>
      <c r="N181" s="329"/>
      <c r="O181" s="329"/>
      <c r="P181" s="329"/>
      <c r="Q181" s="329"/>
      <c r="R181" s="280"/>
      <c r="S181" s="280"/>
      <c r="T181" s="280"/>
    </row>
    <row r="182" spans="1:20" ht="13">
      <c r="A182" s="329"/>
      <c r="B182" s="329"/>
      <c r="C182" s="329"/>
      <c r="D182" s="329"/>
      <c r="E182" s="329"/>
      <c r="F182" s="329"/>
      <c r="G182" s="329"/>
      <c r="H182" s="329"/>
      <c r="I182" s="329"/>
      <c r="J182" s="329"/>
      <c r="K182" s="329"/>
      <c r="L182" s="329"/>
      <c r="M182" s="329"/>
      <c r="N182" s="329"/>
      <c r="O182" s="329"/>
      <c r="P182" s="329"/>
      <c r="Q182" s="329"/>
      <c r="R182" s="329"/>
      <c r="S182" s="329"/>
      <c r="T182" s="280"/>
    </row>
    <row r="183" spans="1:20" ht="13">
      <c r="A183" s="286" t="s">
        <v>952</v>
      </c>
      <c r="B183" s="330"/>
      <c r="C183" s="330"/>
      <c r="D183" s="330"/>
      <c r="E183" s="330"/>
      <c r="F183" s="330"/>
      <c r="G183" s="330"/>
      <c r="H183" s="330"/>
      <c r="I183" s="330"/>
      <c r="J183" s="330"/>
      <c r="K183" s="330"/>
      <c r="L183" s="330"/>
      <c r="M183" s="330"/>
      <c r="N183" s="330"/>
      <c r="O183" s="330"/>
      <c r="P183" s="330"/>
      <c r="Q183" s="330"/>
      <c r="R183" s="291"/>
      <c r="S183" s="280"/>
      <c r="T183" s="280"/>
    </row>
    <row r="184" spans="1:20" ht="13">
      <c r="A184" s="287" t="s">
        <v>849</v>
      </c>
      <c r="B184" s="287" t="s">
        <v>1</v>
      </c>
      <c r="C184" s="462" t="s">
        <v>850</v>
      </c>
      <c r="D184" s="463"/>
      <c r="E184" s="464"/>
      <c r="F184" s="465" t="s">
        <v>851</v>
      </c>
      <c r="G184" s="466"/>
      <c r="H184" s="467"/>
      <c r="I184" s="468" t="s">
        <v>852</v>
      </c>
      <c r="J184" s="463"/>
      <c r="K184" s="464"/>
      <c r="L184" s="465" t="s">
        <v>852</v>
      </c>
      <c r="M184" s="466"/>
      <c r="N184" s="467"/>
      <c r="O184" s="289" t="s">
        <v>865</v>
      </c>
      <c r="P184" s="339"/>
      <c r="Q184" s="339"/>
      <c r="R184" s="291"/>
      <c r="S184" s="280"/>
      <c r="T184" s="280"/>
    </row>
    <row r="185" spans="1:20" ht="13">
      <c r="A185" s="292" t="s">
        <v>40</v>
      </c>
      <c r="B185" s="293">
        <v>352368</v>
      </c>
      <c r="C185" s="294">
        <v>1832.87</v>
      </c>
      <c r="D185" s="295">
        <v>379.31</v>
      </c>
      <c r="E185" s="296">
        <v>69.87</v>
      </c>
      <c r="F185" s="294"/>
      <c r="G185" s="295"/>
      <c r="H185" s="297"/>
      <c r="I185" s="294"/>
      <c r="J185" s="301"/>
      <c r="K185" s="297"/>
      <c r="L185" s="294"/>
      <c r="M185" s="301"/>
      <c r="N185" s="297"/>
      <c r="O185" s="331" t="s">
        <v>953</v>
      </c>
      <c r="P185" s="305">
        <f t="shared" ref="P185:P188" si="19">D185</f>
        <v>379.31</v>
      </c>
      <c r="Q185" s="297">
        <f t="shared" ref="Q185:Q205" si="20">O185/P185</f>
        <v>1.3155466504969551</v>
      </c>
      <c r="R185" s="302"/>
      <c r="S185" s="303"/>
      <c r="T185" s="280"/>
    </row>
    <row r="186" spans="1:20" ht="13">
      <c r="A186" s="276" t="s">
        <v>82</v>
      </c>
      <c r="B186" s="276">
        <v>352371</v>
      </c>
      <c r="C186" s="304">
        <v>2654.29</v>
      </c>
      <c r="D186" s="305">
        <v>539.67999999999995</v>
      </c>
      <c r="E186" s="306">
        <v>167.99</v>
      </c>
      <c r="F186" s="304"/>
      <c r="G186" s="305"/>
      <c r="H186" s="307"/>
      <c r="I186" s="304"/>
      <c r="J186" s="309"/>
      <c r="K186" s="307"/>
      <c r="L186" s="304"/>
      <c r="M186" s="309"/>
      <c r="N186" s="307"/>
      <c r="O186" s="333" t="s">
        <v>954</v>
      </c>
      <c r="P186" s="305">
        <f t="shared" si="19"/>
        <v>539.67999999999995</v>
      </c>
      <c r="Q186" s="307">
        <f t="shared" si="20"/>
        <v>7.8639193596205166</v>
      </c>
      <c r="R186" s="302"/>
      <c r="S186" s="303"/>
      <c r="T186" s="280"/>
    </row>
    <row r="187" spans="1:20" ht="13">
      <c r="A187" s="276" t="s">
        <v>883</v>
      </c>
      <c r="B187" s="276">
        <v>352372</v>
      </c>
      <c r="C187" s="304">
        <v>1889.25</v>
      </c>
      <c r="D187" s="305">
        <v>407.63</v>
      </c>
      <c r="E187" s="306">
        <v>102.64</v>
      </c>
      <c r="F187" s="304"/>
      <c r="G187" s="305"/>
      <c r="H187" s="307"/>
      <c r="I187" s="304"/>
      <c r="J187" s="309"/>
      <c r="K187" s="307"/>
      <c r="L187" s="304"/>
      <c r="M187" s="309"/>
      <c r="N187" s="307"/>
      <c r="O187" s="333" t="s">
        <v>955</v>
      </c>
      <c r="P187" s="305">
        <f t="shared" si="19"/>
        <v>407.63</v>
      </c>
      <c r="Q187" s="307">
        <f t="shared" si="20"/>
        <v>7.6147486691362269</v>
      </c>
      <c r="R187" s="302"/>
      <c r="S187" s="303"/>
      <c r="T187" s="280"/>
    </row>
    <row r="188" spans="1:20" ht="13">
      <c r="A188" s="276"/>
      <c r="B188" s="276">
        <v>352373</v>
      </c>
      <c r="C188" s="304"/>
      <c r="D188" s="305"/>
      <c r="E188" s="306"/>
      <c r="F188" s="304"/>
      <c r="G188" s="305"/>
      <c r="H188" s="307"/>
      <c r="I188" s="304"/>
      <c r="J188" s="309"/>
      <c r="K188" s="307"/>
      <c r="L188" s="304"/>
      <c r="M188" s="309"/>
      <c r="N188" s="307"/>
      <c r="O188" s="333"/>
      <c r="P188" s="305">
        <f t="shared" si="19"/>
        <v>0</v>
      </c>
      <c r="Q188" s="307" t="e">
        <f t="shared" si="20"/>
        <v>#DIV/0!</v>
      </c>
      <c r="R188" s="302"/>
      <c r="S188" s="303"/>
      <c r="T188" s="280"/>
    </row>
    <row r="189" spans="1:20" ht="13">
      <c r="A189" s="276"/>
      <c r="B189" s="276">
        <v>465188</v>
      </c>
      <c r="C189" s="304">
        <v>1109.47</v>
      </c>
      <c r="D189" s="305">
        <v>240.2</v>
      </c>
      <c r="E189" s="306">
        <v>74.13</v>
      </c>
      <c r="F189" s="304"/>
      <c r="G189" s="305"/>
      <c r="H189" s="307"/>
      <c r="I189" s="304"/>
      <c r="J189" s="309"/>
      <c r="K189" s="307"/>
      <c r="L189" s="304"/>
      <c r="M189" s="309"/>
      <c r="N189" s="307"/>
      <c r="O189" s="333"/>
      <c r="P189" s="305"/>
      <c r="Q189" s="307" t="e">
        <f t="shared" si="20"/>
        <v>#DIV/0!</v>
      </c>
      <c r="R189" s="302"/>
      <c r="S189" s="303"/>
      <c r="T189" s="280"/>
    </row>
    <row r="190" spans="1:20" ht="13">
      <c r="A190" s="276"/>
      <c r="B190" s="276">
        <v>352375</v>
      </c>
      <c r="C190" s="304"/>
      <c r="D190" s="305"/>
      <c r="E190" s="306"/>
      <c r="F190" s="304"/>
      <c r="G190" s="305"/>
      <c r="H190" s="307"/>
      <c r="I190" s="304"/>
      <c r="J190" s="309"/>
      <c r="K190" s="307"/>
      <c r="L190" s="304"/>
      <c r="M190" s="309"/>
      <c r="N190" s="307"/>
      <c r="O190" s="333"/>
      <c r="P190" s="305">
        <f t="shared" ref="P190:P205" si="21">D190</f>
        <v>0</v>
      </c>
      <c r="Q190" s="307" t="e">
        <f t="shared" si="20"/>
        <v>#DIV/0!</v>
      </c>
      <c r="R190" s="302"/>
      <c r="S190" s="303"/>
      <c r="T190" s="280"/>
    </row>
    <row r="191" spans="1:20" ht="13">
      <c r="A191" s="276" t="s">
        <v>62</v>
      </c>
      <c r="B191" s="276">
        <v>352376</v>
      </c>
      <c r="C191" s="304"/>
      <c r="D191" s="305"/>
      <c r="E191" s="306"/>
      <c r="F191" s="304"/>
      <c r="G191" s="305"/>
      <c r="H191" s="307"/>
      <c r="I191" s="304"/>
      <c r="J191" s="309"/>
      <c r="K191" s="307"/>
      <c r="L191" s="304"/>
      <c r="M191" s="309"/>
      <c r="N191" s="307"/>
      <c r="O191" s="333"/>
      <c r="P191" s="305">
        <f t="shared" si="21"/>
        <v>0</v>
      </c>
      <c r="Q191" s="307" t="e">
        <f t="shared" si="20"/>
        <v>#DIV/0!</v>
      </c>
      <c r="R191" s="302"/>
      <c r="S191" s="303"/>
      <c r="T191" s="280"/>
    </row>
    <row r="192" spans="1:20" ht="13">
      <c r="A192" s="276" t="s">
        <v>907</v>
      </c>
      <c r="B192" s="276">
        <v>352377</v>
      </c>
      <c r="C192" s="304">
        <v>1922.93</v>
      </c>
      <c r="D192" s="305">
        <v>375.64</v>
      </c>
      <c r="E192" s="306">
        <v>117.57</v>
      </c>
      <c r="F192" s="304"/>
      <c r="G192" s="305"/>
      <c r="H192" s="307"/>
      <c r="I192" s="304"/>
      <c r="J192" s="309"/>
      <c r="K192" s="307"/>
      <c r="L192" s="304"/>
      <c r="M192" s="309"/>
      <c r="N192" s="307"/>
      <c r="O192" s="333" t="s">
        <v>956</v>
      </c>
      <c r="P192" s="305">
        <f t="shared" si="21"/>
        <v>375.64</v>
      </c>
      <c r="Q192" s="307">
        <f t="shared" si="20"/>
        <v>7.9464380790118199</v>
      </c>
      <c r="R192" s="302"/>
      <c r="S192" s="303"/>
      <c r="T192" s="280"/>
    </row>
    <row r="193" spans="1:20" ht="13">
      <c r="A193" s="276" t="s">
        <v>939</v>
      </c>
      <c r="B193" s="276">
        <v>359885</v>
      </c>
      <c r="C193" s="304">
        <v>1832.94</v>
      </c>
      <c r="D193" s="305">
        <v>363.93</v>
      </c>
      <c r="E193" s="306">
        <v>25.55</v>
      </c>
      <c r="F193" s="304"/>
      <c r="G193" s="305"/>
      <c r="H193" s="307"/>
      <c r="I193" s="304"/>
      <c r="J193" s="309"/>
      <c r="K193" s="307"/>
      <c r="L193" s="304"/>
      <c r="M193" s="309"/>
      <c r="N193" s="307"/>
      <c r="O193" s="333" t="s">
        <v>957</v>
      </c>
      <c r="P193" s="305">
        <f t="shared" si="21"/>
        <v>363.93</v>
      </c>
      <c r="Q193" s="307">
        <f t="shared" si="20"/>
        <v>8.2158656884565708</v>
      </c>
      <c r="R193" s="302"/>
      <c r="S193" s="303"/>
      <c r="T193" s="280"/>
    </row>
    <row r="194" spans="1:20" ht="13">
      <c r="A194" s="276" t="s">
        <v>917</v>
      </c>
      <c r="B194" s="276">
        <v>359886</v>
      </c>
      <c r="C194" s="304">
        <v>2375.94</v>
      </c>
      <c r="D194" s="305">
        <v>463.68</v>
      </c>
      <c r="E194" s="306">
        <v>44.47</v>
      </c>
      <c r="F194" s="304"/>
      <c r="G194" s="305"/>
      <c r="H194" s="307"/>
      <c r="I194" s="304"/>
      <c r="J194" s="309"/>
      <c r="K194" s="307"/>
      <c r="L194" s="304"/>
      <c r="M194" s="309"/>
      <c r="N194" s="307"/>
      <c r="O194" s="333" t="s">
        <v>958</v>
      </c>
      <c r="P194" s="305">
        <f t="shared" si="21"/>
        <v>463.68</v>
      </c>
      <c r="Q194" s="307">
        <f t="shared" si="20"/>
        <v>6.4031228433402347</v>
      </c>
      <c r="R194" s="302"/>
      <c r="S194" s="303"/>
      <c r="T194" s="280"/>
    </row>
    <row r="195" spans="1:20" ht="13">
      <c r="A195" s="276" t="s">
        <v>319</v>
      </c>
      <c r="B195" s="276">
        <v>465180</v>
      </c>
      <c r="C195" s="304">
        <v>2630.37</v>
      </c>
      <c r="D195" s="305">
        <v>506.47</v>
      </c>
      <c r="E195" s="306">
        <v>128.66999999999999</v>
      </c>
      <c r="F195" s="304"/>
      <c r="G195" s="305"/>
      <c r="H195" s="307"/>
      <c r="I195" s="304"/>
      <c r="J195" s="309"/>
      <c r="K195" s="307"/>
      <c r="L195" s="304"/>
      <c r="M195" s="309"/>
      <c r="N195" s="307"/>
      <c r="O195" s="333" t="s">
        <v>959</v>
      </c>
      <c r="P195" s="305">
        <f t="shared" si="21"/>
        <v>506.47</v>
      </c>
      <c r="Q195" s="307">
        <f t="shared" si="20"/>
        <v>5.9746875431911066</v>
      </c>
      <c r="R195" s="302"/>
      <c r="S195" s="303"/>
      <c r="T195" s="280"/>
    </row>
    <row r="196" spans="1:20" ht="13">
      <c r="A196" s="276" t="s">
        <v>858</v>
      </c>
      <c r="B196" s="276">
        <v>465181</v>
      </c>
      <c r="C196" s="304">
        <v>2986.58</v>
      </c>
      <c r="D196" s="305">
        <v>588.84</v>
      </c>
      <c r="E196" s="306">
        <v>123.49</v>
      </c>
      <c r="F196" s="304"/>
      <c r="G196" s="305"/>
      <c r="H196" s="307"/>
      <c r="I196" s="304"/>
      <c r="J196" s="309"/>
      <c r="K196" s="307"/>
      <c r="L196" s="304"/>
      <c r="M196" s="309"/>
      <c r="N196" s="307"/>
      <c r="O196" s="333" t="s">
        <v>960</v>
      </c>
      <c r="P196" s="305">
        <f t="shared" si="21"/>
        <v>588.84</v>
      </c>
      <c r="Q196" s="307">
        <f t="shared" si="20"/>
        <v>4.4596155152503227</v>
      </c>
      <c r="R196" s="302"/>
      <c r="S196" s="303"/>
      <c r="T196" s="280"/>
    </row>
    <row r="197" spans="1:20" ht="13">
      <c r="A197" s="276" t="s">
        <v>191</v>
      </c>
      <c r="B197" s="276">
        <v>465182</v>
      </c>
      <c r="C197" s="304">
        <v>2115.9699999999998</v>
      </c>
      <c r="D197" s="305">
        <v>412.26</v>
      </c>
      <c r="E197" s="306">
        <v>91.53</v>
      </c>
      <c r="F197" s="304"/>
      <c r="G197" s="305"/>
      <c r="H197" s="307"/>
      <c r="I197" s="304"/>
      <c r="J197" s="309"/>
      <c r="K197" s="307"/>
      <c r="L197" s="304"/>
      <c r="M197" s="309"/>
      <c r="N197" s="307"/>
      <c r="O197" s="333" t="s">
        <v>961</v>
      </c>
      <c r="P197" s="305">
        <f t="shared" si="21"/>
        <v>412.26</v>
      </c>
      <c r="Q197" s="307">
        <f t="shared" si="20"/>
        <v>4.128462620676272</v>
      </c>
      <c r="R197" s="302"/>
      <c r="S197" s="303"/>
      <c r="T197" s="280"/>
    </row>
    <row r="198" spans="1:20" ht="13">
      <c r="A198" s="276" t="s">
        <v>88</v>
      </c>
      <c r="B198" s="276">
        <v>465183</v>
      </c>
      <c r="C198" s="304">
        <v>2587.63</v>
      </c>
      <c r="D198" s="305">
        <v>505.01</v>
      </c>
      <c r="E198" s="305">
        <v>154.88</v>
      </c>
      <c r="F198" s="304"/>
      <c r="G198" s="305"/>
      <c r="H198" s="307"/>
      <c r="I198" s="304"/>
      <c r="J198" s="309"/>
      <c r="K198" s="307"/>
      <c r="L198" s="304"/>
      <c r="M198" s="309"/>
      <c r="N198" s="307"/>
      <c r="O198" s="333" t="s">
        <v>424</v>
      </c>
      <c r="P198" s="305">
        <f t="shared" si="21"/>
        <v>505.01</v>
      </c>
      <c r="Q198" s="307">
        <f t="shared" si="20"/>
        <v>6.1879962773014396</v>
      </c>
      <c r="R198" s="302"/>
      <c r="S198" s="303"/>
      <c r="T198" s="280"/>
    </row>
    <row r="199" spans="1:20" ht="13">
      <c r="A199" s="276"/>
      <c r="B199" s="276">
        <v>465184</v>
      </c>
      <c r="C199" s="304"/>
      <c r="D199" s="305"/>
      <c r="E199" s="306"/>
      <c r="F199" s="304"/>
      <c r="G199" s="305"/>
      <c r="H199" s="307"/>
      <c r="I199" s="304"/>
      <c r="J199" s="309"/>
      <c r="K199" s="307"/>
      <c r="L199" s="304"/>
      <c r="M199" s="309"/>
      <c r="N199" s="307"/>
      <c r="O199" s="333"/>
      <c r="P199" s="305">
        <f t="shared" si="21"/>
        <v>0</v>
      </c>
      <c r="Q199" s="307" t="e">
        <f t="shared" si="20"/>
        <v>#DIV/0!</v>
      </c>
      <c r="R199" s="302"/>
      <c r="S199" s="303"/>
      <c r="T199" s="280"/>
    </row>
    <row r="200" spans="1:20" ht="13">
      <c r="A200" s="276" t="s">
        <v>75</v>
      </c>
      <c r="B200" s="276">
        <v>465185</v>
      </c>
      <c r="C200" s="304">
        <v>1713.3</v>
      </c>
      <c r="D200" s="336">
        <v>322.97000000000003</v>
      </c>
      <c r="E200" s="306">
        <v>85.3</v>
      </c>
      <c r="F200" s="304"/>
      <c r="G200" s="305"/>
      <c r="H200" s="307"/>
      <c r="I200" s="304"/>
      <c r="J200" s="309"/>
      <c r="K200" s="307"/>
      <c r="L200" s="304"/>
      <c r="M200" s="309"/>
      <c r="N200" s="307"/>
      <c r="O200" s="333" t="s">
        <v>962</v>
      </c>
      <c r="P200" s="305">
        <f t="shared" si="21"/>
        <v>322.97000000000003</v>
      </c>
      <c r="Q200" s="307">
        <f t="shared" si="20"/>
        <v>7.2111960863238069</v>
      </c>
      <c r="R200" s="302"/>
      <c r="S200" s="303"/>
      <c r="T200" s="280"/>
    </row>
    <row r="201" spans="1:20" ht="13">
      <c r="A201" s="276"/>
      <c r="B201" s="276">
        <v>465186</v>
      </c>
      <c r="C201" s="304"/>
      <c r="D201" s="305"/>
      <c r="E201" s="306"/>
      <c r="F201" s="304"/>
      <c r="G201" s="305"/>
      <c r="H201" s="307"/>
      <c r="I201" s="304"/>
      <c r="J201" s="309"/>
      <c r="K201" s="307"/>
      <c r="L201" s="304"/>
      <c r="M201" s="309"/>
      <c r="N201" s="307"/>
      <c r="O201" s="333"/>
      <c r="P201" s="305">
        <f t="shared" si="21"/>
        <v>0</v>
      </c>
      <c r="Q201" s="307" t="e">
        <f t="shared" si="20"/>
        <v>#DIV/0!</v>
      </c>
      <c r="R201" s="302"/>
      <c r="S201" s="303"/>
      <c r="T201" s="280"/>
    </row>
    <row r="202" spans="1:20" ht="13">
      <c r="A202" s="276" t="s">
        <v>192</v>
      </c>
      <c r="B202" s="276">
        <v>465187</v>
      </c>
      <c r="C202" s="304">
        <v>2948.21</v>
      </c>
      <c r="D202" s="305">
        <v>589.64</v>
      </c>
      <c r="E202" s="306">
        <v>147.68</v>
      </c>
      <c r="F202" s="304"/>
      <c r="G202" s="305"/>
      <c r="H202" s="307"/>
      <c r="I202" s="304"/>
      <c r="J202" s="309"/>
      <c r="K202" s="307"/>
      <c r="L202" s="304"/>
      <c r="M202" s="309"/>
      <c r="N202" s="307"/>
      <c r="O202" s="333" t="s">
        <v>963</v>
      </c>
      <c r="P202" s="305">
        <f t="shared" si="21"/>
        <v>589.64</v>
      </c>
      <c r="Q202" s="307">
        <f t="shared" si="20"/>
        <v>6.7125703819279563</v>
      </c>
      <c r="R202" s="302"/>
      <c r="S202" s="303"/>
      <c r="T202" s="280"/>
    </row>
    <row r="203" spans="1:20" ht="13">
      <c r="A203" s="337" t="s">
        <v>14</v>
      </c>
      <c r="B203" s="276">
        <v>352374</v>
      </c>
      <c r="C203" s="304">
        <v>1183.5999999999999</v>
      </c>
      <c r="D203" s="305">
        <v>240.2</v>
      </c>
      <c r="E203" s="306">
        <v>74.13</v>
      </c>
      <c r="F203" s="304"/>
      <c r="G203" s="305"/>
      <c r="H203" s="307"/>
      <c r="I203" s="304"/>
      <c r="J203" s="309"/>
      <c r="K203" s="307"/>
      <c r="L203" s="304"/>
      <c r="M203" s="309"/>
      <c r="N203" s="307"/>
      <c r="O203" s="333" t="s">
        <v>964</v>
      </c>
      <c r="P203" s="305">
        <f t="shared" si="21"/>
        <v>240.2</v>
      </c>
      <c r="Q203" s="307">
        <f t="shared" si="20"/>
        <v>6.8984179850124896</v>
      </c>
      <c r="R203" s="302"/>
      <c r="S203" s="303"/>
      <c r="T203" s="280"/>
    </row>
    <row r="204" spans="1:20" ht="13">
      <c r="A204" s="313" t="s">
        <v>322</v>
      </c>
      <c r="B204" s="313">
        <v>465189</v>
      </c>
      <c r="C204" s="310">
        <v>2214.06</v>
      </c>
      <c r="D204" s="311">
        <v>446.77</v>
      </c>
      <c r="E204" s="314">
        <v>122.36</v>
      </c>
      <c r="F204" s="304"/>
      <c r="G204" s="305"/>
      <c r="H204" s="307"/>
      <c r="I204" s="310"/>
      <c r="J204" s="319"/>
      <c r="K204" s="312"/>
      <c r="L204" s="304"/>
      <c r="M204" s="309"/>
      <c r="N204" s="307"/>
      <c r="O204" s="333" t="s">
        <v>965</v>
      </c>
      <c r="P204" s="305">
        <f t="shared" si="21"/>
        <v>446.77</v>
      </c>
      <c r="Q204" s="307">
        <f t="shared" si="20"/>
        <v>8.6397922868590111</v>
      </c>
      <c r="R204" s="302"/>
      <c r="S204" s="303"/>
      <c r="T204" s="280"/>
    </row>
    <row r="205" spans="1:20" ht="13">
      <c r="A205" s="341" t="s">
        <v>901</v>
      </c>
      <c r="B205" s="313">
        <v>1650</v>
      </c>
      <c r="C205" s="310"/>
      <c r="D205" s="311"/>
      <c r="E205" s="314"/>
      <c r="F205" s="315"/>
      <c r="G205" s="316"/>
      <c r="H205" s="317"/>
      <c r="I205" s="315"/>
      <c r="J205" s="320"/>
      <c r="K205" s="317"/>
      <c r="L205" s="315"/>
      <c r="M205" s="320"/>
      <c r="N205" s="317"/>
      <c r="O205" s="335"/>
      <c r="P205" s="305">
        <f t="shared" si="21"/>
        <v>0</v>
      </c>
      <c r="Q205" s="317" t="e">
        <f t="shared" si="20"/>
        <v>#DIV/0!</v>
      </c>
      <c r="R205" s="303"/>
      <c r="S205" s="303"/>
      <c r="T205" s="329"/>
    </row>
    <row r="206" spans="1:20" ht="13">
      <c r="A206" s="469" t="s">
        <v>860</v>
      </c>
      <c r="B206" s="464"/>
      <c r="C206" s="321" t="s">
        <v>676</v>
      </c>
      <c r="D206" s="322" t="s">
        <v>861</v>
      </c>
      <c r="E206" s="323" t="s">
        <v>862</v>
      </c>
      <c r="F206" s="321" t="s">
        <v>676</v>
      </c>
      <c r="G206" s="322" t="s">
        <v>861</v>
      </c>
      <c r="H206" s="323" t="s">
        <v>862</v>
      </c>
      <c r="I206" s="321" t="s">
        <v>676</v>
      </c>
      <c r="J206" s="322" t="s">
        <v>861</v>
      </c>
      <c r="K206" s="323" t="s">
        <v>862</v>
      </c>
      <c r="L206" s="321" t="s">
        <v>676</v>
      </c>
      <c r="M206" s="322" t="s">
        <v>861</v>
      </c>
      <c r="N206" s="323" t="s">
        <v>862</v>
      </c>
      <c r="O206" s="321" t="s">
        <v>881</v>
      </c>
      <c r="P206" s="322" t="s">
        <v>861</v>
      </c>
      <c r="Q206" s="323" t="s">
        <v>865</v>
      </c>
      <c r="R206" s="280"/>
      <c r="S206" s="280"/>
      <c r="T206" s="280"/>
    </row>
    <row r="207" spans="1:20" ht="13">
      <c r="A207" s="470" t="s">
        <v>863</v>
      </c>
      <c r="B207" s="471"/>
      <c r="C207" s="326">
        <f t="shared" ref="C207:E207" si="22">SUM(C185:C204)+SUM(F185:F204)+SUM(I185:I204)+SUM(L185:L204)</f>
        <v>31997.41</v>
      </c>
      <c r="D207" s="327">
        <f t="shared" si="22"/>
        <v>6382.2300000000014</v>
      </c>
      <c r="E207" s="328">
        <f t="shared" si="22"/>
        <v>1530.26</v>
      </c>
      <c r="F207" s="329"/>
      <c r="G207" s="329"/>
      <c r="H207" s="329"/>
      <c r="I207" s="329"/>
      <c r="J207" s="329"/>
      <c r="K207" s="329"/>
      <c r="L207" s="329"/>
      <c r="M207" s="329"/>
      <c r="N207" s="329"/>
      <c r="O207" s="329"/>
      <c r="P207" s="329"/>
      <c r="Q207" s="329"/>
      <c r="R207" s="280"/>
      <c r="S207" s="280"/>
      <c r="T207" s="280"/>
    </row>
    <row r="208" spans="1:20" ht="13">
      <c r="A208" s="329"/>
      <c r="B208" s="329"/>
      <c r="C208" s="329"/>
      <c r="D208" s="329"/>
      <c r="E208" s="329"/>
      <c r="F208" s="329"/>
      <c r="G208" s="329"/>
      <c r="H208" s="329"/>
      <c r="I208" s="329"/>
      <c r="J208" s="329"/>
      <c r="K208" s="329"/>
      <c r="L208" s="329"/>
      <c r="M208" s="329"/>
      <c r="N208" s="329"/>
      <c r="O208" s="329"/>
      <c r="P208" s="329"/>
      <c r="Q208" s="329"/>
      <c r="R208" s="329"/>
      <c r="S208" s="329"/>
      <c r="T208" s="280"/>
    </row>
    <row r="209" spans="1:20" ht="13">
      <c r="A209" s="286" t="s">
        <v>966</v>
      </c>
      <c r="B209" s="330"/>
      <c r="C209" s="330"/>
      <c r="D209" s="330"/>
      <c r="E209" s="330"/>
      <c r="F209" s="330"/>
      <c r="G209" s="330"/>
      <c r="H209" s="330"/>
      <c r="I209" s="330"/>
      <c r="J209" s="330"/>
      <c r="K209" s="330"/>
      <c r="L209" s="330"/>
      <c r="M209" s="330"/>
      <c r="N209" s="330"/>
      <c r="O209" s="330"/>
      <c r="P209" s="330"/>
      <c r="Q209" s="330"/>
      <c r="R209" s="291"/>
      <c r="S209" s="280"/>
      <c r="T209" s="280"/>
    </row>
    <row r="210" spans="1:20" ht="13">
      <c r="A210" s="287" t="s">
        <v>849</v>
      </c>
      <c r="B210" s="287" t="s">
        <v>1</v>
      </c>
      <c r="C210" s="462" t="s">
        <v>850</v>
      </c>
      <c r="D210" s="463"/>
      <c r="E210" s="464"/>
      <c r="F210" s="465" t="s">
        <v>851</v>
      </c>
      <c r="G210" s="466"/>
      <c r="H210" s="467"/>
      <c r="I210" s="468" t="s">
        <v>852</v>
      </c>
      <c r="J210" s="463"/>
      <c r="K210" s="464"/>
      <c r="L210" s="465" t="s">
        <v>852</v>
      </c>
      <c r="M210" s="466"/>
      <c r="N210" s="467"/>
      <c r="O210" s="289" t="s">
        <v>865</v>
      </c>
      <c r="P210" s="339"/>
      <c r="Q210" s="339"/>
      <c r="R210" s="291"/>
      <c r="S210" s="280"/>
      <c r="T210" s="280"/>
    </row>
    <row r="211" spans="1:20" ht="13">
      <c r="A211" s="292" t="s">
        <v>40</v>
      </c>
      <c r="B211" s="293">
        <v>352368</v>
      </c>
      <c r="C211" s="294">
        <v>2371.59</v>
      </c>
      <c r="D211" s="295">
        <v>465.02</v>
      </c>
      <c r="E211" s="296">
        <v>79.77</v>
      </c>
      <c r="F211" s="294"/>
      <c r="G211" s="295"/>
      <c r="H211" s="297"/>
      <c r="I211" s="294"/>
      <c r="J211" s="301"/>
      <c r="K211" s="297"/>
      <c r="L211" s="294"/>
      <c r="M211" s="301"/>
      <c r="N211" s="297"/>
      <c r="O211" s="331" t="s">
        <v>967</v>
      </c>
      <c r="P211" s="305">
        <f t="shared" ref="P211:P214" si="23">D211</f>
        <v>465.02</v>
      </c>
      <c r="Q211" s="297">
        <f t="shared" ref="Q211:Q231" si="24">O211/P211</f>
        <v>6.6728312760741476E-3</v>
      </c>
      <c r="R211" s="302"/>
      <c r="S211" s="303"/>
      <c r="T211" s="280"/>
    </row>
    <row r="212" spans="1:20" ht="15">
      <c r="A212" s="276" t="s">
        <v>82</v>
      </c>
      <c r="B212" s="276">
        <v>352371</v>
      </c>
      <c r="C212" s="304">
        <v>3126.49</v>
      </c>
      <c r="D212" s="305">
        <v>617.79999999999995</v>
      </c>
      <c r="E212" s="306">
        <v>269.58999999999997</v>
      </c>
      <c r="F212" s="304"/>
      <c r="G212" s="305"/>
      <c r="H212" s="307"/>
      <c r="I212" s="304"/>
      <c r="J212" s="309"/>
      <c r="K212" s="307"/>
      <c r="L212" s="304"/>
      <c r="M212" s="309"/>
      <c r="N212" s="307"/>
      <c r="O212" s="343">
        <v>3323</v>
      </c>
      <c r="P212" s="305">
        <f t="shared" si="23"/>
        <v>617.79999999999995</v>
      </c>
      <c r="Q212" s="307">
        <f t="shared" si="24"/>
        <v>5.3787633538361934</v>
      </c>
      <c r="R212" s="302"/>
      <c r="S212" s="303"/>
      <c r="T212" s="280"/>
    </row>
    <row r="213" spans="1:20" ht="15">
      <c r="A213" s="276" t="s">
        <v>883</v>
      </c>
      <c r="B213" s="276">
        <v>352372</v>
      </c>
      <c r="C213" s="304">
        <v>1544.31</v>
      </c>
      <c r="D213" s="305">
        <v>303.75</v>
      </c>
      <c r="E213" s="306">
        <v>94.47</v>
      </c>
      <c r="F213" s="304"/>
      <c r="G213" s="305"/>
      <c r="H213" s="307"/>
      <c r="I213" s="304"/>
      <c r="J213" s="309"/>
      <c r="K213" s="307"/>
      <c r="L213" s="304"/>
      <c r="M213" s="309"/>
      <c r="N213" s="307"/>
      <c r="O213" s="344" t="s">
        <v>968</v>
      </c>
      <c r="P213" s="305">
        <f t="shared" si="23"/>
        <v>303.75</v>
      </c>
      <c r="Q213" s="307">
        <f t="shared" si="24"/>
        <v>4.3983539094650208</v>
      </c>
      <c r="R213" s="302"/>
      <c r="S213" s="303"/>
      <c r="T213" s="280"/>
    </row>
    <row r="214" spans="1:20" ht="13">
      <c r="A214" s="276"/>
      <c r="B214" s="276">
        <v>352373</v>
      </c>
      <c r="C214" s="304"/>
      <c r="D214" s="305"/>
      <c r="E214" s="306"/>
      <c r="F214" s="304"/>
      <c r="G214" s="305"/>
      <c r="H214" s="307"/>
      <c r="I214" s="304"/>
      <c r="J214" s="309"/>
      <c r="K214" s="307"/>
      <c r="L214" s="304"/>
      <c r="M214" s="309"/>
      <c r="N214" s="307"/>
      <c r="O214" s="333"/>
      <c r="P214" s="305">
        <f t="shared" si="23"/>
        <v>0</v>
      </c>
      <c r="Q214" s="307" t="e">
        <f t="shared" si="24"/>
        <v>#DIV/0!</v>
      </c>
      <c r="R214" s="302"/>
      <c r="S214" s="303"/>
      <c r="T214" s="280"/>
    </row>
    <row r="215" spans="1:20" ht="13">
      <c r="A215" s="276"/>
      <c r="B215" s="276">
        <v>352374</v>
      </c>
      <c r="C215" s="304"/>
      <c r="D215" s="305"/>
      <c r="E215" s="306"/>
      <c r="F215" s="304"/>
      <c r="G215" s="305"/>
      <c r="H215" s="307"/>
      <c r="I215" s="304"/>
      <c r="J215" s="309"/>
      <c r="K215" s="307"/>
      <c r="L215" s="304"/>
      <c r="M215" s="309"/>
      <c r="N215" s="307"/>
      <c r="O215" s="333"/>
      <c r="P215" s="305"/>
      <c r="Q215" s="307" t="e">
        <f t="shared" si="24"/>
        <v>#DIV/0!</v>
      </c>
      <c r="R215" s="302"/>
      <c r="S215" s="303"/>
      <c r="T215" s="280"/>
    </row>
    <row r="216" spans="1:20" ht="15">
      <c r="A216" s="276" t="s">
        <v>969</v>
      </c>
      <c r="B216" s="276">
        <v>352375</v>
      </c>
      <c r="C216" s="304">
        <v>1465.64</v>
      </c>
      <c r="D216" s="305">
        <v>288.26</v>
      </c>
      <c r="E216" s="306">
        <v>91.66</v>
      </c>
      <c r="F216" s="304"/>
      <c r="G216" s="305"/>
      <c r="H216" s="307"/>
      <c r="I216" s="304"/>
      <c r="J216" s="309"/>
      <c r="K216" s="307"/>
      <c r="L216" s="304"/>
      <c r="M216" s="309"/>
      <c r="N216" s="307"/>
      <c r="O216" s="343">
        <v>2060</v>
      </c>
      <c r="P216" s="305">
        <f t="shared" ref="P216:P231" si="25">D216</f>
        <v>288.26</v>
      </c>
      <c r="Q216" s="307">
        <f t="shared" si="24"/>
        <v>7.1463262332616386</v>
      </c>
      <c r="R216" s="302"/>
      <c r="S216" s="303"/>
      <c r="T216" s="280"/>
    </row>
    <row r="217" spans="1:20" ht="13">
      <c r="A217" s="276" t="s">
        <v>62</v>
      </c>
      <c r="B217" s="276">
        <v>352376</v>
      </c>
      <c r="C217" s="304"/>
      <c r="D217" s="305"/>
      <c r="E217" s="306"/>
      <c r="F217" s="304"/>
      <c r="G217" s="305"/>
      <c r="H217" s="307"/>
      <c r="I217" s="304"/>
      <c r="J217" s="309"/>
      <c r="K217" s="307"/>
      <c r="L217" s="304"/>
      <c r="M217" s="309"/>
      <c r="N217" s="307"/>
      <c r="O217" s="333" t="s">
        <v>586</v>
      </c>
      <c r="P217" s="305">
        <f t="shared" si="25"/>
        <v>0</v>
      </c>
      <c r="Q217" s="307" t="e">
        <f t="shared" si="24"/>
        <v>#DIV/0!</v>
      </c>
      <c r="R217" s="302"/>
      <c r="S217" s="303"/>
      <c r="T217" s="280"/>
    </row>
    <row r="218" spans="1:20" ht="15">
      <c r="A218" s="276" t="s">
        <v>907</v>
      </c>
      <c r="B218" s="276">
        <v>352377</v>
      </c>
      <c r="C218" s="304">
        <v>1645.62</v>
      </c>
      <c r="D218" s="305">
        <v>310.79000000000002</v>
      </c>
      <c r="E218" s="306">
        <v>92.45</v>
      </c>
      <c r="F218" s="304"/>
      <c r="G218" s="305"/>
      <c r="H218" s="307"/>
      <c r="I218" s="304"/>
      <c r="J218" s="309"/>
      <c r="K218" s="307"/>
      <c r="L218" s="304"/>
      <c r="M218" s="309"/>
      <c r="N218" s="307"/>
      <c r="O218" s="343">
        <v>1818</v>
      </c>
      <c r="P218" s="305">
        <f t="shared" si="25"/>
        <v>310.79000000000002</v>
      </c>
      <c r="Q218" s="307">
        <f t="shared" si="24"/>
        <v>5.8496090607805913</v>
      </c>
      <c r="R218" s="302"/>
      <c r="S218" s="303"/>
      <c r="T218" s="280"/>
    </row>
    <row r="219" spans="1:20" ht="15">
      <c r="A219" s="276" t="s">
        <v>939</v>
      </c>
      <c r="B219" s="276">
        <v>359885</v>
      </c>
      <c r="C219" s="304">
        <v>2584.0500000000002</v>
      </c>
      <c r="D219" s="305">
        <v>492.36</v>
      </c>
      <c r="E219" s="306">
        <v>152.65</v>
      </c>
      <c r="F219" s="304"/>
      <c r="G219" s="305"/>
      <c r="H219" s="307"/>
      <c r="I219" s="304"/>
      <c r="J219" s="309"/>
      <c r="K219" s="307"/>
      <c r="L219" s="304"/>
      <c r="M219" s="309"/>
      <c r="N219" s="307"/>
      <c r="O219" s="343">
        <v>3226</v>
      </c>
      <c r="P219" s="305">
        <f t="shared" si="25"/>
        <v>492.36</v>
      </c>
      <c r="Q219" s="307">
        <f t="shared" si="24"/>
        <v>6.5521163376391254</v>
      </c>
      <c r="R219" s="302"/>
      <c r="S219" s="303"/>
      <c r="T219" s="280"/>
    </row>
    <row r="220" spans="1:20" ht="15">
      <c r="A220" s="276" t="s">
        <v>917</v>
      </c>
      <c r="B220" s="276">
        <v>359886</v>
      </c>
      <c r="C220" s="304">
        <v>2781.21</v>
      </c>
      <c r="D220" s="305">
        <v>528.75</v>
      </c>
      <c r="E220" s="306">
        <v>51.46</v>
      </c>
      <c r="F220" s="304"/>
      <c r="G220" s="305"/>
      <c r="H220" s="307"/>
      <c r="I220" s="304"/>
      <c r="J220" s="309"/>
      <c r="K220" s="307"/>
      <c r="L220" s="304"/>
      <c r="M220" s="309"/>
      <c r="N220" s="307"/>
      <c r="O220" s="343">
        <v>2549</v>
      </c>
      <c r="P220" s="305">
        <f t="shared" si="25"/>
        <v>528.75</v>
      </c>
      <c r="Q220" s="307">
        <f t="shared" si="24"/>
        <v>4.8208037825059105</v>
      </c>
      <c r="R220" s="302"/>
      <c r="S220" s="303"/>
      <c r="T220" s="280"/>
    </row>
    <row r="221" spans="1:20" ht="15">
      <c r="A221" s="276" t="s">
        <v>319</v>
      </c>
      <c r="B221" s="276">
        <v>465180</v>
      </c>
      <c r="C221" s="304">
        <v>2869.16</v>
      </c>
      <c r="D221" s="305">
        <v>540.88</v>
      </c>
      <c r="E221" s="306">
        <v>135.80000000000001</v>
      </c>
      <c r="F221" s="304"/>
      <c r="G221" s="305"/>
      <c r="H221" s="307"/>
      <c r="I221" s="304"/>
      <c r="J221" s="309"/>
      <c r="K221" s="307"/>
      <c r="L221" s="304"/>
      <c r="M221" s="309"/>
      <c r="N221" s="307"/>
      <c r="O221" s="343">
        <v>3488</v>
      </c>
      <c r="P221" s="305">
        <f t="shared" si="25"/>
        <v>540.88</v>
      </c>
      <c r="Q221" s="307">
        <f t="shared" si="24"/>
        <v>6.4487501848838926</v>
      </c>
      <c r="R221" s="302"/>
      <c r="S221" s="303"/>
      <c r="T221" s="280"/>
    </row>
    <row r="222" spans="1:20" ht="15">
      <c r="A222" s="276" t="s">
        <v>858</v>
      </c>
      <c r="B222" s="276">
        <v>465181</v>
      </c>
      <c r="C222" s="304">
        <v>2210.65</v>
      </c>
      <c r="D222" s="305">
        <v>413.21</v>
      </c>
      <c r="E222" s="306">
        <v>39.979999999999997</v>
      </c>
      <c r="F222" s="304"/>
      <c r="G222" s="305"/>
      <c r="H222" s="307"/>
      <c r="I222" s="304"/>
      <c r="J222" s="309"/>
      <c r="K222" s="307"/>
      <c r="L222" s="304"/>
      <c r="M222" s="309"/>
      <c r="N222" s="307"/>
      <c r="O222" s="345">
        <v>1773</v>
      </c>
      <c r="P222" s="305">
        <f t="shared" si="25"/>
        <v>413.21</v>
      </c>
      <c r="Q222" s="307">
        <f t="shared" si="24"/>
        <v>4.2907964473270255</v>
      </c>
      <c r="R222" s="302"/>
      <c r="S222" s="303"/>
      <c r="T222" s="280"/>
    </row>
    <row r="223" spans="1:20" ht="15">
      <c r="A223" s="276" t="s">
        <v>970</v>
      </c>
      <c r="B223" s="276">
        <v>465182</v>
      </c>
      <c r="C223" s="304">
        <v>2107.04</v>
      </c>
      <c r="D223" s="305">
        <v>400.6</v>
      </c>
      <c r="E223" s="306">
        <v>73.67</v>
      </c>
      <c r="F223" s="304"/>
      <c r="G223" s="305"/>
      <c r="H223" s="307"/>
      <c r="I223" s="304"/>
      <c r="J223" s="309"/>
      <c r="K223" s="307"/>
      <c r="L223" s="304"/>
      <c r="M223" s="309"/>
      <c r="N223" s="307"/>
      <c r="O223" s="343">
        <v>2797</v>
      </c>
      <c r="P223" s="305">
        <f t="shared" si="25"/>
        <v>400.6</v>
      </c>
      <c r="Q223" s="307">
        <f t="shared" si="24"/>
        <v>6.9820269595606588</v>
      </c>
      <c r="R223" s="302"/>
      <c r="S223" s="303"/>
      <c r="T223" s="280"/>
    </row>
    <row r="224" spans="1:20" ht="15">
      <c r="A224" s="276" t="s">
        <v>88</v>
      </c>
      <c r="B224" s="276">
        <v>465183</v>
      </c>
      <c r="C224" s="304">
        <v>1360.53</v>
      </c>
      <c r="D224" s="305">
        <v>268.36</v>
      </c>
      <c r="E224" s="305">
        <v>84.04</v>
      </c>
      <c r="F224" s="304"/>
      <c r="G224" s="305"/>
      <c r="H224" s="307"/>
      <c r="I224" s="304"/>
      <c r="J224" s="309"/>
      <c r="K224" s="307"/>
      <c r="L224" s="304"/>
      <c r="M224" s="309"/>
      <c r="N224" s="307"/>
      <c r="O224" s="343">
        <v>2199</v>
      </c>
      <c r="P224" s="305">
        <f t="shared" si="25"/>
        <v>268.36</v>
      </c>
      <c r="Q224" s="307">
        <f t="shared" si="24"/>
        <v>8.1942167238038444</v>
      </c>
      <c r="R224" s="302"/>
      <c r="S224" s="303"/>
      <c r="T224" s="280"/>
    </row>
    <row r="225" spans="1:20" ht="13">
      <c r="A225" s="276"/>
      <c r="B225" s="276">
        <v>465184</v>
      </c>
      <c r="C225" s="304"/>
      <c r="D225" s="305"/>
      <c r="E225" s="306"/>
      <c r="F225" s="304"/>
      <c r="G225" s="305"/>
      <c r="H225" s="307"/>
      <c r="I225" s="304"/>
      <c r="J225" s="309"/>
      <c r="K225" s="307"/>
      <c r="L225" s="304"/>
      <c r="M225" s="309"/>
      <c r="N225" s="307"/>
      <c r="O225" s="333"/>
      <c r="P225" s="305">
        <f t="shared" si="25"/>
        <v>0</v>
      </c>
      <c r="Q225" s="307" t="e">
        <f t="shared" si="24"/>
        <v>#DIV/0!</v>
      </c>
      <c r="R225" s="302"/>
      <c r="S225" s="303"/>
      <c r="T225" s="280"/>
    </row>
    <row r="226" spans="1:20" ht="13">
      <c r="A226" s="276" t="s">
        <v>75</v>
      </c>
      <c r="B226" s="276">
        <v>465185</v>
      </c>
      <c r="C226" s="304"/>
      <c r="D226" s="336"/>
      <c r="E226" s="306"/>
      <c r="F226" s="304"/>
      <c r="G226" s="305"/>
      <c r="H226" s="307"/>
      <c r="I226" s="304"/>
      <c r="J226" s="309"/>
      <c r="K226" s="307"/>
      <c r="L226" s="304"/>
      <c r="M226" s="309"/>
      <c r="N226" s="307"/>
      <c r="O226" s="333" t="s">
        <v>586</v>
      </c>
      <c r="P226" s="305">
        <f t="shared" si="25"/>
        <v>0</v>
      </c>
      <c r="Q226" s="307" t="e">
        <f t="shared" si="24"/>
        <v>#DIV/0!</v>
      </c>
      <c r="R226" s="302"/>
      <c r="S226" s="303"/>
      <c r="T226" s="280"/>
    </row>
    <row r="227" spans="1:20" ht="13">
      <c r="A227" s="276"/>
      <c r="B227" s="276">
        <v>465186</v>
      </c>
      <c r="C227" s="304"/>
      <c r="D227" s="305"/>
      <c r="E227" s="306"/>
      <c r="F227" s="304"/>
      <c r="G227" s="305"/>
      <c r="H227" s="307"/>
      <c r="I227" s="304"/>
      <c r="J227" s="309"/>
      <c r="K227" s="307"/>
      <c r="L227" s="304"/>
      <c r="M227" s="309"/>
      <c r="N227" s="307"/>
      <c r="O227" s="333"/>
      <c r="P227" s="305">
        <f t="shared" si="25"/>
        <v>0</v>
      </c>
      <c r="Q227" s="307" t="e">
        <f t="shared" si="24"/>
        <v>#DIV/0!</v>
      </c>
      <c r="R227" s="302"/>
      <c r="S227" s="303"/>
      <c r="T227" s="280"/>
    </row>
    <row r="228" spans="1:20" ht="15">
      <c r="A228" s="276" t="s">
        <v>192</v>
      </c>
      <c r="B228" s="276">
        <v>465187</v>
      </c>
      <c r="C228" s="304">
        <v>2639.77</v>
      </c>
      <c r="D228" s="305">
        <v>499.54</v>
      </c>
      <c r="E228" s="306">
        <v>88.53</v>
      </c>
      <c r="F228" s="304"/>
      <c r="G228" s="305"/>
      <c r="H228" s="307"/>
      <c r="I228" s="304"/>
      <c r="J228" s="309"/>
      <c r="K228" s="307"/>
      <c r="L228" s="304"/>
      <c r="M228" s="309"/>
      <c r="N228" s="307"/>
      <c r="O228" s="343">
        <v>3075</v>
      </c>
      <c r="P228" s="305">
        <f t="shared" si="25"/>
        <v>499.54</v>
      </c>
      <c r="Q228" s="307">
        <f t="shared" si="24"/>
        <v>6.1556632101533406</v>
      </c>
      <c r="R228" s="302"/>
      <c r="S228" s="303"/>
      <c r="T228" s="280"/>
    </row>
    <row r="229" spans="1:20" ht="13">
      <c r="A229" s="337" t="s">
        <v>14</v>
      </c>
      <c r="B229" s="276">
        <v>465188</v>
      </c>
      <c r="C229" s="304"/>
      <c r="D229" s="305"/>
      <c r="E229" s="306"/>
      <c r="F229" s="304"/>
      <c r="G229" s="305"/>
      <c r="H229" s="307"/>
      <c r="I229" s="304"/>
      <c r="J229" s="309"/>
      <c r="K229" s="307"/>
      <c r="L229" s="304"/>
      <c r="M229" s="309"/>
      <c r="N229" s="307"/>
      <c r="O229" s="333" t="s">
        <v>586</v>
      </c>
      <c r="P229" s="305">
        <f t="shared" si="25"/>
        <v>0</v>
      </c>
      <c r="Q229" s="307" t="e">
        <f t="shared" si="24"/>
        <v>#DIV/0!</v>
      </c>
      <c r="R229" s="302"/>
      <c r="S229" s="303"/>
      <c r="T229" s="280"/>
    </row>
    <row r="230" spans="1:20" ht="15">
      <c r="A230" s="313" t="s">
        <v>322</v>
      </c>
      <c r="B230" s="313">
        <v>465189</v>
      </c>
      <c r="C230" s="310">
        <v>1774.92</v>
      </c>
      <c r="D230" s="311">
        <v>340.5</v>
      </c>
      <c r="E230" s="314">
        <v>102.51</v>
      </c>
      <c r="F230" s="304"/>
      <c r="G230" s="305"/>
      <c r="H230" s="307"/>
      <c r="I230" s="310"/>
      <c r="J230" s="319"/>
      <c r="K230" s="312"/>
      <c r="L230" s="304"/>
      <c r="M230" s="309"/>
      <c r="N230" s="307"/>
      <c r="O230" s="343">
        <v>2127</v>
      </c>
      <c r="P230" s="305">
        <f t="shared" si="25"/>
        <v>340.5</v>
      </c>
      <c r="Q230" s="307">
        <f t="shared" si="24"/>
        <v>6.2466960352422909</v>
      </c>
      <c r="R230" s="302"/>
      <c r="S230" s="303"/>
      <c r="T230" s="280"/>
    </row>
    <row r="231" spans="1:20" ht="15">
      <c r="A231" s="341" t="s">
        <v>901</v>
      </c>
      <c r="B231" s="313">
        <v>1650</v>
      </c>
      <c r="C231" s="310">
        <v>1201.43</v>
      </c>
      <c r="D231" s="311">
        <v>227.85</v>
      </c>
      <c r="E231" s="314">
        <v>15.5</v>
      </c>
      <c r="F231" s="315"/>
      <c r="G231" s="316"/>
      <c r="H231" s="317"/>
      <c r="I231" s="315"/>
      <c r="J231" s="320"/>
      <c r="K231" s="317"/>
      <c r="L231" s="315"/>
      <c r="M231" s="320"/>
      <c r="N231" s="317"/>
      <c r="O231" s="343">
        <v>1575</v>
      </c>
      <c r="P231" s="305">
        <f t="shared" si="25"/>
        <v>227.85</v>
      </c>
      <c r="Q231" s="317">
        <f t="shared" si="24"/>
        <v>6.9124423963133639</v>
      </c>
      <c r="R231" s="303"/>
      <c r="S231" s="303"/>
    </row>
    <row r="232" spans="1:20" ht="13">
      <c r="A232" s="469" t="s">
        <v>860</v>
      </c>
      <c r="B232" s="464"/>
      <c r="C232" s="321" t="s">
        <v>676</v>
      </c>
      <c r="D232" s="322" t="s">
        <v>861</v>
      </c>
      <c r="E232" s="323" t="s">
        <v>862</v>
      </c>
      <c r="F232" s="321" t="s">
        <v>676</v>
      </c>
      <c r="G232" s="322" t="s">
        <v>861</v>
      </c>
      <c r="H232" s="323" t="s">
        <v>862</v>
      </c>
      <c r="I232" s="321" t="s">
        <v>676</v>
      </c>
      <c r="J232" s="322" t="s">
        <v>861</v>
      </c>
      <c r="K232" s="323" t="s">
        <v>862</v>
      </c>
      <c r="L232" s="321" t="s">
        <v>676</v>
      </c>
      <c r="M232" s="322" t="s">
        <v>861</v>
      </c>
      <c r="N232" s="323" t="s">
        <v>862</v>
      </c>
      <c r="O232" s="321" t="s">
        <v>881</v>
      </c>
      <c r="P232" s="322" t="s">
        <v>861</v>
      </c>
      <c r="Q232" s="323" t="s">
        <v>865</v>
      </c>
      <c r="R232" s="280"/>
      <c r="S232" s="280"/>
      <c r="T232" s="280"/>
    </row>
    <row r="233" spans="1:20" ht="13">
      <c r="A233" s="470" t="s">
        <v>863</v>
      </c>
      <c r="B233" s="471"/>
      <c r="C233" s="326">
        <f t="shared" ref="C233:E233" si="26">SUM(C211:C230)+SUM(F211:F230)+SUM(I211:I230)+SUM(L211:L230)</f>
        <v>28480.979999999996</v>
      </c>
      <c r="D233" s="327">
        <f t="shared" si="26"/>
        <v>5469.82</v>
      </c>
      <c r="E233" s="328">
        <f t="shared" si="26"/>
        <v>1356.58</v>
      </c>
      <c r="F233" s="329"/>
      <c r="G233" s="329"/>
      <c r="H233" s="329"/>
      <c r="I233" s="329"/>
      <c r="J233" s="329"/>
      <c r="K233" s="329"/>
      <c r="L233" s="329"/>
      <c r="M233" s="329"/>
      <c r="N233" s="329"/>
      <c r="O233" s="329"/>
      <c r="P233" s="329"/>
      <c r="Q233" s="329"/>
      <c r="R233" s="280"/>
      <c r="S233" s="280"/>
      <c r="T233" s="280"/>
    </row>
    <row r="234" spans="1:20" ht="13">
      <c r="T234" s="280"/>
    </row>
    <row r="235" spans="1:20" ht="13">
      <c r="A235" s="286" t="s">
        <v>971</v>
      </c>
      <c r="B235" s="330"/>
      <c r="C235" s="330"/>
      <c r="D235" s="330"/>
      <c r="E235" s="330"/>
      <c r="F235" s="330"/>
      <c r="G235" s="330"/>
      <c r="H235" s="330"/>
      <c r="I235" s="330"/>
      <c r="J235" s="330"/>
      <c r="K235" s="330"/>
      <c r="L235" s="330"/>
      <c r="M235" s="330"/>
      <c r="N235" s="330"/>
      <c r="O235" s="330"/>
      <c r="P235" s="330"/>
      <c r="Q235" s="330"/>
      <c r="R235" s="291"/>
      <c r="S235" s="280"/>
      <c r="T235" s="280"/>
    </row>
    <row r="236" spans="1:20" ht="13">
      <c r="A236" s="287" t="s">
        <v>849</v>
      </c>
      <c r="B236" s="287" t="s">
        <v>1</v>
      </c>
      <c r="C236" s="462" t="s">
        <v>850</v>
      </c>
      <c r="D236" s="463"/>
      <c r="E236" s="464"/>
      <c r="F236" s="465" t="s">
        <v>851</v>
      </c>
      <c r="G236" s="466"/>
      <c r="H236" s="467"/>
      <c r="I236" s="468" t="s">
        <v>852</v>
      </c>
      <c r="J236" s="463"/>
      <c r="K236" s="464"/>
      <c r="L236" s="465" t="s">
        <v>852</v>
      </c>
      <c r="M236" s="466"/>
      <c r="N236" s="467"/>
      <c r="O236" s="289" t="s">
        <v>865</v>
      </c>
      <c r="P236" s="339"/>
      <c r="Q236" s="339"/>
      <c r="R236" s="291"/>
      <c r="S236" s="280"/>
      <c r="T236" s="280"/>
    </row>
    <row r="237" spans="1:20" ht="13">
      <c r="A237" s="292" t="s">
        <v>40</v>
      </c>
      <c r="B237" s="293">
        <v>352368</v>
      </c>
      <c r="C237" s="294">
        <v>1967.03</v>
      </c>
      <c r="D237" s="295">
        <v>380.41</v>
      </c>
      <c r="E237" s="296">
        <v>37</v>
      </c>
      <c r="F237" s="294"/>
      <c r="G237" s="295"/>
      <c r="H237" s="297"/>
      <c r="I237" s="294"/>
      <c r="J237" s="301"/>
      <c r="K237" s="297"/>
      <c r="L237" s="294"/>
      <c r="M237" s="301"/>
      <c r="N237" s="297"/>
      <c r="O237" s="331" t="s">
        <v>972</v>
      </c>
      <c r="P237" s="305">
        <f t="shared" ref="P237:P257" si="27">D237</f>
        <v>380.41</v>
      </c>
      <c r="Q237" s="297">
        <f t="shared" ref="Q237:Q257" si="28">O237/P237</f>
        <v>7.665413632659498E-3</v>
      </c>
      <c r="R237" s="302"/>
      <c r="S237" s="303"/>
      <c r="T237" s="280"/>
    </row>
    <row r="238" spans="1:20" ht="15">
      <c r="A238" s="276" t="s">
        <v>973</v>
      </c>
      <c r="B238" s="276">
        <v>352371</v>
      </c>
      <c r="C238" s="304">
        <v>2227.9499999999998</v>
      </c>
      <c r="D238" s="305">
        <v>419.16</v>
      </c>
      <c r="E238" s="306">
        <v>66.56</v>
      </c>
      <c r="F238" s="304"/>
      <c r="G238" s="305"/>
      <c r="H238" s="307"/>
      <c r="I238" s="304"/>
      <c r="J238" s="309"/>
      <c r="K238" s="307"/>
      <c r="L238" s="304"/>
      <c r="M238" s="309"/>
      <c r="N238" s="307"/>
      <c r="O238" s="343">
        <v>1316</v>
      </c>
      <c r="P238" s="305">
        <f t="shared" si="27"/>
        <v>419.16</v>
      </c>
      <c r="Q238" s="307">
        <f t="shared" si="28"/>
        <v>3.1396125584502337</v>
      </c>
      <c r="R238" s="302"/>
      <c r="S238" s="303"/>
      <c r="T238" s="280"/>
    </row>
    <row r="239" spans="1:20" ht="15">
      <c r="A239" s="276" t="s">
        <v>883</v>
      </c>
      <c r="B239" s="276">
        <v>352372</v>
      </c>
      <c r="C239" s="304">
        <v>1270.1500000000001</v>
      </c>
      <c r="D239" s="305">
        <v>252.5</v>
      </c>
      <c r="E239" s="306">
        <v>52.37</v>
      </c>
      <c r="F239" s="304"/>
      <c r="G239" s="305"/>
      <c r="H239" s="307"/>
      <c r="I239" s="304"/>
      <c r="J239" s="309"/>
      <c r="K239" s="307"/>
      <c r="L239" s="304"/>
      <c r="M239" s="309"/>
      <c r="N239" s="307"/>
      <c r="O239" s="344" t="s">
        <v>974</v>
      </c>
      <c r="P239" s="305">
        <f t="shared" si="27"/>
        <v>252.5</v>
      </c>
      <c r="Q239" s="307">
        <f t="shared" si="28"/>
        <v>5.8257425742574264E-3</v>
      </c>
      <c r="R239" s="302"/>
      <c r="S239" s="303"/>
      <c r="T239" s="280"/>
    </row>
    <row r="240" spans="1:20" ht="13">
      <c r="A240" s="276" t="s">
        <v>975</v>
      </c>
      <c r="B240" s="276">
        <v>352373</v>
      </c>
      <c r="C240" s="304">
        <v>2132.36</v>
      </c>
      <c r="D240" s="305">
        <v>419.03</v>
      </c>
      <c r="E240" s="306">
        <v>96.72</v>
      </c>
      <c r="F240" s="304"/>
      <c r="G240" s="305"/>
      <c r="H240" s="307"/>
      <c r="I240" s="304"/>
      <c r="J240" s="309"/>
      <c r="K240" s="307"/>
      <c r="L240" s="304"/>
      <c r="M240" s="309"/>
      <c r="N240" s="307"/>
      <c r="O240" s="333" t="s">
        <v>976</v>
      </c>
      <c r="P240" s="305">
        <f t="shared" si="27"/>
        <v>419.03</v>
      </c>
      <c r="Q240" s="307">
        <f t="shared" si="28"/>
        <v>4.4937116674223804E-3</v>
      </c>
      <c r="R240" s="302"/>
      <c r="S240" s="303"/>
      <c r="T240" s="280"/>
    </row>
    <row r="241" spans="1:20" ht="13">
      <c r="A241" s="276" t="s">
        <v>191</v>
      </c>
      <c r="B241" s="276">
        <v>352374</v>
      </c>
      <c r="C241" s="304">
        <v>1545.59</v>
      </c>
      <c r="D241" s="305">
        <v>312.31</v>
      </c>
      <c r="E241" s="306">
        <v>46.36</v>
      </c>
      <c r="F241" s="304"/>
      <c r="G241" s="305"/>
      <c r="H241" s="307"/>
      <c r="I241" s="304"/>
      <c r="J241" s="309"/>
      <c r="K241" s="307"/>
      <c r="L241" s="304"/>
      <c r="M241" s="309"/>
      <c r="N241" s="307"/>
      <c r="O241" s="333" t="s">
        <v>977</v>
      </c>
      <c r="P241" s="305">
        <f t="shared" si="27"/>
        <v>312.31</v>
      </c>
      <c r="Q241" s="307">
        <f t="shared" si="28"/>
        <v>5.2640005123114854E-3</v>
      </c>
      <c r="R241" s="302"/>
      <c r="S241" s="303"/>
      <c r="T241" s="280"/>
    </row>
    <row r="242" spans="1:20" ht="15">
      <c r="A242" s="276" t="s">
        <v>969</v>
      </c>
      <c r="B242" s="276">
        <v>352375</v>
      </c>
      <c r="C242" s="304">
        <v>2001.63</v>
      </c>
      <c r="D242" s="305">
        <v>389.94</v>
      </c>
      <c r="E242" s="306">
        <v>91.66</v>
      </c>
      <c r="F242" s="304"/>
      <c r="G242" s="305"/>
      <c r="H242" s="307"/>
      <c r="I242" s="304"/>
      <c r="J242" s="309"/>
      <c r="K242" s="307"/>
      <c r="L242" s="304"/>
      <c r="M242" s="309"/>
      <c r="N242" s="307"/>
      <c r="O242" s="343">
        <v>3311</v>
      </c>
      <c r="P242" s="305">
        <f t="shared" si="27"/>
        <v>389.94</v>
      </c>
      <c r="Q242" s="307">
        <f t="shared" si="28"/>
        <v>8.4910499051136075</v>
      </c>
      <c r="R242" s="302"/>
      <c r="S242" s="303"/>
      <c r="T242" s="280"/>
    </row>
    <row r="243" spans="1:20" ht="13">
      <c r="A243" s="276" t="s">
        <v>62</v>
      </c>
      <c r="B243" s="276">
        <v>352376</v>
      </c>
      <c r="C243" s="304">
        <v>3175.6</v>
      </c>
      <c r="D243" s="305">
        <v>611.57000000000005</v>
      </c>
      <c r="E243" s="306">
        <v>145.44</v>
      </c>
      <c r="F243" s="304"/>
      <c r="G243" s="305"/>
      <c r="H243" s="307"/>
      <c r="I243" s="304"/>
      <c r="J243" s="309"/>
      <c r="K243" s="307"/>
      <c r="L243" s="304"/>
      <c r="M243" s="309"/>
      <c r="N243" s="307"/>
      <c r="O243" s="333" t="s">
        <v>978</v>
      </c>
      <c r="P243" s="305">
        <f t="shared" si="27"/>
        <v>611.57000000000005</v>
      </c>
      <c r="Q243" s="307">
        <f t="shared" si="28"/>
        <v>5.6477590463888021E-3</v>
      </c>
      <c r="R243" s="302"/>
      <c r="S243" s="303"/>
      <c r="T243" s="280"/>
    </row>
    <row r="244" spans="1:20" ht="15">
      <c r="A244" s="276" t="s">
        <v>907</v>
      </c>
      <c r="B244" s="276">
        <v>352377</v>
      </c>
      <c r="C244" s="304">
        <v>618.62</v>
      </c>
      <c r="D244" s="305">
        <v>112.98</v>
      </c>
      <c r="E244" s="306">
        <v>34.57</v>
      </c>
      <c r="F244" s="304"/>
      <c r="G244" s="305"/>
      <c r="H244" s="307"/>
      <c r="I244" s="304"/>
      <c r="J244" s="309"/>
      <c r="K244" s="307"/>
      <c r="L244" s="304"/>
      <c r="M244" s="309"/>
      <c r="N244" s="307"/>
      <c r="O244" s="343">
        <v>536</v>
      </c>
      <c r="P244" s="305">
        <f t="shared" si="27"/>
        <v>112.98</v>
      </c>
      <c r="Q244" s="307">
        <f t="shared" si="28"/>
        <v>4.7442025137192418</v>
      </c>
      <c r="R244" s="302"/>
      <c r="S244" s="303"/>
      <c r="T244" s="280"/>
    </row>
    <row r="245" spans="1:20" ht="15">
      <c r="A245" s="276" t="s">
        <v>939</v>
      </c>
      <c r="B245" s="276">
        <v>359885</v>
      </c>
      <c r="C245" s="304">
        <v>2132.36</v>
      </c>
      <c r="D245" s="305">
        <v>419.03</v>
      </c>
      <c r="E245" s="306">
        <v>96.72</v>
      </c>
      <c r="F245" s="304"/>
      <c r="G245" s="305"/>
      <c r="H245" s="307"/>
      <c r="I245" s="304"/>
      <c r="J245" s="309"/>
      <c r="K245" s="307"/>
      <c r="L245" s="304"/>
      <c r="M245" s="309"/>
      <c r="N245" s="307"/>
      <c r="O245" s="343">
        <v>2855</v>
      </c>
      <c r="P245" s="305">
        <f t="shared" si="27"/>
        <v>419.03</v>
      </c>
      <c r="Q245" s="307">
        <f t="shared" si="28"/>
        <v>6.8133546524115225</v>
      </c>
      <c r="R245" s="302"/>
      <c r="S245" s="303"/>
      <c r="T245" s="280"/>
    </row>
    <row r="246" spans="1:20" ht="15">
      <c r="A246" s="276" t="s">
        <v>917</v>
      </c>
      <c r="B246" s="276">
        <v>359886</v>
      </c>
      <c r="C246" s="304">
        <v>0</v>
      </c>
      <c r="D246" s="305">
        <v>0</v>
      </c>
      <c r="E246" s="306">
        <v>0</v>
      </c>
      <c r="F246" s="304"/>
      <c r="G246" s="305"/>
      <c r="H246" s="307"/>
      <c r="I246" s="304"/>
      <c r="J246" s="309"/>
      <c r="K246" s="307"/>
      <c r="L246" s="304"/>
      <c r="M246" s="309"/>
      <c r="N246" s="307"/>
      <c r="O246" s="343"/>
      <c r="P246" s="305">
        <f t="shared" si="27"/>
        <v>0</v>
      </c>
      <c r="Q246" s="307" t="e">
        <f t="shared" si="28"/>
        <v>#DIV/0!</v>
      </c>
      <c r="R246" s="302"/>
      <c r="S246" s="303"/>
      <c r="T246" s="280"/>
    </row>
    <row r="247" spans="1:20" ht="15">
      <c r="A247" s="276" t="s">
        <v>319</v>
      </c>
      <c r="B247" s="276">
        <v>465180</v>
      </c>
      <c r="C247" s="304">
        <v>2088.83</v>
      </c>
      <c r="D247" s="305">
        <v>400.79</v>
      </c>
      <c r="E247" s="306">
        <v>102.57</v>
      </c>
      <c r="F247" s="304"/>
      <c r="G247" s="305"/>
      <c r="H247" s="307"/>
      <c r="I247" s="304"/>
      <c r="J247" s="309"/>
      <c r="K247" s="307"/>
      <c r="L247" s="304"/>
      <c r="M247" s="309"/>
      <c r="N247" s="307"/>
      <c r="O247" s="343">
        <v>1981</v>
      </c>
      <c r="P247" s="305">
        <f t="shared" si="27"/>
        <v>400.79</v>
      </c>
      <c r="Q247" s="307">
        <f t="shared" si="28"/>
        <v>4.9427380922677706</v>
      </c>
      <c r="R247" s="302"/>
      <c r="S247" s="303"/>
      <c r="T247" s="280"/>
    </row>
    <row r="248" spans="1:20" ht="15">
      <c r="A248" s="276" t="s">
        <v>858</v>
      </c>
      <c r="B248" s="276">
        <v>465181</v>
      </c>
      <c r="C248" s="304">
        <v>2563.1999999999998</v>
      </c>
      <c r="D248" s="305">
        <v>468.59</v>
      </c>
      <c r="E248" s="306">
        <v>98.27</v>
      </c>
      <c r="F248" s="304"/>
      <c r="G248" s="305"/>
      <c r="H248" s="307"/>
      <c r="I248" s="304"/>
      <c r="J248" s="309"/>
      <c r="K248" s="307"/>
      <c r="L248" s="304"/>
      <c r="M248" s="309"/>
      <c r="N248" s="307"/>
      <c r="O248" s="345">
        <v>2955</v>
      </c>
      <c r="P248" s="305">
        <f t="shared" si="27"/>
        <v>468.59</v>
      </c>
      <c r="Q248" s="307">
        <f t="shared" si="28"/>
        <v>6.3061525000533516</v>
      </c>
      <c r="R248" s="302"/>
      <c r="S248" s="303"/>
      <c r="T248" s="280"/>
    </row>
    <row r="249" spans="1:20" ht="15">
      <c r="A249" s="276" t="s">
        <v>970</v>
      </c>
      <c r="B249" s="276">
        <v>465182</v>
      </c>
      <c r="C249" s="304">
        <v>2898.24</v>
      </c>
      <c r="D249" s="305">
        <v>562.29</v>
      </c>
      <c r="E249" s="306">
        <v>163.32</v>
      </c>
      <c r="F249" s="304"/>
      <c r="G249" s="305"/>
      <c r="H249" s="307"/>
      <c r="I249" s="304"/>
      <c r="J249" s="309"/>
      <c r="K249" s="307"/>
      <c r="L249" s="304"/>
      <c r="M249" s="309"/>
      <c r="N249" s="307"/>
      <c r="O249" s="343">
        <v>3679</v>
      </c>
      <c r="P249" s="305">
        <f t="shared" si="27"/>
        <v>562.29</v>
      </c>
      <c r="Q249" s="307">
        <f t="shared" si="28"/>
        <v>6.5428871223034379</v>
      </c>
      <c r="R249" s="302"/>
      <c r="S249" s="303"/>
      <c r="T249" s="280"/>
    </row>
    <row r="250" spans="1:20" ht="15">
      <c r="A250" s="276" t="s">
        <v>88</v>
      </c>
      <c r="B250" s="276">
        <v>465183</v>
      </c>
      <c r="C250" s="304">
        <v>788.95</v>
      </c>
      <c r="D250" s="305">
        <v>153.6</v>
      </c>
      <c r="E250" s="305">
        <v>46.29</v>
      </c>
      <c r="F250" s="304"/>
      <c r="G250" s="305"/>
      <c r="H250" s="307"/>
      <c r="I250" s="304"/>
      <c r="J250" s="309"/>
      <c r="K250" s="307"/>
      <c r="L250" s="304"/>
      <c r="M250" s="309"/>
      <c r="N250" s="307"/>
      <c r="O250" s="343">
        <v>1282</v>
      </c>
      <c r="P250" s="305">
        <f t="shared" si="27"/>
        <v>153.6</v>
      </c>
      <c r="Q250" s="307">
        <f t="shared" si="28"/>
        <v>8.3463541666666679</v>
      </c>
      <c r="R250" s="302"/>
      <c r="S250" s="303"/>
      <c r="T250" s="280"/>
    </row>
    <row r="251" spans="1:20" ht="13">
      <c r="A251" s="276" t="s">
        <v>979</v>
      </c>
      <c r="B251" s="276">
        <v>465184</v>
      </c>
      <c r="C251" s="304">
        <v>1440.55</v>
      </c>
      <c r="D251" s="305">
        <v>279.18</v>
      </c>
      <c r="E251" s="306">
        <v>102.57</v>
      </c>
      <c r="F251" s="304"/>
      <c r="G251" s="305"/>
      <c r="H251" s="307"/>
      <c r="I251" s="304"/>
      <c r="J251" s="309"/>
      <c r="K251" s="307"/>
      <c r="L251" s="304"/>
      <c r="M251" s="309"/>
      <c r="N251" s="307"/>
      <c r="O251" s="333" t="s">
        <v>980</v>
      </c>
      <c r="P251" s="305">
        <f t="shared" si="27"/>
        <v>279.18</v>
      </c>
      <c r="Q251" s="307">
        <f t="shared" si="28"/>
        <v>3.5496812092556773</v>
      </c>
      <c r="R251" s="302"/>
      <c r="S251" s="303"/>
      <c r="T251" s="280"/>
    </row>
    <row r="252" spans="1:20" ht="13">
      <c r="A252" s="276" t="s">
        <v>75</v>
      </c>
      <c r="B252" s="276">
        <v>465185</v>
      </c>
      <c r="C252" s="304">
        <v>0</v>
      </c>
      <c r="D252" s="336">
        <v>0</v>
      </c>
      <c r="E252" s="306">
        <v>0</v>
      </c>
      <c r="F252" s="304"/>
      <c r="G252" s="305"/>
      <c r="H252" s="307"/>
      <c r="I252" s="304"/>
      <c r="J252" s="309"/>
      <c r="K252" s="307"/>
      <c r="L252" s="304"/>
      <c r="M252" s="309"/>
      <c r="N252" s="307"/>
      <c r="O252" s="333"/>
      <c r="P252" s="305">
        <f t="shared" si="27"/>
        <v>0</v>
      </c>
      <c r="Q252" s="307" t="e">
        <f t="shared" si="28"/>
        <v>#DIV/0!</v>
      </c>
      <c r="R252" s="302"/>
      <c r="S252" s="303"/>
      <c r="T252" s="280"/>
    </row>
    <row r="253" spans="1:20" ht="13">
      <c r="A253" s="276"/>
      <c r="B253" s="276">
        <v>465186</v>
      </c>
      <c r="C253" s="304">
        <v>0</v>
      </c>
      <c r="D253" s="305">
        <v>0</v>
      </c>
      <c r="E253" s="306">
        <v>0</v>
      </c>
      <c r="F253" s="304"/>
      <c r="G253" s="305"/>
      <c r="H253" s="307"/>
      <c r="I253" s="304"/>
      <c r="J253" s="309"/>
      <c r="K253" s="307"/>
      <c r="L253" s="304"/>
      <c r="M253" s="309"/>
      <c r="N253" s="307"/>
      <c r="O253" s="333"/>
      <c r="P253" s="305">
        <f t="shared" si="27"/>
        <v>0</v>
      </c>
      <c r="Q253" s="307" t="e">
        <f t="shared" si="28"/>
        <v>#DIV/0!</v>
      </c>
      <c r="R253" s="302"/>
      <c r="S253" s="303"/>
      <c r="T253" s="280"/>
    </row>
    <row r="254" spans="1:20" ht="15">
      <c r="A254" s="276" t="s">
        <v>192</v>
      </c>
      <c r="B254" s="276">
        <v>465187</v>
      </c>
      <c r="C254" s="304">
        <v>1253.05</v>
      </c>
      <c r="D254" s="305">
        <v>246.16</v>
      </c>
      <c r="E254" s="306">
        <v>78.77</v>
      </c>
      <c r="F254" s="304"/>
      <c r="G254" s="305"/>
      <c r="H254" s="307"/>
      <c r="I254" s="304"/>
      <c r="J254" s="309"/>
      <c r="K254" s="307"/>
      <c r="L254" s="304"/>
      <c r="M254" s="309"/>
      <c r="N254" s="307"/>
      <c r="O254" s="343">
        <v>2214</v>
      </c>
      <c r="P254" s="305">
        <f t="shared" si="27"/>
        <v>246.16</v>
      </c>
      <c r="Q254" s="307">
        <f t="shared" si="28"/>
        <v>8.9941501462463442</v>
      </c>
      <c r="R254" s="302"/>
      <c r="S254" s="303"/>
      <c r="T254" s="280"/>
    </row>
    <row r="255" spans="1:20" ht="13">
      <c r="A255" s="337" t="s">
        <v>14</v>
      </c>
      <c r="B255" s="276">
        <v>465188</v>
      </c>
      <c r="C255" s="304">
        <v>0</v>
      </c>
      <c r="D255" s="305">
        <v>0</v>
      </c>
      <c r="E255" s="306">
        <v>0</v>
      </c>
      <c r="F255" s="304"/>
      <c r="G255" s="305"/>
      <c r="H255" s="307"/>
      <c r="I255" s="304"/>
      <c r="J255" s="309"/>
      <c r="K255" s="307"/>
      <c r="L255" s="304"/>
      <c r="M255" s="309"/>
      <c r="N255" s="307"/>
      <c r="O255" s="333"/>
      <c r="P255" s="305">
        <f t="shared" si="27"/>
        <v>0</v>
      </c>
      <c r="Q255" s="307" t="e">
        <f t="shared" si="28"/>
        <v>#DIV/0!</v>
      </c>
      <c r="R255" s="302"/>
      <c r="S255" s="303"/>
      <c r="T255" s="280"/>
    </row>
    <row r="256" spans="1:20" ht="15">
      <c r="A256" s="313" t="s">
        <v>322</v>
      </c>
      <c r="B256" s="313">
        <v>317412</v>
      </c>
      <c r="C256" s="310">
        <v>1795.7</v>
      </c>
      <c r="D256" s="311">
        <v>364.48</v>
      </c>
      <c r="E256" s="314">
        <v>93.59</v>
      </c>
      <c r="F256" s="304"/>
      <c r="G256" s="305"/>
      <c r="H256" s="307"/>
      <c r="I256" s="310"/>
      <c r="J256" s="319"/>
      <c r="K256" s="312"/>
      <c r="L256" s="304"/>
      <c r="M256" s="309"/>
      <c r="N256" s="307"/>
      <c r="O256" s="343">
        <v>3169</v>
      </c>
      <c r="P256" s="305">
        <f t="shared" si="27"/>
        <v>364.48</v>
      </c>
      <c r="Q256" s="307">
        <f t="shared" si="28"/>
        <v>8.6945785776997369</v>
      </c>
      <c r="R256" s="302"/>
      <c r="S256" s="303"/>
      <c r="T256" s="280"/>
    </row>
    <row r="257" spans="1:20" ht="15">
      <c r="A257" s="341" t="s">
        <v>901</v>
      </c>
      <c r="B257" s="313">
        <v>1650</v>
      </c>
      <c r="C257" s="310">
        <v>1591.95</v>
      </c>
      <c r="D257" s="311">
        <v>312.31</v>
      </c>
      <c r="E257" s="314">
        <v>46.36</v>
      </c>
      <c r="F257" s="315"/>
      <c r="G257" s="316"/>
      <c r="H257" s="317"/>
      <c r="I257" s="315"/>
      <c r="J257" s="320"/>
      <c r="K257" s="317"/>
      <c r="L257" s="315"/>
      <c r="M257" s="320"/>
      <c r="N257" s="317"/>
      <c r="O257" s="343"/>
      <c r="P257" s="305">
        <f t="shared" si="27"/>
        <v>312.31</v>
      </c>
      <c r="Q257" s="317">
        <f t="shared" si="28"/>
        <v>0</v>
      </c>
      <c r="R257" s="303"/>
      <c r="S257" s="303"/>
    </row>
    <row r="258" spans="1:20" ht="13">
      <c r="A258" s="469" t="s">
        <v>860</v>
      </c>
      <c r="B258" s="464"/>
      <c r="C258" s="321" t="s">
        <v>676</v>
      </c>
      <c r="D258" s="322" t="s">
        <v>861</v>
      </c>
      <c r="E258" s="323" t="s">
        <v>862</v>
      </c>
      <c r="F258" s="321" t="s">
        <v>676</v>
      </c>
      <c r="G258" s="322" t="s">
        <v>861</v>
      </c>
      <c r="H258" s="323" t="s">
        <v>862</v>
      </c>
      <c r="I258" s="321" t="s">
        <v>676</v>
      </c>
      <c r="J258" s="322" t="s">
        <v>861</v>
      </c>
      <c r="K258" s="323" t="s">
        <v>862</v>
      </c>
      <c r="L258" s="321" t="s">
        <v>676</v>
      </c>
      <c r="M258" s="322" t="s">
        <v>861</v>
      </c>
      <c r="N258" s="323" t="s">
        <v>862</v>
      </c>
      <c r="O258" s="321" t="s">
        <v>881</v>
      </c>
      <c r="P258" s="322" t="s">
        <v>861</v>
      </c>
      <c r="Q258" s="323" t="s">
        <v>865</v>
      </c>
      <c r="R258" s="280"/>
      <c r="S258" s="280"/>
      <c r="T258" s="280"/>
    </row>
    <row r="259" spans="1:20" ht="13">
      <c r="A259" s="470" t="s">
        <v>863</v>
      </c>
      <c r="B259" s="471"/>
      <c r="C259" s="326">
        <f t="shared" ref="C259:E259" si="29">SUM(C237:C256)+SUM(F237:F256)+SUM(I237:I256)+SUM(L237:L256)</f>
        <v>29899.810000000005</v>
      </c>
      <c r="D259" s="327">
        <f t="shared" si="29"/>
        <v>5792.02</v>
      </c>
      <c r="E259" s="328">
        <f t="shared" si="29"/>
        <v>1352.7799999999997</v>
      </c>
      <c r="F259" s="329"/>
      <c r="G259" s="329"/>
      <c r="H259" s="329"/>
      <c r="I259" s="329"/>
      <c r="J259" s="329"/>
      <c r="K259" s="329"/>
      <c r="L259" s="329"/>
      <c r="M259" s="329"/>
      <c r="N259" s="329"/>
      <c r="O259" s="329"/>
      <c r="P259" s="329"/>
      <c r="Q259" s="329"/>
      <c r="R259" s="280"/>
      <c r="S259" s="280"/>
      <c r="T259" s="280"/>
    </row>
    <row r="260" spans="1:20" ht="13">
      <c r="T260" s="280"/>
    </row>
    <row r="261" spans="1:20" ht="13">
      <c r="A261" s="286" t="s">
        <v>981</v>
      </c>
      <c r="B261" s="330"/>
      <c r="C261" s="330"/>
      <c r="D261" s="330"/>
      <c r="E261" s="330"/>
      <c r="F261" s="330"/>
      <c r="G261" s="330"/>
      <c r="H261" s="330"/>
      <c r="I261" s="330"/>
      <c r="J261" s="330"/>
      <c r="K261" s="330"/>
      <c r="L261" s="330"/>
      <c r="M261" s="330"/>
      <c r="N261" s="330"/>
      <c r="O261" s="330"/>
      <c r="P261" s="330"/>
      <c r="Q261" s="330"/>
      <c r="R261" s="291"/>
      <c r="S261" s="280"/>
      <c r="T261" s="280"/>
    </row>
    <row r="262" spans="1:20" ht="13">
      <c r="A262" s="287" t="s">
        <v>849</v>
      </c>
      <c r="B262" s="287" t="s">
        <v>1</v>
      </c>
      <c r="C262" s="462" t="s">
        <v>850</v>
      </c>
      <c r="D262" s="463"/>
      <c r="E262" s="464"/>
      <c r="F262" s="465" t="s">
        <v>851</v>
      </c>
      <c r="G262" s="466"/>
      <c r="H262" s="467"/>
      <c r="I262" s="468" t="s">
        <v>852</v>
      </c>
      <c r="J262" s="463"/>
      <c r="K262" s="464"/>
      <c r="L262" s="465" t="s">
        <v>852</v>
      </c>
      <c r="M262" s="466"/>
      <c r="N262" s="467"/>
      <c r="O262" s="289" t="s">
        <v>865</v>
      </c>
      <c r="P262" s="339"/>
      <c r="Q262" s="339"/>
      <c r="R262" s="291"/>
      <c r="S262" s="280"/>
      <c r="T262" s="280"/>
    </row>
    <row r="263" spans="1:20" ht="13">
      <c r="A263" s="346" t="s">
        <v>979</v>
      </c>
      <c r="B263" s="293">
        <v>352368</v>
      </c>
      <c r="C263" s="294">
        <v>1892.7</v>
      </c>
      <c r="D263" s="295">
        <v>363.41</v>
      </c>
      <c r="E263" s="296">
        <v>146.78</v>
      </c>
      <c r="F263" s="294"/>
      <c r="G263" s="295"/>
      <c r="H263" s="297"/>
      <c r="I263" s="294"/>
      <c r="J263" s="301"/>
      <c r="K263" s="297"/>
      <c r="L263" s="294"/>
      <c r="M263" s="301"/>
      <c r="N263" s="297"/>
      <c r="O263" s="331"/>
      <c r="P263" s="305">
        <f t="shared" ref="P263:P283" si="30">D263</f>
        <v>363.41</v>
      </c>
      <c r="Q263" s="297">
        <f t="shared" ref="Q263:Q283" si="31">O263/P263</f>
        <v>0</v>
      </c>
      <c r="R263" s="302"/>
      <c r="S263" s="303"/>
      <c r="T263" s="280"/>
    </row>
    <row r="264" spans="1:20" ht="15">
      <c r="A264" s="347" t="s">
        <v>969</v>
      </c>
      <c r="B264" s="348">
        <v>352371</v>
      </c>
      <c r="C264" s="304">
        <v>3528.55</v>
      </c>
      <c r="D264" s="305">
        <v>690.77</v>
      </c>
      <c r="E264" s="306">
        <v>151.84</v>
      </c>
      <c r="F264" s="304"/>
      <c r="G264" s="305"/>
      <c r="H264" s="307"/>
      <c r="I264" s="304"/>
      <c r="J264" s="309"/>
      <c r="K264" s="307"/>
      <c r="L264" s="304"/>
      <c r="M264" s="309"/>
      <c r="N264" s="307"/>
      <c r="O264" s="343"/>
      <c r="P264" s="305">
        <f t="shared" si="30"/>
        <v>690.77</v>
      </c>
      <c r="Q264" s="307">
        <f t="shared" si="31"/>
        <v>0</v>
      </c>
      <c r="R264" s="302"/>
      <c r="S264" s="303"/>
      <c r="T264" s="280"/>
    </row>
    <row r="265" spans="1:20" ht="15">
      <c r="A265" s="276" t="s">
        <v>883</v>
      </c>
      <c r="B265" s="276">
        <v>352372</v>
      </c>
      <c r="C265" s="304">
        <v>3132.01</v>
      </c>
      <c r="D265" s="305">
        <v>590.57000000000005</v>
      </c>
      <c r="E265" s="306">
        <v>183.4</v>
      </c>
      <c r="F265" s="304"/>
      <c r="G265" s="305"/>
      <c r="H265" s="307"/>
      <c r="I265" s="304"/>
      <c r="J265" s="309"/>
      <c r="K265" s="307"/>
      <c r="L265" s="304"/>
      <c r="M265" s="309"/>
      <c r="N265" s="307"/>
      <c r="O265" s="344"/>
      <c r="P265" s="305">
        <f t="shared" si="30"/>
        <v>590.57000000000005</v>
      </c>
      <c r="Q265" s="307">
        <f t="shared" si="31"/>
        <v>0</v>
      </c>
      <c r="R265" s="302"/>
      <c r="S265" s="303"/>
      <c r="T265" s="280"/>
    </row>
    <row r="266" spans="1:20" ht="13">
      <c r="A266" s="276" t="s">
        <v>975</v>
      </c>
      <c r="B266" s="276">
        <v>352373</v>
      </c>
      <c r="C266" s="304">
        <v>2777.69</v>
      </c>
      <c r="D266" s="305">
        <v>576.71</v>
      </c>
      <c r="E266" s="306">
        <v>78.63</v>
      </c>
      <c r="F266" s="304"/>
      <c r="G266" s="305"/>
      <c r="H266" s="307"/>
      <c r="I266" s="304"/>
      <c r="J266" s="309"/>
      <c r="K266" s="307"/>
      <c r="L266" s="304"/>
      <c r="M266" s="309"/>
      <c r="N266" s="307"/>
      <c r="O266" s="333"/>
      <c r="P266" s="305">
        <f t="shared" si="30"/>
        <v>576.71</v>
      </c>
      <c r="Q266" s="307">
        <f t="shared" si="31"/>
        <v>0</v>
      </c>
      <c r="R266" s="302"/>
      <c r="S266" s="303"/>
      <c r="T266" s="280"/>
    </row>
    <row r="267" spans="1:20" ht="13">
      <c r="A267" s="276" t="s">
        <v>191</v>
      </c>
      <c r="B267" s="276">
        <v>352374</v>
      </c>
      <c r="C267" s="304">
        <v>2765.56</v>
      </c>
      <c r="D267" s="305">
        <v>538.69000000000005</v>
      </c>
      <c r="E267" s="306">
        <v>103.27</v>
      </c>
      <c r="F267" s="304"/>
      <c r="G267" s="305"/>
      <c r="H267" s="307"/>
      <c r="I267" s="304"/>
      <c r="J267" s="309"/>
      <c r="K267" s="307"/>
      <c r="L267" s="304"/>
      <c r="M267" s="309"/>
      <c r="N267" s="307"/>
      <c r="O267" s="333"/>
      <c r="P267" s="305">
        <f t="shared" si="30"/>
        <v>538.69000000000005</v>
      </c>
      <c r="Q267" s="307">
        <f t="shared" si="31"/>
        <v>0</v>
      </c>
      <c r="R267" s="302"/>
      <c r="S267" s="303"/>
      <c r="T267" s="280"/>
    </row>
    <row r="268" spans="1:20" ht="15">
      <c r="A268" s="276"/>
      <c r="B268" s="276">
        <v>352375</v>
      </c>
      <c r="C268" s="304"/>
      <c r="D268" s="305"/>
      <c r="E268" s="306"/>
      <c r="F268" s="304"/>
      <c r="G268" s="305"/>
      <c r="H268" s="307"/>
      <c r="I268" s="304"/>
      <c r="J268" s="309"/>
      <c r="K268" s="307"/>
      <c r="L268" s="304"/>
      <c r="M268" s="309"/>
      <c r="N268" s="307"/>
      <c r="O268" s="343"/>
      <c r="P268" s="305">
        <f t="shared" si="30"/>
        <v>0</v>
      </c>
      <c r="Q268" s="307" t="e">
        <f t="shared" si="31"/>
        <v>#DIV/0!</v>
      </c>
      <c r="R268" s="302"/>
      <c r="S268" s="303"/>
      <c r="T268" s="280"/>
    </row>
    <row r="269" spans="1:20" ht="13">
      <c r="A269" s="276" t="s">
        <v>62</v>
      </c>
      <c r="B269" s="276">
        <v>352376</v>
      </c>
      <c r="C269" s="304">
        <v>3227.52</v>
      </c>
      <c r="D269" s="305">
        <v>628.79999999999995</v>
      </c>
      <c r="E269" s="306">
        <v>162.97999999999999</v>
      </c>
      <c r="F269" s="304"/>
      <c r="G269" s="305"/>
      <c r="H269" s="307"/>
      <c r="I269" s="304"/>
      <c r="J269" s="309"/>
      <c r="K269" s="307"/>
      <c r="L269" s="304"/>
      <c r="M269" s="309"/>
      <c r="N269" s="307"/>
      <c r="O269" s="333"/>
      <c r="P269" s="305">
        <f t="shared" si="30"/>
        <v>628.79999999999995</v>
      </c>
      <c r="Q269" s="307">
        <f t="shared" si="31"/>
        <v>0</v>
      </c>
      <c r="R269" s="302"/>
      <c r="S269" s="303"/>
      <c r="T269" s="280"/>
    </row>
    <row r="270" spans="1:20" ht="15">
      <c r="A270" s="276" t="s">
        <v>982</v>
      </c>
      <c r="B270" s="276">
        <v>352377</v>
      </c>
      <c r="C270" s="304">
        <v>1151.44</v>
      </c>
      <c r="D270" s="305">
        <v>222.52</v>
      </c>
      <c r="E270" s="306">
        <v>71.209999999999994</v>
      </c>
      <c r="F270" s="304"/>
      <c r="G270" s="305"/>
      <c r="H270" s="307"/>
      <c r="I270" s="304"/>
      <c r="J270" s="309"/>
      <c r="K270" s="307"/>
      <c r="L270" s="304"/>
      <c r="M270" s="309"/>
      <c r="N270" s="307"/>
      <c r="O270" s="343"/>
      <c r="P270" s="305">
        <f t="shared" si="30"/>
        <v>222.52</v>
      </c>
      <c r="Q270" s="307">
        <f t="shared" si="31"/>
        <v>0</v>
      </c>
      <c r="R270" s="302"/>
      <c r="S270" s="303"/>
      <c r="T270" s="280"/>
    </row>
    <row r="271" spans="1:20" ht="15">
      <c r="A271" s="276" t="s">
        <v>939</v>
      </c>
      <c r="B271" s="276">
        <v>359885</v>
      </c>
      <c r="C271" s="304">
        <v>3027.24</v>
      </c>
      <c r="D271" s="305">
        <v>594.45000000000005</v>
      </c>
      <c r="E271" s="306">
        <v>135.24</v>
      </c>
      <c r="F271" s="304"/>
      <c r="G271" s="305"/>
      <c r="H271" s="307"/>
      <c r="I271" s="304"/>
      <c r="J271" s="309"/>
      <c r="K271" s="307"/>
      <c r="L271" s="304"/>
      <c r="M271" s="309"/>
      <c r="N271" s="307"/>
      <c r="O271" s="343"/>
      <c r="P271" s="305">
        <f t="shared" si="30"/>
        <v>594.45000000000005</v>
      </c>
      <c r="Q271" s="307">
        <f t="shared" si="31"/>
        <v>0</v>
      </c>
      <c r="R271" s="302"/>
      <c r="S271" s="303"/>
      <c r="T271" s="280"/>
    </row>
    <row r="272" spans="1:20" ht="15">
      <c r="A272" s="276" t="s">
        <v>917</v>
      </c>
      <c r="B272" s="276">
        <v>359886</v>
      </c>
      <c r="C272" s="304">
        <v>2832.57</v>
      </c>
      <c r="D272" s="305">
        <v>560.57000000000005</v>
      </c>
      <c r="E272" s="306">
        <v>258.02</v>
      </c>
      <c r="F272" s="304"/>
      <c r="G272" s="305"/>
      <c r="H272" s="307"/>
      <c r="I272" s="304"/>
      <c r="J272" s="309"/>
      <c r="K272" s="307"/>
      <c r="L272" s="304"/>
      <c r="M272" s="309"/>
      <c r="N272" s="307"/>
      <c r="O272" s="343"/>
      <c r="P272" s="305">
        <f t="shared" si="30"/>
        <v>560.57000000000005</v>
      </c>
      <c r="Q272" s="307">
        <f t="shared" si="31"/>
        <v>0</v>
      </c>
      <c r="R272" s="302"/>
      <c r="S272" s="303"/>
      <c r="T272" s="280"/>
    </row>
    <row r="273" spans="1:20" ht="15">
      <c r="A273" s="276" t="s">
        <v>319</v>
      </c>
      <c r="B273" s="276">
        <v>465180</v>
      </c>
      <c r="C273" s="304">
        <v>2595.34</v>
      </c>
      <c r="D273" s="305">
        <v>513.07000000000005</v>
      </c>
      <c r="E273" s="306">
        <v>195.16</v>
      </c>
      <c r="F273" s="304"/>
      <c r="G273" s="305"/>
      <c r="H273" s="307"/>
      <c r="I273" s="304"/>
      <c r="J273" s="309"/>
      <c r="K273" s="307"/>
      <c r="L273" s="304"/>
      <c r="M273" s="309"/>
      <c r="N273" s="307"/>
      <c r="O273" s="343"/>
      <c r="P273" s="305">
        <f t="shared" si="30"/>
        <v>513.07000000000005</v>
      </c>
      <c r="Q273" s="307">
        <f t="shared" si="31"/>
        <v>0</v>
      </c>
      <c r="R273" s="302"/>
      <c r="S273" s="303"/>
      <c r="T273" s="280"/>
    </row>
    <row r="274" spans="1:20" ht="15">
      <c r="A274" s="276" t="s">
        <v>858</v>
      </c>
      <c r="B274" s="276">
        <v>465181</v>
      </c>
      <c r="C274" s="304">
        <v>2198.5100000000002</v>
      </c>
      <c r="D274" s="305">
        <v>426.25</v>
      </c>
      <c r="E274" s="306">
        <v>72.959999999999994</v>
      </c>
      <c r="F274" s="304"/>
      <c r="G274" s="305"/>
      <c r="H274" s="307"/>
      <c r="I274" s="304"/>
      <c r="J274" s="309"/>
      <c r="K274" s="307"/>
      <c r="L274" s="304"/>
      <c r="M274" s="309"/>
      <c r="N274" s="307"/>
      <c r="O274" s="345"/>
      <c r="P274" s="305">
        <f t="shared" si="30"/>
        <v>426.25</v>
      </c>
      <c r="Q274" s="307">
        <f t="shared" si="31"/>
        <v>0</v>
      </c>
      <c r="R274" s="302"/>
      <c r="S274" s="303"/>
      <c r="T274" s="280"/>
    </row>
    <row r="275" spans="1:20" ht="15">
      <c r="A275" s="276" t="s">
        <v>970</v>
      </c>
      <c r="B275" s="276">
        <v>465182</v>
      </c>
      <c r="C275" s="304">
        <v>3409.56</v>
      </c>
      <c r="D275" s="305">
        <v>647.86</v>
      </c>
      <c r="E275" s="306">
        <v>183.81</v>
      </c>
      <c r="F275" s="304"/>
      <c r="G275" s="305"/>
      <c r="H275" s="307"/>
      <c r="I275" s="304"/>
      <c r="J275" s="309"/>
      <c r="K275" s="307"/>
      <c r="L275" s="304"/>
      <c r="M275" s="309"/>
      <c r="N275" s="307"/>
      <c r="O275" s="343"/>
      <c r="P275" s="305">
        <f t="shared" si="30"/>
        <v>647.86</v>
      </c>
      <c r="Q275" s="307">
        <f t="shared" si="31"/>
        <v>0</v>
      </c>
      <c r="R275" s="302"/>
      <c r="S275" s="303"/>
      <c r="T275" s="280"/>
    </row>
    <row r="276" spans="1:20" ht="15">
      <c r="A276" s="276" t="s">
        <v>88</v>
      </c>
      <c r="B276" s="276">
        <v>465183</v>
      </c>
      <c r="C276" s="304">
        <v>2971.43</v>
      </c>
      <c r="D276" s="305">
        <v>588.32000000000005</v>
      </c>
      <c r="E276" s="305">
        <v>180.55</v>
      </c>
      <c r="F276" s="304"/>
      <c r="G276" s="305"/>
      <c r="H276" s="307"/>
      <c r="I276" s="304"/>
      <c r="J276" s="309"/>
      <c r="K276" s="307"/>
      <c r="L276" s="304"/>
      <c r="M276" s="309"/>
      <c r="N276" s="307"/>
      <c r="O276" s="343"/>
      <c r="P276" s="305">
        <f t="shared" si="30"/>
        <v>588.32000000000005</v>
      </c>
      <c r="Q276" s="307">
        <f t="shared" si="31"/>
        <v>0</v>
      </c>
      <c r="R276" s="302"/>
      <c r="S276" s="303"/>
      <c r="T276" s="280"/>
    </row>
    <row r="277" spans="1:20" ht="13">
      <c r="A277" s="346" t="s">
        <v>40</v>
      </c>
      <c r="B277" s="276">
        <v>465184</v>
      </c>
      <c r="C277" s="304">
        <v>2560.09</v>
      </c>
      <c r="D277" s="305">
        <v>525.53</v>
      </c>
      <c r="E277" s="306">
        <v>59.08</v>
      </c>
      <c r="F277" s="304"/>
      <c r="G277" s="305"/>
      <c r="H277" s="307"/>
      <c r="I277" s="304"/>
      <c r="J277" s="309"/>
      <c r="K277" s="307"/>
      <c r="L277" s="304"/>
      <c r="M277" s="309"/>
      <c r="N277" s="307"/>
      <c r="O277" s="333"/>
      <c r="P277" s="305">
        <f t="shared" si="30"/>
        <v>525.53</v>
      </c>
      <c r="Q277" s="307">
        <f t="shared" si="31"/>
        <v>0</v>
      </c>
      <c r="R277" s="302"/>
      <c r="S277" s="303"/>
      <c r="T277" s="280"/>
    </row>
    <row r="278" spans="1:20" ht="13">
      <c r="A278" s="276" t="s">
        <v>75</v>
      </c>
      <c r="B278" s="276">
        <v>465185</v>
      </c>
      <c r="C278" s="304">
        <v>2643.47</v>
      </c>
      <c r="D278" s="336">
        <v>526.80999999999995</v>
      </c>
      <c r="E278" s="306">
        <v>161.72999999999999</v>
      </c>
      <c r="F278" s="304"/>
      <c r="G278" s="305"/>
      <c r="H278" s="307"/>
      <c r="I278" s="304"/>
      <c r="J278" s="309"/>
      <c r="K278" s="307"/>
      <c r="L278" s="304"/>
      <c r="M278" s="309"/>
      <c r="N278" s="307"/>
      <c r="O278" s="333"/>
      <c r="P278" s="305">
        <f t="shared" si="30"/>
        <v>526.80999999999995</v>
      </c>
      <c r="Q278" s="307">
        <f t="shared" si="31"/>
        <v>0</v>
      </c>
      <c r="R278" s="302"/>
      <c r="S278" s="303"/>
      <c r="T278" s="280"/>
    </row>
    <row r="279" spans="1:20" ht="13">
      <c r="A279" s="346"/>
      <c r="B279" s="276">
        <v>465186</v>
      </c>
      <c r="C279" s="304"/>
      <c r="D279" s="305"/>
      <c r="E279" s="306"/>
      <c r="F279" s="304"/>
      <c r="G279" s="305"/>
      <c r="H279" s="307"/>
      <c r="I279" s="304"/>
      <c r="J279" s="309"/>
      <c r="K279" s="307"/>
      <c r="L279" s="304"/>
      <c r="M279" s="309"/>
      <c r="N279" s="307"/>
      <c r="O279" s="333"/>
      <c r="P279" s="305">
        <f t="shared" si="30"/>
        <v>0</v>
      </c>
      <c r="Q279" s="307" t="e">
        <f t="shared" si="31"/>
        <v>#DIV/0!</v>
      </c>
      <c r="R279" s="302"/>
      <c r="S279" s="303"/>
      <c r="T279" s="280"/>
    </row>
    <row r="280" spans="1:20" ht="15">
      <c r="A280" s="276" t="s">
        <v>192</v>
      </c>
      <c r="B280" s="276">
        <v>465187</v>
      </c>
      <c r="C280" s="304">
        <v>2507.98</v>
      </c>
      <c r="D280" s="305">
        <v>515.91</v>
      </c>
      <c r="E280" s="306">
        <v>97.73</v>
      </c>
      <c r="F280" s="304"/>
      <c r="G280" s="305"/>
      <c r="H280" s="307"/>
      <c r="I280" s="304"/>
      <c r="J280" s="309"/>
      <c r="K280" s="307"/>
      <c r="L280" s="304"/>
      <c r="M280" s="309"/>
      <c r="N280" s="307"/>
      <c r="O280" s="343"/>
      <c r="P280" s="305">
        <f t="shared" si="30"/>
        <v>515.91</v>
      </c>
      <c r="Q280" s="307">
        <f t="shared" si="31"/>
        <v>0</v>
      </c>
      <c r="R280" s="302"/>
      <c r="S280" s="303"/>
      <c r="T280" s="280"/>
    </row>
    <row r="281" spans="1:20" ht="13">
      <c r="A281" s="337"/>
      <c r="B281" s="276">
        <v>465188</v>
      </c>
      <c r="C281" s="304"/>
      <c r="D281" s="305"/>
      <c r="E281" s="306"/>
      <c r="F281" s="304"/>
      <c r="G281" s="305"/>
      <c r="H281" s="307"/>
      <c r="I281" s="304"/>
      <c r="J281" s="309"/>
      <c r="K281" s="307"/>
      <c r="L281" s="304"/>
      <c r="M281" s="309"/>
      <c r="N281" s="307"/>
      <c r="O281" s="333"/>
      <c r="P281" s="305">
        <f t="shared" si="30"/>
        <v>0</v>
      </c>
      <c r="Q281" s="307" t="e">
        <f t="shared" si="31"/>
        <v>#DIV/0!</v>
      </c>
      <c r="R281" s="302"/>
      <c r="S281" s="303"/>
      <c r="T281" s="280"/>
    </row>
    <row r="282" spans="1:20" ht="15">
      <c r="A282" s="313" t="s">
        <v>322</v>
      </c>
      <c r="B282" s="313">
        <v>317412</v>
      </c>
      <c r="C282" s="310">
        <v>2834.68</v>
      </c>
      <c r="D282" s="311">
        <v>567.82000000000005</v>
      </c>
      <c r="E282" s="314">
        <v>153.66999999999999</v>
      </c>
      <c r="F282" s="304"/>
      <c r="G282" s="305"/>
      <c r="H282" s="307"/>
      <c r="I282" s="310"/>
      <c r="J282" s="319"/>
      <c r="K282" s="312"/>
      <c r="L282" s="304"/>
      <c r="M282" s="309"/>
      <c r="N282" s="307"/>
      <c r="O282" s="343"/>
      <c r="P282" s="305">
        <f t="shared" si="30"/>
        <v>567.82000000000005</v>
      </c>
      <c r="Q282" s="307">
        <f t="shared" si="31"/>
        <v>0</v>
      </c>
      <c r="R282" s="302"/>
      <c r="S282" s="303"/>
      <c r="T282" s="280"/>
    </row>
    <row r="283" spans="1:20" ht="15">
      <c r="A283" s="341" t="s">
        <v>901</v>
      </c>
      <c r="B283" s="313">
        <v>1650</v>
      </c>
      <c r="C283" s="310">
        <v>2732.84</v>
      </c>
      <c r="D283" s="311">
        <v>538.66999999999996</v>
      </c>
      <c r="E283" s="314">
        <v>212.37</v>
      </c>
      <c r="F283" s="315"/>
      <c r="G283" s="316"/>
      <c r="H283" s="317"/>
      <c r="I283" s="315"/>
      <c r="J283" s="320"/>
      <c r="K283" s="317"/>
      <c r="L283" s="315"/>
      <c r="M283" s="320"/>
      <c r="N283" s="317"/>
      <c r="O283" s="343"/>
      <c r="P283" s="305">
        <f t="shared" si="30"/>
        <v>538.66999999999996</v>
      </c>
      <c r="Q283" s="317">
        <f t="shared" si="31"/>
        <v>0</v>
      </c>
      <c r="R283" s="303"/>
      <c r="S283" s="303"/>
    </row>
    <row r="284" spans="1:20" ht="13">
      <c r="A284" s="469" t="s">
        <v>860</v>
      </c>
      <c r="B284" s="464"/>
      <c r="C284" s="321" t="s">
        <v>676</v>
      </c>
      <c r="D284" s="322" t="s">
        <v>861</v>
      </c>
      <c r="E284" s="323" t="s">
        <v>862</v>
      </c>
      <c r="F284" s="321" t="s">
        <v>676</v>
      </c>
      <c r="G284" s="322" t="s">
        <v>861</v>
      </c>
      <c r="H284" s="323" t="s">
        <v>862</v>
      </c>
      <c r="I284" s="321" t="s">
        <v>676</v>
      </c>
      <c r="J284" s="322" t="s">
        <v>861</v>
      </c>
      <c r="K284" s="323" t="s">
        <v>862</v>
      </c>
      <c r="L284" s="321" t="s">
        <v>676</v>
      </c>
      <c r="M284" s="322" t="s">
        <v>861</v>
      </c>
      <c r="N284" s="323" t="s">
        <v>862</v>
      </c>
      <c r="O284" s="321" t="s">
        <v>881</v>
      </c>
      <c r="P284" s="322" t="s">
        <v>861</v>
      </c>
      <c r="Q284" s="323" t="s">
        <v>865</v>
      </c>
      <c r="R284" s="280"/>
      <c r="S284" s="280"/>
      <c r="T284" s="280"/>
    </row>
    <row r="285" spans="1:20" ht="13">
      <c r="A285" s="470" t="s">
        <v>863</v>
      </c>
      <c r="B285" s="471"/>
      <c r="C285" s="326">
        <f t="shared" ref="C285:E285" si="32">SUM(C263:C282)+SUM(F263:F282)+SUM(I263:I282)+SUM(L263:L282)</f>
        <v>46056.34</v>
      </c>
      <c r="D285" s="327">
        <f t="shared" si="32"/>
        <v>9078.0599999999977</v>
      </c>
      <c r="E285" s="328">
        <f t="shared" si="32"/>
        <v>2396.06</v>
      </c>
      <c r="F285" s="329"/>
      <c r="G285" s="329"/>
      <c r="H285" s="329"/>
      <c r="I285" s="329"/>
      <c r="J285" s="329"/>
      <c r="K285" s="329"/>
      <c r="L285" s="329"/>
      <c r="M285" s="329"/>
      <c r="N285" s="329"/>
      <c r="O285" s="329"/>
      <c r="P285" s="329"/>
      <c r="Q285" s="329"/>
      <c r="R285" s="280"/>
      <c r="S285" s="280"/>
      <c r="T285" s="280"/>
    </row>
    <row r="286" spans="1:20" ht="13">
      <c r="T286" s="280"/>
    </row>
    <row r="287" spans="1:20" ht="13">
      <c r="A287" s="286" t="s">
        <v>983</v>
      </c>
      <c r="B287" s="330"/>
      <c r="C287" s="330"/>
      <c r="D287" s="330"/>
      <c r="E287" s="330"/>
      <c r="F287" s="330"/>
      <c r="G287" s="330"/>
      <c r="H287" s="330"/>
      <c r="I287" s="330"/>
      <c r="J287" s="330"/>
      <c r="K287" s="330"/>
      <c r="L287" s="330"/>
      <c r="M287" s="330"/>
      <c r="N287" s="330"/>
      <c r="O287" s="330"/>
      <c r="P287" s="330"/>
      <c r="Q287" s="330"/>
      <c r="R287" s="291"/>
      <c r="S287" s="280"/>
      <c r="T287" s="280"/>
    </row>
    <row r="288" spans="1:20" ht="13">
      <c r="A288" s="287" t="s">
        <v>849</v>
      </c>
      <c r="B288" s="287" t="s">
        <v>1</v>
      </c>
      <c r="C288" s="462" t="s">
        <v>850</v>
      </c>
      <c r="D288" s="463"/>
      <c r="E288" s="464"/>
      <c r="F288" s="465" t="s">
        <v>851</v>
      </c>
      <c r="G288" s="466"/>
      <c r="H288" s="467"/>
      <c r="I288" s="468" t="s">
        <v>852</v>
      </c>
      <c r="J288" s="463"/>
      <c r="K288" s="464"/>
      <c r="L288" s="465" t="s">
        <v>852</v>
      </c>
      <c r="M288" s="466"/>
      <c r="N288" s="467"/>
      <c r="O288" s="289" t="s">
        <v>865</v>
      </c>
      <c r="P288" s="339"/>
      <c r="Q288" s="339"/>
      <c r="R288" s="291"/>
      <c r="S288" s="280"/>
      <c r="T288" s="280"/>
    </row>
    <row r="289" spans="1:20" ht="13">
      <c r="A289" s="346" t="s">
        <v>308</v>
      </c>
      <c r="B289" s="293">
        <v>352368</v>
      </c>
      <c r="C289" s="294">
        <v>2085.0100000000002</v>
      </c>
      <c r="D289" s="295">
        <v>422.54</v>
      </c>
      <c r="E289" s="296">
        <v>55.98</v>
      </c>
      <c r="F289" s="294"/>
      <c r="G289" s="295"/>
      <c r="H289" s="297"/>
      <c r="I289" s="294"/>
      <c r="J289" s="301"/>
      <c r="K289" s="297"/>
      <c r="L289" s="294"/>
      <c r="M289" s="301"/>
      <c r="N289" s="297"/>
      <c r="O289" s="331"/>
      <c r="P289" s="305">
        <f t="shared" ref="P289:P309" si="33">D289</f>
        <v>422.54</v>
      </c>
      <c r="Q289" s="297">
        <f t="shared" ref="Q289:Q309" si="34">O289/P289</f>
        <v>0</v>
      </c>
      <c r="R289" s="302"/>
      <c r="S289" s="303"/>
      <c r="T289" s="280"/>
    </row>
    <row r="290" spans="1:20" ht="15">
      <c r="A290" s="347" t="s">
        <v>969</v>
      </c>
      <c r="B290" s="348">
        <v>352371</v>
      </c>
      <c r="C290" s="304">
        <v>2021.25</v>
      </c>
      <c r="D290" s="305">
        <v>416.89</v>
      </c>
      <c r="E290" s="306">
        <v>133.41</v>
      </c>
      <c r="F290" s="304"/>
      <c r="G290" s="305"/>
      <c r="H290" s="307"/>
      <c r="I290" s="304"/>
      <c r="J290" s="309"/>
      <c r="K290" s="307"/>
      <c r="L290" s="304"/>
      <c r="M290" s="309"/>
      <c r="N290" s="307"/>
      <c r="O290" s="343"/>
      <c r="P290" s="305">
        <f t="shared" si="33"/>
        <v>416.89</v>
      </c>
      <c r="Q290" s="307">
        <f t="shared" si="34"/>
        <v>0</v>
      </c>
      <c r="R290" s="302"/>
      <c r="S290" s="303"/>
      <c r="T290" s="280"/>
    </row>
    <row r="291" spans="1:20" ht="15">
      <c r="A291" s="276" t="s">
        <v>883</v>
      </c>
      <c r="B291" s="276">
        <v>352372</v>
      </c>
      <c r="C291" s="304">
        <v>2478.39</v>
      </c>
      <c r="D291" s="305">
        <v>501.63</v>
      </c>
      <c r="E291" s="306">
        <v>72.78</v>
      </c>
      <c r="F291" s="304"/>
      <c r="G291" s="305"/>
      <c r="H291" s="307"/>
      <c r="I291" s="304"/>
      <c r="J291" s="309"/>
      <c r="K291" s="307"/>
      <c r="L291" s="304"/>
      <c r="M291" s="309"/>
      <c r="N291" s="307"/>
      <c r="O291" s="344"/>
      <c r="P291" s="305">
        <f t="shared" si="33"/>
        <v>501.63</v>
      </c>
      <c r="Q291" s="307">
        <f t="shared" si="34"/>
        <v>0</v>
      </c>
      <c r="R291" s="302"/>
      <c r="S291" s="303"/>
      <c r="T291" s="280"/>
    </row>
    <row r="292" spans="1:20" ht="13">
      <c r="A292" s="276" t="s">
        <v>975</v>
      </c>
      <c r="B292" s="276">
        <v>352373</v>
      </c>
      <c r="C292" s="304">
        <v>2105.1</v>
      </c>
      <c r="D292" s="305">
        <v>425.69</v>
      </c>
      <c r="E292" s="306">
        <v>64.8</v>
      </c>
      <c r="F292" s="304"/>
      <c r="G292" s="305"/>
      <c r="H292" s="307"/>
      <c r="I292" s="304"/>
      <c r="J292" s="309"/>
      <c r="K292" s="307"/>
      <c r="L292" s="304"/>
      <c r="M292" s="309"/>
      <c r="N292" s="307"/>
      <c r="O292" s="333"/>
      <c r="P292" s="305">
        <f t="shared" si="33"/>
        <v>425.69</v>
      </c>
      <c r="Q292" s="307">
        <f t="shared" si="34"/>
        <v>0</v>
      </c>
      <c r="R292" s="302"/>
      <c r="S292" s="303"/>
      <c r="T292" s="280"/>
    </row>
    <row r="293" spans="1:20" ht="13">
      <c r="A293" s="276" t="s">
        <v>191</v>
      </c>
      <c r="B293" s="276">
        <v>352374</v>
      </c>
      <c r="C293" s="304">
        <v>3435.89</v>
      </c>
      <c r="D293" s="305">
        <v>683.47</v>
      </c>
      <c r="E293" s="306">
        <v>178.7</v>
      </c>
      <c r="F293" s="304"/>
      <c r="G293" s="305"/>
      <c r="H293" s="307"/>
      <c r="I293" s="304"/>
      <c r="J293" s="309"/>
      <c r="K293" s="307"/>
      <c r="L293" s="304"/>
      <c r="M293" s="309"/>
      <c r="N293" s="307"/>
      <c r="O293" s="333"/>
      <c r="P293" s="305">
        <f t="shared" si="33"/>
        <v>683.47</v>
      </c>
      <c r="Q293" s="307">
        <f t="shared" si="34"/>
        <v>0</v>
      </c>
      <c r="R293" s="302"/>
      <c r="S293" s="303"/>
      <c r="T293" s="280"/>
    </row>
    <row r="294" spans="1:20" ht="15">
      <c r="A294" s="276" t="s">
        <v>984</v>
      </c>
      <c r="B294" s="276">
        <v>352375</v>
      </c>
      <c r="C294" s="304">
        <v>2193.6799999999998</v>
      </c>
      <c r="D294" s="305">
        <v>420.56</v>
      </c>
      <c r="E294" s="306">
        <v>132.75</v>
      </c>
      <c r="F294" s="304"/>
      <c r="G294" s="305"/>
      <c r="H294" s="307"/>
      <c r="I294" s="304"/>
      <c r="J294" s="309"/>
      <c r="K294" s="307"/>
      <c r="L294" s="304"/>
      <c r="M294" s="309"/>
      <c r="N294" s="307"/>
      <c r="O294" s="343"/>
      <c r="P294" s="305">
        <f t="shared" si="33"/>
        <v>420.56</v>
      </c>
      <c r="Q294" s="307">
        <f t="shared" si="34"/>
        <v>0</v>
      </c>
      <c r="R294" s="302"/>
      <c r="S294" s="303"/>
      <c r="T294" s="280"/>
    </row>
    <row r="295" spans="1:20" ht="13">
      <c r="A295" s="276" t="s">
        <v>62</v>
      </c>
      <c r="B295" s="276">
        <v>352376</v>
      </c>
      <c r="C295" s="304">
        <v>2782.87</v>
      </c>
      <c r="D295" s="305">
        <v>542.66</v>
      </c>
      <c r="E295" s="306">
        <v>98.79</v>
      </c>
      <c r="F295" s="304"/>
      <c r="G295" s="305"/>
      <c r="H295" s="307"/>
      <c r="I295" s="304"/>
      <c r="J295" s="309"/>
      <c r="K295" s="307"/>
      <c r="L295" s="304"/>
      <c r="M295" s="309"/>
      <c r="N295" s="307"/>
      <c r="O295" s="333"/>
      <c r="P295" s="305">
        <f t="shared" si="33"/>
        <v>542.66</v>
      </c>
      <c r="Q295" s="307">
        <f t="shared" si="34"/>
        <v>0</v>
      </c>
      <c r="R295" s="302"/>
      <c r="S295" s="303"/>
      <c r="T295" s="280"/>
    </row>
    <row r="296" spans="1:20" ht="15">
      <c r="A296" s="276" t="s">
        <v>982</v>
      </c>
      <c r="B296" s="276">
        <v>352377</v>
      </c>
      <c r="C296" s="304">
        <v>2747.79</v>
      </c>
      <c r="D296" s="305">
        <v>547.69000000000005</v>
      </c>
      <c r="E296" s="306">
        <v>170.8</v>
      </c>
      <c r="F296" s="304"/>
      <c r="G296" s="305"/>
      <c r="H296" s="307"/>
      <c r="I296" s="304"/>
      <c r="J296" s="309"/>
      <c r="K296" s="307"/>
      <c r="L296" s="304"/>
      <c r="M296" s="309"/>
      <c r="N296" s="307"/>
      <c r="O296" s="343"/>
      <c r="P296" s="305">
        <f t="shared" si="33"/>
        <v>547.69000000000005</v>
      </c>
      <c r="Q296" s="307">
        <f t="shared" si="34"/>
        <v>0</v>
      </c>
      <c r="R296" s="302"/>
      <c r="S296" s="303"/>
      <c r="T296" s="280"/>
    </row>
    <row r="297" spans="1:20" ht="15">
      <c r="A297" s="276" t="s">
        <v>939</v>
      </c>
      <c r="B297" s="276">
        <v>359885</v>
      </c>
      <c r="C297" s="304"/>
      <c r="D297" s="305"/>
      <c r="E297" s="306"/>
      <c r="F297" s="304"/>
      <c r="G297" s="305"/>
      <c r="H297" s="307"/>
      <c r="I297" s="304"/>
      <c r="J297" s="309"/>
      <c r="K297" s="307"/>
      <c r="L297" s="304"/>
      <c r="M297" s="309"/>
      <c r="N297" s="307"/>
      <c r="O297" s="343"/>
      <c r="P297" s="305">
        <f t="shared" si="33"/>
        <v>0</v>
      </c>
      <c r="Q297" s="307" t="e">
        <f t="shared" si="34"/>
        <v>#DIV/0!</v>
      </c>
      <c r="R297" s="302"/>
      <c r="S297" s="303"/>
      <c r="T297" s="280"/>
    </row>
    <row r="298" spans="1:20" ht="15">
      <c r="A298" s="276" t="s">
        <v>985</v>
      </c>
      <c r="B298" s="276">
        <v>359886</v>
      </c>
      <c r="C298" s="304">
        <v>468.22</v>
      </c>
      <c r="D298" s="305">
        <v>98.24</v>
      </c>
      <c r="E298" s="306">
        <v>9.27</v>
      </c>
      <c r="F298" s="304"/>
      <c r="G298" s="305"/>
      <c r="H298" s="307"/>
      <c r="I298" s="304"/>
      <c r="J298" s="309"/>
      <c r="K298" s="307"/>
      <c r="L298" s="304"/>
      <c r="M298" s="309"/>
      <c r="N298" s="307"/>
      <c r="O298" s="343"/>
      <c r="P298" s="305">
        <f t="shared" si="33"/>
        <v>98.24</v>
      </c>
      <c r="Q298" s="307">
        <f t="shared" si="34"/>
        <v>0</v>
      </c>
      <c r="R298" s="302"/>
      <c r="S298" s="303"/>
      <c r="T298" s="280"/>
    </row>
    <row r="299" spans="1:20" ht="15">
      <c r="A299" s="276" t="s">
        <v>319</v>
      </c>
      <c r="B299" s="276">
        <v>465180</v>
      </c>
      <c r="C299" s="304">
        <v>2761.71</v>
      </c>
      <c r="D299" s="305">
        <v>556.08000000000004</v>
      </c>
      <c r="E299" s="306">
        <v>116.79</v>
      </c>
      <c r="F299" s="304"/>
      <c r="G299" s="305"/>
      <c r="H299" s="307"/>
      <c r="I299" s="304"/>
      <c r="J299" s="309"/>
      <c r="K299" s="307"/>
      <c r="L299" s="304"/>
      <c r="M299" s="309"/>
      <c r="N299" s="307"/>
      <c r="O299" s="343"/>
      <c r="P299" s="305">
        <f t="shared" si="33"/>
        <v>556.08000000000004</v>
      </c>
      <c r="Q299" s="307">
        <f t="shared" si="34"/>
        <v>0</v>
      </c>
      <c r="R299" s="302"/>
      <c r="S299" s="303"/>
      <c r="T299" s="280"/>
    </row>
    <row r="300" spans="1:20" ht="15">
      <c r="A300" s="276"/>
      <c r="B300" s="276">
        <v>465181</v>
      </c>
      <c r="C300" s="304"/>
      <c r="D300" s="305"/>
      <c r="E300" s="306"/>
      <c r="F300" s="304"/>
      <c r="G300" s="305"/>
      <c r="H300" s="307"/>
      <c r="I300" s="304"/>
      <c r="J300" s="309"/>
      <c r="K300" s="307"/>
      <c r="L300" s="304"/>
      <c r="M300" s="309"/>
      <c r="N300" s="307"/>
      <c r="O300" s="345"/>
      <c r="P300" s="305">
        <f t="shared" si="33"/>
        <v>0</v>
      </c>
      <c r="Q300" s="307" t="e">
        <f t="shared" si="34"/>
        <v>#DIV/0!</v>
      </c>
      <c r="R300" s="302"/>
      <c r="S300" s="303"/>
      <c r="T300" s="280"/>
    </row>
    <row r="301" spans="1:20" ht="15">
      <c r="A301" s="276" t="s">
        <v>970</v>
      </c>
      <c r="B301" s="276">
        <v>465182</v>
      </c>
      <c r="C301" s="304">
        <v>1731.83</v>
      </c>
      <c r="D301" s="305">
        <v>329.62</v>
      </c>
      <c r="E301" s="306">
        <v>53.49</v>
      </c>
      <c r="F301" s="304"/>
      <c r="G301" s="305"/>
      <c r="H301" s="307"/>
      <c r="I301" s="304"/>
      <c r="J301" s="309"/>
      <c r="K301" s="307"/>
      <c r="L301" s="304"/>
      <c r="M301" s="309"/>
      <c r="N301" s="307"/>
      <c r="O301" s="343"/>
      <c r="P301" s="305">
        <f t="shared" si="33"/>
        <v>329.62</v>
      </c>
      <c r="Q301" s="307">
        <f t="shared" si="34"/>
        <v>0</v>
      </c>
      <c r="R301" s="302"/>
      <c r="S301" s="303"/>
      <c r="T301" s="280"/>
    </row>
    <row r="302" spans="1:20" ht="15">
      <c r="A302" s="276" t="s">
        <v>88</v>
      </c>
      <c r="B302" s="276">
        <v>465183</v>
      </c>
      <c r="C302" s="304">
        <v>3070.65</v>
      </c>
      <c r="D302" s="305">
        <v>602.92999999999995</v>
      </c>
      <c r="E302" s="305">
        <v>172.04</v>
      </c>
      <c r="F302" s="304"/>
      <c r="G302" s="305"/>
      <c r="H302" s="307"/>
      <c r="I302" s="304"/>
      <c r="J302" s="309"/>
      <c r="K302" s="307"/>
      <c r="L302" s="304"/>
      <c r="M302" s="309"/>
      <c r="N302" s="307"/>
      <c r="O302" s="343"/>
      <c r="P302" s="305">
        <f t="shared" si="33"/>
        <v>602.92999999999995</v>
      </c>
      <c r="Q302" s="307">
        <f t="shared" si="34"/>
        <v>0</v>
      </c>
      <c r="R302" s="302"/>
      <c r="S302" s="303"/>
      <c r="T302" s="280"/>
    </row>
    <row r="303" spans="1:20" ht="13">
      <c r="A303" s="346" t="s">
        <v>40</v>
      </c>
      <c r="B303" s="276">
        <v>465184</v>
      </c>
      <c r="C303" s="304">
        <v>793.32</v>
      </c>
      <c r="D303" s="305">
        <v>168.15</v>
      </c>
      <c r="E303" s="306">
        <v>15.76</v>
      </c>
      <c r="F303" s="304"/>
      <c r="G303" s="305"/>
      <c r="H303" s="307"/>
      <c r="I303" s="304"/>
      <c r="J303" s="309"/>
      <c r="K303" s="307"/>
      <c r="L303" s="304"/>
      <c r="M303" s="309"/>
      <c r="N303" s="307"/>
      <c r="O303" s="333"/>
      <c r="P303" s="305">
        <f t="shared" si="33"/>
        <v>168.15</v>
      </c>
      <c r="Q303" s="307">
        <f t="shared" si="34"/>
        <v>0</v>
      </c>
      <c r="R303" s="302"/>
      <c r="S303" s="303"/>
      <c r="T303" s="280"/>
    </row>
    <row r="304" spans="1:20" ht="13">
      <c r="A304" s="276" t="s">
        <v>75</v>
      </c>
      <c r="B304" s="276">
        <v>465185</v>
      </c>
      <c r="C304" s="304">
        <v>3352.64</v>
      </c>
      <c r="D304" s="336">
        <v>647.58000000000004</v>
      </c>
      <c r="E304" s="306">
        <v>201.78</v>
      </c>
      <c r="F304" s="304"/>
      <c r="G304" s="305"/>
      <c r="H304" s="307"/>
      <c r="I304" s="304"/>
      <c r="J304" s="309"/>
      <c r="K304" s="307"/>
      <c r="L304" s="304"/>
      <c r="M304" s="309"/>
      <c r="N304" s="307"/>
      <c r="O304" s="333"/>
      <c r="P304" s="305">
        <f t="shared" si="33"/>
        <v>647.58000000000004</v>
      </c>
      <c r="Q304" s="307">
        <f t="shared" si="34"/>
        <v>0</v>
      </c>
      <c r="R304" s="302"/>
      <c r="S304" s="303"/>
      <c r="T304" s="280"/>
    </row>
    <row r="305" spans="1:20" ht="13">
      <c r="A305" s="346"/>
      <c r="B305" s="276">
        <v>465186</v>
      </c>
      <c r="C305" s="304"/>
      <c r="D305" s="305"/>
      <c r="E305" s="306"/>
      <c r="F305" s="304"/>
      <c r="G305" s="305"/>
      <c r="H305" s="307"/>
      <c r="I305" s="304"/>
      <c r="J305" s="309"/>
      <c r="K305" s="307"/>
      <c r="L305" s="304"/>
      <c r="M305" s="309"/>
      <c r="N305" s="307"/>
      <c r="O305" s="333"/>
      <c r="P305" s="305">
        <f t="shared" si="33"/>
        <v>0</v>
      </c>
      <c r="Q305" s="307" t="e">
        <f t="shared" si="34"/>
        <v>#DIV/0!</v>
      </c>
      <c r="R305" s="302"/>
      <c r="S305" s="303"/>
      <c r="T305" s="280"/>
    </row>
    <row r="306" spans="1:20" ht="15">
      <c r="A306" s="276" t="s">
        <v>192</v>
      </c>
      <c r="B306" s="276">
        <v>465187</v>
      </c>
      <c r="C306" s="304">
        <v>2645.29</v>
      </c>
      <c r="D306" s="305">
        <v>522.48</v>
      </c>
      <c r="E306" s="306">
        <v>152.56</v>
      </c>
      <c r="F306" s="304"/>
      <c r="G306" s="305"/>
      <c r="H306" s="307"/>
      <c r="I306" s="304"/>
      <c r="J306" s="309"/>
      <c r="K306" s="307"/>
      <c r="L306" s="304"/>
      <c r="M306" s="309"/>
      <c r="N306" s="307"/>
      <c r="O306" s="343"/>
      <c r="P306" s="305">
        <f t="shared" si="33"/>
        <v>522.48</v>
      </c>
      <c r="Q306" s="307">
        <f t="shared" si="34"/>
        <v>0</v>
      </c>
      <c r="R306" s="302"/>
      <c r="S306" s="303"/>
      <c r="T306" s="280"/>
    </row>
    <row r="307" spans="1:20" ht="13">
      <c r="A307" s="337"/>
      <c r="B307" s="276">
        <v>465188</v>
      </c>
      <c r="C307" s="304"/>
      <c r="D307" s="305"/>
      <c r="E307" s="306"/>
      <c r="F307" s="304"/>
      <c r="G307" s="305"/>
      <c r="H307" s="307"/>
      <c r="I307" s="304"/>
      <c r="J307" s="309"/>
      <c r="K307" s="307"/>
      <c r="L307" s="304"/>
      <c r="M307" s="309"/>
      <c r="N307" s="307"/>
      <c r="O307" s="333"/>
      <c r="P307" s="305">
        <f t="shared" si="33"/>
        <v>0</v>
      </c>
      <c r="Q307" s="307" t="e">
        <f t="shared" si="34"/>
        <v>#DIV/0!</v>
      </c>
      <c r="R307" s="302"/>
      <c r="S307" s="303"/>
      <c r="T307" s="280"/>
    </row>
    <row r="308" spans="1:20" ht="15">
      <c r="A308" s="313" t="s">
        <v>322</v>
      </c>
      <c r="B308" s="313">
        <v>587038</v>
      </c>
      <c r="C308" s="310">
        <v>1438.3</v>
      </c>
      <c r="D308" s="311">
        <v>288.42</v>
      </c>
      <c r="E308" s="314">
        <v>88.69</v>
      </c>
      <c r="F308" s="304"/>
      <c r="G308" s="305"/>
      <c r="H308" s="307"/>
      <c r="I308" s="310"/>
      <c r="J308" s="319"/>
      <c r="K308" s="312"/>
      <c r="L308" s="304"/>
      <c r="M308" s="309"/>
      <c r="N308" s="307"/>
      <c r="O308" s="343"/>
      <c r="P308" s="305">
        <f t="shared" si="33"/>
        <v>288.42</v>
      </c>
      <c r="Q308" s="307">
        <f t="shared" si="34"/>
        <v>0</v>
      </c>
      <c r="R308" s="302"/>
      <c r="S308" s="303"/>
      <c r="T308" s="280"/>
    </row>
    <row r="309" spans="1:20" ht="15">
      <c r="A309" s="341" t="s">
        <v>901</v>
      </c>
      <c r="B309" s="313">
        <v>1650</v>
      </c>
      <c r="C309" s="310"/>
      <c r="D309" s="311"/>
      <c r="E309" s="314"/>
      <c r="F309" s="315"/>
      <c r="G309" s="316"/>
      <c r="H309" s="317"/>
      <c r="I309" s="315"/>
      <c r="J309" s="320"/>
      <c r="K309" s="317"/>
      <c r="L309" s="315"/>
      <c r="M309" s="320"/>
      <c r="N309" s="317"/>
      <c r="O309" s="343"/>
      <c r="P309" s="305">
        <f t="shared" si="33"/>
        <v>0</v>
      </c>
      <c r="Q309" s="317" t="e">
        <f t="shared" si="34"/>
        <v>#DIV/0!</v>
      </c>
      <c r="R309" s="303"/>
      <c r="S309" s="303"/>
    </row>
    <row r="310" spans="1:20" ht="13">
      <c r="A310" s="469" t="s">
        <v>860</v>
      </c>
      <c r="B310" s="464"/>
      <c r="C310" s="321" t="s">
        <v>676</v>
      </c>
      <c r="D310" s="322" t="s">
        <v>861</v>
      </c>
      <c r="E310" s="323" t="s">
        <v>862</v>
      </c>
      <c r="F310" s="321" t="s">
        <v>676</v>
      </c>
      <c r="G310" s="322" t="s">
        <v>861</v>
      </c>
      <c r="H310" s="323" t="s">
        <v>862</v>
      </c>
      <c r="I310" s="321" t="s">
        <v>676</v>
      </c>
      <c r="J310" s="322" t="s">
        <v>861</v>
      </c>
      <c r="K310" s="323" t="s">
        <v>862</v>
      </c>
      <c r="L310" s="321" t="s">
        <v>676</v>
      </c>
      <c r="M310" s="322" t="s">
        <v>861</v>
      </c>
      <c r="N310" s="323" t="s">
        <v>862</v>
      </c>
      <c r="O310" s="321" t="s">
        <v>881</v>
      </c>
      <c r="P310" s="322" t="s">
        <v>861</v>
      </c>
      <c r="Q310" s="323" t="s">
        <v>865</v>
      </c>
      <c r="R310" s="280"/>
      <c r="S310" s="280"/>
      <c r="T310" s="280"/>
    </row>
    <row r="311" spans="1:20" ht="13">
      <c r="A311" s="470" t="s">
        <v>863</v>
      </c>
      <c r="B311" s="471"/>
      <c r="C311" s="326">
        <f t="shared" ref="C311:E311" si="35">SUM(C289:C308)+SUM(F289:F308)+SUM(I289:I308)+SUM(L289:L308)</f>
        <v>36111.94</v>
      </c>
      <c r="D311" s="327">
        <f t="shared" si="35"/>
        <v>7174.6299999999992</v>
      </c>
      <c r="E311" s="328">
        <f t="shared" si="35"/>
        <v>1718.3899999999999</v>
      </c>
      <c r="F311" s="329"/>
      <c r="G311" s="329"/>
      <c r="H311" s="329"/>
      <c r="I311" s="329"/>
      <c r="J311" s="329"/>
      <c r="K311" s="329"/>
      <c r="L311" s="329"/>
      <c r="M311" s="329"/>
      <c r="N311" s="329"/>
      <c r="O311" s="329"/>
      <c r="P311" s="329"/>
      <c r="Q311" s="329"/>
      <c r="R311" s="280"/>
      <c r="S311" s="280"/>
      <c r="T311" s="280"/>
    </row>
    <row r="312" spans="1:20" ht="13">
      <c r="T312" s="280"/>
    </row>
    <row r="313" spans="1:20" ht="13">
      <c r="A313" s="286" t="s">
        <v>986</v>
      </c>
      <c r="B313" s="330"/>
      <c r="C313" s="330"/>
      <c r="D313" s="330"/>
      <c r="E313" s="330"/>
      <c r="F313" s="330"/>
      <c r="G313" s="330"/>
      <c r="H313" s="330"/>
      <c r="I313" s="330"/>
      <c r="J313" s="330"/>
      <c r="K313" s="330"/>
      <c r="L313" s="330"/>
      <c r="M313" s="330"/>
      <c r="N313" s="330"/>
      <c r="O313" s="330"/>
      <c r="P313" s="330"/>
      <c r="Q313" s="330"/>
      <c r="R313" s="291"/>
      <c r="S313" s="280"/>
      <c r="T313" s="280"/>
    </row>
    <row r="314" spans="1:20" ht="13">
      <c r="A314" s="287" t="s">
        <v>849</v>
      </c>
      <c r="B314" s="287" t="s">
        <v>1</v>
      </c>
      <c r="C314" s="462" t="s">
        <v>850</v>
      </c>
      <c r="D314" s="463"/>
      <c r="E314" s="464"/>
      <c r="F314" s="465" t="s">
        <v>851</v>
      </c>
      <c r="G314" s="466"/>
      <c r="H314" s="467"/>
      <c r="I314" s="468" t="s">
        <v>852</v>
      </c>
      <c r="J314" s="463"/>
      <c r="K314" s="464"/>
      <c r="L314" s="465" t="s">
        <v>852</v>
      </c>
      <c r="M314" s="466"/>
      <c r="N314" s="467"/>
      <c r="O314" s="289" t="s">
        <v>865</v>
      </c>
      <c r="P314" s="339"/>
      <c r="Q314" s="339"/>
      <c r="R314" s="291"/>
      <c r="S314" s="280"/>
      <c r="T314" s="280"/>
    </row>
    <row r="315" spans="1:20" ht="13">
      <c r="A315" s="346" t="s">
        <v>308</v>
      </c>
      <c r="B315" s="293">
        <v>352368</v>
      </c>
      <c r="C315" s="294">
        <v>2963.77</v>
      </c>
      <c r="D315" s="295">
        <v>587.41999999999996</v>
      </c>
      <c r="E315" s="296">
        <v>56.49</v>
      </c>
      <c r="F315" s="294"/>
      <c r="G315" s="295"/>
      <c r="H315" s="297"/>
      <c r="I315" s="294"/>
      <c r="J315" s="301"/>
      <c r="K315" s="297"/>
      <c r="L315" s="294"/>
      <c r="M315" s="301"/>
      <c r="N315" s="297"/>
      <c r="O315" s="331" t="s">
        <v>987</v>
      </c>
      <c r="P315" s="305">
        <f t="shared" ref="P315:P335" si="36">D315</f>
        <v>587.41999999999996</v>
      </c>
      <c r="Q315" s="297">
        <f t="shared" ref="Q315:Q335" si="37">O315/P315</f>
        <v>6.6494160907017132</v>
      </c>
      <c r="R315" s="302"/>
      <c r="S315" s="303"/>
      <c r="T315" s="280"/>
    </row>
    <row r="316" spans="1:20" ht="15">
      <c r="A316" s="347" t="s">
        <v>969</v>
      </c>
      <c r="B316" s="348">
        <v>352371</v>
      </c>
      <c r="C316" s="304">
        <v>1438.18</v>
      </c>
      <c r="D316" s="305">
        <v>302.56</v>
      </c>
      <c r="E316" s="306">
        <v>58.42</v>
      </c>
      <c r="F316" s="304"/>
      <c r="G316" s="305"/>
      <c r="H316" s="307"/>
      <c r="I316" s="304"/>
      <c r="J316" s="309"/>
      <c r="K316" s="307"/>
      <c r="L316" s="304"/>
      <c r="M316" s="309"/>
      <c r="N316" s="307"/>
      <c r="O316" s="343">
        <v>2187</v>
      </c>
      <c r="P316" s="305">
        <f t="shared" si="36"/>
        <v>302.56</v>
      </c>
      <c r="Q316" s="307">
        <f t="shared" si="37"/>
        <v>7.2283183500793227</v>
      </c>
      <c r="R316" s="302"/>
      <c r="S316" s="303"/>
      <c r="T316" s="280"/>
    </row>
    <row r="317" spans="1:20" ht="15">
      <c r="A317" s="276" t="s">
        <v>883</v>
      </c>
      <c r="B317" s="276">
        <v>352372</v>
      </c>
      <c r="C317" s="304">
        <v>756.22</v>
      </c>
      <c r="D317" s="305">
        <v>161.46</v>
      </c>
      <c r="E317" s="306">
        <v>15.43</v>
      </c>
      <c r="F317" s="304"/>
      <c r="G317" s="305"/>
      <c r="H317" s="307"/>
      <c r="I317" s="304"/>
      <c r="J317" s="309"/>
      <c r="K317" s="307"/>
      <c r="L317" s="304"/>
      <c r="M317" s="309"/>
      <c r="N317" s="307"/>
      <c r="O317" s="344" t="s">
        <v>988</v>
      </c>
      <c r="P317" s="305">
        <f t="shared" si="36"/>
        <v>161.46</v>
      </c>
      <c r="Q317" s="307">
        <f t="shared" si="37"/>
        <v>9.4017094017094021</v>
      </c>
      <c r="R317" s="302"/>
      <c r="S317" s="303"/>
      <c r="T317" s="280"/>
    </row>
    <row r="318" spans="1:20" ht="13">
      <c r="A318" s="276" t="s">
        <v>975</v>
      </c>
      <c r="B318" s="276">
        <v>352373</v>
      </c>
      <c r="C318" s="304">
        <v>2240.77</v>
      </c>
      <c r="D318" s="305">
        <v>420.37</v>
      </c>
      <c r="E318" s="306">
        <v>40</v>
      </c>
      <c r="F318" s="304"/>
      <c r="G318" s="305"/>
      <c r="H318" s="307"/>
      <c r="I318" s="304"/>
      <c r="J318" s="309"/>
      <c r="K318" s="307"/>
      <c r="L318" s="304"/>
      <c r="M318" s="309"/>
      <c r="N318" s="307"/>
      <c r="O318" s="333" t="s">
        <v>989</v>
      </c>
      <c r="P318" s="305">
        <f t="shared" si="36"/>
        <v>420.37</v>
      </c>
      <c r="Q318" s="307">
        <f t="shared" si="37"/>
        <v>4.5388586245450435</v>
      </c>
      <c r="R318" s="302"/>
      <c r="S318" s="303"/>
      <c r="T318" s="280"/>
    </row>
    <row r="319" spans="1:20" ht="13">
      <c r="A319" s="276" t="s">
        <v>191</v>
      </c>
      <c r="B319" s="276">
        <v>352374</v>
      </c>
      <c r="C319" s="304">
        <v>2805.52</v>
      </c>
      <c r="D319" s="305">
        <v>557.49</v>
      </c>
      <c r="E319" s="306">
        <v>109.83</v>
      </c>
      <c r="F319" s="304"/>
      <c r="G319" s="305"/>
      <c r="H319" s="307"/>
      <c r="I319" s="304"/>
      <c r="J319" s="309"/>
      <c r="K319" s="307"/>
      <c r="L319" s="304"/>
      <c r="M319" s="309"/>
      <c r="N319" s="307"/>
      <c r="O319" s="333" t="s">
        <v>990</v>
      </c>
      <c r="P319" s="305">
        <f t="shared" si="36"/>
        <v>557.49</v>
      </c>
      <c r="Q319" s="307">
        <f t="shared" si="37"/>
        <v>5.5570503506789359</v>
      </c>
      <c r="R319" s="302"/>
      <c r="S319" s="303"/>
      <c r="T319" s="280"/>
    </row>
    <row r="320" spans="1:20" ht="15">
      <c r="A320" s="276" t="s">
        <v>984</v>
      </c>
      <c r="B320" s="276">
        <v>352375</v>
      </c>
      <c r="C320" s="304">
        <v>1715.4</v>
      </c>
      <c r="D320" s="305">
        <v>348.39</v>
      </c>
      <c r="E320" s="306">
        <v>87.03</v>
      </c>
      <c r="F320" s="304"/>
      <c r="G320" s="305"/>
      <c r="H320" s="307"/>
      <c r="I320" s="304"/>
      <c r="J320" s="309"/>
      <c r="K320" s="307"/>
      <c r="L320" s="304"/>
      <c r="M320" s="309"/>
      <c r="N320" s="307"/>
      <c r="O320" s="343">
        <v>2322</v>
      </c>
      <c r="P320" s="305">
        <f t="shared" si="36"/>
        <v>348.39</v>
      </c>
      <c r="Q320" s="307">
        <f t="shared" si="37"/>
        <v>6.6649444587961773</v>
      </c>
      <c r="R320" s="302"/>
      <c r="S320" s="303"/>
      <c r="T320" s="280"/>
    </row>
    <row r="321" spans="1:20" ht="13">
      <c r="A321" s="276" t="s">
        <v>62</v>
      </c>
      <c r="B321" s="276">
        <v>352376</v>
      </c>
      <c r="C321" s="304">
        <v>1203.05</v>
      </c>
      <c r="D321" s="305">
        <v>238.63</v>
      </c>
      <c r="E321" s="306">
        <v>23.38</v>
      </c>
      <c r="F321" s="304"/>
      <c r="G321" s="305"/>
      <c r="H321" s="307"/>
      <c r="I321" s="304"/>
      <c r="J321" s="309"/>
      <c r="K321" s="307"/>
      <c r="L321" s="304"/>
      <c r="M321" s="309"/>
      <c r="N321" s="307"/>
      <c r="O321" s="333" t="s">
        <v>991</v>
      </c>
      <c r="P321" s="305">
        <f t="shared" si="36"/>
        <v>238.63</v>
      </c>
      <c r="Q321" s="307">
        <f t="shared" si="37"/>
        <v>5.2759502158152793</v>
      </c>
      <c r="R321" s="302"/>
      <c r="S321" s="303"/>
      <c r="T321" s="280"/>
    </row>
    <row r="322" spans="1:20" ht="15">
      <c r="A322" s="276" t="s">
        <v>14</v>
      </c>
      <c r="B322" s="276">
        <v>352377</v>
      </c>
      <c r="C322" s="304">
        <v>2864.81</v>
      </c>
      <c r="D322" s="305">
        <v>547.70000000000005</v>
      </c>
      <c r="E322" s="306">
        <v>168.52</v>
      </c>
      <c r="F322" s="304"/>
      <c r="G322" s="305"/>
      <c r="H322" s="307"/>
      <c r="I322" s="304"/>
      <c r="J322" s="309"/>
      <c r="K322" s="307"/>
      <c r="L322" s="304"/>
      <c r="M322" s="309"/>
      <c r="N322" s="307"/>
      <c r="O322" s="343">
        <v>3207</v>
      </c>
      <c r="P322" s="305">
        <f t="shared" si="36"/>
        <v>547.70000000000005</v>
      </c>
      <c r="Q322" s="307">
        <f t="shared" si="37"/>
        <v>5.8553952893920025</v>
      </c>
      <c r="R322" s="302"/>
      <c r="S322" s="303"/>
      <c r="T322" s="280"/>
    </row>
    <row r="323" spans="1:20" ht="15">
      <c r="A323" s="276"/>
      <c r="B323" s="276">
        <v>359885</v>
      </c>
      <c r="C323" s="304"/>
      <c r="D323" s="305"/>
      <c r="E323" s="306"/>
      <c r="F323" s="304"/>
      <c r="G323" s="305"/>
      <c r="H323" s="307"/>
      <c r="I323" s="304"/>
      <c r="J323" s="309"/>
      <c r="K323" s="307"/>
      <c r="L323" s="304"/>
      <c r="M323" s="309"/>
      <c r="N323" s="307"/>
      <c r="O323" s="343"/>
      <c r="P323" s="305">
        <f t="shared" si="36"/>
        <v>0</v>
      </c>
      <c r="Q323" s="307" t="e">
        <f t="shared" si="37"/>
        <v>#DIV/0!</v>
      </c>
      <c r="R323" s="302"/>
      <c r="S323" s="303"/>
      <c r="T323" s="280"/>
    </row>
    <row r="324" spans="1:20" ht="15">
      <c r="A324" s="276"/>
      <c r="B324" s="276">
        <v>359886</v>
      </c>
      <c r="C324" s="304"/>
      <c r="D324" s="305"/>
      <c r="E324" s="306"/>
      <c r="F324" s="304"/>
      <c r="G324" s="305"/>
      <c r="H324" s="307"/>
      <c r="I324" s="304"/>
      <c r="J324" s="309"/>
      <c r="K324" s="307"/>
      <c r="L324" s="304"/>
      <c r="M324" s="309"/>
      <c r="N324" s="307"/>
      <c r="O324" s="343"/>
      <c r="P324" s="305">
        <f t="shared" si="36"/>
        <v>0</v>
      </c>
      <c r="Q324" s="307" t="e">
        <f t="shared" si="37"/>
        <v>#DIV/0!</v>
      </c>
      <c r="R324" s="302"/>
      <c r="S324" s="303"/>
      <c r="T324" s="280"/>
    </row>
    <row r="325" spans="1:20" ht="15">
      <c r="A325" s="276" t="s">
        <v>985</v>
      </c>
      <c r="B325" s="276">
        <v>465180</v>
      </c>
      <c r="C325" s="304">
        <v>790</v>
      </c>
      <c r="D325" s="305">
        <v>164.96</v>
      </c>
      <c r="E325" s="306">
        <v>52.79</v>
      </c>
      <c r="F325" s="304"/>
      <c r="G325" s="305"/>
      <c r="H325" s="307"/>
      <c r="I325" s="304"/>
      <c r="J325" s="309"/>
      <c r="K325" s="307"/>
      <c r="L325" s="304"/>
      <c r="M325" s="309"/>
      <c r="N325" s="307"/>
      <c r="O325" s="343">
        <v>1570</v>
      </c>
      <c r="P325" s="305">
        <f t="shared" si="36"/>
        <v>164.96</v>
      </c>
      <c r="Q325" s="307">
        <f t="shared" si="37"/>
        <v>9.5174587778855475</v>
      </c>
      <c r="R325" s="302"/>
      <c r="S325" s="303"/>
      <c r="T325" s="280"/>
    </row>
    <row r="326" spans="1:20" ht="15">
      <c r="A326" s="276"/>
      <c r="B326" s="276">
        <v>465181</v>
      </c>
      <c r="C326" s="304"/>
      <c r="D326" s="305"/>
      <c r="E326" s="306"/>
      <c r="F326" s="304"/>
      <c r="G326" s="305"/>
      <c r="H326" s="307"/>
      <c r="I326" s="304"/>
      <c r="J326" s="309"/>
      <c r="K326" s="307"/>
      <c r="L326" s="304"/>
      <c r="M326" s="309"/>
      <c r="N326" s="307"/>
      <c r="O326" s="345"/>
      <c r="P326" s="305">
        <f t="shared" si="36"/>
        <v>0</v>
      </c>
      <c r="Q326" s="307" t="e">
        <f t="shared" si="37"/>
        <v>#DIV/0!</v>
      </c>
      <c r="R326" s="302"/>
      <c r="S326" s="303"/>
      <c r="T326" s="280"/>
    </row>
    <row r="327" spans="1:20" ht="15">
      <c r="A327" s="276" t="s">
        <v>970</v>
      </c>
      <c r="B327" s="276">
        <v>465182</v>
      </c>
      <c r="C327" s="304">
        <v>550</v>
      </c>
      <c r="D327" s="305">
        <v>108</v>
      </c>
      <c r="E327" s="306">
        <v>0</v>
      </c>
      <c r="F327" s="304"/>
      <c r="G327" s="305"/>
      <c r="H327" s="307"/>
      <c r="I327" s="304"/>
      <c r="J327" s="309"/>
      <c r="K327" s="307"/>
      <c r="L327" s="304"/>
      <c r="M327" s="309"/>
      <c r="N327" s="307"/>
      <c r="O327" s="343">
        <v>931</v>
      </c>
      <c r="P327" s="305">
        <f t="shared" si="36"/>
        <v>108</v>
      </c>
      <c r="Q327" s="307">
        <f t="shared" si="37"/>
        <v>8.6203703703703702</v>
      </c>
      <c r="R327" s="302"/>
      <c r="S327" s="303"/>
      <c r="T327" s="280"/>
    </row>
    <row r="328" spans="1:20" ht="15">
      <c r="A328" s="276" t="s">
        <v>88</v>
      </c>
      <c r="B328" s="276">
        <v>465183</v>
      </c>
      <c r="C328" s="304">
        <v>2130.06</v>
      </c>
      <c r="D328" s="305">
        <v>416.8</v>
      </c>
      <c r="E328" s="305">
        <v>130.44</v>
      </c>
      <c r="F328" s="304"/>
      <c r="G328" s="305"/>
      <c r="H328" s="307"/>
      <c r="I328" s="304"/>
      <c r="J328" s="309"/>
      <c r="K328" s="307"/>
      <c r="L328" s="304"/>
      <c r="M328" s="309"/>
      <c r="N328" s="307"/>
      <c r="O328" s="343">
        <v>2822</v>
      </c>
      <c r="P328" s="305">
        <f t="shared" si="36"/>
        <v>416.8</v>
      </c>
      <c r="Q328" s="307">
        <f t="shared" si="37"/>
        <v>6.7706333973128601</v>
      </c>
      <c r="R328" s="302"/>
      <c r="S328" s="303"/>
      <c r="T328" s="280"/>
    </row>
    <row r="329" spans="1:20" ht="13">
      <c r="A329" s="346" t="s">
        <v>40</v>
      </c>
      <c r="B329" s="276">
        <v>465184</v>
      </c>
      <c r="C329" s="304">
        <v>2773</v>
      </c>
      <c r="D329" s="305">
        <v>607.16999999999996</v>
      </c>
      <c r="E329" s="306">
        <v>39.83</v>
      </c>
      <c r="F329" s="304"/>
      <c r="G329" s="305"/>
      <c r="H329" s="307"/>
      <c r="I329" s="304"/>
      <c r="J329" s="309"/>
      <c r="K329" s="307"/>
      <c r="L329" s="304"/>
      <c r="M329" s="309"/>
      <c r="N329" s="307"/>
      <c r="O329" s="333" t="s">
        <v>992</v>
      </c>
      <c r="P329" s="305">
        <f t="shared" si="36"/>
        <v>607.16999999999996</v>
      </c>
      <c r="Q329" s="307">
        <f t="shared" si="37"/>
        <v>5.2094141673666359</v>
      </c>
      <c r="R329" s="302"/>
      <c r="S329" s="303"/>
      <c r="T329" s="280"/>
    </row>
    <row r="330" spans="1:20" ht="13">
      <c r="A330" s="276" t="s">
        <v>75</v>
      </c>
      <c r="B330" s="276">
        <v>465185</v>
      </c>
      <c r="C330" s="304">
        <v>2422.27</v>
      </c>
      <c r="D330" s="336">
        <v>470.02</v>
      </c>
      <c r="E330" s="306">
        <v>144.22</v>
      </c>
      <c r="F330" s="304"/>
      <c r="G330" s="305"/>
      <c r="H330" s="307"/>
      <c r="I330" s="304"/>
      <c r="J330" s="309"/>
      <c r="K330" s="307"/>
      <c r="L330" s="304"/>
      <c r="M330" s="309"/>
      <c r="N330" s="307"/>
      <c r="O330" s="333" t="s">
        <v>993</v>
      </c>
      <c r="P330" s="305">
        <f t="shared" si="36"/>
        <v>470.02</v>
      </c>
      <c r="Q330" s="307">
        <f t="shared" si="37"/>
        <v>6.589081315688694</v>
      </c>
      <c r="R330" s="302"/>
      <c r="S330" s="303"/>
      <c r="T330" s="280"/>
    </row>
    <row r="331" spans="1:20" ht="13">
      <c r="A331" s="346"/>
      <c r="B331" s="276">
        <v>465186</v>
      </c>
      <c r="C331" s="304"/>
      <c r="D331" s="305"/>
      <c r="E331" s="306"/>
      <c r="F331" s="304"/>
      <c r="G331" s="305"/>
      <c r="H331" s="307"/>
      <c r="I331" s="304"/>
      <c r="J331" s="309"/>
      <c r="K331" s="307"/>
      <c r="L331" s="304"/>
      <c r="M331" s="309"/>
      <c r="N331" s="307"/>
      <c r="O331" s="333"/>
      <c r="P331" s="305">
        <f t="shared" si="36"/>
        <v>0</v>
      </c>
      <c r="Q331" s="307" t="e">
        <f t="shared" si="37"/>
        <v>#DIV/0!</v>
      </c>
      <c r="R331" s="302"/>
      <c r="S331" s="303"/>
      <c r="T331" s="280"/>
    </row>
    <row r="332" spans="1:20" ht="15">
      <c r="A332" s="276" t="s">
        <v>192</v>
      </c>
      <c r="B332" s="276">
        <v>465187</v>
      </c>
      <c r="C332" s="304">
        <v>2975.09</v>
      </c>
      <c r="D332" s="305">
        <v>610.49</v>
      </c>
      <c r="E332" s="306">
        <v>159.13999999999999</v>
      </c>
      <c r="F332" s="304"/>
      <c r="G332" s="305"/>
      <c r="H332" s="307"/>
      <c r="I332" s="304"/>
      <c r="J332" s="309"/>
      <c r="K332" s="307"/>
      <c r="L332" s="304"/>
      <c r="M332" s="309"/>
      <c r="N332" s="307"/>
      <c r="O332" s="343">
        <v>3211</v>
      </c>
      <c r="P332" s="305">
        <f t="shared" si="36"/>
        <v>610.49</v>
      </c>
      <c r="Q332" s="307">
        <f t="shared" si="37"/>
        <v>5.2597094137496105</v>
      </c>
      <c r="R332" s="302"/>
      <c r="S332" s="303"/>
      <c r="T332" s="280"/>
    </row>
    <row r="333" spans="1:20" ht="13">
      <c r="A333" s="337"/>
      <c r="B333" s="276">
        <v>465188</v>
      </c>
      <c r="C333" s="304"/>
      <c r="D333" s="305"/>
      <c r="E333" s="306"/>
      <c r="F333" s="304"/>
      <c r="G333" s="305"/>
      <c r="H333" s="307"/>
      <c r="I333" s="304"/>
      <c r="J333" s="309"/>
      <c r="K333" s="307"/>
      <c r="L333" s="304"/>
      <c r="M333" s="309"/>
      <c r="N333" s="307"/>
      <c r="O333" s="333"/>
      <c r="P333" s="305">
        <f t="shared" si="36"/>
        <v>0</v>
      </c>
      <c r="Q333" s="307" t="e">
        <f t="shared" si="37"/>
        <v>#DIV/0!</v>
      </c>
      <c r="R333" s="302"/>
      <c r="S333" s="303"/>
      <c r="T333" s="280"/>
    </row>
    <row r="334" spans="1:20" ht="15">
      <c r="A334" s="313" t="s">
        <v>322</v>
      </c>
      <c r="B334" s="313">
        <v>587038</v>
      </c>
      <c r="C334" s="310">
        <v>2392.4499999999998</v>
      </c>
      <c r="D334" s="311">
        <v>441.63</v>
      </c>
      <c r="E334" s="314">
        <v>109.65</v>
      </c>
      <c r="F334" s="310"/>
      <c r="G334" s="305"/>
      <c r="H334" s="307"/>
      <c r="I334" s="310"/>
      <c r="J334" s="319"/>
      <c r="K334" s="312"/>
      <c r="L334" s="304"/>
      <c r="M334" s="309"/>
      <c r="N334" s="307"/>
      <c r="O334" s="343">
        <v>2346</v>
      </c>
      <c r="P334" s="305">
        <f t="shared" si="36"/>
        <v>441.63</v>
      </c>
      <c r="Q334" s="307">
        <f t="shared" si="37"/>
        <v>5.3121391209836286</v>
      </c>
      <c r="R334" s="302"/>
      <c r="S334" s="303"/>
      <c r="T334" s="280"/>
    </row>
    <row r="335" spans="1:20" ht="15">
      <c r="A335" s="341" t="s">
        <v>901</v>
      </c>
      <c r="B335" s="313">
        <v>1650</v>
      </c>
      <c r="C335" s="310">
        <v>3307.23</v>
      </c>
      <c r="D335" s="311">
        <v>686.33</v>
      </c>
      <c r="E335" s="314">
        <v>166.23</v>
      </c>
      <c r="F335" s="310"/>
      <c r="G335" s="316"/>
      <c r="H335" s="317"/>
      <c r="I335" s="315"/>
      <c r="J335" s="320"/>
      <c r="K335" s="317"/>
      <c r="L335" s="315"/>
      <c r="M335" s="320"/>
      <c r="N335" s="317"/>
      <c r="O335" s="343">
        <v>3793</v>
      </c>
      <c r="P335" s="305">
        <f t="shared" si="36"/>
        <v>686.33</v>
      </c>
      <c r="Q335" s="317">
        <f t="shared" si="37"/>
        <v>5.5264960004662473</v>
      </c>
      <c r="R335" s="303"/>
      <c r="S335" s="303"/>
    </row>
    <row r="336" spans="1:20" ht="13">
      <c r="A336" s="469" t="s">
        <v>860</v>
      </c>
      <c r="B336" s="464"/>
      <c r="C336" s="321" t="s">
        <v>676</v>
      </c>
      <c r="D336" s="322" t="s">
        <v>861</v>
      </c>
      <c r="E336" s="323" t="s">
        <v>862</v>
      </c>
      <c r="F336" s="321" t="s">
        <v>676</v>
      </c>
      <c r="G336" s="322" t="s">
        <v>861</v>
      </c>
      <c r="H336" s="323" t="s">
        <v>862</v>
      </c>
      <c r="I336" s="321" t="s">
        <v>676</v>
      </c>
      <c r="J336" s="322" t="s">
        <v>861</v>
      </c>
      <c r="K336" s="323" t="s">
        <v>862</v>
      </c>
      <c r="L336" s="321" t="s">
        <v>676</v>
      </c>
      <c r="M336" s="322" t="s">
        <v>861</v>
      </c>
      <c r="N336" s="323" t="s">
        <v>862</v>
      </c>
      <c r="O336" s="321" t="s">
        <v>881</v>
      </c>
      <c r="P336" s="322" t="s">
        <v>861</v>
      </c>
      <c r="Q336" s="323" t="s">
        <v>865</v>
      </c>
      <c r="R336" s="280"/>
      <c r="S336" s="280"/>
      <c r="T336" s="280"/>
    </row>
    <row r="337" spans="1:20" ht="13">
      <c r="A337" s="470" t="s">
        <v>863</v>
      </c>
      <c r="B337" s="471"/>
      <c r="C337" s="326">
        <f t="shared" ref="C337:E337" si="38">SUM(C315:C334)+SUM(F315:F334)+SUM(I315:I334)+SUM(L315:L334)</f>
        <v>30020.590000000004</v>
      </c>
      <c r="D337" s="327">
        <f t="shared" si="38"/>
        <v>5983.0900000000011</v>
      </c>
      <c r="E337" s="328">
        <f t="shared" si="38"/>
        <v>1195.17</v>
      </c>
      <c r="F337" s="329"/>
      <c r="G337" s="329"/>
      <c r="H337" s="329"/>
      <c r="I337" s="329"/>
      <c r="J337" s="329"/>
      <c r="K337" s="329"/>
      <c r="L337" s="329"/>
      <c r="M337" s="329"/>
      <c r="N337" s="329"/>
      <c r="O337" s="329"/>
      <c r="P337" s="329"/>
      <c r="Q337" s="329"/>
      <c r="R337" s="280"/>
      <c r="S337" s="280"/>
      <c r="T337" s="280"/>
    </row>
    <row r="338" spans="1:20" ht="13">
      <c r="T338" s="280"/>
    </row>
    <row r="339" spans="1:20" ht="13">
      <c r="A339" s="286" t="s">
        <v>994</v>
      </c>
      <c r="B339" s="330"/>
      <c r="C339" s="330"/>
      <c r="D339" s="330"/>
      <c r="E339" s="330"/>
      <c r="F339" s="330"/>
      <c r="G339" s="330"/>
      <c r="H339" s="330"/>
      <c r="I339" s="330"/>
      <c r="J339" s="330"/>
      <c r="K339" s="330"/>
      <c r="L339" s="330"/>
      <c r="M339" s="330"/>
      <c r="N339" s="330"/>
      <c r="O339" s="330"/>
      <c r="P339" s="330"/>
      <c r="Q339" s="330"/>
      <c r="R339" s="291"/>
      <c r="S339" s="280"/>
      <c r="T339" s="280"/>
    </row>
    <row r="340" spans="1:20" ht="13">
      <c r="A340" s="287" t="s">
        <v>849</v>
      </c>
      <c r="B340" s="287" t="s">
        <v>1</v>
      </c>
      <c r="C340" s="473" t="s">
        <v>850</v>
      </c>
      <c r="D340" s="466"/>
      <c r="E340" s="467"/>
      <c r="F340" s="465" t="s">
        <v>852</v>
      </c>
      <c r="G340" s="466"/>
      <c r="H340" s="467"/>
      <c r="I340" s="468" t="s">
        <v>852</v>
      </c>
      <c r="J340" s="463"/>
      <c r="K340" s="464"/>
      <c r="L340" s="465" t="s">
        <v>852</v>
      </c>
      <c r="M340" s="466"/>
      <c r="N340" s="467"/>
      <c r="O340" s="289" t="s">
        <v>865</v>
      </c>
      <c r="P340" s="339"/>
      <c r="Q340" s="339"/>
      <c r="R340" s="291"/>
      <c r="S340" s="280"/>
      <c r="T340" s="280"/>
    </row>
    <row r="341" spans="1:20" ht="13">
      <c r="A341" s="346" t="s">
        <v>308</v>
      </c>
      <c r="B341" s="293">
        <v>352368</v>
      </c>
      <c r="C341" s="294">
        <v>3978.83</v>
      </c>
      <c r="D341" s="295">
        <v>793.79</v>
      </c>
      <c r="E341" s="297">
        <v>75.75</v>
      </c>
      <c r="F341" s="349"/>
      <c r="G341" s="295"/>
      <c r="H341" s="297"/>
      <c r="I341" s="294"/>
      <c r="J341" s="301"/>
      <c r="K341" s="297"/>
      <c r="L341" s="294"/>
      <c r="M341" s="301"/>
      <c r="N341" s="297"/>
      <c r="O341" s="331"/>
      <c r="P341" s="305">
        <f t="shared" ref="P341:P360" si="39">D341</f>
        <v>793.79</v>
      </c>
      <c r="Q341" s="297">
        <f t="shared" ref="Q341:Q360" si="40">O341/P341</f>
        <v>0</v>
      </c>
      <c r="R341" s="302"/>
      <c r="S341" s="303"/>
      <c r="T341" s="280"/>
    </row>
    <row r="342" spans="1:20" ht="15">
      <c r="A342" s="347" t="s">
        <v>969</v>
      </c>
      <c r="B342" s="350">
        <v>352371</v>
      </c>
      <c r="C342" s="304">
        <v>2805</v>
      </c>
      <c r="D342" s="305">
        <v>571.20000000000005</v>
      </c>
      <c r="E342" s="307">
        <v>114.42</v>
      </c>
      <c r="F342" s="308"/>
      <c r="G342" s="305"/>
      <c r="H342" s="307"/>
      <c r="I342" s="304"/>
      <c r="J342" s="309"/>
      <c r="K342" s="307"/>
      <c r="L342" s="304"/>
      <c r="M342" s="309"/>
      <c r="N342" s="307"/>
      <c r="O342" s="343"/>
      <c r="P342" s="305">
        <f t="shared" si="39"/>
        <v>571.20000000000005</v>
      </c>
      <c r="Q342" s="307">
        <f t="shared" si="40"/>
        <v>0</v>
      </c>
      <c r="R342" s="302"/>
      <c r="S342" s="303"/>
      <c r="T342" s="280"/>
    </row>
    <row r="343" spans="1:20" ht="15">
      <c r="A343" s="276"/>
      <c r="B343" s="351">
        <v>352372</v>
      </c>
      <c r="C343" s="304"/>
      <c r="D343" s="305"/>
      <c r="E343" s="307"/>
      <c r="F343" s="308"/>
      <c r="G343" s="305"/>
      <c r="H343" s="307"/>
      <c r="I343" s="304"/>
      <c r="J343" s="309"/>
      <c r="K343" s="307"/>
      <c r="L343" s="304"/>
      <c r="M343" s="309"/>
      <c r="N343" s="307"/>
      <c r="O343" s="344"/>
      <c r="P343" s="305">
        <f t="shared" si="39"/>
        <v>0</v>
      </c>
      <c r="Q343" s="307" t="e">
        <f t="shared" si="40"/>
        <v>#DIV/0!</v>
      </c>
      <c r="R343" s="302"/>
      <c r="S343" s="303"/>
      <c r="T343" s="280"/>
    </row>
    <row r="344" spans="1:20" ht="13">
      <c r="A344" s="276" t="s">
        <v>975</v>
      </c>
      <c r="B344" s="351">
        <v>352373</v>
      </c>
      <c r="C344" s="304">
        <v>1428.47</v>
      </c>
      <c r="D344" s="305">
        <v>298.23</v>
      </c>
      <c r="E344" s="307">
        <v>28.89</v>
      </c>
      <c r="F344" s="308"/>
      <c r="G344" s="305"/>
      <c r="H344" s="307"/>
      <c r="I344" s="304"/>
      <c r="J344" s="309"/>
      <c r="K344" s="307"/>
      <c r="L344" s="304"/>
      <c r="M344" s="309"/>
      <c r="N344" s="307"/>
      <c r="O344" s="333"/>
      <c r="P344" s="305">
        <f t="shared" si="39"/>
        <v>298.23</v>
      </c>
      <c r="Q344" s="307">
        <f t="shared" si="40"/>
        <v>0</v>
      </c>
      <c r="R344" s="302"/>
      <c r="S344" s="303"/>
      <c r="T344" s="280"/>
    </row>
    <row r="345" spans="1:20" ht="13">
      <c r="A345" s="276" t="s">
        <v>191</v>
      </c>
      <c r="B345" s="351">
        <v>352374</v>
      </c>
      <c r="C345" s="304">
        <v>1010.73</v>
      </c>
      <c r="D345" s="305">
        <v>211.61</v>
      </c>
      <c r="E345" s="307">
        <v>43.16</v>
      </c>
      <c r="F345" s="308"/>
      <c r="G345" s="305"/>
      <c r="H345" s="307"/>
      <c r="I345" s="304"/>
      <c r="J345" s="309"/>
      <c r="K345" s="307"/>
      <c r="L345" s="304"/>
      <c r="M345" s="309"/>
      <c r="N345" s="307"/>
      <c r="O345" s="333"/>
      <c r="P345" s="305">
        <f t="shared" si="39"/>
        <v>211.61</v>
      </c>
      <c r="Q345" s="307">
        <f t="shared" si="40"/>
        <v>0</v>
      </c>
      <c r="R345" s="302"/>
      <c r="S345" s="303"/>
      <c r="T345" s="280"/>
    </row>
    <row r="346" spans="1:20" ht="15">
      <c r="A346" s="276" t="s">
        <v>984</v>
      </c>
      <c r="B346" s="351">
        <v>352375</v>
      </c>
      <c r="C346" s="304">
        <v>1461.99</v>
      </c>
      <c r="D346" s="305">
        <v>296.32</v>
      </c>
      <c r="E346" s="307">
        <v>68.349999999999994</v>
      </c>
      <c r="F346" s="308"/>
      <c r="G346" s="305"/>
      <c r="H346" s="307"/>
      <c r="I346" s="304"/>
      <c r="J346" s="309"/>
      <c r="K346" s="307"/>
      <c r="L346" s="304"/>
      <c r="M346" s="309"/>
      <c r="N346" s="307"/>
      <c r="O346" s="343"/>
      <c r="P346" s="305">
        <f t="shared" si="39"/>
        <v>296.32</v>
      </c>
      <c r="Q346" s="307">
        <f t="shared" si="40"/>
        <v>0</v>
      </c>
      <c r="R346" s="302"/>
      <c r="S346" s="303"/>
      <c r="T346" s="280"/>
    </row>
    <row r="347" spans="1:20" ht="13">
      <c r="A347" s="276" t="s">
        <v>62</v>
      </c>
      <c r="B347" s="351">
        <v>352376</v>
      </c>
      <c r="C347" s="304">
        <v>1065</v>
      </c>
      <c r="D347" s="305">
        <v>208.69</v>
      </c>
      <c r="E347" s="307">
        <v>48.65</v>
      </c>
      <c r="F347" s="308"/>
      <c r="G347" s="305"/>
      <c r="H347" s="307"/>
      <c r="I347" s="304"/>
      <c r="J347" s="309"/>
      <c r="K347" s="307"/>
      <c r="L347" s="304"/>
      <c r="M347" s="309"/>
      <c r="N347" s="307"/>
      <c r="O347" s="333"/>
      <c r="P347" s="305">
        <f t="shared" si="39"/>
        <v>208.69</v>
      </c>
      <c r="Q347" s="307">
        <f t="shared" si="40"/>
        <v>0</v>
      </c>
      <c r="R347" s="302"/>
      <c r="S347" s="303"/>
      <c r="T347" s="280"/>
    </row>
    <row r="348" spans="1:20" ht="15">
      <c r="A348" s="276"/>
      <c r="B348" s="351">
        <v>352377</v>
      </c>
      <c r="C348" s="304"/>
      <c r="D348" s="305"/>
      <c r="E348" s="307"/>
      <c r="F348" s="308"/>
      <c r="G348" s="305"/>
      <c r="H348" s="307"/>
      <c r="I348" s="304"/>
      <c r="J348" s="309"/>
      <c r="K348" s="307"/>
      <c r="L348" s="304"/>
      <c r="M348" s="309"/>
      <c r="N348" s="307"/>
      <c r="O348" s="343"/>
      <c r="P348" s="305">
        <f t="shared" si="39"/>
        <v>0</v>
      </c>
      <c r="Q348" s="307" t="e">
        <f t="shared" si="40"/>
        <v>#DIV/0!</v>
      </c>
      <c r="R348" s="302"/>
      <c r="S348" s="303"/>
      <c r="T348" s="280"/>
    </row>
    <row r="349" spans="1:20" ht="15">
      <c r="A349" s="276"/>
      <c r="B349" s="351">
        <v>359885</v>
      </c>
      <c r="C349" s="304"/>
      <c r="D349" s="305"/>
      <c r="E349" s="307"/>
      <c r="F349" s="308"/>
      <c r="G349" s="305"/>
      <c r="H349" s="307"/>
      <c r="I349" s="304"/>
      <c r="J349" s="309"/>
      <c r="K349" s="307"/>
      <c r="L349" s="304"/>
      <c r="M349" s="309"/>
      <c r="N349" s="307"/>
      <c r="O349" s="343"/>
      <c r="P349" s="305">
        <f t="shared" si="39"/>
        <v>0</v>
      </c>
      <c r="Q349" s="307" t="e">
        <f t="shared" si="40"/>
        <v>#DIV/0!</v>
      </c>
      <c r="R349" s="302"/>
      <c r="S349" s="303"/>
      <c r="T349" s="280"/>
    </row>
    <row r="350" spans="1:20" ht="15">
      <c r="A350" s="276"/>
      <c r="B350" s="351">
        <v>359886</v>
      </c>
      <c r="C350" s="304"/>
      <c r="D350" s="305"/>
      <c r="E350" s="307"/>
      <c r="F350" s="308"/>
      <c r="G350" s="305"/>
      <c r="H350" s="307"/>
      <c r="I350" s="304"/>
      <c r="J350" s="309"/>
      <c r="K350" s="307"/>
      <c r="L350" s="304"/>
      <c r="M350" s="309"/>
      <c r="N350" s="307"/>
      <c r="O350" s="343"/>
      <c r="P350" s="305">
        <f t="shared" si="39"/>
        <v>0</v>
      </c>
      <c r="Q350" s="307" t="e">
        <f t="shared" si="40"/>
        <v>#DIV/0!</v>
      </c>
      <c r="R350" s="302"/>
      <c r="S350" s="303"/>
      <c r="T350" s="280"/>
    </row>
    <row r="351" spans="1:20" ht="15">
      <c r="A351" s="276" t="s">
        <v>985</v>
      </c>
      <c r="B351" s="351">
        <v>465180</v>
      </c>
      <c r="C351" s="304">
        <v>294.02</v>
      </c>
      <c r="D351" s="305">
        <v>60.68</v>
      </c>
      <c r="E351" s="307">
        <v>0</v>
      </c>
      <c r="F351" s="308"/>
      <c r="G351" s="305"/>
      <c r="H351" s="307"/>
      <c r="I351" s="304"/>
      <c r="J351" s="309"/>
      <c r="K351" s="307"/>
      <c r="L351" s="304"/>
      <c r="M351" s="309"/>
      <c r="N351" s="307"/>
      <c r="O351" s="343"/>
      <c r="P351" s="305">
        <f t="shared" si="39"/>
        <v>60.68</v>
      </c>
      <c r="Q351" s="307">
        <f t="shared" si="40"/>
        <v>0</v>
      </c>
      <c r="R351" s="302"/>
      <c r="S351" s="303"/>
      <c r="T351" s="280"/>
    </row>
    <row r="352" spans="1:20" ht="15">
      <c r="A352" s="313" t="s">
        <v>322</v>
      </c>
      <c r="B352" s="351">
        <v>465181</v>
      </c>
      <c r="C352" s="310">
        <v>2443.08</v>
      </c>
      <c r="D352" s="305">
        <v>493.98</v>
      </c>
      <c r="E352" s="307">
        <v>153.66999999999999</v>
      </c>
      <c r="F352" s="308"/>
      <c r="G352" s="305"/>
      <c r="H352" s="307"/>
      <c r="I352" s="304"/>
      <c r="J352" s="309"/>
      <c r="K352" s="307"/>
      <c r="L352" s="304"/>
      <c r="M352" s="309"/>
      <c r="N352" s="307"/>
      <c r="O352" s="345"/>
      <c r="P352" s="305">
        <f t="shared" si="39"/>
        <v>493.98</v>
      </c>
      <c r="Q352" s="307">
        <f t="shared" si="40"/>
        <v>0</v>
      </c>
      <c r="R352" s="302"/>
      <c r="S352" s="303"/>
      <c r="T352" s="280"/>
    </row>
    <row r="353" spans="1:20" ht="15">
      <c r="A353" s="276" t="s">
        <v>14</v>
      </c>
      <c r="B353" s="351">
        <v>465182</v>
      </c>
      <c r="C353" s="304">
        <v>3478.14</v>
      </c>
      <c r="D353" s="305">
        <v>670.27</v>
      </c>
      <c r="E353" s="307">
        <v>207.92</v>
      </c>
      <c r="F353" s="308"/>
      <c r="G353" s="305"/>
      <c r="H353" s="307"/>
      <c r="I353" s="304"/>
      <c r="J353" s="309"/>
      <c r="K353" s="307"/>
      <c r="L353" s="304"/>
      <c r="M353" s="309"/>
      <c r="N353" s="307"/>
      <c r="O353" s="343"/>
      <c r="P353" s="305">
        <f t="shared" si="39"/>
        <v>670.27</v>
      </c>
      <c r="Q353" s="307">
        <f t="shared" si="40"/>
        <v>0</v>
      </c>
      <c r="R353" s="302"/>
      <c r="S353" s="303"/>
      <c r="T353" s="280"/>
    </row>
    <row r="354" spans="1:20" ht="15">
      <c r="A354" s="276" t="s">
        <v>88</v>
      </c>
      <c r="B354" s="351">
        <v>465183</v>
      </c>
      <c r="C354" s="304">
        <v>2241.16</v>
      </c>
      <c r="D354" s="305">
        <v>443.38</v>
      </c>
      <c r="E354" s="352">
        <v>136.24</v>
      </c>
      <c r="F354" s="308"/>
      <c r="G354" s="305"/>
      <c r="H354" s="307"/>
      <c r="I354" s="304"/>
      <c r="J354" s="309"/>
      <c r="K354" s="307"/>
      <c r="L354" s="304"/>
      <c r="M354" s="309"/>
      <c r="N354" s="307"/>
      <c r="O354" s="343"/>
      <c r="P354" s="305">
        <f t="shared" si="39"/>
        <v>443.38</v>
      </c>
      <c r="Q354" s="307">
        <f t="shared" si="40"/>
        <v>0</v>
      </c>
      <c r="R354" s="302"/>
      <c r="S354" s="303"/>
      <c r="T354" s="280"/>
    </row>
    <row r="355" spans="1:20" ht="13">
      <c r="A355" s="346" t="s">
        <v>40</v>
      </c>
      <c r="B355" s="351">
        <v>465184</v>
      </c>
      <c r="C355" s="304">
        <v>2816.3</v>
      </c>
      <c r="D355" s="305">
        <v>558.35</v>
      </c>
      <c r="E355" s="307">
        <v>88.9</v>
      </c>
      <c r="F355" s="308"/>
      <c r="G355" s="305"/>
      <c r="H355" s="307"/>
      <c r="I355" s="304"/>
      <c r="J355" s="309"/>
      <c r="K355" s="307"/>
      <c r="L355" s="304"/>
      <c r="M355" s="309"/>
      <c r="N355" s="307"/>
      <c r="O355" s="333"/>
      <c r="P355" s="305">
        <f t="shared" si="39"/>
        <v>558.35</v>
      </c>
      <c r="Q355" s="307">
        <f t="shared" si="40"/>
        <v>0</v>
      </c>
      <c r="R355" s="302"/>
      <c r="S355" s="303"/>
      <c r="T355" s="280"/>
    </row>
    <row r="356" spans="1:20" ht="13">
      <c r="A356" s="276" t="s">
        <v>75</v>
      </c>
      <c r="B356" s="351">
        <v>465185</v>
      </c>
      <c r="C356" s="304"/>
      <c r="D356" s="336"/>
      <c r="E356" s="307"/>
      <c r="F356" s="308"/>
      <c r="G356" s="305"/>
      <c r="H356" s="307"/>
      <c r="I356" s="304"/>
      <c r="J356" s="309"/>
      <c r="K356" s="307"/>
      <c r="L356" s="304"/>
      <c r="M356" s="309"/>
      <c r="N356" s="307"/>
      <c r="O356" s="333"/>
      <c r="P356" s="305">
        <f t="shared" si="39"/>
        <v>0</v>
      </c>
      <c r="Q356" s="307" t="e">
        <f t="shared" si="40"/>
        <v>#DIV/0!</v>
      </c>
      <c r="R356" s="302"/>
      <c r="S356" s="303"/>
      <c r="T356" s="280"/>
    </row>
    <row r="357" spans="1:20" ht="13">
      <c r="A357" s="346"/>
      <c r="B357" s="351">
        <v>465186</v>
      </c>
      <c r="C357" s="304"/>
      <c r="D357" s="305"/>
      <c r="E357" s="307"/>
      <c r="F357" s="308"/>
      <c r="G357" s="305"/>
      <c r="H357" s="307"/>
      <c r="I357" s="304"/>
      <c r="J357" s="309"/>
      <c r="K357" s="307"/>
      <c r="L357" s="304"/>
      <c r="M357" s="309"/>
      <c r="N357" s="307"/>
      <c r="O357" s="333"/>
      <c r="P357" s="305">
        <f t="shared" si="39"/>
        <v>0</v>
      </c>
      <c r="Q357" s="307" t="e">
        <f t="shared" si="40"/>
        <v>#DIV/0!</v>
      </c>
      <c r="R357" s="302"/>
      <c r="S357" s="303"/>
      <c r="T357" s="280"/>
    </row>
    <row r="358" spans="1:20" ht="15">
      <c r="A358" s="276" t="s">
        <v>192</v>
      </c>
      <c r="B358" s="351">
        <v>465187</v>
      </c>
      <c r="C358" s="304">
        <v>1195.53</v>
      </c>
      <c r="D358" s="305">
        <v>242.59</v>
      </c>
      <c r="E358" s="307">
        <v>68.650000000000006</v>
      </c>
      <c r="F358" s="308"/>
      <c r="G358" s="305"/>
      <c r="H358" s="307"/>
      <c r="I358" s="304"/>
      <c r="J358" s="309"/>
      <c r="K358" s="307"/>
      <c r="L358" s="304"/>
      <c r="M358" s="309"/>
      <c r="N358" s="307"/>
      <c r="O358" s="343"/>
      <c r="P358" s="305">
        <f t="shared" si="39"/>
        <v>242.59</v>
      </c>
      <c r="Q358" s="307">
        <f t="shared" si="40"/>
        <v>0</v>
      </c>
      <c r="R358" s="302"/>
      <c r="S358" s="303"/>
      <c r="T358" s="280"/>
    </row>
    <row r="359" spans="1:20" ht="13">
      <c r="A359" s="337"/>
      <c r="B359" s="351">
        <v>465188</v>
      </c>
      <c r="C359" s="304"/>
      <c r="D359" s="305"/>
      <c r="E359" s="307"/>
      <c r="F359" s="308"/>
      <c r="G359" s="305"/>
      <c r="H359" s="307"/>
      <c r="I359" s="304"/>
      <c r="J359" s="309"/>
      <c r="K359" s="307"/>
      <c r="L359" s="304"/>
      <c r="M359" s="309"/>
      <c r="N359" s="307"/>
      <c r="O359" s="333"/>
      <c r="P359" s="305">
        <f t="shared" si="39"/>
        <v>0</v>
      </c>
      <c r="Q359" s="307" t="e">
        <f t="shared" si="40"/>
        <v>#DIV/0!</v>
      </c>
      <c r="R359" s="302"/>
      <c r="S359" s="303"/>
      <c r="T359" s="280"/>
    </row>
    <row r="360" spans="1:20" ht="15">
      <c r="A360" s="341" t="s">
        <v>901</v>
      </c>
      <c r="B360" s="353">
        <v>1650</v>
      </c>
      <c r="C360" s="315">
        <v>2228.0700000000002</v>
      </c>
      <c r="D360" s="316">
        <v>416.44</v>
      </c>
      <c r="E360" s="317">
        <v>55.12</v>
      </c>
      <c r="F360" s="354">
        <v>500</v>
      </c>
      <c r="G360" s="316">
        <v>94.536000000000001</v>
      </c>
      <c r="H360" s="317">
        <v>0</v>
      </c>
      <c r="I360" s="315"/>
      <c r="J360" s="320"/>
      <c r="K360" s="317"/>
      <c r="L360" s="315"/>
      <c r="M360" s="320"/>
      <c r="N360" s="317"/>
      <c r="O360" s="343"/>
      <c r="P360" s="305">
        <f t="shared" si="39"/>
        <v>416.44</v>
      </c>
      <c r="Q360" s="317">
        <f t="shared" si="40"/>
        <v>0</v>
      </c>
      <c r="R360" s="302"/>
      <c r="S360" s="303"/>
      <c r="T360" s="280"/>
    </row>
    <row r="361" spans="1:20" ht="13">
      <c r="A361" s="469" t="s">
        <v>860</v>
      </c>
      <c r="B361" s="464"/>
      <c r="C361" s="324" t="s">
        <v>676</v>
      </c>
      <c r="D361" s="325" t="s">
        <v>861</v>
      </c>
      <c r="E361" s="355" t="s">
        <v>862</v>
      </c>
      <c r="F361" s="321" t="s">
        <v>676</v>
      </c>
      <c r="G361" s="322" t="s">
        <v>861</v>
      </c>
      <c r="H361" s="323" t="s">
        <v>862</v>
      </c>
      <c r="I361" s="321" t="s">
        <v>676</v>
      </c>
      <c r="J361" s="322" t="s">
        <v>861</v>
      </c>
      <c r="K361" s="323" t="s">
        <v>862</v>
      </c>
      <c r="L361" s="321" t="s">
        <v>676</v>
      </c>
      <c r="M361" s="322" t="s">
        <v>861</v>
      </c>
      <c r="N361" s="323" t="s">
        <v>862</v>
      </c>
      <c r="O361" s="321" t="s">
        <v>881</v>
      </c>
      <c r="P361" s="322" t="s">
        <v>861</v>
      </c>
      <c r="Q361" s="323" t="s">
        <v>865</v>
      </c>
      <c r="R361" s="280"/>
      <c r="S361" s="280"/>
      <c r="T361" s="280"/>
    </row>
    <row r="362" spans="1:20" ht="13">
      <c r="A362" s="470" t="s">
        <v>863</v>
      </c>
      <c r="B362" s="471"/>
      <c r="C362" s="326">
        <f>SUM(C341:C360)+SUM(F341:F360)+SUM(I341:I360)</f>
        <v>26946.319999999996</v>
      </c>
      <c r="D362" s="327">
        <f t="shared" ref="D362:E362" si="41">SUM(D341:D359)+SUM(G341:G359)+SUM(J341:J359)+SUM(M341:M359)</f>
        <v>4849.09</v>
      </c>
      <c r="E362" s="328">
        <f t="shared" si="41"/>
        <v>1034.5999999999999</v>
      </c>
      <c r="F362" s="329"/>
      <c r="G362" s="329"/>
      <c r="H362" s="329"/>
      <c r="I362" s="329"/>
      <c r="J362" s="329"/>
      <c r="K362" s="329"/>
      <c r="L362" s="329"/>
      <c r="M362" s="329"/>
      <c r="N362" s="329"/>
      <c r="O362" s="329"/>
      <c r="P362" s="329"/>
      <c r="Q362" s="329"/>
      <c r="R362" s="280"/>
      <c r="S362" s="280"/>
      <c r="T362" s="280"/>
    </row>
    <row r="363" spans="1:20" ht="13">
      <c r="R363" s="280"/>
      <c r="S363" s="280"/>
      <c r="T363" s="280"/>
    </row>
    <row r="364" spans="1:20" ht="13">
      <c r="A364" s="330" t="s">
        <v>995</v>
      </c>
      <c r="B364" s="330"/>
      <c r="C364" s="330"/>
      <c r="D364" s="330"/>
      <c r="E364" s="330"/>
      <c r="F364" s="330"/>
      <c r="G364" s="330"/>
      <c r="H364" s="330"/>
      <c r="I364" s="330"/>
      <c r="J364" s="330"/>
      <c r="K364" s="330"/>
      <c r="L364" s="330"/>
      <c r="M364" s="330"/>
      <c r="N364" s="330"/>
      <c r="O364" s="330"/>
      <c r="P364" s="330"/>
      <c r="Q364" s="330"/>
      <c r="R364" s="291"/>
      <c r="S364" s="280"/>
      <c r="T364" s="280"/>
    </row>
    <row r="365" spans="1:20" ht="13">
      <c r="A365" s="356" t="s">
        <v>849</v>
      </c>
      <c r="B365" s="287" t="s">
        <v>1</v>
      </c>
      <c r="C365" s="473" t="s">
        <v>850</v>
      </c>
      <c r="D365" s="466"/>
      <c r="E365" s="467"/>
      <c r="F365" s="473" t="s">
        <v>852</v>
      </c>
      <c r="G365" s="466"/>
      <c r="H365" s="467"/>
      <c r="I365" s="462" t="s">
        <v>852</v>
      </c>
      <c r="J365" s="463"/>
      <c r="K365" s="464"/>
      <c r="L365" s="473" t="s">
        <v>852</v>
      </c>
      <c r="M365" s="466"/>
      <c r="N365" s="467"/>
      <c r="O365" s="339" t="s">
        <v>865</v>
      </c>
      <c r="P365" s="339"/>
      <c r="Q365" s="339"/>
      <c r="R365" s="291"/>
      <c r="S365" s="280"/>
      <c r="T365" s="280"/>
    </row>
    <row r="366" spans="1:20" ht="13">
      <c r="A366" s="357" t="s">
        <v>308</v>
      </c>
      <c r="B366" s="358">
        <v>352368</v>
      </c>
      <c r="C366" s="294"/>
      <c r="D366" s="301"/>
      <c r="E366" s="297"/>
      <c r="F366" s="349"/>
      <c r="G366" s="295"/>
      <c r="H366" s="297"/>
      <c r="I366" s="294"/>
      <c r="J366" s="301"/>
      <c r="K366" s="297"/>
      <c r="L366" s="294"/>
      <c r="M366" s="301"/>
      <c r="N366" s="297"/>
      <c r="O366" s="331"/>
      <c r="P366" s="305">
        <v>0</v>
      </c>
      <c r="Q366" s="297" t="e">
        <v>#DIV/0!</v>
      </c>
      <c r="R366" s="302"/>
      <c r="S366" s="303"/>
      <c r="T366" s="280"/>
    </row>
    <row r="367" spans="1:20" ht="15">
      <c r="A367" s="359" t="s">
        <v>969</v>
      </c>
      <c r="B367" s="350">
        <v>352371</v>
      </c>
      <c r="C367" s="304">
        <v>2169.17</v>
      </c>
      <c r="D367" s="309">
        <v>552.69000000000005</v>
      </c>
      <c r="E367" s="307">
        <v>78.02</v>
      </c>
      <c r="F367" s="308">
        <v>600</v>
      </c>
      <c r="G367" s="305">
        <v>111.254</v>
      </c>
      <c r="H367" s="307">
        <v>0</v>
      </c>
      <c r="I367" s="304">
        <v>600</v>
      </c>
      <c r="J367" s="309">
        <v>109.31</v>
      </c>
      <c r="K367" s="307">
        <v>0</v>
      </c>
      <c r="L367" s="304"/>
      <c r="M367" s="309"/>
      <c r="N367" s="307"/>
      <c r="O367" s="343">
        <v>3364</v>
      </c>
      <c r="P367" s="305">
        <v>773.25400000000013</v>
      </c>
      <c r="Q367" s="307">
        <v>4.3504462957837911</v>
      </c>
      <c r="R367" s="302"/>
      <c r="S367" s="303"/>
      <c r="T367" s="280"/>
    </row>
    <row r="368" spans="1:20" ht="15">
      <c r="A368" s="276" t="s">
        <v>975</v>
      </c>
      <c r="B368" s="350">
        <v>352372</v>
      </c>
      <c r="C368" s="304">
        <v>3224.15</v>
      </c>
      <c r="D368" s="309">
        <v>563.94000000000005</v>
      </c>
      <c r="E368" s="307">
        <v>40.200000000000003</v>
      </c>
      <c r="F368" s="308"/>
      <c r="G368" s="305"/>
      <c r="H368" s="307"/>
      <c r="I368" s="304"/>
      <c r="J368" s="309"/>
      <c r="K368" s="307"/>
      <c r="L368" s="304"/>
      <c r="M368" s="309"/>
      <c r="N368" s="307"/>
      <c r="O368" s="344" t="s">
        <v>996</v>
      </c>
      <c r="P368" s="305">
        <v>563.94000000000005</v>
      </c>
      <c r="Q368" s="307">
        <v>5.1601234173848276</v>
      </c>
      <c r="R368" s="302"/>
      <c r="S368" s="303"/>
      <c r="T368" s="280"/>
    </row>
    <row r="369" spans="1:20" ht="13">
      <c r="A369" s="276"/>
      <c r="B369" s="350">
        <v>352373</v>
      </c>
      <c r="C369" s="304"/>
      <c r="D369" s="309"/>
      <c r="E369" s="307"/>
      <c r="F369" s="308"/>
      <c r="G369" s="305"/>
      <c r="H369" s="307"/>
      <c r="I369" s="304"/>
      <c r="J369" s="309"/>
      <c r="K369" s="307"/>
      <c r="L369" s="304"/>
      <c r="M369" s="309"/>
      <c r="N369" s="307"/>
      <c r="O369" s="333"/>
      <c r="P369" s="305">
        <v>0</v>
      </c>
      <c r="Q369" s="307" t="e">
        <v>#DIV/0!</v>
      </c>
      <c r="R369" s="302"/>
      <c r="S369" s="303"/>
      <c r="T369" s="280"/>
    </row>
    <row r="370" spans="1:20" ht="13">
      <c r="A370" s="276" t="s">
        <v>191</v>
      </c>
      <c r="B370" s="350">
        <v>352374</v>
      </c>
      <c r="C370" s="304">
        <v>2197.4299999999998</v>
      </c>
      <c r="D370" s="309">
        <v>406.67</v>
      </c>
      <c r="E370" s="307">
        <v>93</v>
      </c>
      <c r="F370" s="308">
        <v>600</v>
      </c>
      <c r="G370" s="305">
        <v>110.31</v>
      </c>
      <c r="H370" s="307">
        <v>0</v>
      </c>
      <c r="I370" s="304"/>
      <c r="J370" s="309"/>
      <c r="K370" s="307"/>
      <c r="L370" s="304"/>
      <c r="M370" s="309"/>
      <c r="N370" s="307"/>
      <c r="O370" s="333" t="s">
        <v>997</v>
      </c>
      <c r="P370" s="305">
        <v>516.98</v>
      </c>
      <c r="Q370" s="307">
        <v>5.2942086734496501</v>
      </c>
      <c r="R370" s="302"/>
      <c r="S370" s="303"/>
      <c r="T370" s="280"/>
    </row>
    <row r="371" spans="1:20" ht="15">
      <c r="A371" s="276" t="s">
        <v>313</v>
      </c>
      <c r="B371" s="350">
        <v>352375</v>
      </c>
      <c r="C371" s="304">
        <v>2071.69</v>
      </c>
      <c r="D371" s="309">
        <v>375.3</v>
      </c>
      <c r="E371" s="307">
        <v>87.62</v>
      </c>
      <c r="F371" s="308"/>
      <c r="G371" s="305"/>
      <c r="H371" s="307"/>
      <c r="I371" s="304"/>
      <c r="J371" s="309"/>
      <c r="K371" s="307"/>
      <c r="L371" s="304"/>
      <c r="M371" s="309"/>
      <c r="N371" s="307"/>
      <c r="O371" s="343">
        <v>1504</v>
      </c>
      <c r="P371" s="305">
        <v>375.3</v>
      </c>
      <c r="Q371" s="307">
        <v>4.0074606981081802</v>
      </c>
      <c r="R371" s="302"/>
      <c r="S371" s="303"/>
      <c r="T371" s="280"/>
    </row>
    <row r="372" spans="1:20" ht="13">
      <c r="A372" s="276" t="s">
        <v>62</v>
      </c>
      <c r="B372" s="350">
        <v>352376</v>
      </c>
      <c r="C372" s="304">
        <v>2845.91</v>
      </c>
      <c r="D372" s="309">
        <v>517.84</v>
      </c>
      <c r="E372" s="307">
        <v>109.92</v>
      </c>
      <c r="F372" s="308"/>
      <c r="G372" s="305"/>
      <c r="H372" s="307"/>
      <c r="I372" s="304"/>
      <c r="J372" s="309"/>
      <c r="K372" s="307"/>
      <c r="L372" s="304"/>
      <c r="M372" s="309"/>
      <c r="N372" s="307"/>
      <c r="O372" s="333" t="s">
        <v>998</v>
      </c>
      <c r="P372" s="305">
        <v>517.84</v>
      </c>
      <c r="Q372" s="307">
        <v>6.5444925073381732</v>
      </c>
      <c r="R372" s="302"/>
      <c r="S372" s="303"/>
      <c r="T372" s="280"/>
    </row>
    <row r="373" spans="1:20" ht="15">
      <c r="A373" s="276"/>
      <c r="B373" s="350">
        <v>352377</v>
      </c>
      <c r="C373" s="304"/>
      <c r="D373" s="309"/>
      <c r="E373" s="307"/>
      <c r="F373" s="308"/>
      <c r="G373" s="305"/>
      <c r="H373" s="307"/>
      <c r="I373" s="304"/>
      <c r="J373" s="309"/>
      <c r="K373" s="307"/>
      <c r="L373" s="304"/>
      <c r="M373" s="309"/>
      <c r="N373" s="307"/>
      <c r="O373" s="343"/>
      <c r="P373" s="305">
        <v>0</v>
      </c>
      <c r="Q373" s="307" t="e">
        <v>#DIV/0!</v>
      </c>
      <c r="R373" s="302"/>
      <c r="S373" s="303"/>
      <c r="T373" s="280"/>
    </row>
    <row r="374" spans="1:20" ht="15">
      <c r="A374" s="276" t="s">
        <v>315</v>
      </c>
      <c r="B374" s="350">
        <v>359885</v>
      </c>
      <c r="C374" s="304">
        <v>1820.45</v>
      </c>
      <c r="D374" s="309">
        <v>351.58</v>
      </c>
      <c r="E374" s="307">
        <v>23.97</v>
      </c>
      <c r="F374" s="308">
        <v>600</v>
      </c>
      <c r="G374" s="305">
        <v>114.166</v>
      </c>
      <c r="H374" s="307">
        <v>0</v>
      </c>
      <c r="I374" s="304"/>
      <c r="J374" s="309"/>
      <c r="K374" s="307"/>
      <c r="L374" s="304"/>
      <c r="M374" s="309"/>
      <c r="N374" s="307"/>
      <c r="O374" s="343">
        <v>2748</v>
      </c>
      <c r="P374" s="305">
        <v>465.74599999999998</v>
      </c>
      <c r="Q374" s="307">
        <v>5.9002117033748007</v>
      </c>
      <c r="R374" s="302"/>
      <c r="S374" s="303"/>
      <c r="T374" s="280"/>
    </row>
    <row r="375" spans="1:20" ht="15">
      <c r="A375" s="276"/>
      <c r="B375" s="350">
        <v>359886</v>
      </c>
      <c r="C375" s="304"/>
      <c r="D375" s="309"/>
      <c r="E375" s="307"/>
      <c r="F375" s="308"/>
      <c r="G375" s="305"/>
      <c r="H375" s="307"/>
      <c r="I375" s="304"/>
      <c r="J375" s="309"/>
      <c r="K375" s="307"/>
      <c r="L375" s="304"/>
      <c r="M375" s="309"/>
      <c r="N375" s="307"/>
      <c r="O375" s="343"/>
      <c r="P375" s="305">
        <v>0</v>
      </c>
      <c r="Q375" s="307" t="e">
        <v>#DIV/0!</v>
      </c>
      <c r="R375" s="302"/>
      <c r="S375" s="303"/>
      <c r="T375" s="280"/>
    </row>
    <row r="376" spans="1:20" ht="15">
      <c r="A376" s="276" t="s">
        <v>319</v>
      </c>
      <c r="B376" s="350">
        <v>465180</v>
      </c>
      <c r="C376" s="304">
        <v>799</v>
      </c>
      <c r="D376" s="309">
        <v>142.69999999999999</v>
      </c>
      <c r="E376" s="307">
        <v>14.26</v>
      </c>
      <c r="F376" s="308"/>
      <c r="G376" s="305"/>
      <c r="H376" s="307"/>
      <c r="I376" s="304"/>
      <c r="J376" s="309"/>
      <c r="K376" s="307"/>
      <c r="L376" s="304"/>
      <c r="M376" s="309"/>
      <c r="N376" s="307"/>
      <c r="O376" s="343">
        <v>0</v>
      </c>
      <c r="P376" s="305">
        <v>142.69999999999999</v>
      </c>
      <c r="Q376" s="307">
        <v>0</v>
      </c>
      <c r="R376" s="302"/>
      <c r="S376" s="303"/>
      <c r="T376" s="280"/>
    </row>
    <row r="377" spans="1:20" ht="15">
      <c r="A377" s="276" t="s">
        <v>322</v>
      </c>
      <c r="B377" s="350">
        <v>465181</v>
      </c>
      <c r="C377" s="304">
        <v>3491.42</v>
      </c>
      <c r="D377" s="309">
        <v>649.35</v>
      </c>
      <c r="E377" s="307">
        <v>188.1</v>
      </c>
      <c r="F377" s="308"/>
      <c r="G377" s="305"/>
      <c r="H377" s="307"/>
      <c r="I377" s="304"/>
      <c r="J377" s="309"/>
      <c r="K377" s="307"/>
      <c r="L377" s="304"/>
      <c r="M377" s="309"/>
      <c r="N377" s="307"/>
      <c r="O377" s="345">
        <v>3597</v>
      </c>
      <c r="P377" s="305">
        <v>649.35</v>
      </c>
      <c r="Q377" s="307">
        <v>5.5393855393855391</v>
      </c>
      <c r="R377" s="302"/>
      <c r="S377" s="303"/>
      <c r="T377" s="280"/>
    </row>
    <row r="378" spans="1:20" ht="15">
      <c r="A378" s="276" t="s">
        <v>14</v>
      </c>
      <c r="B378" s="350">
        <v>465182</v>
      </c>
      <c r="C378" s="304">
        <v>2906.98</v>
      </c>
      <c r="D378" s="309">
        <v>545.73</v>
      </c>
      <c r="E378" s="307">
        <v>168.81</v>
      </c>
      <c r="F378" s="308"/>
      <c r="G378" s="305"/>
      <c r="H378" s="307"/>
      <c r="I378" s="304"/>
      <c r="J378" s="309"/>
      <c r="K378" s="307"/>
      <c r="L378" s="304"/>
      <c r="M378" s="309"/>
      <c r="N378" s="307"/>
      <c r="O378" s="343">
        <v>4035</v>
      </c>
      <c r="P378" s="305">
        <v>545.73</v>
      </c>
      <c r="Q378" s="307">
        <v>7.3937661480952119</v>
      </c>
      <c r="R378" s="302"/>
      <c r="S378" s="303"/>
      <c r="T378" s="280"/>
    </row>
    <row r="379" spans="1:20" ht="15">
      <c r="A379" s="276" t="s">
        <v>88</v>
      </c>
      <c r="B379" s="350">
        <v>465183</v>
      </c>
      <c r="C379" s="304"/>
      <c r="D379" s="309"/>
      <c r="E379" s="352"/>
      <c r="F379" s="308"/>
      <c r="G379" s="305"/>
      <c r="H379" s="307"/>
      <c r="I379" s="304"/>
      <c r="J379" s="309"/>
      <c r="K379" s="307"/>
      <c r="L379" s="304"/>
      <c r="M379" s="309"/>
      <c r="N379" s="307"/>
      <c r="O379" s="343"/>
      <c r="P379" s="305">
        <v>0</v>
      </c>
      <c r="Q379" s="307" t="e">
        <v>#DIV/0!</v>
      </c>
      <c r="R379" s="302"/>
      <c r="S379" s="303"/>
      <c r="T379" s="280"/>
    </row>
    <row r="380" spans="1:20" ht="13">
      <c r="A380" s="359" t="s">
        <v>40</v>
      </c>
      <c r="B380" s="350">
        <v>465184</v>
      </c>
      <c r="C380" s="304">
        <v>3024.35</v>
      </c>
      <c r="D380" s="309">
        <v>561.23</v>
      </c>
      <c r="E380" s="307">
        <v>85.02</v>
      </c>
      <c r="F380" s="308">
        <v>300</v>
      </c>
      <c r="G380" s="305">
        <v>54.65</v>
      </c>
      <c r="H380" s="307">
        <v>0</v>
      </c>
      <c r="I380" s="304"/>
      <c r="J380" s="309"/>
      <c r="K380" s="307"/>
      <c r="L380" s="304"/>
      <c r="M380" s="309"/>
      <c r="N380" s="307"/>
      <c r="O380" s="333" t="s">
        <v>999</v>
      </c>
      <c r="P380" s="305">
        <v>615.88</v>
      </c>
      <c r="Q380" s="307">
        <v>5.8128206793531207</v>
      </c>
      <c r="R380" s="302"/>
      <c r="S380" s="303"/>
      <c r="T380" s="280"/>
    </row>
    <row r="381" spans="1:20" ht="13">
      <c r="A381" s="276" t="s">
        <v>75</v>
      </c>
      <c r="B381" s="350">
        <v>465185</v>
      </c>
      <c r="C381" s="304"/>
      <c r="D381" s="309"/>
      <c r="E381" s="307"/>
      <c r="F381" s="308"/>
      <c r="G381" s="305"/>
      <c r="H381" s="307"/>
      <c r="I381" s="304"/>
      <c r="J381" s="309"/>
      <c r="K381" s="307"/>
      <c r="L381" s="304"/>
      <c r="M381" s="309"/>
      <c r="N381" s="307"/>
      <c r="O381" s="333"/>
      <c r="P381" s="305">
        <v>0</v>
      </c>
      <c r="Q381" s="307" t="e">
        <v>#DIV/0!</v>
      </c>
      <c r="R381" s="302"/>
      <c r="S381" s="303"/>
      <c r="T381" s="280"/>
    </row>
    <row r="382" spans="1:20" ht="13">
      <c r="A382" s="359"/>
      <c r="B382" s="350">
        <v>465186</v>
      </c>
      <c r="C382" s="304"/>
      <c r="D382" s="309"/>
      <c r="E382" s="307"/>
      <c r="F382" s="308"/>
      <c r="G382" s="305"/>
      <c r="H382" s="307"/>
      <c r="I382" s="304"/>
      <c r="J382" s="309"/>
      <c r="K382" s="307"/>
      <c r="L382" s="304"/>
      <c r="M382" s="309"/>
      <c r="N382" s="307"/>
      <c r="O382" s="333"/>
      <c r="P382" s="305">
        <v>0</v>
      </c>
      <c r="Q382" s="307" t="e">
        <v>#DIV/0!</v>
      </c>
      <c r="R382" s="302"/>
      <c r="S382" s="303"/>
      <c r="T382" s="280"/>
    </row>
    <row r="383" spans="1:20" ht="15">
      <c r="A383" s="276" t="s">
        <v>192</v>
      </c>
      <c r="B383" s="350">
        <v>465187</v>
      </c>
      <c r="C383" s="304">
        <v>1466.06</v>
      </c>
      <c r="D383" s="309">
        <v>284.12</v>
      </c>
      <c r="E383" s="307">
        <v>65.739999999999995</v>
      </c>
      <c r="F383" s="308">
        <v>600</v>
      </c>
      <c r="G383" s="305">
        <v>105</v>
      </c>
      <c r="H383" s="307">
        <v>0</v>
      </c>
      <c r="I383" s="304"/>
      <c r="J383" s="309"/>
      <c r="K383" s="307"/>
      <c r="L383" s="304"/>
      <c r="M383" s="309"/>
      <c r="N383" s="307"/>
      <c r="O383" s="343">
        <v>1979</v>
      </c>
      <c r="P383" s="305">
        <v>389.12</v>
      </c>
      <c r="Q383" s="307">
        <v>5.0858347039473681</v>
      </c>
      <c r="R383" s="302"/>
      <c r="S383" s="303"/>
      <c r="T383" s="280"/>
    </row>
    <row r="384" spans="1:20" ht="13">
      <c r="A384" s="337"/>
      <c r="B384" s="350">
        <v>465188</v>
      </c>
      <c r="C384" s="304"/>
      <c r="D384" s="309"/>
      <c r="E384" s="307"/>
      <c r="F384" s="308"/>
      <c r="G384" s="305"/>
      <c r="H384" s="307"/>
      <c r="I384" s="304"/>
      <c r="J384" s="309"/>
      <c r="K384" s="307"/>
      <c r="L384" s="304"/>
      <c r="M384" s="309"/>
      <c r="N384" s="307"/>
      <c r="O384" s="333"/>
      <c r="P384" s="305">
        <v>0</v>
      </c>
      <c r="Q384" s="307" t="e">
        <v>#DIV/0!</v>
      </c>
      <c r="R384" s="302"/>
      <c r="S384" s="303"/>
      <c r="T384" s="280"/>
    </row>
    <row r="385" spans="1:20" ht="15">
      <c r="A385" s="284" t="s">
        <v>901</v>
      </c>
      <c r="B385" s="360">
        <v>1650</v>
      </c>
      <c r="C385" s="315">
        <v>2036.39</v>
      </c>
      <c r="D385" s="320">
        <v>379.72</v>
      </c>
      <c r="E385" s="317">
        <v>89.23</v>
      </c>
      <c r="F385" s="354">
        <v>200</v>
      </c>
      <c r="G385" s="316">
        <v>36.83</v>
      </c>
      <c r="H385" s="317">
        <v>0</v>
      </c>
      <c r="I385" s="315"/>
      <c r="J385" s="320"/>
      <c r="K385" s="317"/>
      <c r="L385" s="315"/>
      <c r="M385" s="320"/>
      <c r="N385" s="317"/>
      <c r="O385" s="343">
        <v>2612</v>
      </c>
      <c r="P385" s="305">
        <v>416.55</v>
      </c>
      <c r="Q385" s="317">
        <v>6.2705557556115714</v>
      </c>
      <c r="R385" s="302"/>
      <c r="S385" s="303"/>
      <c r="T385" s="280"/>
    </row>
    <row r="386" spans="1:20" ht="13">
      <c r="A386" s="474" t="s">
        <v>860</v>
      </c>
      <c r="B386" s="464"/>
      <c r="C386" s="324" t="s">
        <v>676</v>
      </c>
      <c r="D386" s="325" t="s">
        <v>861</v>
      </c>
      <c r="E386" s="355" t="s">
        <v>862</v>
      </c>
      <c r="F386" s="321" t="s">
        <v>676</v>
      </c>
      <c r="G386" s="322" t="s">
        <v>861</v>
      </c>
      <c r="H386" s="323" t="s">
        <v>862</v>
      </c>
      <c r="I386" s="321" t="s">
        <v>676</v>
      </c>
      <c r="J386" s="322" t="s">
        <v>861</v>
      </c>
      <c r="K386" s="323" t="s">
        <v>862</v>
      </c>
      <c r="L386" s="321" t="s">
        <v>676</v>
      </c>
      <c r="M386" s="322" t="s">
        <v>861</v>
      </c>
      <c r="N386" s="323" t="s">
        <v>862</v>
      </c>
      <c r="O386" s="321" t="s">
        <v>881</v>
      </c>
      <c r="P386" s="322" t="s">
        <v>861</v>
      </c>
      <c r="Q386" s="323" t="s">
        <v>865</v>
      </c>
      <c r="R386" s="280"/>
      <c r="S386" s="280"/>
      <c r="T386" s="280"/>
    </row>
    <row r="387" spans="1:20" ht="13">
      <c r="A387" s="475" t="s">
        <v>863</v>
      </c>
      <c r="B387" s="471"/>
      <c r="C387" s="326">
        <f>SUM(C367:C385)+SUM(F366:F385)+SUM(I366:I385)</f>
        <v>31553</v>
      </c>
      <c r="D387" s="361">
        <v>5555.8399999999992</v>
      </c>
      <c r="E387" s="362">
        <v>954.66000000000008</v>
      </c>
      <c r="F387" s="329"/>
      <c r="G387" s="329"/>
      <c r="H387" s="329"/>
      <c r="I387" s="329"/>
      <c r="J387" s="329"/>
      <c r="K387" s="329"/>
      <c r="L387" s="329"/>
      <c r="M387" s="329"/>
      <c r="N387" s="329"/>
      <c r="O387" s="329"/>
      <c r="P387" s="329"/>
      <c r="Q387" s="329"/>
      <c r="R387" s="280"/>
      <c r="S387" s="280"/>
      <c r="T387" s="280"/>
    </row>
    <row r="388" spans="1:20" ht="13">
      <c r="R388" s="280"/>
      <c r="S388" s="280"/>
      <c r="T388" s="280"/>
    </row>
    <row r="389" spans="1:20" ht="13">
      <c r="A389" s="286" t="s">
        <v>1000</v>
      </c>
      <c r="B389" s="330"/>
      <c r="C389" s="330"/>
      <c r="D389" s="330"/>
      <c r="E389" s="330"/>
      <c r="F389" s="330"/>
      <c r="G389" s="330"/>
      <c r="H389" s="330"/>
      <c r="I389" s="330"/>
      <c r="J389" s="330"/>
      <c r="K389" s="330"/>
      <c r="L389" s="330"/>
      <c r="M389" s="330"/>
      <c r="N389" s="330"/>
      <c r="O389" s="330"/>
      <c r="P389" s="330"/>
      <c r="Q389" s="330"/>
      <c r="R389" s="291"/>
      <c r="S389" s="280"/>
      <c r="T389" s="280"/>
    </row>
    <row r="390" spans="1:20" ht="13">
      <c r="A390" s="356" t="s">
        <v>849</v>
      </c>
      <c r="B390" s="287" t="s">
        <v>1</v>
      </c>
      <c r="C390" s="473" t="s">
        <v>850</v>
      </c>
      <c r="D390" s="466"/>
      <c r="E390" s="467"/>
      <c r="F390" s="465" t="s">
        <v>852</v>
      </c>
      <c r="G390" s="466"/>
      <c r="H390" s="467"/>
      <c r="I390" s="468" t="s">
        <v>852</v>
      </c>
      <c r="J390" s="463"/>
      <c r="K390" s="464"/>
      <c r="L390" s="465" t="s">
        <v>852</v>
      </c>
      <c r="M390" s="466"/>
      <c r="N390" s="467"/>
      <c r="O390" s="289" t="s">
        <v>865</v>
      </c>
      <c r="P390" s="339"/>
      <c r="Q390" s="339"/>
      <c r="R390" s="291"/>
      <c r="S390" s="280"/>
      <c r="T390" s="280"/>
    </row>
    <row r="391" spans="1:20" ht="13">
      <c r="A391" s="357" t="s">
        <v>308</v>
      </c>
      <c r="B391" s="358">
        <v>352368</v>
      </c>
      <c r="C391" s="294">
        <v>2042.3</v>
      </c>
      <c r="D391" s="301">
        <v>387.22</v>
      </c>
      <c r="E391" s="297">
        <v>38.700000000000003</v>
      </c>
      <c r="F391" s="349"/>
      <c r="G391" s="295"/>
      <c r="H391" s="297"/>
      <c r="I391" s="294"/>
      <c r="J391" s="301"/>
      <c r="K391" s="297"/>
      <c r="L391" s="294"/>
      <c r="M391" s="301"/>
      <c r="N391" s="297"/>
      <c r="O391" s="331" t="s">
        <v>1001</v>
      </c>
      <c r="P391" s="305">
        <f t="shared" ref="P391:P410" si="42">D391</f>
        <v>387.22</v>
      </c>
      <c r="Q391" s="297">
        <f t="shared" ref="Q391:Q410" si="43">O391/P391</f>
        <v>5.2915655183100041</v>
      </c>
      <c r="R391" s="302"/>
      <c r="S391" s="303"/>
      <c r="T391" s="280"/>
    </row>
    <row r="392" spans="1:20" ht="15">
      <c r="A392" s="359" t="s">
        <v>969</v>
      </c>
      <c r="B392" s="350">
        <v>352371</v>
      </c>
      <c r="C392" s="304">
        <v>2975.14</v>
      </c>
      <c r="D392" s="309">
        <v>526.04999999999995</v>
      </c>
      <c r="E392" s="307">
        <v>102.86</v>
      </c>
      <c r="F392" s="308"/>
      <c r="G392" s="305"/>
      <c r="H392" s="307"/>
      <c r="I392" s="304"/>
      <c r="J392" s="309"/>
      <c r="K392" s="307"/>
      <c r="L392" s="304"/>
      <c r="M392" s="309"/>
      <c r="N392" s="307"/>
      <c r="O392" s="343">
        <v>3329</v>
      </c>
      <c r="P392" s="305">
        <f t="shared" si="42"/>
        <v>526.04999999999995</v>
      </c>
      <c r="Q392" s="307">
        <f t="shared" si="43"/>
        <v>6.3282957893736338</v>
      </c>
      <c r="R392" s="302"/>
      <c r="S392" s="303"/>
      <c r="T392" s="280"/>
    </row>
    <row r="393" spans="1:20" ht="15">
      <c r="A393" s="276" t="s">
        <v>975</v>
      </c>
      <c r="B393" s="350">
        <v>352372</v>
      </c>
      <c r="C393" s="304">
        <v>3103.46</v>
      </c>
      <c r="D393" s="309">
        <v>570.63</v>
      </c>
      <c r="E393" s="307">
        <v>76.92</v>
      </c>
      <c r="F393" s="308"/>
      <c r="G393" s="305"/>
      <c r="H393" s="307"/>
      <c r="I393" s="304"/>
      <c r="J393" s="309"/>
      <c r="K393" s="307"/>
      <c r="L393" s="304"/>
      <c r="M393" s="309"/>
      <c r="N393" s="307"/>
      <c r="O393" s="344" t="s">
        <v>1002</v>
      </c>
      <c r="P393" s="305">
        <f t="shared" si="42"/>
        <v>570.63</v>
      </c>
      <c r="Q393" s="307">
        <f t="shared" si="43"/>
        <v>5.2503373464416523</v>
      </c>
      <c r="R393" s="302"/>
      <c r="S393" s="303"/>
      <c r="T393" s="280"/>
    </row>
    <row r="394" spans="1:20" ht="13">
      <c r="A394" s="276"/>
      <c r="B394" s="350">
        <v>352373</v>
      </c>
      <c r="C394" s="304"/>
      <c r="D394" s="309"/>
      <c r="E394" s="307"/>
      <c r="F394" s="308"/>
      <c r="G394" s="305"/>
      <c r="H394" s="307"/>
      <c r="I394" s="304"/>
      <c r="J394" s="309"/>
      <c r="K394" s="307"/>
      <c r="L394" s="304"/>
      <c r="M394" s="309"/>
      <c r="N394" s="307"/>
      <c r="O394" s="333"/>
      <c r="P394" s="305">
        <f t="shared" si="42"/>
        <v>0</v>
      </c>
      <c r="Q394" s="307" t="e">
        <f t="shared" si="43"/>
        <v>#DIV/0!</v>
      </c>
      <c r="R394" s="302"/>
      <c r="S394" s="303"/>
      <c r="T394" s="280"/>
    </row>
    <row r="395" spans="1:20" ht="13">
      <c r="A395" s="276" t="s">
        <v>191</v>
      </c>
      <c r="B395" s="350">
        <v>352374</v>
      </c>
      <c r="C395" s="304">
        <v>2185.1999999999998</v>
      </c>
      <c r="D395" s="309">
        <v>400.94</v>
      </c>
      <c r="E395" s="307">
        <v>96.32</v>
      </c>
      <c r="F395" s="308"/>
      <c r="G395" s="305"/>
      <c r="H395" s="307"/>
      <c r="I395" s="304"/>
      <c r="J395" s="309"/>
      <c r="K395" s="307"/>
      <c r="L395" s="304"/>
      <c r="M395" s="309"/>
      <c r="N395" s="307"/>
      <c r="O395" s="333" t="s">
        <v>1003</v>
      </c>
      <c r="P395" s="305">
        <f t="shared" si="42"/>
        <v>400.94</v>
      </c>
      <c r="Q395" s="307">
        <f t="shared" si="43"/>
        <v>7.8989374968823265</v>
      </c>
      <c r="R395" s="302"/>
      <c r="S395" s="303"/>
      <c r="T395" s="280"/>
    </row>
    <row r="396" spans="1:20" ht="14">
      <c r="A396" s="276" t="s">
        <v>313</v>
      </c>
      <c r="B396" s="350">
        <v>352375</v>
      </c>
      <c r="C396" s="304">
        <v>2501.88</v>
      </c>
      <c r="D396" s="309">
        <v>458.79</v>
      </c>
      <c r="E396" s="307">
        <v>93.05</v>
      </c>
      <c r="F396" s="308"/>
      <c r="G396" s="305"/>
      <c r="H396" s="307"/>
      <c r="I396" s="304"/>
      <c r="J396" s="309"/>
      <c r="K396" s="307"/>
      <c r="L396" s="304"/>
      <c r="M396" s="309"/>
      <c r="N396" s="307"/>
      <c r="O396" s="363">
        <v>2882</v>
      </c>
      <c r="P396" s="305">
        <f t="shared" si="42"/>
        <v>458.79</v>
      </c>
      <c r="Q396" s="307">
        <f t="shared" si="43"/>
        <v>6.2817411015933216</v>
      </c>
      <c r="R396" s="302"/>
      <c r="S396" s="303"/>
      <c r="T396" s="280"/>
    </row>
    <row r="397" spans="1:20" ht="13">
      <c r="A397" s="276" t="s">
        <v>62</v>
      </c>
      <c r="B397" s="350">
        <v>352376</v>
      </c>
      <c r="C397" s="304">
        <v>3111.93</v>
      </c>
      <c r="D397" s="309">
        <v>573.32000000000005</v>
      </c>
      <c r="E397" s="307">
        <v>115.31</v>
      </c>
      <c r="F397" s="308"/>
      <c r="G397" s="305"/>
      <c r="H397" s="307"/>
      <c r="I397" s="304"/>
      <c r="J397" s="309"/>
      <c r="K397" s="307"/>
      <c r="L397" s="304"/>
      <c r="M397" s="309"/>
      <c r="N397" s="307"/>
      <c r="O397" s="333" t="s">
        <v>1004</v>
      </c>
      <c r="P397" s="305">
        <f t="shared" si="42"/>
        <v>573.32000000000005</v>
      </c>
      <c r="Q397" s="307">
        <f t="shared" si="43"/>
        <v>5.1036070606293169</v>
      </c>
      <c r="R397" s="302"/>
      <c r="S397" s="303"/>
      <c r="T397" s="280"/>
    </row>
    <row r="398" spans="1:20" ht="15">
      <c r="A398" s="276"/>
      <c r="B398" s="350">
        <v>352377</v>
      </c>
      <c r="C398" s="304"/>
      <c r="D398" s="309"/>
      <c r="E398" s="307"/>
      <c r="F398" s="308"/>
      <c r="G398" s="305"/>
      <c r="H398" s="307"/>
      <c r="I398" s="304"/>
      <c r="J398" s="309"/>
      <c r="K398" s="307"/>
      <c r="L398" s="304"/>
      <c r="M398" s="309"/>
      <c r="N398" s="307"/>
      <c r="O398" s="343"/>
      <c r="P398" s="305">
        <f t="shared" si="42"/>
        <v>0</v>
      </c>
      <c r="Q398" s="307" t="e">
        <f t="shared" si="43"/>
        <v>#DIV/0!</v>
      </c>
      <c r="R398" s="302"/>
      <c r="S398" s="303"/>
      <c r="T398" s="280"/>
    </row>
    <row r="399" spans="1:20" ht="15">
      <c r="A399" s="276" t="s">
        <v>315</v>
      </c>
      <c r="B399" s="350">
        <v>359885</v>
      </c>
      <c r="C399" s="304">
        <v>2490</v>
      </c>
      <c r="D399" s="309">
        <v>465.93</v>
      </c>
      <c r="E399" s="307">
        <v>67.63</v>
      </c>
      <c r="F399" s="308"/>
      <c r="G399" s="305"/>
      <c r="H399" s="307"/>
      <c r="I399" s="304"/>
      <c r="J399" s="309"/>
      <c r="K399" s="307"/>
      <c r="L399" s="304"/>
      <c r="M399" s="309"/>
      <c r="N399" s="307"/>
      <c r="O399" s="343">
        <v>2627</v>
      </c>
      <c r="P399" s="305">
        <f t="shared" si="42"/>
        <v>465.93</v>
      </c>
      <c r="Q399" s="307">
        <f t="shared" si="43"/>
        <v>5.6381859936041892</v>
      </c>
      <c r="R399" s="302"/>
      <c r="S399" s="303"/>
      <c r="T399" s="280"/>
    </row>
    <row r="400" spans="1:20" ht="15">
      <c r="A400" s="276"/>
      <c r="B400" s="350">
        <v>359886</v>
      </c>
      <c r="C400" s="304"/>
      <c r="D400" s="309"/>
      <c r="E400" s="307"/>
      <c r="F400" s="308"/>
      <c r="G400" s="305"/>
      <c r="H400" s="307"/>
      <c r="I400" s="304"/>
      <c r="J400" s="309"/>
      <c r="K400" s="307"/>
      <c r="L400" s="304"/>
      <c r="M400" s="309"/>
      <c r="N400" s="307"/>
      <c r="O400" s="343"/>
      <c r="P400" s="305">
        <f t="shared" si="42"/>
        <v>0</v>
      </c>
      <c r="Q400" s="307" t="e">
        <f t="shared" si="43"/>
        <v>#DIV/0!</v>
      </c>
      <c r="R400" s="302"/>
      <c r="S400" s="303"/>
      <c r="T400" s="280"/>
    </row>
    <row r="401" spans="1:20" ht="15">
      <c r="A401" s="276" t="s">
        <v>319</v>
      </c>
      <c r="B401" s="350">
        <v>465180</v>
      </c>
      <c r="C401" s="304">
        <v>1826.24</v>
      </c>
      <c r="D401" s="309">
        <v>330.79</v>
      </c>
      <c r="E401" s="307">
        <v>100.73</v>
      </c>
      <c r="F401" s="308"/>
      <c r="G401" s="305"/>
      <c r="H401" s="307"/>
      <c r="I401" s="304"/>
      <c r="J401" s="309"/>
      <c r="K401" s="307"/>
      <c r="L401" s="304"/>
      <c r="M401" s="309"/>
      <c r="N401" s="307"/>
      <c r="O401" s="343">
        <v>2761</v>
      </c>
      <c r="P401" s="305">
        <f t="shared" si="42"/>
        <v>330.79</v>
      </c>
      <c r="Q401" s="307">
        <f t="shared" si="43"/>
        <v>8.3466852081380924</v>
      </c>
      <c r="R401" s="302"/>
      <c r="S401" s="303"/>
      <c r="T401" s="280"/>
    </row>
    <row r="402" spans="1:20" ht="15">
      <c r="A402" s="276" t="s">
        <v>322</v>
      </c>
      <c r="B402" s="350">
        <v>465181</v>
      </c>
      <c r="C402" s="304">
        <v>3330.19</v>
      </c>
      <c r="D402" s="364">
        <v>600.28</v>
      </c>
      <c r="E402" s="307">
        <v>172.52</v>
      </c>
      <c r="F402" s="308"/>
      <c r="G402" s="305"/>
      <c r="H402" s="307"/>
      <c r="I402" s="304"/>
      <c r="J402" s="309"/>
      <c r="K402" s="307"/>
      <c r="L402" s="304"/>
      <c r="M402" s="309"/>
      <c r="N402" s="307"/>
      <c r="O402" s="345">
        <v>3978</v>
      </c>
      <c r="P402" s="305">
        <f t="shared" si="42"/>
        <v>600.28</v>
      </c>
      <c r="Q402" s="307">
        <f t="shared" si="43"/>
        <v>6.6269074431931765</v>
      </c>
      <c r="R402" s="302"/>
      <c r="S402" s="303"/>
      <c r="T402" s="280"/>
    </row>
    <row r="403" spans="1:20" ht="15">
      <c r="A403" s="276" t="s">
        <v>14</v>
      </c>
      <c r="B403" s="350">
        <v>465182</v>
      </c>
      <c r="C403" s="304">
        <v>1633.48</v>
      </c>
      <c r="D403" s="305">
        <v>297.67</v>
      </c>
      <c r="E403" s="307">
        <v>89.89</v>
      </c>
      <c r="F403" s="308"/>
      <c r="G403" s="305"/>
      <c r="H403" s="307"/>
      <c r="I403" s="304"/>
      <c r="J403" s="309"/>
      <c r="K403" s="307"/>
      <c r="L403" s="304"/>
      <c r="M403" s="309"/>
      <c r="N403" s="307"/>
      <c r="O403" s="343">
        <v>1245</v>
      </c>
      <c r="P403" s="305">
        <f t="shared" si="42"/>
        <v>297.67</v>
      </c>
      <c r="Q403" s="307">
        <f t="shared" si="43"/>
        <v>4.1824839587462623</v>
      </c>
      <c r="R403" s="302"/>
      <c r="S403" s="303"/>
      <c r="T403" s="280"/>
    </row>
    <row r="404" spans="1:20" ht="15">
      <c r="A404" s="276" t="s">
        <v>88</v>
      </c>
      <c r="B404" s="350">
        <v>465183</v>
      </c>
      <c r="C404" s="304"/>
      <c r="D404" s="309"/>
      <c r="E404" s="352"/>
      <c r="F404" s="308"/>
      <c r="G404" s="305"/>
      <c r="H404" s="307"/>
      <c r="I404" s="304"/>
      <c r="J404" s="309"/>
      <c r="K404" s="307"/>
      <c r="L404" s="304"/>
      <c r="M404" s="309"/>
      <c r="N404" s="307"/>
      <c r="O404" s="343"/>
      <c r="P404" s="305">
        <f t="shared" si="42"/>
        <v>0</v>
      </c>
      <c r="Q404" s="307" t="e">
        <f t="shared" si="43"/>
        <v>#DIV/0!</v>
      </c>
      <c r="R404" s="302"/>
      <c r="S404" s="303"/>
      <c r="T404" s="280"/>
    </row>
    <row r="405" spans="1:20" ht="13">
      <c r="A405" s="359" t="s">
        <v>40</v>
      </c>
      <c r="B405" s="350">
        <v>465184</v>
      </c>
      <c r="C405" s="304">
        <v>2186.66</v>
      </c>
      <c r="D405" s="309">
        <v>408.14</v>
      </c>
      <c r="E405" s="307">
        <v>38.96</v>
      </c>
      <c r="F405" s="308"/>
      <c r="G405" s="305"/>
      <c r="H405" s="307"/>
      <c r="I405" s="304"/>
      <c r="J405" s="309"/>
      <c r="K405" s="307"/>
      <c r="L405" s="304"/>
      <c r="M405" s="309"/>
      <c r="N405" s="307"/>
      <c r="O405" s="333" t="s">
        <v>1005</v>
      </c>
      <c r="P405" s="305">
        <f t="shared" si="42"/>
        <v>408.14</v>
      </c>
      <c r="Q405" s="307">
        <f t="shared" si="43"/>
        <v>5.7235262409957368</v>
      </c>
      <c r="R405" s="302"/>
      <c r="S405" s="303"/>
      <c r="T405" s="280"/>
    </row>
    <row r="406" spans="1:20" ht="13">
      <c r="A406" s="276" t="s">
        <v>75</v>
      </c>
      <c r="B406" s="350">
        <v>465185</v>
      </c>
      <c r="C406" s="304"/>
      <c r="D406" s="309"/>
      <c r="E406" s="307"/>
      <c r="F406" s="308"/>
      <c r="G406" s="305"/>
      <c r="H406" s="307"/>
      <c r="I406" s="304"/>
      <c r="J406" s="309"/>
      <c r="K406" s="307"/>
      <c r="L406" s="304"/>
      <c r="M406" s="309"/>
      <c r="N406" s="307"/>
      <c r="O406" s="333"/>
      <c r="P406" s="305">
        <f t="shared" si="42"/>
        <v>0</v>
      </c>
      <c r="Q406" s="307" t="e">
        <f t="shared" si="43"/>
        <v>#DIV/0!</v>
      </c>
      <c r="R406" s="302"/>
      <c r="S406" s="303"/>
      <c r="T406" s="280"/>
    </row>
    <row r="407" spans="1:20" ht="13">
      <c r="A407" s="359"/>
      <c r="B407" s="350">
        <v>465186</v>
      </c>
      <c r="C407" s="304"/>
      <c r="D407" s="309"/>
      <c r="E407" s="307"/>
      <c r="F407" s="308"/>
      <c r="G407" s="305"/>
      <c r="H407" s="307"/>
      <c r="I407" s="304"/>
      <c r="J407" s="309"/>
      <c r="K407" s="307"/>
      <c r="L407" s="304"/>
      <c r="M407" s="309"/>
      <c r="N407" s="307"/>
      <c r="O407" s="333"/>
      <c r="P407" s="305">
        <f t="shared" si="42"/>
        <v>0</v>
      </c>
      <c r="Q407" s="307" t="e">
        <f t="shared" si="43"/>
        <v>#DIV/0!</v>
      </c>
      <c r="R407" s="302"/>
      <c r="S407" s="303"/>
      <c r="T407" s="280"/>
    </row>
    <row r="408" spans="1:20" ht="15">
      <c r="A408" s="276" t="s">
        <v>192</v>
      </c>
      <c r="B408" s="350">
        <v>465187</v>
      </c>
      <c r="C408" s="304">
        <v>3393.62</v>
      </c>
      <c r="D408" s="309">
        <v>638.54</v>
      </c>
      <c r="E408" s="307">
        <v>155.32</v>
      </c>
      <c r="F408" s="308"/>
      <c r="G408" s="305"/>
      <c r="H408" s="307"/>
      <c r="I408" s="304"/>
      <c r="J408" s="309"/>
      <c r="K408" s="307"/>
      <c r="L408" s="304"/>
      <c r="M408" s="309"/>
      <c r="N408" s="307"/>
      <c r="O408" s="343">
        <v>3611</v>
      </c>
      <c r="P408" s="305">
        <f t="shared" si="42"/>
        <v>638.54</v>
      </c>
      <c r="Q408" s="307">
        <f t="shared" si="43"/>
        <v>5.6550881698875566</v>
      </c>
      <c r="R408" s="302"/>
      <c r="S408" s="303"/>
      <c r="T408" s="280"/>
    </row>
    <row r="409" spans="1:20" ht="13">
      <c r="A409" s="337"/>
      <c r="B409" s="350">
        <v>465188</v>
      </c>
      <c r="C409" s="304"/>
      <c r="D409" s="309"/>
      <c r="E409" s="307"/>
      <c r="F409" s="308"/>
      <c r="G409" s="305"/>
      <c r="H409" s="307"/>
      <c r="I409" s="304"/>
      <c r="J409" s="309"/>
      <c r="K409" s="307"/>
      <c r="L409" s="304"/>
      <c r="M409" s="309"/>
      <c r="N409" s="307"/>
      <c r="O409" s="333"/>
      <c r="P409" s="305">
        <f t="shared" si="42"/>
        <v>0</v>
      </c>
      <c r="Q409" s="307" t="e">
        <f t="shared" si="43"/>
        <v>#DIV/0!</v>
      </c>
      <c r="R409" s="302"/>
      <c r="S409" s="303"/>
      <c r="T409" s="280"/>
    </row>
    <row r="410" spans="1:20" ht="15">
      <c r="A410" s="284" t="s">
        <v>901</v>
      </c>
      <c r="B410" s="360">
        <v>1650</v>
      </c>
      <c r="C410" s="315">
        <v>3008.61</v>
      </c>
      <c r="D410" s="316">
        <v>551.82000000000005</v>
      </c>
      <c r="E410" s="317">
        <v>117.76</v>
      </c>
      <c r="F410" s="354"/>
      <c r="G410" s="316"/>
      <c r="H410" s="317"/>
      <c r="I410" s="315"/>
      <c r="J410" s="320"/>
      <c r="K410" s="317"/>
      <c r="L410" s="315"/>
      <c r="M410" s="320"/>
      <c r="N410" s="317"/>
      <c r="O410" s="343">
        <v>2896</v>
      </c>
      <c r="P410" s="305">
        <f t="shared" si="42"/>
        <v>551.82000000000005</v>
      </c>
      <c r="Q410" s="317">
        <f t="shared" si="43"/>
        <v>5.2480881446848606</v>
      </c>
      <c r="R410" s="302"/>
      <c r="S410" s="303"/>
      <c r="T410" s="280"/>
    </row>
    <row r="411" spans="1:20" ht="13">
      <c r="A411" s="469" t="s">
        <v>860</v>
      </c>
      <c r="B411" s="464"/>
      <c r="C411" s="324" t="s">
        <v>676</v>
      </c>
      <c r="D411" s="325" t="s">
        <v>861</v>
      </c>
      <c r="E411" s="355" t="s">
        <v>862</v>
      </c>
      <c r="F411" s="321" t="s">
        <v>676</v>
      </c>
      <c r="G411" s="322" t="s">
        <v>861</v>
      </c>
      <c r="H411" s="323" t="s">
        <v>862</v>
      </c>
      <c r="I411" s="321" t="s">
        <v>676</v>
      </c>
      <c r="J411" s="322" t="s">
        <v>861</v>
      </c>
      <c r="K411" s="323" t="s">
        <v>862</v>
      </c>
      <c r="L411" s="321" t="s">
        <v>676</v>
      </c>
      <c r="M411" s="322" t="s">
        <v>861</v>
      </c>
      <c r="N411" s="323" t="s">
        <v>862</v>
      </c>
      <c r="O411" s="321" t="s">
        <v>881</v>
      </c>
      <c r="P411" s="322" t="s">
        <v>861</v>
      </c>
      <c r="Q411" s="323" t="s">
        <v>865</v>
      </c>
      <c r="R411" s="280"/>
      <c r="S411" s="280"/>
      <c r="T411" s="280"/>
    </row>
    <row r="412" spans="1:20" ht="13">
      <c r="A412" s="470" t="s">
        <v>863</v>
      </c>
      <c r="B412" s="471"/>
      <c r="C412" s="326">
        <f>SUM(C391:C410)+SUM(F391:F410)+SUM(I391:I410)</f>
        <v>33788.71</v>
      </c>
      <c r="D412" s="327">
        <f t="shared" ref="D412:E412" si="44">SUM(D391:D409)+SUM(G391:G409)+SUM(J391:J409)+SUM(M391:M409)</f>
        <v>5658.3</v>
      </c>
      <c r="E412" s="328">
        <f t="shared" si="44"/>
        <v>1148.21</v>
      </c>
      <c r="F412" s="329"/>
      <c r="G412" s="329"/>
      <c r="H412" s="329"/>
      <c r="I412" s="329"/>
      <c r="J412" s="329"/>
      <c r="K412" s="329"/>
      <c r="L412" s="329"/>
      <c r="M412" s="329"/>
      <c r="N412" s="329"/>
      <c r="O412" s="329"/>
      <c r="P412" s="329"/>
      <c r="Q412" s="329"/>
      <c r="R412" s="280"/>
      <c r="S412" s="280"/>
      <c r="T412" s="280"/>
    </row>
    <row r="413" spans="1:20" ht="13">
      <c r="R413" s="280"/>
      <c r="S413" s="280"/>
      <c r="T413" s="280"/>
    </row>
    <row r="414" spans="1:20" ht="13">
      <c r="A414" s="286" t="s">
        <v>1006</v>
      </c>
      <c r="B414" s="330"/>
      <c r="C414" s="330"/>
      <c r="D414" s="330"/>
      <c r="E414" s="330"/>
      <c r="F414" s="330"/>
      <c r="G414" s="330"/>
      <c r="H414" s="330"/>
      <c r="I414" s="330"/>
      <c r="J414" s="330"/>
      <c r="K414" s="330"/>
      <c r="L414" s="330"/>
      <c r="M414" s="330"/>
      <c r="N414" s="330"/>
      <c r="O414" s="330"/>
      <c r="P414" s="330"/>
      <c r="Q414" s="330"/>
      <c r="R414" s="291"/>
      <c r="S414" s="280"/>
      <c r="T414" s="280"/>
    </row>
    <row r="415" spans="1:20" ht="13">
      <c r="A415" s="356" t="s">
        <v>849</v>
      </c>
      <c r="B415" s="287" t="s">
        <v>1</v>
      </c>
      <c r="C415" s="473" t="s">
        <v>850</v>
      </c>
      <c r="D415" s="466"/>
      <c r="E415" s="467"/>
      <c r="F415" s="465" t="s">
        <v>852</v>
      </c>
      <c r="G415" s="466"/>
      <c r="H415" s="467"/>
      <c r="I415" s="468" t="s">
        <v>852</v>
      </c>
      <c r="J415" s="463"/>
      <c r="K415" s="464"/>
      <c r="L415" s="465" t="s">
        <v>852</v>
      </c>
      <c r="M415" s="466"/>
      <c r="N415" s="467"/>
      <c r="O415" s="289" t="s">
        <v>865</v>
      </c>
      <c r="P415" s="339"/>
      <c r="Q415" s="339"/>
      <c r="R415" s="291"/>
      <c r="S415" s="280"/>
      <c r="T415" s="280"/>
    </row>
    <row r="416" spans="1:20" ht="13">
      <c r="A416" s="357" t="s">
        <v>308</v>
      </c>
      <c r="B416" s="358">
        <v>352368</v>
      </c>
      <c r="C416" s="294">
        <v>2293.39</v>
      </c>
      <c r="D416" s="301">
        <v>423.86</v>
      </c>
      <c r="E416" s="297">
        <v>39.68</v>
      </c>
      <c r="F416" s="349"/>
      <c r="G416" s="295"/>
      <c r="H416" s="297"/>
      <c r="I416" s="294"/>
      <c r="J416" s="301"/>
      <c r="K416" s="297"/>
      <c r="L416" s="294"/>
      <c r="M416" s="301"/>
      <c r="N416" s="297"/>
      <c r="O416" s="331" t="s">
        <v>1007</v>
      </c>
      <c r="P416" s="295">
        <f t="shared" ref="P416:P420" si="45">D416</f>
        <v>423.86</v>
      </c>
      <c r="Q416" s="297">
        <f t="shared" ref="Q416:Q435" si="46">O416/P416</f>
        <v>5.4499127070259048</v>
      </c>
      <c r="R416" s="302"/>
      <c r="S416" s="303"/>
      <c r="T416" s="280"/>
    </row>
    <row r="417" spans="1:20" ht="15">
      <c r="A417" s="359" t="s">
        <v>969</v>
      </c>
      <c r="B417" s="350">
        <v>352371</v>
      </c>
      <c r="C417" s="304">
        <v>778.63</v>
      </c>
      <c r="D417" s="309">
        <v>136.62</v>
      </c>
      <c r="E417" s="307">
        <v>13.66</v>
      </c>
      <c r="F417" s="308"/>
      <c r="G417" s="305"/>
      <c r="H417" s="307"/>
      <c r="I417" s="304"/>
      <c r="J417" s="309"/>
      <c r="K417" s="307"/>
      <c r="L417" s="304"/>
      <c r="M417" s="309"/>
      <c r="N417" s="307"/>
      <c r="O417" s="365">
        <v>454</v>
      </c>
      <c r="P417" s="305">
        <f t="shared" si="45"/>
        <v>136.62</v>
      </c>
      <c r="Q417" s="307">
        <f t="shared" si="46"/>
        <v>3.3230859317815837</v>
      </c>
      <c r="R417" s="302"/>
      <c r="S417" s="303"/>
      <c r="T417" s="280"/>
    </row>
    <row r="418" spans="1:20" ht="15">
      <c r="A418" s="276" t="s">
        <v>975</v>
      </c>
      <c r="B418" s="350">
        <v>352372</v>
      </c>
      <c r="C418" s="304">
        <v>2477.81</v>
      </c>
      <c r="D418" s="366">
        <v>474.76</v>
      </c>
      <c r="E418" s="307">
        <v>73.14</v>
      </c>
      <c r="F418" s="308"/>
      <c r="G418" s="305"/>
      <c r="H418" s="307"/>
      <c r="I418" s="304"/>
      <c r="J418" s="309"/>
      <c r="K418" s="307"/>
      <c r="L418" s="304"/>
      <c r="M418" s="309"/>
      <c r="N418" s="307"/>
      <c r="O418" s="367" t="s">
        <v>1008</v>
      </c>
      <c r="P418" s="305">
        <f t="shared" si="45"/>
        <v>474.76</v>
      </c>
      <c r="Q418" s="307">
        <f t="shared" si="46"/>
        <v>6.4032353188979698</v>
      </c>
      <c r="R418" s="302"/>
      <c r="S418" s="303"/>
      <c r="T418" s="280"/>
    </row>
    <row r="419" spans="1:20" ht="13">
      <c r="A419" s="276"/>
      <c r="B419" s="350">
        <v>352373</v>
      </c>
      <c r="C419" s="304"/>
      <c r="D419" s="309"/>
      <c r="E419" s="307"/>
      <c r="F419" s="308"/>
      <c r="G419" s="305"/>
      <c r="H419" s="307"/>
      <c r="I419" s="304"/>
      <c r="J419" s="309"/>
      <c r="K419" s="307"/>
      <c r="L419" s="304"/>
      <c r="M419" s="309"/>
      <c r="N419" s="307"/>
      <c r="O419" s="333"/>
      <c r="P419" s="305">
        <f t="shared" si="45"/>
        <v>0</v>
      </c>
      <c r="Q419" s="307" t="e">
        <f t="shared" si="46"/>
        <v>#DIV/0!</v>
      </c>
      <c r="R419" s="302"/>
      <c r="S419" s="303"/>
      <c r="T419" s="280"/>
    </row>
    <row r="420" spans="1:20" ht="13">
      <c r="A420" s="276" t="s">
        <v>191</v>
      </c>
      <c r="B420" s="350">
        <v>352374</v>
      </c>
      <c r="C420" s="304">
        <v>4822.99</v>
      </c>
      <c r="D420" s="309">
        <v>913.16</v>
      </c>
      <c r="E420" s="307">
        <v>234.19</v>
      </c>
      <c r="F420" s="308"/>
      <c r="G420" s="305"/>
      <c r="H420" s="307"/>
      <c r="I420" s="304"/>
      <c r="J420" s="309"/>
      <c r="K420" s="307"/>
      <c r="L420" s="304"/>
      <c r="M420" s="309"/>
      <c r="N420" s="307"/>
      <c r="O420" s="333" t="s">
        <v>1009</v>
      </c>
      <c r="P420" s="305">
        <f t="shared" si="45"/>
        <v>913.16</v>
      </c>
      <c r="Q420" s="307">
        <f t="shared" si="46"/>
        <v>5.5422926978842701</v>
      </c>
      <c r="R420" s="302"/>
      <c r="S420" s="303"/>
      <c r="T420" s="280"/>
    </row>
    <row r="421" spans="1:20" ht="14">
      <c r="A421" s="276" t="s">
        <v>313</v>
      </c>
      <c r="B421" s="350">
        <v>352375</v>
      </c>
      <c r="C421" s="304">
        <v>1258.1600000000001</v>
      </c>
      <c r="D421" s="309"/>
      <c r="E421" s="307">
        <v>52.18</v>
      </c>
      <c r="F421" s="308"/>
      <c r="G421" s="305"/>
      <c r="H421" s="307"/>
      <c r="I421" s="304"/>
      <c r="J421" s="309"/>
      <c r="K421" s="307"/>
      <c r="L421" s="304"/>
      <c r="M421" s="309"/>
      <c r="N421" s="307"/>
      <c r="O421" s="368">
        <v>666</v>
      </c>
      <c r="P421" s="305"/>
      <c r="Q421" s="307" t="e">
        <f t="shared" si="46"/>
        <v>#DIV/0!</v>
      </c>
      <c r="R421" s="302"/>
      <c r="S421" s="303"/>
      <c r="T421" s="280"/>
    </row>
    <row r="422" spans="1:20" ht="13">
      <c r="A422" s="276" t="s">
        <v>62</v>
      </c>
      <c r="B422" s="350">
        <v>352376</v>
      </c>
      <c r="C422" s="304">
        <v>2464.69</v>
      </c>
      <c r="D422" s="309">
        <v>453.83</v>
      </c>
      <c r="E422" s="307">
        <v>86.82</v>
      </c>
      <c r="F422" s="308"/>
      <c r="G422" s="305"/>
      <c r="H422" s="307"/>
      <c r="I422" s="304"/>
      <c r="J422" s="309"/>
      <c r="K422" s="307"/>
      <c r="L422" s="304"/>
      <c r="M422" s="309"/>
      <c r="N422" s="307"/>
      <c r="O422" s="333" t="s">
        <v>1010</v>
      </c>
      <c r="P422" s="305">
        <f t="shared" ref="P422:P435" si="47">D422</f>
        <v>453.83</v>
      </c>
      <c r="Q422" s="307">
        <f t="shared" si="46"/>
        <v>4.9071238128814754</v>
      </c>
      <c r="R422" s="302"/>
      <c r="S422" s="303"/>
      <c r="T422" s="280"/>
    </row>
    <row r="423" spans="1:20" ht="15">
      <c r="A423" s="276"/>
      <c r="B423" s="350">
        <v>352377</v>
      </c>
      <c r="C423" s="304"/>
      <c r="D423" s="309"/>
      <c r="E423" s="307"/>
      <c r="F423" s="308"/>
      <c r="G423" s="305"/>
      <c r="H423" s="307"/>
      <c r="I423" s="304"/>
      <c r="J423" s="309"/>
      <c r="K423" s="307"/>
      <c r="L423" s="304"/>
      <c r="M423" s="309"/>
      <c r="N423" s="307"/>
      <c r="O423" s="365"/>
      <c r="P423" s="305">
        <f t="shared" si="47"/>
        <v>0</v>
      </c>
      <c r="Q423" s="307" t="e">
        <f t="shared" si="46"/>
        <v>#DIV/0!</v>
      </c>
      <c r="R423" s="302"/>
      <c r="S423" s="303"/>
      <c r="T423" s="280"/>
    </row>
    <row r="424" spans="1:20" ht="15">
      <c r="A424" s="276" t="s">
        <v>315</v>
      </c>
      <c r="B424" s="350">
        <v>359885</v>
      </c>
      <c r="C424" s="304">
        <v>2532.7800000000002</v>
      </c>
      <c r="D424" s="309">
        <v>462.88</v>
      </c>
      <c r="E424" s="307">
        <v>112.81</v>
      </c>
      <c r="F424" s="308"/>
      <c r="G424" s="305"/>
      <c r="H424" s="307"/>
      <c r="I424" s="304"/>
      <c r="J424" s="309"/>
      <c r="K424" s="307"/>
      <c r="L424" s="304"/>
      <c r="M424" s="309"/>
      <c r="N424" s="307"/>
      <c r="O424" s="365">
        <v>2279</v>
      </c>
      <c r="P424" s="305">
        <f t="shared" si="47"/>
        <v>462.88</v>
      </c>
      <c r="Q424" s="307">
        <f t="shared" si="46"/>
        <v>4.9235222951952986</v>
      </c>
      <c r="R424" s="302"/>
      <c r="S424" s="303"/>
      <c r="T424" s="280"/>
    </row>
    <row r="425" spans="1:20" ht="15">
      <c r="A425" s="276"/>
      <c r="B425" s="350">
        <v>359886</v>
      </c>
      <c r="C425" s="304"/>
      <c r="D425" s="309"/>
      <c r="E425" s="307"/>
      <c r="F425" s="308"/>
      <c r="G425" s="305"/>
      <c r="H425" s="307"/>
      <c r="I425" s="304"/>
      <c r="J425" s="309"/>
      <c r="K425" s="307"/>
      <c r="L425" s="304"/>
      <c r="M425" s="309"/>
      <c r="N425" s="307"/>
      <c r="O425" s="365"/>
      <c r="P425" s="305">
        <f t="shared" si="47"/>
        <v>0</v>
      </c>
      <c r="Q425" s="307" t="e">
        <f t="shared" si="46"/>
        <v>#DIV/0!</v>
      </c>
      <c r="R425" s="302"/>
      <c r="S425" s="303"/>
      <c r="T425" s="280"/>
    </row>
    <row r="426" spans="1:20" ht="15">
      <c r="A426" s="276" t="s">
        <v>319</v>
      </c>
      <c r="B426" s="350">
        <v>465180</v>
      </c>
      <c r="C426" s="304">
        <v>3557.78</v>
      </c>
      <c r="D426" s="309">
        <v>676.49</v>
      </c>
      <c r="E426" s="307">
        <v>247.55</v>
      </c>
      <c r="F426" s="308"/>
      <c r="G426" s="305"/>
      <c r="H426" s="307"/>
      <c r="I426" s="304"/>
      <c r="J426" s="309"/>
      <c r="K426" s="307"/>
      <c r="L426" s="304"/>
      <c r="M426" s="309"/>
      <c r="N426" s="307"/>
      <c r="O426" s="365">
        <v>2988</v>
      </c>
      <c r="P426" s="305">
        <f t="shared" si="47"/>
        <v>676.49</v>
      </c>
      <c r="Q426" s="307">
        <f t="shared" si="46"/>
        <v>4.4169167319546485</v>
      </c>
      <c r="R426" s="302"/>
      <c r="S426" s="303"/>
      <c r="T426" s="280"/>
    </row>
    <row r="427" spans="1:20" ht="15">
      <c r="A427" s="276" t="s">
        <v>322</v>
      </c>
      <c r="B427" s="350">
        <v>465181</v>
      </c>
      <c r="C427" s="304">
        <v>2381.65</v>
      </c>
      <c r="D427" s="369">
        <v>456.2</v>
      </c>
      <c r="E427" s="307">
        <v>142.69999999999999</v>
      </c>
      <c r="F427" s="308"/>
      <c r="G427" s="305"/>
      <c r="H427" s="307"/>
      <c r="I427" s="304"/>
      <c r="J427" s="309"/>
      <c r="K427" s="307"/>
      <c r="L427" s="304"/>
      <c r="M427" s="309"/>
      <c r="N427" s="307"/>
      <c r="O427" s="370">
        <v>3202</v>
      </c>
      <c r="P427" s="305">
        <f t="shared" si="47"/>
        <v>456.2</v>
      </c>
      <c r="Q427" s="307">
        <f t="shared" si="46"/>
        <v>7.0188513809732571</v>
      </c>
      <c r="R427" s="302"/>
      <c r="S427" s="303"/>
      <c r="T427" s="280"/>
    </row>
    <row r="428" spans="1:20" ht="15">
      <c r="A428" s="276" t="s">
        <v>14</v>
      </c>
      <c r="B428" s="350">
        <v>465182</v>
      </c>
      <c r="C428" s="304">
        <v>3756.8</v>
      </c>
      <c r="D428" s="305">
        <v>693.98</v>
      </c>
      <c r="E428" s="307">
        <v>214.79</v>
      </c>
      <c r="F428" s="308"/>
      <c r="G428" s="305"/>
      <c r="H428" s="307"/>
      <c r="I428" s="304"/>
      <c r="J428" s="309"/>
      <c r="K428" s="307"/>
      <c r="L428" s="304"/>
      <c r="M428" s="309"/>
      <c r="N428" s="307"/>
      <c r="O428" s="365">
        <v>4242</v>
      </c>
      <c r="P428" s="305">
        <f t="shared" si="47"/>
        <v>693.98</v>
      </c>
      <c r="Q428" s="307">
        <f t="shared" si="46"/>
        <v>6.1125680855356057</v>
      </c>
      <c r="R428" s="302"/>
      <c r="S428" s="303"/>
      <c r="T428" s="280"/>
    </row>
    <row r="429" spans="1:20" ht="21.75" customHeight="1">
      <c r="A429" s="276" t="s">
        <v>88</v>
      </c>
      <c r="B429" s="350">
        <v>465183</v>
      </c>
      <c r="C429" s="304">
        <v>2809.07</v>
      </c>
      <c r="D429" s="309">
        <v>533.84</v>
      </c>
      <c r="E429" s="352">
        <v>164.07</v>
      </c>
      <c r="F429" s="308"/>
      <c r="G429" s="305"/>
      <c r="H429" s="307"/>
      <c r="I429" s="304"/>
      <c r="J429" s="309"/>
      <c r="K429" s="307"/>
      <c r="L429" s="304"/>
      <c r="M429" s="309"/>
      <c r="N429" s="307"/>
      <c r="O429" s="365">
        <v>2956</v>
      </c>
      <c r="P429" s="305">
        <f t="shared" si="47"/>
        <v>533.84</v>
      </c>
      <c r="Q429" s="307">
        <f t="shared" si="46"/>
        <v>5.5372396223587588</v>
      </c>
      <c r="R429" s="302"/>
      <c r="S429" s="303"/>
      <c r="T429" s="280"/>
    </row>
    <row r="430" spans="1:20" ht="13">
      <c r="A430" s="359" t="s">
        <v>40</v>
      </c>
      <c r="B430" s="350">
        <v>465184</v>
      </c>
      <c r="C430" s="304"/>
      <c r="D430" s="309"/>
      <c r="E430" s="307"/>
      <c r="F430" s="308"/>
      <c r="G430" s="305"/>
      <c r="H430" s="307"/>
      <c r="I430" s="304"/>
      <c r="J430" s="309"/>
      <c r="K430" s="307"/>
      <c r="L430" s="304"/>
      <c r="M430" s="309"/>
      <c r="N430" s="307"/>
      <c r="O430" s="333"/>
      <c r="P430" s="305">
        <f t="shared" si="47"/>
        <v>0</v>
      </c>
      <c r="Q430" s="307" t="e">
        <f t="shared" si="46"/>
        <v>#DIV/0!</v>
      </c>
      <c r="R430" s="302"/>
      <c r="S430" s="303"/>
      <c r="T430" s="280"/>
    </row>
    <row r="431" spans="1:20" ht="13">
      <c r="A431" s="276" t="s">
        <v>75</v>
      </c>
      <c r="B431" s="350">
        <v>465185</v>
      </c>
      <c r="C431" s="304">
        <v>2237.31</v>
      </c>
      <c r="D431" s="309">
        <v>413.81</v>
      </c>
      <c r="E431" s="307">
        <v>128.44</v>
      </c>
      <c r="F431" s="308"/>
      <c r="G431" s="305"/>
      <c r="H431" s="307"/>
      <c r="I431" s="304"/>
      <c r="J431" s="309"/>
      <c r="K431" s="307"/>
      <c r="L431" s="304"/>
      <c r="M431" s="309"/>
      <c r="N431" s="307"/>
      <c r="O431" s="333" t="s">
        <v>1011</v>
      </c>
      <c r="P431" s="305">
        <f t="shared" si="47"/>
        <v>413.81</v>
      </c>
      <c r="Q431" s="307">
        <f t="shared" si="46"/>
        <v>4.1226649911795272</v>
      </c>
      <c r="R431" s="302"/>
      <c r="S431" s="303"/>
      <c r="T431" s="280"/>
    </row>
    <row r="432" spans="1:20" ht="13">
      <c r="A432" s="359"/>
      <c r="B432" s="350">
        <v>465186</v>
      </c>
      <c r="C432" s="304"/>
      <c r="D432" s="309"/>
      <c r="E432" s="307"/>
      <c r="F432" s="308"/>
      <c r="G432" s="305"/>
      <c r="H432" s="307"/>
      <c r="I432" s="304"/>
      <c r="J432" s="309"/>
      <c r="K432" s="307"/>
      <c r="L432" s="304"/>
      <c r="M432" s="309"/>
      <c r="N432" s="307"/>
      <c r="O432" s="333"/>
      <c r="P432" s="305">
        <f t="shared" si="47"/>
        <v>0</v>
      </c>
      <c r="Q432" s="307" t="e">
        <f t="shared" si="46"/>
        <v>#DIV/0!</v>
      </c>
      <c r="R432" s="302"/>
      <c r="S432" s="303"/>
      <c r="T432" s="280"/>
    </row>
    <row r="433" spans="1:20" ht="15">
      <c r="A433" s="276" t="s">
        <v>192</v>
      </c>
      <c r="B433" s="350">
        <v>465187</v>
      </c>
      <c r="C433" s="304">
        <v>2591.86</v>
      </c>
      <c r="D433" s="309">
        <v>505.45</v>
      </c>
      <c r="E433" s="307">
        <v>54.75</v>
      </c>
      <c r="F433" s="308"/>
      <c r="G433" s="305"/>
      <c r="H433" s="307"/>
      <c r="I433" s="304"/>
      <c r="J433" s="309"/>
      <c r="K433" s="307"/>
      <c r="L433" s="304"/>
      <c r="M433" s="309"/>
      <c r="N433" s="307"/>
      <c r="O433" s="365">
        <v>3486</v>
      </c>
      <c r="P433" s="305">
        <f t="shared" si="47"/>
        <v>505.45</v>
      </c>
      <c r="Q433" s="307">
        <f t="shared" si="46"/>
        <v>6.8968246117321197</v>
      </c>
      <c r="R433" s="302"/>
      <c r="S433" s="303"/>
      <c r="T433" s="280"/>
    </row>
    <row r="434" spans="1:20" ht="13">
      <c r="A434" s="337" t="s">
        <v>318</v>
      </c>
      <c r="B434" s="350">
        <v>578038</v>
      </c>
      <c r="C434" s="304">
        <v>1580.74</v>
      </c>
      <c r="D434" s="366">
        <v>282.27999999999997</v>
      </c>
      <c r="E434" s="307">
        <v>91.29</v>
      </c>
      <c r="F434" s="308"/>
      <c r="G434" s="305"/>
      <c r="H434" s="307"/>
      <c r="I434" s="304"/>
      <c r="J434" s="309"/>
      <c r="K434" s="307"/>
      <c r="L434" s="304"/>
      <c r="M434" s="309"/>
      <c r="N434" s="307"/>
      <c r="O434" s="333"/>
      <c r="P434" s="305">
        <f t="shared" si="47"/>
        <v>282.27999999999997</v>
      </c>
      <c r="Q434" s="307">
        <f t="shared" si="46"/>
        <v>0</v>
      </c>
      <c r="R434" s="302"/>
      <c r="S434" s="303"/>
      <c r="T434" s="280"/>
    </row>
    <row r="435" spans="1:20" ht="15">
      <c r="A435" s="284" t="s">
        <v>901</v>
      </c>
      <c r="B435" s="360">
        <v>1650</v>
      </c>
      <c r="C435" s="315">
        <v>1044.8499999999999</v>
      </c>
      <c r="D435" s="316">
        <v>199.68</v>
      </c>
      <c r="E435" s="317">
        <v>19.96</v>
      </c>
      <c r="F435" s="354"/>
      <c r="G435" s="316"/>
      <c r="H435" s="317"/>
      <c r="I435" s="315"/>
      <c r="J435" s="320"/>
      <c r="K435" s="317"/>
      <c r="L435" s="315"/>
      <c r="M435" s="320"/>
      <c r="N435" s="317"/>
      <c r="O435" s="371">
        <v>1229</v>
      </c>
      <c r="P435" s="316">
        <f t="shared" si="47"/>
        <v>199.68</v>
      </c>
      <c r="Q435" s="317">
        <f t="shared" si="46"/>
        <v>6.1548477564102564</v>
      </c>
      <c r="R435" s="302"/>
      <c r="S435" s="303"/>
      <c r="T435" s="280"/>
    </row>
    <row r="436" spans="1:20" ht="13">
      <c r="A436" s="469" t="s">
        <v>860</v>
      </c>
      <c r="B436" s="464"/>
      <c r="C436" s="324" t="s">
        <v>676</v>
      </c>
      <c r="D436" s="325" t="s">
        <v>861</v>
      </c>
      <c r="E436" s="355" t="s">
        <v>862</v>
      </c>
      <c r="F436" s="321" t="s">
        <v>676</v>
      </c>
      <c r="G436" s="322" t="s">
        <v>861</v>
      </c>
      <c r="H436" s="323" t="s">
        <v>862</v>
      </c>
      <c r="I436" s="321" t="s">
        <v>676</v>
      </c>
      <c r="J436" s="322" t="s">
        <v>861</v>
      </c>
      <c r="K436" s="323" t="s">
        <v>862</v>
      </c>
      <c r="L436" s="321" t="s">
        <v>676</v>
      </c>
      <c r="M436" s="322" t="s">
        <v>861</v>
      </c>
      <c r="N436" s="323" t="s">
        <v>862</v>
      </c>
      <c r="O436" s="321" t="s">
        <v>881</v>
      </c>
      <c r="P436" s="322" t="s">
        <v>861</v>
      </c>
      <c r="Q436" s="323" t="s">
        <v>865</v>
      </c>
      <c r="R436" s="280"/>
      <c r="S436" s="280"/>
      <c r="T436" s="280"/>
    </row>
    <row r="437" spans="1:20" ht="13">
      <c r="A437" s="470" t="s">
        <v>863</v>
      </c>
      <c r="B437" s="471"/>
      <c r="C437" s="326">
        <f>SUM(C416:C435)+SUM(F416:F435)+SUM(I416:I435)</f>
        <v>36588.509999999995</v>
      </c>
      <c r="D437" s="327">
        <f t="shared" ref="D437:E437" si="48">SUM(D416:D434)+SUM(G416:G434)+SUM(J416:J434)+SUM(M416:M434)</f>
        <v>6427.1600000000008</v>
      </c>
      <c r="E437" s="328">
        <f t="shared" si="48"/>
        <v>1656.07</v>
      </c>
      <c r="F437" s="329"/>
      <c r="G437" s="329"/>
      <c r="H437" s="329"/>
      <c r="I437" s="329"/>
      <c r="J437" s="329"/>
      <c r="K437" s="329"/>
      <c r="L437" s="329"/>
      <c r="M437" s="329"/>
      <c r="N437" s="329"/>
      <c r="O437" s="329"/>
      <c r="P437" s="329"/>
      <c r="Q437" s="329"/>
      <c r="R437" s="280"/>
      <c r="S437" s="280"/>
      <c r="T437" s="280"/>
    </row>
    <row r="438" spans="1:20" ht="13">
      <c r="R438" s="280"/>
      <c r="S438" s="280"/>
      <c r="T438" s="280"/>
    </row>
    <row r="439" spans="1:20" ht="13">
      <c r="A439" s="286" t="s">
        <v>1012</v>
      </c>
      <c r="B439" s="330"/>
      <c r="C439" s="330"/>
      <c r="D439" s="330"/>
      <c r="E439" s="330"/>
      <c r="F439" s="330"/>
      <c r="G439" s="330"/>
      <c r="H439" s="330"/>
      <c r="I439" s="330"/>
      <c r="J439" s="330"/>
      <c r="K439" s="330"/>
      <c r="L439" s="330"/>
      <c r="M439" s="330"/>
      <c r="N439" s="330"/>
      <c r="O439" s="330"/>
      <c r="P439" s="330"/>
      <c r="Q439" s="330"/>
      <c r="R439" s="291"/>
      <c r="S439" s="280"/>
      <c r="T439" s="280"/>
    </row>
    <row r="440" spans="1:20" ht="13">
      <c r="A440" s="356" t="s">
        <v>849</v>
      </c>
      <c r="B440" s="287" t="s">
        <v>1</v>
      </c>
      <c r="C440" s="473" t="s">
        <v>850</v>
      </c>
      <c r="D440" s="466"/>
      <c r="E440" s="467"/>
      <c r="F440" s="465" t="s">
        <v>852</v>
      </c>
      <c r="G440" s="466"/>
      <c r="H440" s="467"/>
      <c r="I440" s="468" t="s">
        <v>1013</v>
      </c>
      <c r="J440" s="463"/>
      <c r="K440" s="464"/>
      <c r="L440" s="465" t="s">
        <v>852</v>
      </c>
      <c r="M440" s="466"/>
      <c r="N440" s="467"/>
      <c r="O440" s="289" t="s">
        <v>865</v>
      </c>
      <c r="P440" s="339"/>
      <c r="Q440" s="339"/>
      <c r="R440" s="291"/>
      <c r="S440" s="280"/>
      <c r="T440" s="280"/>
    </row>
    <row r="441" spans="1:20" ht="13">
      <c r="A441" s="357" t="s">
        <v>308</v>
      </c>
      <c r="B441" s="358">
        <v>352368</v>
      </c>
      <c r="C441" s="294">
        <v>3662.07</v>
      </c>
      <c r="D441" s="301">
        <v>669.9</v>
      </c>
      <c r="E441" s="297">
        <v>55.01</v>
      </c>
      <c r="F441" s="349"/>
      <c r="G441" s="295"/>
      <c r="H441" s="297"/>
      <c r="I441" s="294"/>
      <c r="J441" s="295"/>
      <c r="K441" s="297"/>
      <c r="L441" s="294"/>
      <c r="M441" s="301"/>
      <c r="N441" s="297"/>
      <c r="O441" s="331" t="s">
        <v>1014</v>
      </c>
      <c r="P441" s="295">
        <f>D441</f>
        <v>669.9</v>
      </c>
      <c r="Q441" s="297">
        <f t="shared" ref="Q441:Q460" si="49">O441/P441</f>
        <v>10.06418868487834</v>
      </c>
      <c r="R441" s="302"/>
      <c r="S441" s="303"/>
      <c r="T441" s="280"/>
    </row>
    <row r="442" spans="1:20" ht="15">
      <c r="A442" s="359"/>
      <c r="B442" s="350">
        <v>352371</v>
      </c>
      <c r="C442" s="304"/>
      <c r="D442" s="309"/>
      <c r="E442" s="307"/>
      <c r="F442" s="308"/>
      <c r="G442" s="305"/>
      <c r="H442" s="307"/>
      <c r="I442" s="304"/>
      <c r="J442" s="309"/>
      <c r="K442" s="307"/>
      <c r="L442" s="304"/>
      <c r="M442" s="309"/>
      <c r="N442" s="307"/>
      <c r="O442" s="365"/>
      <c r="P442" s="305">
        <f>C443</f>
        <v>627.75</v>
      </c>
      <c r="Q442" s="307">
        <f t="shared" si="49"/>
        <v>0</v>
      </c>
      <c r="R442" s="302"/>
      <c r="S442" s="303"/>
      <c r="T442" s="280"/>
    </row>
    <row r="443" spans="1:20" ht="15">
      <c r="A443" s="276" t="s">
        <v>975</v>
      </c>
      <c r="B443" s="350">
        <v>352372</v>
      </c>
      <c r="C443" s="304">
        <v>627.75</v>
      </c>
      <c r="D443" s="366">
        <v>116.27</v>
      </c>
      <c r="E443" s="307">
        <v>11.62</v>
      </c>
      <c r="F443" s="308"/>
      <c r="G443" s="305"/>
      <c r="H443" s="307"/>
      <c r="I443" s="304"/>
      <c r="J443" s="309"/>
      <c r="K443" s="307"/>
      <c r="L443" s="304"/>
      <c r="M443" s="309"/>
      <c r="N443" s="307"/>
      <c r="O443" s="367" t="s">
        <v>1015</v>
      </c>
      <c r="P443" s="305">
        <f t="shared" ref="P443:P460" si="50">D443</f>
        <v>116.27</v>
      </c>
      <c r="Q443" s="307">
        <f t="shared" si="49"/>
        <v>5.4872280037842955</v>
      </c>
      <c r="R443" s="302"/>
      <c r="S443" s="303"/>
      <c r="T443" s="280"/>
    </row>
    <row r="444" spans="1:20" ht="13">
      <c r="A444" s="276"/>
      <c r="B444" s="350">
        <v>352373</v>
      </c>
      <c r="C444" s="304"/>
      <c r="D444" s="309"/>
      <c r="E444" s="307"/>
      <c r="F444" s="308"/>
      <c r="G444" s="305"/>
      <c r="H444" s="307"/>
      <c r="I444" s="304"/>
      <c r="J444" s="309"/>
      <c r="K444" s="307"/>
      <c r="L444" s="304"/>
      <c r="M444" s="309"/>
      <c r="N444" s="307"/>
      <c r="O444" s="333"/>
      <c r="P444" s="305">
        <f t="shared" si="50"/>
        <v>0</v>
      </c>
      <c r="Q444" s="307" t="e">
        <f t="shared" si="49"/>
        <v>#DIV/0!</v>
      </c>
      <c r="R444" s="302"/>
      <c r="S444" s="303"/>
      <c r="T444" s="280"/>
    </row>
    <row r="445" spans="1:20" ht="13">
      <c r="A445" s="276" t="s">
        <v>191</v>
      </c>
      <c r="B445" s="350">
        <v>352374</v>
      </c>
      <c r="C445" s="304">
        <v>632.11</v>
      </c>
      <c r="D445" s="309">
        <v>124.21</v>
      </c>
      <c r="E445" s="307">
        <v>39.75</v>
      </c>
      <c r="F445" s="308"/>
      <c r="G445" s="305"/>
      <c r="H445" s="307"/>
      <c r="I445" s="304"/>
      <c r="J445" s="309"/>
      <c r="K445" s="307"/>
      <c r="L445" s="304"/>
      <c r="M445" s="309"/>
      <c r="N445" s="307"/>
      <c r="O445" s="333" t="s">
        <v>1016</v>
      </c>
      <c r="P445" s="305">
        <f t="shared" si="50"/>
        <v>124.21</v>
      </c>
      <c r="Q445" s="307">
        <f t="shared" si="49"/>
        <v>8.8801223733998871</v>
      </c>
      <c r="R445" s="302"/>
      <c r="S445" s="303"/>
      <c r="T445" s="280"/>
    </row>
    <row r="446" spans="1:20" ht="14">
      <c r="A446" s="276" t="s">
        <v>313</v>
      </c>
      <c r="B446" s="350">
        <v>352375</v>
      </c>
      <c r="C446" s="304">
        <v>1951.54</v>
      </c>
      <c r="D446" s="309">
        <v>349.31</v>
      </c>
      <c r="E446" s="307">
        <v>93.88</v>
      </c>
      <c r="F446" s="308"/>
      <c r="G446" s="305"/>
      <c r="H446" s="307"/>
      <c r="I446" s="304"/>
      <c r="J446" s="309"/>
      <c r="K446" s="307"/>
      <c r="L446" s="304"/>
      <c r="M446" s="309"/>
      <c r="N446" s="307"/>
      <c r="O446" s="368">
        <v>3326</v>
      </c>
      <c r="P446" s="305">
        <f t="shared" si="50"/>
        <v>349.31</v>
      </c>
      <c r="Q446" s="307">
        <f t="shared" si="49"/>
        <v>9.5216283530388477</v>
      </c>
      <c r="R446" s="302"/>
      <c r="S446" s="303"/>
      <c r="T446" s="280"/>
    </row>
    <row r="447" spans="1:20" ht="13">
      <c r="A447" s="276" t="s">
        <v>62</v>
      </c>
      <c r="B447" s="350">
        <v>352376</v>
      </c>
      <c r="C447" s="304">
        <v>2090.91</v>
      </c>
      <c r="D447" s="309">
        <v>412.56</v>
      </c>
      <c r="E447" s="307">
        <v>101.79</v>
      </c>
      <c r="F447" s="308"/>
      <c r="G447" s="305"/>
      <c r="H447" s="307"/>
      <c r="I447" s="304"/>
      <c r="J447" s="309"/>
      <c r="K447" s="307"/>
      <c r="L447" s="304"/>
      <c r="M447" s="309"/>
      <c r="N447" s="307"/>
      <c r="O447" s="333" t="s">
        <v>1017</v>
      </c>
      <c r="P447" s="305">
        <f t="shared" si="50"/>
        <v>412.56</v>
      </c>
      <c r="Q447" s="307">
        <f t="shared" si="49"/>
        <v>5.5361644366879972</v>
      </c>
      <c r="R447" s="302"/>
      <c r="S447" s="303"/>
      <c r="T447" s="280"/>
    </row>
    <row r="448" spans="1:20" ht="15">
      <c r="A448" s="276"/>
      <c r="B448" s="350">
        <v>352377</v>
      </c>
      <c r="C448" s="304"/>
      <c r="D448" s="309"/>
      <c r="E448" s="307"/>
      <c r="F448" s="308"/>
      <c r="G448" s="305"/>
      <c r="H448" s="307"/>
      <c r="I448" s="304"/>
      <c r="J448" s="309"/>
      <c r="K448" s="307"/>
      <c r="L448" s="304"/>
      <c r="M448" s="309"/>
      <c r="N448" s="307"/>
      <c r="O448" s="365"/>
      <c r="P448" s="305">
        <f t="shared" si="50"/>
        <v>0</v>
      </c>
      <c r="Q448" s="307" t="e">
        <f t="shared" si="49"/>
        <v>#DIV/0!</v>
      </c>
      <c r="R448" s="302"/>
      <c r="S448" s="303"/>
      <c r="T448" s="280"/>
    </row>
    <row r="449" spans="1:20" ht="15">
      <c r="A449" s="276" t="s">
        <v>315</v>
      </c>
      <c r="B449" s="350">
        <v>359885</v>
      </c>
      <c r="C449" s="304">
        <v>2821.49</v>
      </c>
      <c r="D449" s="309">
        <v>528.44000000000005</v>
      </c>
      <c r="E449" s="307">
        <v>69.19</v>
      </c>
      <c r="F449" s="308"/>
      <c r="G449" s="305"/>
      <c r="H449" s="307"/>
      <c r="I449" s="304"/>
      <c r="J449" s="309"/>
      <c r="K449" s="307"/>
      <c r="L449" s="304"/>
      <c r="M449" s="309"/>
      <c r="N449" s="307"/>
      <c r="O449" s="365">
        <v>2469</v>
      </c>
      <c r="P449" s="305">
        <f t="shared" si="50"/>
        <v>528.44000000000005</v>
      </c>
      <c r="Q449" s="307">
        <f t="shared" si="49"/>
        <v>4.6722428279464081</v>
      </c>
      <c r="R449" s="302"/>
      <c r="S449" s="303"/>
      <c r="T449" s="280"/>
    </row>
    <row r="450" spans="1:20" ht="15">
      <c r="A450" s="276"/>
      <c r="B450" s="350">
        <v>359886</v>
      </c>
      <c r="C450" s="304"/>
      <c r="D450" s="309"/>
      <c r="E450" s="307"/>
      <c r="F450" s="308"/>
      <c r="G450" s="305"/>
      <c r="H450" s="307"/>
      <c r="I450" s="304"/>
      <c r="J450" s="309"/>
      <c r="K450" s="307"/>
      <c r="L450" s="304"/>
      <c r="M450" s="309"/>
      <c r="N450" s="307"/>
      <c r="O450" s="365"/>
      <c r="P450" s="305">
        <f t="shared" si="50"/>
        <v>0</v>
      </c>
      <c r="Q450" s="307" t="e">
        <f t="shared" si="49"/>
        <v>#DIV/0!</v>
      </c>
      <c r="R450" s="302"/>
      <c r="S450" s="303"/>
      <c r="T450" s="280"/>
    </row>
    <row r="451" spans="1:20" ht="15">
      <c r="A451" s="276" t="s">
        <v>319</v>
      </c>
      <c r="B451" s="350">
        <v>465180</v>
      </c>
      <c r="C451" s="304">
        <v>1967.96</v>
      </c>
      <c r="D451" s="309">
        <v>383.86</v>
      </c>
      <c r="E451" s="307">
        <v>126.35</v>
      </c>
      <c r="F451" s="308"/>
      <c r="G451" s="305"/>
      <c r="H451" s="307"/>
      <c r="I451" s="304"/>
      <c r="J451" s="309"/>
      <c r="K451" s="307"/>
      <c r="L451" s="304"/>
      <c r="M451" s="309"/>
      <c r="N451" s="307"/>
      <c r="O451" s="365">
        <v>2498</v>
      </c>
      <c r="P451" s="305">
        <f t="shared" si="50"/>
        <v>383.86</v>
      </c>
      <c r="Q451" s="307">
        <f t="shared" si="49"/>
        <v>6.507580888865732</v>
      </c>
      <c r="R451" s="302"/>
      <c r="S451" s="303"/>
      <c r="T451" s="280"/>
    </row>
    <row r="452" spans="1:20" ht="15">
      <c r="A452" s="276" t="s">
        <v>322</v>
      </c>
      <c r="B452" s="350">
        <v>465181</v>
      </c>
      <c r="C452" s="304">
        <v>3245.36</v>
      </c>
      <c r="D452" s="369">
        <v>621.97</v>
      </c>
      <c r="E452" s="307">
        <v>189.82</v>
      </c>
      <c r="F452" s="308"/>
      <c r="G452" s="305"/>
      <c r="H452" s="307"/>
      <c r="I452" s="304"/>
      <c r="J452" s="309"/>
      <c r="K452" s="307"/>
      <c r="L452" s="304"/>
      <c r="M452" s="309"/>
      <c r="N452" s="307"/>
      <c r="O452" s="370">
        <v>2284</v>
      </c>
      <c r="P452" s="305">
        <f t="shared" si="50"/>
        <v>621.97</v>
      </c>
      <c r="Q452" s="307">
        <f t="shared" si="49"/>
        <v>3.6722028393652426</v>
      </c>
      <c r="R452" s="302"/>
      <c r="S452" s="303"/>
      <c r="T452" s="280"/>
    </row>
    <row r="453" spans="1:20" ht="15">
      <c r="A453" s="276" t="s">
        <v>14</v>
      </c>
      <c r="B453" s="350">
        <v>465182</v>
      </c>
      <c r="C453" s="304">
        <v>2370</v>
      </c>
      <c r="D453" s="305">
        <v>444.74</v>
      </c>
      <c r="E453" s="307">
        <v>139.33000000000001</v>
      </c>
      <c r="F453" s="308"/>
      <c r="G453" s="305"/>
      <c r="H453" s="307"/>
      <c r="I453" s="304"/>
      <c r="J453" s="309"/>
      <c r="K453" s="307"/>
      <c r="L453" s="304"/>
      <c r="M453" s="309"/>
      <c r="N453" s="307"/>
      <c r="O453" s="365">
        <v>3523</v>
      </c>
      <c r="P453" s="305">
        <f t="shared" si="50"/>
        <v>444.74</v>
      </c>
      <c r="Q453" s="307">
        <f t="shared" si="49"/>
        <v>7.9214822143274723</v>
      </c>
      <c r="R453" s="302"/>
      <c r="S453" s="303"/>
      <c r="T453" s="280"/>
    </row>
    <row r="454" spans="1:20" ht="15">
      <c r="A454" s="276" t="s">
        <v>88</v>
      </c>
      <c r="B454" s="350">
        <v>465183</v>
      </c>
      <c r="C454" s="304">
        <v>2519.36</v>
      </c>
      <c r="D454" s="309">
        <v>490.06</v>
      </c>
      <c r="E454" s="352">
        <v>151.28</v>
      </c>
      <c r="F454" s="308"/>
      <c r="G454" s="305"/>
      <c r="H454" s="307"/>
      <c r="I454" s="304"/>
      <c r="J454" s="309"/>
      <c r="K454" s="307"/>
      <c r="L454" s="304"/>
      <c r="M454" s="309"/>
      <c r="N454" s="307"/>
      <c r="O454" s="365">
        <v>3869</v>
      </c>
      <c r="P454" s="305">
        <f t="shared" si="50"/>
        <v>490.06</v>
      </c>
      <c r="Q454" s="307">
        <f t="shared" si="49"/>
        <v>7.8949516385748684</v>
      </c>
      <c r="R454" s="302"/>
      <c r="S454" s="303"/>
      <c r="T454" s="280"/>
    </row>
    <row r="455" spans="1:20" ht="13">
      <c r="A455" s="359" t="s">
        <v>40</v>
      </c>
      <c r="B455" s="350">
        <v>465184</v>
      </c>
      <c r="C455" s="304">
        <v>2996.29</v>
      </c>
      <c r="D455" s="309">
        <v>576.67999999999995</v>
      </c>
      <c r="E455" s="307">
        <v>55.41</v>
      </c>
      <c r="F455" s="308"/>
      <c r="G455" s="305"/>
      <c r="H455" s="307"/>
      <c r="I455" s="304"/>
      <c r="J455" s="309"/>
      <c r="K455" s="307"/>
      <c r="L455" s="304"/>
      <c r="M455" s="309"/>
      <c r="N455" s="307"/>
      <c r="O455" s="333" t="s">
        <v>1018</v>
      </c>
      <c r="P455" s="305">
        <f t="shared" si="50"/>
        <v>576.67999999999995</v>
      </c>
      <c r="Q455" s="307">
        <f t="shared" si="49"/>
        <v>5.4865783450093648</v>
      </c>
      <c r="R455" s="302"/>
      <c r="S455" s="303"/>
      <c r="T455" s="280"/>
    </row>
    <row r="456" spans="1:20" ht="13">
      <c r="A456" s="276" t="s">
        <v>75</v>
      </c>
      <c r="B456" s="350">
        <v>465185</v>
      </c>
      <c r="C456" s="304">
        <v>4006.91</v>
      </c>
      <c r="D456" s="309">
        <v>735.24</v>
      </c>
      <c r="E456" s="307">
        <v>225.12</v>
      </c>
      <c r="F456" s="308"/>
      <c r="G456" s="305"/>
      <c r="H456" s="307"/>
      <c r="I456" s="304"/>
      <c r="J456" s="309"/>
      <c r="K456" s="307"/>
      <c r="L456" s="304"/>
      <c r="M456" s="309"/>
      <c r="N456" s="307"/>
      <c r="O456" s="333" t="s">
        <v>1019</v>
      </c>
      <c r="P456" s="305">
        <f t="shared" si="50"/>
        <v>735.24</v>
      </c>
      <c r="Q456" s="307">
        <f t="shared" si="49"/>
        <v>7.8491376965344646</v>
      </c>
      <c r="R456" s="302"/>
      <c r="S456" s="303"/>
      <c r="T456" s="280"/>
    </row>
    <row r="457" spans="1:20" ht="13">
      <c r="A457" s="276" t="s">
        <v>329</v>
      </c>
      <c r="B457" s="350">
        <v>465186</v>
      </c>
      <c r="C457" s="304">
        <v>982.08</v>
      </c>
      <c r="D457" s="309">
        <v>181.97</v>
      </c>
      <c r="E457" s="307">
        <v>29.6</v>
      </c>
      <c r="F457" s="308"/>
      <c r="G457" s="305"/>
      <c r="H457" s="307"/>
      <c r="I457" s="304"/>
      <c r="J457" s="309"/>
      <c r="K457" s="307"/>
      <c r="L457" s="304"/>
      <c r="M457" s="309"/>
      <c r="N457" s="307"/>
      <c r="O457" s="333"/>
      <c r="P457" s="305">
        <f t="shared" si="50"/>
        <v>181.97</v>
      </c>
      <c r="Q457" s="307">
        <f t="shared" si="49"/>
        <v>0</v>
      </c>
      <c r="R457" s="302"/>
      <c r="S457" s="303"/>
      <c r="T457" s="280"/>
    </row>
    <row r="458" spans="1:20" ht="15">
      <c r="A458" s="276" t="s">
        <v>192</v>
      </c>
      <c r="B458" s="350">
        <v>465187</v>
      </c>
      <c r="C458" s="304">
        <v>880.76</v>
      </c>
      <c r="D458" s="309">
        <v>169.58</v>
      </c>
      <c r="E458" s="307">
        <v>32.159999999999997</v>
      </c>
      <c r="F458" s="308"/>
      <c r="G458" s="305"/>
      <c r="H458" s="307"/>
      <c r="I458" s="304"/>
      <c r="J458" s="309"/>
      <c r="K458" s="307"/>
      <c r="L458" s="304"/>
      <c r="M458" s="309"/>
      <c r="N458" s="307"/>
      <c r="O458" s="365">
        <v>743</v>
      </c>
      <c r="P458" s="305">
        <f t="shared" si="50"/>
        <v>169.58</v>
      </c>
      <c r="Q458" s="307">
        <f t="shared" si="49"/>
        <v>4.3814129024649127</v>
      </c>
      <c r="R458" s="302"/>
      <c r="S458" s="303"/>
      <c r="T458" s="280"/>
    </row>
    <row r="459" spans="1:20" ht="13">
      <c r="A459" s="337"/>
      <c r="B459" s="350">
        <v>465189</v>
      </c>
      <c r="C459" s="304"/>
      <c r="D459" s="366"/>
      <c r="E459" s="307"/>
      <c r="F459" s="308"/>
      <c r="G459" s="305"/>
      <c r="H459" s="307"/>
      <c r="I459" s="304"/>
      <c r="J459" s="309"/>
      <c r="K459" s="307"/>
      <c r="L459" s="304"/>
      <c r="M459" s="309"/>
      <c r="N459" s="307"/>
      <c r="O459" s="333"/>
      <c r="P459" s="305">
        <f t="shared" si="50"/>
        <v>0</v>
      </c>
      <c r="Q459" s="307" t="e">
        <f t="shared" si="49"/>
        <v>#DIV/0!</v>
      </c>
      <c r="R459" s="302"/>
      <c r="S459" s="303"/>
      <c r="T459" s="280"/>
    </row>
    <row r="460" spans="1:20" ht="15">
      <c r="A460" s="284" t="s">
        <v>901</v>
      </c>
      <c r="B460" s="360">
        <v>1650</v>
      </c>
      <c r="C460" s="315">
        <v>1602.46</v>
      </c>
      <c r="D460" s="316">
        <v>305.38</v>
      </c>
      <c r="E460" s="317">
        <v>45.02</v>
      </c>
      <c r="F460" s="354">
        <v>660</v>
      </c>
      <c r="G460" s="316"/>
      <c r="H460" s="317"/>
      <c r="I460" s="315">
        <v>1287.25</v>
      </c>
      <c r="J460" s="320">
        <v>245.58</v>
      </c>
      <c r="K460" s="317">
        <v>83.66</v>
      </c>
      <c r="L460" s="315"/>
      <c r="M460" s="320"/>
      <c r="N460" s="317"/>
      <c r="O460" s="371">
        <v>4264</v>
      </c>
      <c r="P460" s="316">
        <f t="shared" si="50"/>
        <v>305.38</v>
      </c>
      <c r="Q460" s="317">
        <f t="shared" si="49"/>
        <v>13.962931429694152</v>
      </c>
      <c r="R460" s="302"/>
      <c r="S460" s="303"/>
      <c r="T460" s="280"/>
    </row>
    <row r="461" spans="1:20" ht="13">
      <c r="A461" s="469" t="s">
        <v>860</v>
      </c>
      <c r="B461" s="464"/>
      <c r="C461" s="324" t="s">
        <v>676</v>
      </c>
      <c r="D461" s="325" t="s">
        <v>861</v>
      </c>
      <c r="E461" s="355" t="s">
        <v>862</v>
      </c>
      <c r="F461" s="321" t="s">
        <v>676</v>
      </c>
      <c r="G461" s="322" t="s">
        <v>861</v>
      </c>
      <c r="H461" s="323" t="s">
        <v>862</v>
      </c>
      <c r="I461" s="321" t="s">
        <v>676</v>
      </c>
      <c r="J461" s="322" t="s">
        <v>861</v>
      </c>
      <c r="K461" s="323" t="s">
        <v>862</v>
      </c>
      <c r="L461" s="321" t="s">
        <v>676</v>
      </c>
      <c r="M461" s="322" t="s">
        <v>861</v>
      </c>
      <c r="N461" s="323" t="s">
        <v>862</v>
      </c>
      <c r="O461" s="321" t="s">
        <v>881</v>
      </c>
      <c r="P461" s="322" t="s">
        <v>861</v>
      </c>
      <c r="Q461" s="323" t="s">
        <v>865</v>
      </c>
      <c r="R461" s="280"/>
      <c r="S461" s="280"/>
      <c r="T461" s="280"/>
    </row>
    <row r="462" spans="1:20" ht="13">
      <c r="A462" s="470" t="s">
        <v>863</v>
      </c>
      <c r="B462" s="471"/>
      <c r="C462" s="326">
        <f>SUM(C441:C460)+SUM(F441:F460)+SUM(I441:I460)</f>
        <v>34304.300000000003</v>
      </c>
      <c r="D462" s="327">
        <f>SUM(D441:D459)+SUM(G441:G459)+SUM(J441:J459)+SUM(M441:M459)</f>
        <v>5804.7900000000009</v>
      </c>
      <c r="E462" s="328">
        <f>SUM(E441:E459)</f>
        <v>1320.3100000000002</v>
      </c>
      <c r="F462" s="329"/>
      <c r="G462" s="329"/>
      <c r="H462" s="329"/>
      <c r="I462" s="329"/>
      <c r="J462" s="329"/>
      <c r="K462" s="329"/>
      <c r="L462" s="329"/>
      <c r="M462" s="329"/>
      <c r="N462" s="329"/>
      <c r="O462" s="329"/>
      <c r="P462" s="329"/>
      <c r="Q462" s="329"/>
      <c r="R462" s="280"/>
      <c r="S462" s="280"/>
      <c r="T462" s="280"/>
    </row>
    <row r="463" spans="1:20" ht="13">
      <c r="R463" s="280"/>
      <c r="S463" s="280"/>
      <c r="T463" s="280"/>
    </row>
    <row r="464" spans="1:20" ht="13">
      <c r="A464" s="286" t="s">
        <v>1020</v>
      </c>
      <c r="B464" s="330"/>
      <c r="C464" s="330"/>
      <c r="D464" s="330"/>
      <c r="E464" s="330"/>
      <c r="F464" s="330"/>
      <c r="G464" s="330"/>
      <c r="H464" s="330"/>
      <c r="I464" s="330"/>
      <c r="J464" s="330"/>
      <c r="K464" s="330"/>
      <c r="L464" s="330"/>
      <c r="M464" s="330"/>
      <c r="N464" s="330"/>
      <c r="O464" s="330"/>
      <c r="P464" s="330"/>
      <c r="Q464" s="330"/>
      <c r="R464" s="280"/>
      <c r="S464" s="280"/>
      <c r="T464" s="280"/>
    </row>
    <row r="465" spans="1:20" ht="13">
      <c r="A465" s="356" t="s">
        <v>849</v>
      </c>
      <c r="B465" s="287" t="s">
        <v>1</v>
      </c>
      <c r="C465" s="473" t="s">
        <v>850</v>
      </c>
      <c r="D465" s="466"/>
      <c r="E465" s="467"/>
      <c r="F465" s="465" t="s">
        <v>852</v>
      </c>
      <c r="G465" s="466"/>
      <c r="H465" s="467"/>
      <c r="I465" s="468" t="s">
        <v>1013</v>
      </c>
      <c r="J465" s="463"/>
      <c r="K465" s="464"/>
      <c r="L465" s="465" t="s">
        <v>852</v>
      </c>
      <c r="M465" s="466"/>
      <c r="N465" s="467"/>
      <c r="O465" s="289" t="s">
        <v>865</v>
      </c>
      <c r="P465" s="339"/>
      <c r="Q465" s="339"/>
      <c r="R465" s="280"/>
      <c r="S465" s="280"/>
      <c r="T465" s="280"/>
    </row>
    <row r="466" spans="1:20" ht="13">
      <c r="A466" s="357" t="s">
        <v>308</v>
      </c>
      <c r="B466" s="358">
        <v>352368</v>
      </c>
      <c r="C466" s="294">
        <v>3045.3</v>
      </c>
      <c r="D466" s="301">
        <v>550.25</v>
      </c>
      <c r="E466" s="297">
        <v>52.34</v>
      </c>
      <c r="F466" s="349"/>
      <c r="G466" s="295"/>
      <c r="H466" s="297"/>
      <c r="I466" s="294"/>
      <c r="J466" s="295"/>
      <c r="K466" s="297"/>
      <c r="L466" s="294"/>
      <c r="M466" s="301"/>
      <c r="N466" s="297"/>
      <c r="O466" s="331" t="s">
        <v>1021</v>
      </c>
      <c r="P466" s="295">
        <f>D466</f>
        <v>550.25</v>
      </c>
      <c r="Q466" s="297">
        <f t="shared" ref="Q466:Q485" si="51">O466/P466</f>
        <v>2.0190822353475693E-3</v>
      </c>
      <c r="R466" s="302"/>
      <c r="S466" s="303"/>
      <c r="T466" s="280"/>
    </row>
    <row r="467" spans="1:20" ht="15">
      <c r="A467" s="359"/>
      <c r="B467" s="350">
        <v>352371</v>
      </c>
      <c r="C467" s="304"/>
      <c r="D467" s="309"/>
      <c r="E467" s="307"/>
      <c r="F467" s="308"/>
      <c r="G467" s="305"/>
      <c r="H467" s="307"/>
      <c r="I467" s="304"/>
      <c r="J467" s="309"/>
      <c r="K467" s="307"/>
      <c r="L467" s="304"/>
      <c r="M467" s="309"/>
      <c r="N467" s="307"/>
      <c r="O467" s="365"/>
      <c r="P467" s="305">
        <f>C468</f>
        <v>0</v>
      </c>
      <c r="Q467" s="307" t="e">
        <f t="shared" si="51"/>
        <v>#DIV/0!</v>
      </c>
      <c r="R467" s="302"/>
      <c r="S467" s="303"/>
      <c r="T467" s="280"/>
    </row>
    <row r="468" spans="1:20" ht="15">
      <c r="A468" s="276" t="s">
        <v>975</v>
      </c>
      <c r="B468" s="350">
        <v>352372</v>
      </c>
      <c r="C468" s="304"/>
      <c r="D468" s="366"/>
      <c r="E468" s="307"/>
      <c r="F468" s="308"/>
      <c r="G468" s="305"/>
      <c r="H468" s="307"/>
      <c r="I468" s="304"/>
      <c r="J468" s="309"/>
      <c r="K468" s="307"/>
      <c r="L468" s="304"/>
      <c r="M468" s="309"/>
      <c r="N468" s="307"/>
      <c r="O468" s="367"/>
      <c r="P468" s="305">
        <f t="shared" ref="P468:P485" si="52">D468</f>
        <v>0</v>
      </c>
      <c r="Q468" s="307" t="e">
        <f t="shared" si="51"/>
        <v>#DIV/0!</v>
      </c>
      <c r="R468" s="302"/>
      <c r="S468" s="303"/>
      <c r="T468" s="280"/>
    </row>
    <row r="469" spans="1:20" ht="13">
      <c r="A469" s="276"/>
      <c r="B469" s="350">
        <v>352373</v>
      </c>
      <c r="C469" s="304"/>
      <c r="D469" s="309"/>
      <c r="E469" s="307"/>
      <c r="F469" s="308"/>
      <c r="G469" s="305"/>
      <c r="H469" s="307"/>
      <c r="I469" s="304"/>
      <c r="J469" s="309"/>
      <c r="K469" s="307"/>
      <c r="L469" s="304"/>
      <c r="M469" s="309"/>
      <c r="N469" s="307"/>
      <c r="O469" s="333"/>
      <c r="P469" s="305">
        <f t="shared" si="52"/>
        <v>0</v>
      </c>
      <c r="Q469" s="307" t="e">
        <f t="shared" si="51"/>
        <v>#DIV/0!</v>
      </c>
      <c r="R469" s="302"/>
      <c r="S469" s="303"/>
      <c r="T469" s="280"/>
    </row>
    <row r="470" spans="1:20" ht="13">
      <c r="A470" s="276" t="s">
        <v>191</v>
      </c>
      <c r="B470" s="350">
        <v>352374</v>
      </c>
      <c r="C470" s="304">
        <v>1796.59</v>
      </c>
      <c r="D470" s="309">
        <v>343.53</v>
      </c>
      <c r="E470" s="307">
        <v>65.55</v>
      </c>
      <c r="F470" s="308"/>
      <c r="G470" s="305"/>
      <c r="H470" s="307"/>
      <c r="I470" s="304"/>
      <c r="J470" s="309"/>
      <c r="K470" s="307"/>
      <c r="L470" s="304"/>
      <c r="M470" s="309"/>
      <c r="N470" s="307"/>
      <c r="O470" s="333" t="s">
        <v>1022</v>
      </c>
      <c r="P470" s="305">
        <f t="shared" si="52"/>
        <v>343.53</v>
      </c>
      <c r="Q470" s="307">
        <f t="shared" si="51"/>
        <v>5.9529007655808814E-3</v>
      </c>
      <c r="R470" s="302"/>
      <c r="S470" s="303"/>
      <c r="T470" s="280"/>
    </row>
    <row r="471" spans="1:20" ht="14">
      <c r="A471" s="276" t="s">
        <v>313</v>
      </c>
      <c r="B471" s="350">
        <v>352375</v>
      </c>
      <c r="C471" s="304">
        <v>1474.66</v>
      </c>
      <c r="D471" s="309">
        <v>254.94</v>
      </c>
      <c r="E471" s="307">
        <v>52.8</v>
      </c>
      <c r="F471" s="308"/>
      <c r="G471" s="305"/>
      <c r="H471" s="307"/>
      <c r="I471" s="304"/>
      <c r="J471" s="309"/>
      <c r="K471" s="307"/>
      <c r="L471" s="304"/>
      <c r="M471" s="309"/>
      <c r="N471" s="307"/>
      <c r="O471" s="368"/>
      <c r="P471" s="305">
        <f t="shared" si="52"/>
        <v>254.94</v>
      </c>
      <c r="Q471" s="307">
        <f t="shared" si="51"/>
        <v>0</v>
      </c>
      <c r="R471" s="302"/>
      <c r="S471" s="303"/>
      <c r="T471" s="280"/>
    </row>
    <row r="472" spans="1:20" ht="15">
      <c r="A472" s="276" t="s">
        <v>62</v>
      </c>
      <c r="B472" s="350">
        <v>352376</v>
      </c>
      <c r="C472" s="304">
        <v>2640.77</v>
      </c>
      <c r="D472" s="309">
        <v>510.01</v>
      </c>
      <c r="E472" s="307">
        <v>142.1</v>
      </c>
      <c r="F472" s="308"/>
      <c r="G472" s="305"/>
      <c r="H472" s="307"/>
      <c r="I472" s="304"/>
      <c r="J472" s="309"/>
      <c r="K472" s="307"/>
      <c r="L472" s="304"/>
      <c r="M472" s="309"/>
      <c r="N472" s="307"/>
      <c r="O472" s="372" t="s">
        <v>1023</v>
      </c>
      <c r="P472" s="305">
        <f t="shared" si="52"/>
        <v>510.01</v>
      </c>
      <c r="Q472" s="307">
        <f t="shared" si="51"/>
        <v>5.7567498676496538E-3</v>
      </c>
      <c r="R472" s="302"/>
      <c r="S472" s="303"/>
      <c r="T472" s="280"/>
    </row>
    <row r="473" spans="1:20" ht="15">
      <c r="A473" s="276"/>
      <c r="B473" s="350">
        <v>352377</v>
      </c>
      <c r="C473" s="304"/>
      <c r="D473" s="309"/>
      <c r="E473" s="307"/>
      <c r="F473" s="308"/>
      <c r="G473" s="305"/>
      <c r="H473" s="307"/>
      <c r="I473" s="304"/>
      <c r="J473" s="309"/>
      <c r="K473" s="307"/>
      <c r="L473" s="304"/>
      <c r="M473" s="309"/>
      <c r="N473" s="307"/>
      <c r="O473" s="365"/>
      <c r="P473" s="305">
        <f t="shared" si="52"/>
        <v>0</v>
      </c>
      <c r="Q473" s="307" t="e">
        <f t="shared" si="51"/>
        <v>#DIV/0!</v>
      </c>
      <c r="R473" s="302"/>
      <c r="S473" s="303"/>
      <c r="T473" s="280"/>
    </row>
    <row r="474" spans="1:20" ht="15">
      <c r="A474" s="276" t="s">
        <v>315</v>
      </c>
      <c r="B474" s="350">
        <v>359885</v>
      </c>
      <c r="C474" s="304">
        <v>692.04</v>
      </c>
      <c r="D474" s="309">
        <v>138.34</v>
      </c>
      <c r="E474" s="307">
        <v>40.71</v>
      </c>
      <c r="F474" s="308"/>
      <c r="G474" s="305"/>
      <c r="H474" s="307"/>
      <c r="I474" s="304"/>
      <c r="J474" s="309"/>
      <c r="K474" s="307"/>
      <c r="L474" s="304"/>
      <c r="M474" s="309"/>
      <c r="N474" s="307"/>
      <c r="O474" s="365">
        <v>694</v>
      </c>
      <c r="P474" s="305">
        <f t="shared" si="52"/>
        <v>138.34</v>
      </c>
      <c r="Q474" s="307">
        <f t="shared" si="51"/>
        <v>5.0166257047853113</v>
      </c>
      <c r="R474" s="302"/>
      <c r="S474" s="303"/>
      <c r="T474" s="280"/>
    </row>
    <row r="475" spans="1:20" ht="15">
      <c r="A475" s="276" t="s">
        <v>318</v>
      </c>
      <c r="B475" s="350">
        <v>359886</v>
      </c>
      <c r="C475" s="304">
        <v>138.75</v>
      </c>
      <c r="D475" s="309">
        <v>26.9</v>
      </c>
      <c r="E475" s="307">
        <v>0</v>
      </c>
      <c r="F475" s="308"/>
      <c r="G475" s="305"/>
      <c r="H475" s="307"/>
      <c r="I475" s="304"/>
      <c r="J475" s="309"/>
      <c r="K475" s="307"/>
      <c r="L475" s="304"/>
      <c r="M475" s="309"/>
      <c r="N475" s="307"/>
      <c r="O475" s="365"/>
      <c r="P475" s="305">
        <f t="shared" si="52"/>
        <v>26.9</v>
      </c>
      <c r="Q475" s="307">
        <f t="shared" si="51"/>
        <v>0</v>
      </c>
      <c r="R475" s="302"/>
      <c r="S475" s="303"/>
      <c r="T475" s="280"/>
    </row>
    <row r="476" spans="1:20" ht="15">
      <c r="A476" s="276" t="s">
        <v>319</v>
      </c>
      <c r="B476" s="350">
        <v>465180</v>
      </c>
      <c r="C476" s="304">
        <v>2604.39</v>
      </c>
      <c r="D476" s="309">
        <v>490.22</v>
      </c>
      <c r="E476" s="307">
        <v>198.26</v>
      </c>
      <c r="F476" s="308"/>
      <c r="G476" s="305"/>
      <c r="H476" s="307"/>
      <c r="I476" s="304"/>
      <c r="J476" s="309"/>
      <c r="K476" s="307"/>
      <c r="L476" s="304"/>
      <c r="M476" s="309"/>
      <c r="N476" s="307"/>
      <c r="O476" s="365">
        <v>2507</v>
      </c>
      <c r="P476" s="305">
        <f t="shared" si="52"/>
        <v>490.22</v>
      </c>
      <c r="Q476" s="307">
        <f t="shared" si="51"/>
        <v>5.1140304353147563</v>
      </c>
      <c r="R476" s="302"/>
      <c r="S476" s="303"/>
      <c r="T476" s="280"/>
    </row>
    <row r="477" spans="1:20" ht="15">
      <c r="A477" s="276" t="s">
        <v>322</v>
      </c>
      <c r="B477" s="350">
        <v>465181</v>
      </c>
      <c r="C477" s="304">
        <v>1727.7</v>
      </c>
      <c r="D477" s="373">
        <v>328.97</v>
      </c>
      <c r="E477" s="307">
        <v>102.04</v>
      </c>
      <c r="F477" s="308"/>
      <c r="G477" s="305"/>
      <c r="H477" s="307"/>
      <c r="I477" s="304"/>
      <c r="J477" s="309"/>
      <c r="K477" s="307"/>
      <c r="L477" s="304"/>
      <c r="M477" s="309"/>
      <c r="N477" s="307"/>
      <c r="O477" s="370">
        <v>3065</v>
      </c>
      <c r="P477" s="305">
        <f t="shared" si="52"/>
        <v>328.97</v>
      </c>
      <c r="Q477" s="307">
        <f t="shared" si="51"/>
        <v>9.3169589932212649</v>
      </c>
      <c r="R477" s="302"/>
      <c r="S477" s="303"/>
      <c r="T477" s="280"/>
    </row>
    <row r="478" spans="1:20" ht="15">
      <c r="A478" s="276" t="s">
        <v>14</v>
      </c>
      <c r="B478" s="350">
        <v>465182</v>
      </c>
      <c r="C478" s="304">
        <v>3578.54</v>
      </c>
      <c r="D478" s="305">
        <v>663.39</v>
      </c>
      <c r="E478" s="307">
        <v>203.78</v>
      </c>
      <c r="F478" s="308"/>
      <c r="G478" s="305"/>
      <c r="H478" s="307"/>
      <c r="I478" s="304"/>
      <c r="J478" s="309"/>
      <c r="K478" s="307"/>
      <c r="L478" s="304"/>
      <c r="M478" s="309"/>
      <c r="N478" s="307"/>
      <c r="O478" s="365">
        <v>3578</v>
      </c>
      <c r="P478" s="305">
        <f t="shared" si="52"/>
        <v>663.39</v>
      </c>
      <c r="Q478" s="307">
        <f t="shared" si="51"/>
        <v>5.3935090972128013</v>
      </c>
      <c r="R478" s="302"/>
      <c r="S478" s="303"/>
      <c r="T478" s="280"/>
    </row>
    <row r="479" spans="1:20" ht="15">
      <c r="A479" s="276" t="s">
        <v>88</v>
      </c>
      <c r="B479" s="350">
        <v>465183</v>
      </c>
      <c r="C479" s="304">
        <v>4016.37</v>
      </c>
      <c r="D479" s="309">
        <v>733.64</v>
      </c>
      <c r="E479" s="307">
        <v>200.29</v>
      </c>
      <c r="F479" s="308"/>
      <c r="G479" s="305"/>
      <c r="H479" s="307"/>
      <c r="I479" s="304"/>
      <c r="J479" s="309"/>
      <c r="K479" s="307"/>
      <c r="L479" s="304"/>
      <c r="M479" s="309"/>
      <c r="N479" s="307"/>
      <c r="O479" s="365">
        <v>3277</v>
      </c>
      <c r="P479" s="305">
        <f t="shared" si="52"/>
        <v>733.64</v>
      </c>
      <c r="Q479" s="307">
        <f t="shared" si="51"/>
        <v>4.4667684422877709</v>
      </c>
      <c r="R479" s="302"/>
      <c r="S479" s="303"/>
      <c r="T479" s="280"/>
    </row>
    <row r="480" spans="1:20" ht="13">
      <c r="A480" s="359" t="s">
        <v>40</v>
      </c>
      <c r="B480" s="350">
        <v>465184</v>
      </c>
      <c r="C480" s="304">
        <v>2620.36</v>
      </c>
      <c r="D480" s="309">
        <v>520.38</v>
      </c>
      <c r="E480" s="307">
        <v>39.36</v>
      </c>
      <c r="F480" s="308"/>
      <c r="G480" s="305"/>
      <c r="H480" s="307"/>
      <c r="I480" s="304"/>
      <c r="J480" s="309"/>
      <c r="K480" s="307"/>
      <c r="L480" s="304"/>
      <c r="M480" s="309"/>
      <c r="N480" s="307"/>
      <c r="O480" s="333" t="s">
        <v>1024</v>
      </c>
      <c r="P480" s="305">
        <f t="shared" si="52"/>
        <v>520.38</v>
      </c>
      <c r="Q480" s="307">
        <f t="shared" si="51"/>
        <v>8.5053230331680694E-3</v>
      </c>
      <c r="R480" s="302"/>
      <c r="S480" s="303"/>
      <c r="T480" s="280"/>
    </row>
    <row r="481" spans="1:20" ht="13">
      <c r="A481" s="276" t="s">
        <v>75</v>
      </c>
      <c r="B481" s="350">
        <v>465185</v>
      </c>
      <c r="C481" s="304">
        <v>4117.21</v>
      </c>
      <c r="D481" s="309">
        <v>738.62</v>
      </c>
      <c r="E481" s="307">
        <v>217.96</v>
      </c>
      <c r="F481" s="308"/>
      <c r="G481" s="305"/>
      <c r="H481" s="307"/>
      <c r="I481" s="304"/>
      <c r="J481" s="309"/>
      <c r="K481" s="307"/>
      <c r="L481" s="304"/>
      <c r="M481" s="309"/>
      <c r="N481" s="307"/>
      <c r="O481" s="333" t="s">
        <v>1025</v>
      </c>
      <c r="P481" s="305">
        <f t="shared" si="52"/>
        <v>738.62</v>
      </c>
      <c r="Q481" s="307">
        <f t="shared" si="51"/>
        <v>4.725027754461022E-3</v>
      </c>
      <c r="R481" s="302"/>
      <c r="S481" s="303"/>
      <c r="T481" s="280"/>
    </row>
    <row r="482" spans="1:20" ht="13">
      <c r="A482" s="276" t="s">
        <v>329</v>
      </c>
      <c r="B482" s="350">
        <v>465186</v>
      </c>
      <c r="C482" s="304">
        <v>3218.67</v>
      </c>
      <c r="D482" s="309">
        <v>602.42999999999995</v>
      </c>
      <c r="E482" s="307">
        <v>65.73</v>
      </c>
      <c r="F482" s="308"/>
      <c r="G482" s="305"/>
      <c r="H482" s="307"/>
      <c r="I482" s="304"/>
      <c r="J482" s="309"/>
      <c r="K482" s="307"/>
      <c r="L482" s="304"/>
      <c r="M482" s="309"/>
      <c r="N482" s="307"/>
      <c r="O482" s="333" t="s">
        <v>1026</v>
      </c>
      <c r="P482" s="305">
        <f t="shared" si="52"/>
        <v>602.42999999999995</v>
      </c>
      <c r="Q482" s="307">
        <f t="shared" si="51"/>
        <v>6.161711734143387E-3</v>
      </c>
      <c r="R482" s="302"/>
      <c r="S482" s="303"/>
      <c r="T482" s="280"/>
    </row>
    <row r="483" spans="1:20" ht="15">
      <c r="A483" s="276" t="s">
        <v>192</v>
      </c>
      <c r="B483" s="350">
        <v>465187</v>
      </c>
      <c r="C483" s="304">
        <v>4344.25</v>
      </c>
      <c r="D483" s="309">
        <v>828.79</v>
      </c>
      <c r="E483" s="307">
        <v>135</v>
      </c>
      <c r="F483" s="308"/>
      <c r="G483" s="305"/>
      <c r="H483" s="307"/>
      <c r="I483" s="304"/>
      <c r="J483" s="309"/>
      <c r="K483" s="307"/>
      <c r="L483" s="304"/>
      <c r="M483" s="309"/>
      <c r="N483" s="307"/>
      <c r="O483" s="365">
        <v>5012</v>
      </c>
      <c r="P483" s="305">
        <f t="shared" si="52"/>
        <v>828.79</v>
      </c>
      <c r="Q483" s="307">
        <f t="shared" si="51"/>
        <v>6.0473702626720884</v>
      </c>
      <c r="R483" s="302"/>
      <c r="S483" s="303"/>
      <c r="T483" s="280"/>
    </row>
    <row r="484" spans="1:20" ht="13">
      <c r="A484" s="337"/>
      <c r="B484" s="350">
        <v>465189</v>
      </c>
      <c r="C484" s="304"/>
      <c r="D484" s="366"/>
      <c r="E484" s="307"/>
      <c r="F484" s="308"/>
      <c r="G484" s="305"/>
      <c r="H484" s="307"/>
      <c r="I484" s="304"/>
      <c r="J484" s="309"/>
      <c r="K484" s="307"/>
      <c r="L484" s="304"/>
      <c r="M484" s="309"/>
      <c r="N484" s="307"/>
      <c r="O484" s="333"/>
      <c r="P484" s="305">
        <f t="shared" si="52"/>
        <v>0</v>
      </c>
      <c r="Q484" s="307" t="e">
        <f t="shared" si="51"/>
        <v>#DIV/0!</v>
      </c>
      <c r="R484" s="302"/>
      <c r="S484" s="303"/>
      <c r="T484" s="280"/>
    </row>
    <row r="485" spans="1:20" ht="15">
      <c r="A485" s="284" t="s">
        <v>901</v>
      </c>
      <c r="B485" s="360">
        <v>1650</v>
      </c>
      <c r="C485" s="315"/>
      <c r="D485" s="316"/>
      <c r="E485" s="317"/>
      <c r="F485" s="354"/>
      <c r="G485" s="316"/>
      <c r="H485" s="317"/>
      <c r="I485" s="315">
        <v>1406</v>
      </c>
      <c r="J485" s="316">
        <v>246</v>
      </c>
      <c r="K485" s="317">
        <v>2.44</v>
      </c>
      <c r="L485" s="315"/>
      <c r="M485" s="320"/>
      <c r="N485" s="317"/>
      <c r="O485" s="371">
        <v>1155</v>
      </c>
      <c r="P485" s="316">
        <f t="shared" si="52"/>
        <v>0</v>
      </c>
      <c r="Q485" s="317" t="e">
        <f t="shared" si="51"/>
        <v>#DIV/0!</v>
      </c>
      <c r="R485" s="302"/>
      <c r="S485" s="303"/>
      <c r="T485" s="280"/>
    </row>
    <row r="486" spans="1:20" ht="13">
      <c r="A486" s="469" t="s">
        <v>860</v>
      </c>
      <c r="B486" s="464"/>
      <c r="C486" s="324" t="s">
        <v>676</v>
      </c>
      <c r="D486" s="325" t="s">
        <v>861</v>
      </c>
      <c r="E486" s="355" t="s">
        <v>862</v>
      </c>
      <c r="F486" s="321" t="s">
        <v>676</v>
      </c>
      <c r="G486" s="322" t="s">
        <v>861</v>
      </c>
      <c r="H486" s="323" t="s">
        <v>862</v>
      </c>
      <c r="I486" s="321" t="s">
        <v>676</v>
      </c>
      <c r="J486" s="322" t="s">
        <v>861</v>
      </c>
      <c r="K486" s="323" t="s">
        <v>862</v>
      </c>
      <c r="L486" s="321" t="s">
        <v>676</v>
      </c>
      <c r="M486" s="322" t="s">
        <v>861</v>
      </c>
      <c r="N486" s="323" t="s">
        <v>862</v>
      </c>
      <c r="O486" s="321" t="s">
        <v>881</v>
      </c>
      <c r="P486" s="322" t="s">
        <v>861</v>
      </c>
      <c r="Q486" s="323" t="s">
        <v>865</v>
      </c>
      <c r="R486" s="280"/>
      <c r="S486" s="280"/>
    </row>
    <row r="487" spans="1:20" ht="13">
      <c r="A487" s="470" t="s">
        <v>863</v>
      </c>
      <c r="B487" s="471"/>
      <c r="C487" s="326">
        <f>SUM(C466:C485)+SUM(F466:F485)+SUM(I466:I485)</f>
        <v>37421.599999999999</v>
      </c>
      <c r="D487" s="327">
        <f>SUM(D466:D484)+SUM(G466:G484)+SUM(J466:J484)+SUM(M466:M484)</f>
        <v>6730.41</v>
      </c>
      <c r="E487" s="328">
        <f>SUM(E466:E484)</f>
        <v>1515.9199999999998</v>
      </c>
      <c r="F487" s="329"/>
      <c r="G487" s="329"/>
      <c r="H487" s="329"/>
      <c r="I487" s="329"/>
      <c r="J487" s="329"/>
      <c r="K487" s="329"/>
      <c r="L487" s="329"/>
      <c r="M487" s="329"/>
      <c r="N487" s="329"/>
      <c r="O487" s="329"/>
      <c r="P487" s="329"/>
      <c r="Q487" s="329"/>
      <c r="R487" s="280"/>
      <c r="S487" s="280"/>
      <c r="T487" s="282"/>
    </row>
    <row r="488" spans="1:20" ht="13">
      <c r="R488" s="280"/>
      <c r="S488" s="280"/>
    </row>
    <row r="489" spans="1:20" ht="13">
      <c r="A489" s="472" t="s">
        <v>1027</v>
      </c>
      <c r="B489" s="466"/>
      <c r="C489" s="466"/>
      <c r="D489" s="466"/>
      <c r="E489" s="466"/>
      <c r="F489" s="466"/>
      <c r="G489" s="466"/>
      <c r="H489" s="466"/>
      <c r="I489" s="466"/>
      <c r="J489" s="466"/>
      <c r="K489" s="466"/>
      <c r="L489" s="466"/>
      <c r="M489" s="466"/>
      <c r="N489" s="466"/>
      <c r="O489" s="466"/>
      <c r="P489" s="466"/>
      <c r="Q489" s="466"/>
      <c r="R489" s="466"/>
    </row>
    <row r="490" spans="1:20" ht="13">
      <c r="A490" s="356" t="s">
        <v>849</v>
      </c>
      <c r="B490" s="287" t="s">
        <v>1</v>
      </c>
      <c r="C490" s="473" t="s">
        <v>850</v>
      </c>
      <c r="D490" s="466"/>
      <c r="E490" s="467"/>
      <c r="F490" s="465" t="s">
        <v>852</v>
      </c>
      <c r="G490" s="466"/>
      <c r="H490" s="467"/>
      <c r="I490" s="465" t="s">
        <v>1013</v>
      </c>
      <c r="J490" s="466"/>
      <c r="K490" s="467"/>
      <c r="L490" s="465" t="s">
        <v>852</v>
      </c>
      <c r="M490" s="466"/>
      <c r="N490" s="467"/>
      <c r="O490" s="468" t="s">
        <v>865</v>
      </c>
      <c r="P490" s="463"/>
      <c r="Q490" s="464"/>
      <c r="R490" s="287" t="s">
        <v>1028</v>
      </c>
      <c r="S490" s="282"/>
    </row>
    <row r="491" spans="1:20" ht="13">
      <c r="A491" s="357" t="s">
        <v>308</v>
      </c>
      <c r="B491" s="358">
        <v>352368</v>
      </c>
      <c r="C491" s="294"/>
      <c r="D491" s="295"/>
      <c r="E491" s="297"/>
      <c r="F491" s="349"/>
      <c r="G491" s="295"/>
      <c r="H491" s="297"/>
      <c r="I491" s="349"/>
      <c r="J491" s="295"/>
      <c r="K491" s="297"/>
      <c r="L491" s="349"/>
      <c r="M491" s="301"/>
      <c r="N491" s="296"/>
      <c r="O491" s="374"/>
      <c r="P491" s="295">
        <f t="shared" ref="P491:P500" si="53">D491+(2.2*R491)</f>
        <v>0</v>
      </c>
      <c r="Q491" s="375" t="e">
        <f t="shared" ref="Q491:Q510" si="54">O491/P491</f>
        <v>#DIV/0!</v>
      </c>
      <c r="R491" s="376"/>
    </row>
    <row r="492" spans="1:20" ht="15">
      <c r="A492" s="359" t="s">
        <v>1029</v>
      </c>
      <c r="B492" s="350">
        <v>352371</v>
      </c>
      <c r="C492" s="304">
        <v>2907.58</v>
      </c>
      <c r="D492" s="305">
        <v>533.47</v>
      </c>
      <c r="E492" s="307">
        <v>51.75</v>
      </c>
      <c r="F492" s="308"/>
      <c r="G492" s="305"/>
      <c r="H492" s="307"/>
      <c r="I492" s="308"/>
      <c r="J492" s="309"/>
      <c r="K492" s="307"/>
      <c r="L492" s="308"/>
      <c r="M492" s="309"/>
      <c r="N492" s="306"/>
      <c r="O492" s="377">
        <v>2686</v>
      </c>
      <c r="P492" s="305">
        <f t="shared" si="53"/>
        <v>533.47</v>
      </c>
      <c r="Q492" s="378">
        <f t="shared" si="54"/>
        <v>5.0349597915534146</v>
      </c>
      <c r="R492" s="379"/>
    </row>
    <row r="493" spans="1:20" ht="15">
      <c r="A493" s="276" t="s">
        <v>975</v>
      </c>
      <c r="B493" s="350">
        <v>352372</v>
      </c>
      <c r="C493" s="304"/>
      <c r="D493" s="305"/>
      <c r="E493" s="307"/>
      <c r="F493" s="308"/>
      <c r="G493" s="305"/>
      <c r="H493" s="307"/>
      <c r="I493" s="308"/>
      <c r="J493" s="309"/>
      <c r="K493" s="307"/>
      <c r="L493" s="308"/>
      <c r="M493" s="309"/>
      <c r="N493" s="306"/>
      <c r="O493" s="377"/>
      <c r="P493" s="305">
        <f t="shared" si="53"/>
        <v>0</v>
      </c>
      <c r="Q493" s="378" t="e">
        <f t="shared" si="54"/>
        <v>#DIV/0!</v>
      </c>
      <c r="R493" s="379"/>
    </row>
    <row r="494" spans="1:20" ht="13">
      <c r="A494" s="276"/>
      <c r="B494" s="350">
        <v>352373</v>
      </c>
      <c r="C494" s="304"/>
      <c r="D494" s="305"/>
      <c r="E494" s="307"/>
      <c r="F494" s="308"/>
      <c r="G494" s="305"/>
      <c r="H494" s="307"/>
      <c r="I494" s="308"/>
      <c r="J494" s="309"/>
      <c r="K494" s="307"/>
      <c r="L494" s="308"/>
      <c r="M494" s="309"/>
      <c r="N494" s="306"/>
      <c r="O494" s="380"/>
      <c r="P494" s="305">
        <f t="shared" si="53"/>
        <v>0</v>
      </c>
      <c r="Q494" s="378" t="e">
        <f t="shared" si="54"/>
        <v>#DIV/0!</v>
      </c>
      <c r="R494" s="379"/>
    </row>
    <row r="495" spans="1:20" ht="13">
      <c r="A495" s="276" t="s">
        <v>191</v>
      </c>
      <c r="B495" s="350">
        <v>352374</v>
      </c>
      <c r="C495" s="304">
        <v>4230.46</v>
      </c>
      <c r="D495" s="305">
        <v>790.65</v>
      </c>
      <c r="E495" s="307">
        <v>162.82</v>
      </c>
      <c r="F495" s="308"/>
      <c r="G495" s="305"/>
      <c r="H495" s="307"/>
      <c r="I495" s="308"/>
      <c r="J495" s="309"/>
      <c r="K495" s="307"/>
      <c r="L495" s="308"/>
      <c r="M495" s="309"/>
      <c r="N495" s="306"/>
      <c r="O495" s="380">
        <v>6305</v>
      </c>
      <c r="P495" s="305">
        <f t="shared" si="53"/>
        <v>790.65</v>
      </c>
      <c r="Q495" s="378">
        <f t="shared" si="54"/>
        <v>7.9744514007462213</v>
      </c>
      <c r="R495" s="379"/>
    </row>
    <row r="496" spans="1:20" ht="14">
      <c r="A496" s="276"/>
      <c r="B496" s="350">
        <v>352375</v>
      </c>
      <c r="C496" s="304"/>
      <c r="D496" s="305"/>
      <c r="E496" s="307"/>
      <c r="F496" s="308"/>
      <c r="G496" s="305"/>
      <c r="H496" s="307"/>
      <c r="I496" s="308"/>
      <c r="J496" s="309"/>
      <c r="K496" s="307"/>
      <c r="L496" s="308"/>
      <c r="M496" s="309"/>
      <c r="N496" s="306"/>
      <c r="O496" s="381"/>
      <c r="P496" s="305">
        <f t="shared" si="53"/>
        <v>0</v>
      </c>
      <c r="Q496" s="378" t="e">
        <f t="shared" si="54"/>
        <v>#DIV/0!</v>
      </c>
      <c r="R496" s="379"/>
    </row>
    <row r="497" spans="1:20" ht="15">
      <c r="A497" s="276" t="s">
        <v>62</v>
      </c>
      <c r="B497" s="350">
        <v>352376</v>
      </c>
      <c r="C497" s="304">
        <v>1931.33</v>
      </c>
      <c r="D497" s="305">
        <v>381.82</v>
      </c>
      <c r="E497" s="307">
        <v>104.04</v>
      </c>
      <c r="F497" s="308"/>
      <c r="G497" s="305"/>
      <c r="H497" s="307"/>
      <c r="I497" s="308"/>
      <c r="J497" s="309"/>
      <c r="K497" s="307"/>
      <c r="L497" s="308"/>
      <c r="M497" s="309"/>
      <c r="N497" s="306"/>
      <c r="O497" s="382">
        <v>2578</v>
      </c>
      <c r="P497" s="305">
        <f t="shared" si="53"/>
        <v>381.82</v>
      </c>
      <c r="Q497" s="378">
        <f t="shared" si="54"/>
        <v>6.7518726101304285</v>
      </c>
      <c r="R497" s="379"/>
    </row>
    <row r="498" spans="1:20" ht="15">
      <c r="A498" s="276"/>
      <c r="B498" s="350">
        <v>352377</v>
      </c>
      <c r="C498" s="304"/>
      <c r="D498" s="305"/>
      <c r="E498" s="307"/>
      <c r="F498" s="308"/>
      <c r="G498" s="305"/>
      <c r="H498" s="307"/>
      <c r="I498" s="308"/>
      <c r="J498" s="309"/>
      <c r="K498" s="307"/>
      <c r="L498" s="308"/>
      <c r="M498" s="309"/>
      <c r="N498" s="306"/>
      <c r="O498" s="377"/>
      <c r="P498" s="305">
        <f t="shared" si="53"/>
        <v>0</v>
      </c>
      <c r="Q498" s="378" t="e">
        <f t="shared" si="54"/>
        <v>#DIV/0!</v>
      </c>
      <c r="R498" s="379"/>
    </row>
    <row r="499" spans="1:20" ht="15">
      <c r="A499" s="276" t="s">
        <v>315</v>
      </c>
      <c r="B499" s="350">
        <v>359885</v>
      </c>
      <c r="C499" s="304">
        <v>2145.5300000000002</v>
      </c>
      <c r="D499" s="305">
        <v>397.44</v>
      </c>
      <c r="E499" s="307">
        <v>65.08</v>
      </c>
      <c r="F499" s="308"/>
      <c r="G499" s="305"/>
      <c r="H499" s="307"/>
      <c r="I499" s="308"/>
      <c r="J499" s="309"/>
      <c r="K499" s="307"/>
      <c r="L499" s="308"/>
      <c r="M499" s="309"/>
      <c r="N499" s="306"/>
      <c r="O499" s="377">
        <v>3396</v>
      </c>
      <c r="P499" s="305">
        <f t="shared" si="53"/>
        <v>397.44</v>
      </c>
      <c r="Q499" s="378">
        <f t="shared" si="54"/>
        <v>8.5446859903381647</v>
      </c>
      <c r="R499" s="379"/>
    </row>
    <row r="500" spans="1:20" ht="15">
      <c r="A500" s="276" t="s">
        <v>318</v>
      </c>
      <c r="B500" s="350">
        <v>359886</v>
      </c>
      <c r="C500" s="304">
        <v>1744.98</v>
      </c>
      <c r="D500" s="305">
        <v>331.4</v>
      </c>
      <c r="E500" s="307">
        <v>78.98</v>
      </c>
      <c r="F500" s="308"/>
      <c r="G500" s="305"/>
      <c r="H500" s="307"/>
      <c r="I500" s="308"/>
      <c r="J500" s="309"/>
      <c r="K500" s="307"/>
      <c r="L500" s="308"/>
      <c r="M500" s="309"/>
      <c r="N500" s="306"/>
      <c r="O500" s="377"/>
      <c r="P500" s="305">
        <f t="shared" si="53"/>
        <v>331.4</v>
      </c>
      <c r="Q500" s="378">
        <f t="shared" si="54"/>
        <v>0</v>
      </c>
      <c r="R500" s="379"/>
    </row>
    <row r="501" spans="1:20" ht="15">
      <c r="A501" s="276" t="s">
        <v>319</v>
      </c>
      <c r="B501" s="350">
        <v>465180</v>
      </c>
      <c r="C501" s="304">
        <v>2090.1999999999998</v>
      </c>
      <c r="D501" s="305">
        <v>394.7</v>
      </c>
      <c r="E501" s="307">
        <v>143.79</v>
      </c>
      <c r="F501" s="308"/>
      <c r="G501" s="305"/>
      <c r="H501" s="307"/>
      <c r="I501" s="308"/>
      <c r="J501" s="309"/>
      <c r="K501" s="307"/>
      <c r="L501" s="308"/>
      <c r="M501" s="309"/>
      <c r="N501" s="306"/>
      <c r="O501" s="377">
        <v>2817</v>
      </c>
      <c r="P501" s="305">
        <f t="shared" ref="P501:P509" si="55">D501+(2.25*R501)</f>
        <v>394.7</v>
      </c>
      <c r="Q501" s="378">
        <f t="shared" si="54"/>
        <v>7.137066126171776</v>
      </c>
      <c r="R501" s="379"/>
    </row>
    <row r="502" spans="1:20" ht="15">
      <c r="A502" s="276" t="s">
        <v>322</v>
      </c>
      <c r="B502" s="350">
        <v>465181</v>
      </c>
      <c r="C502" s="383">
        <v>3308.83</v>
      </c>
      <c r="D502" s="373">
        <v>613.48</v>
      </c>
      <c r="E502" s="307">
        <v>187.9</v>
      </c>
      <c r="F502" s="308"/>
      <c r="G502" s="305"/>
      <c r="H502" s="307"/>
      <c r="I502" s="308"/>
      <c r="J502" s="309"/>
      <c r="K502" s="307"/>
      <c r="L502" s="308"/>
      <c r="M502" s="309"/>
      <c r="N502" s="306"/>
      <c r="O502" s="382">
        <v>3833</v>
      </c>
      <c r="P502" s="305">
        <f t="shared" si="55"/>
        <v>613.48</v>
      </c>
      <c r="Q502" s="378">
        <f t="shared" si="54"/>
        <v>6.2479624437634476</v>
      </c>
      <c r="R502" s="379"/>
    </row>
    <row r="503" spans="1:20" ht="15">
      <c r="A503" s="276" t="s">
        <v>14</v>
      </c>
      <c r="B503" s="350">
        <v>465182</v>
      </c>
      <c r="C503" s="304"/>
      <c r="D503" s="305"/>
      <c r="E503" s="307"/>
      <c r="F503" s="308"/>
      <c r="G503" s="305"/>
      <c r="H503" s="307"/>
      <c r="I503" s="308"/>
      <c r="J503" s="309"/>
      <c r="K503" s="307"/>
      <c r="L503" s="308"/>
      <c r="M503" s="309"/>
      <c r="N503" s="306"/>
      <c r="O503" s="377"/>
      <c r="P503" s="305">
        <f t="shared" si="55"/>
        <v>0</v>
      </c>
      <c r="Q503" s="378" t="e">
        <f t="shared" si="54"/>
        <v>#DIV/0!</v>
      </c>
      <c r="R503" s="379"/>
    </row>
    <row r="504" spans="1:20" ht="15">
      <c r="A504" s="276" t="s">
        <v>88</v>
      </c>
      <c r="B504" s="350">
        <v>465183</v>
      </c>
      <c r="C504" s="304">
        <v>2949.9</v>
      </c>
      <c r="D504" s="305">
        <v>543.69000000000005</v>
      </c>
      <c r="E504" s="307">
        <v>168.41</v>
      </c>
      <c r="F504" s="308"/>
      <c r="G504" s="305"/>
      <c r="H504" s="307"/>
      <c r="I504" s="308"/>
      <c r="J504" s="309"/>
      <c r="K504" s="307"/>
      <c r="L504" s="308"/>
      <c r="M504" s="309"/>
      <c r="N504" s="306"/>
      <c r="O504" s="377">
        <v>3877</v>
      </c>
      <c r="P504" s="305">
        <f t="shared" si="55"/>
        <v>543.69000000000005</v>
      </c>
      <c r="Q504" s="378">
        <f t="shared" si="54"/>
        <v>7.1309018006584628</v>
      </c>
      <c r="R504" s="379"/>
    </row>
    <row r="505" spans="1:20" ht="13">
      <c r="A505" s="359" t="s">
        <v>40</v>
      </c>
      <c r="B505" s="350">
        <v>465184</v>
      </c>
      <c r="C505" s="304">
        <v>3614.74</v>
      </c>
      <c r="D505" s="305">
        <v>679.52</v>
      </c>
      <c r="E505" s="307">
        <v>89.85</v>
      </c>
      <c r="F505" s="308"/>
      <c r="G505" s="305"/>
      <c r="H505" s="307"/>
      <c r="I505" s="308"/>
      <c r="J505" s="309"/>
      <c r="K505" s="307"/>
      <c r="L505" s="308"/>
      <c r="M505" s="309"/>
      <c r="N505" s="306"/>
      <c r="O505" s="380">
        <v>3227</v>
      </c>
      <c r="P505" s="305">
        <f t="shared" si="55"/>
        <v>679.52</v>
      </c>
      <c r="Q505" s="378">
        <f t="shared" si="54"/>
        <v>4.7489404285377912</v>
      </c>
      <c r="R505" s="379"/>
    </row>
    <row r="506" spans="1:20" ht="13">
      <c r="A506" s="276" t="s">
        <v>75</v>
      </c>
      <c r="B506" s="350">
        <v>465185</v>
      </c>
      <c r="C506" s="304">
        <v>3409.6</v>
      </c>
      <c r="D506" s="305">
        <v>622.07000000000005</v>
      </c>
      <c r="E506" s="307">
        <v>189.02</v>
      </c>
      <c r="F506" s="308"/>
      <c r="G506" s="305"/>
      <c r="H506" s="307"/>
      <c r="I506" s="308"/>
      <c r="J506" s="309"/>
      <c r="K506" s="307"/>
      <c r="L506" s="308"/>
      <c r="M506" s="309"/>
      <c r="N506" s="306"/>
      <c r="O506" s="380">
        <v>4485</v>
      </c>
      <c r="P506" s="305">
        <f t="shared" si="55"/>
        <v>622.07000000000005</v>
      </c>
      <c r="Q506" s="378">
        <f t="shared" si="54"/>
        <v>7.2097995402446662</v>
      </c>
      <c r="R506" s="379"/>
    </row>
    <row r="507" spans="1:20" ht="13">
      <c r="A507" s="276" t="s">
        <v>329</v>
      </c>
      <c r="B507" s="350">
        <v>465186</v>
      </c>
      <c r="C507" s="304">
        <v>1678.05</v>
      </c>
      <c r="D507" s="305">
        <v>309.81</v>
      </c>
      <c r="E507" s="307">
        <v>27.43</v>
      </c>
      <c r="F507" s="308"/>
      <c r="G507" s="305"/>
      <c r="H507" s="307"/>
      <c r="I507" s="308"/>
      <c r="J507" s="309"/>
      <c r="K507" s="307"/>
      <c r="L507" s="308"/>
      <c r="M507" s="309"/>
      <c r="N507" s="306"/>
      <c r="O507" s="380">
        <v>1851</v>
      </c>
      <c r="P507" s="305">
        <f t="shared" si="55"/>
        <v>309.81</v>
      </c>
      <c r="Q507" s="378">
        <f t="shared" si="54"/>
        <v>5.974629611697492</v>
      </c>
      <c r="R507" s="379"/>
    </row>
    <row r="508" spans="1:20" ht="15">
      <c r="A508" s="276" t="s">
        <v>192</v>
      </c>
      <c r="B508" s="350">
        <v>465187</v>
      </c>
      <c r="C508" s="304">
        <v>4212.96</v>
      </c>
      <c r="D508" s="305">
        <v>785.09</v>
      </c>
      <c r="E508" s="307">
        <v>394.1</v>
      </c>
      <c r="F508" s="308"/>
      <c r="G508" s="305"/>
      <c r="H508" s="307"/>
      <c r="I508" s="308"/>
      <c r="J508" s="309"/>
      <c r="K508" s="307"/>
      <c r="L508" s="308"/>
      <c r="M508" s="309"/>
      <c r="N508" s="306"/>
      <c r="O508" s="377">
        <v>3889</v>
      </c>
      <c r="P508" s="305">
        <f t="shared" si="55"/>
        <v>785.09</v>
      </c>
      <c r="Q508" s="378">
        <f t="shared" si="54"/>
        <v>4.9535722019131558</v>
      </c>
      <c r="R508" s="379"/>
      <c r="T508" s="329"/>
    </row>
    <row r="509" spans="1:20" ht="13">
      <c r="A509" s="337"/>
      <c r="B509" s="350">
        <v>465189</v>
      </c>
      <c r="C509" s="304"/>
      <c r="D509" s="305"/>
      <c r="E509" s="307"/>
      <c r="F509" s="308"/>
      <c r="G509" s="305"/>
      <c r="H509" s="307"/>
      <c r="I509" s="308"/>
      <c r="J509" s="309"/>
      <c r="K509" s="307"/>
      <c r="L509" s="308"/>
      <c r="M509" s="309"/>
      <c r="N509" s="306"/>
      <c r="O509" s="380"/>
      <c r="P509" s="305">
        <f t="shared" si="55"/>
        <v>0</v>
      </c>
      <c r="Q509" s="378" t="e">
        <f t="shared" si="54"/>
        <v>#DIV/0!</v>
      </c>
      <c r="R509" s="379"/>
    </row>
    <row r="510" spans="1:20" ht="15">
      <c r="A510" s="384" t="s">
        <v>901</v>
      </c>
      <c r="B510" s="350">
        <v>1650</v>
      </c>
      <c r="C510" s="304"/>
      <c r="D510" s="305"/>
      <c r="E510" s="307"/>
      <c r="F510" s="385"/>
      <c r="G510" s="305"/>
      <c r="H510" s="307"/>
      <c r="I510" s="308">
        <v>2433.09</v>
      </c>
      <c r="J510" s="305">
        <v>445.46</v>
      </c>
      <c r="K510" s="307">
        <v>271.23</v>
      </c>
      <c r="L510" s="308">
        <v>450</v>
      </c>
      <c r="M510" s="309">
        <v>75.516000000000005</v>
      </c>
      <c r="N510" s="306"/>
      <c r="O510" s="377"/>
      <c r="P510" s="305">
        <f t="shared" ref="P510:P511" si="56">D510+G510+J510+M510</f>
        <v>520.976</v>
      </c>
      <c r="Q510" s="378">
        <f t="shared" si="54"/>
        <v>0</v>
      </c>
      <c r="R510" s="379"/>
    </row>
    <row r="511" spans="1:20" ht="15">
      <c r="A511" s="284" t="s">
        <v>1030</v>
      </c>
      <c r="B511" s="350">
        <v>1</v>
      </c>
      <c r="C511" s="315"/>
      <c r="D511" s="316"/>
      <c r="E511" s="317"/>
      <c r="F511" s="386"/>
      <c r="G511" s="316"/>
      <c r="H511" s="317"/>
      <c r="I511" s="387">
        <v>1061</v>
      </c>
      <c r="J511" s="316">
        <v>205.22</v>
      </c>
      <c r="K511" s="317">
        <v>0</v>
      </c>
      <c r="L511" s="387"/>
      <c r="M511" s="320"/>
      <c r="N511" s="388"/>
      <c r="O511" s="389"/>
      <c r="P511" s="316">
        <f t="shared" si="56"/>
        <v>205.22</v>
      </c>
      <c r="Q511" s="390"/>
      <c r="R511" s="391"/>
    </row>
    <row r="512" spans="1:20" ht="13">
      <c r="A512" s="470" t="s">
        <v>860</v>
      </c>
      <c r="B512" s="471"/>
      <c r="C512" s="324" t="s">
        <v>676</v>
      </c>
      <c r="D512" s="325" t="s">
        <v>861</v>
      </c>
      <c r="E512" s="355" t="s">
        <v>862</v>
      </c>
      <c r="F512" s="324" t="s">
        <v>676</v>
      </c>
      <c r="G512" s="325" t="s">
        <v>861</v>
      </c>
      <c r="H512" s="355" t="s">
        <v>862</v>
      </c>
      <c r="I512" s="324" t="s">
        <v>676</v>
      </c>
      <c r="J512" s="325" t="s">
        <v>861</v>
      </c>
      <c r="K512" s="355" t="s">
        <v>862</v>
      </c>
      <c r="L512" s="324" t="s">
        <v>676</v>
      </c>
      <c r="M512" s="325" t="s">
        <v>861</v>
      </c>
      <c r="N512" s="355" t="s">
        <v>862</v>
      </c>
      <c r="O512" s="324" t="s">
        <v>881</v>
      </c>
      <c r="P512" s="325" t="s">
        <v>861</v>
      </c>
      <c r="Q512" s="325" t="s">
        <v>865</v>
      </c>
      <c r="R512" s="392" t="s">
        <v>1031</v>
      </c>
    </row>
    <row r="513" spans="1:18" ht="13">
      <c r="A513" s="470" t="s">
        <v>863</v>
      </c>
      <c r="B513" s="471"/>
      <c r="C513" s="326">
        <f>SUM(C491:C510)+SUM(F491:F510)+SUM(I491:I510)</f>
        <v>36657.25</v>
      </c>
      <c r="D513" s="327">
        <f>SUM(D491:D509)+SUM(G491:G509)+SUM(J491:J509)+SUM(M491:M509)</f>
        <v>6383.14</v>
      </c>
      <c r="E513" s="328">
        <f>SUM(E491:E509)</f>
        <v>1663.17</v>
      </c>
      <c r="F513" s="329"/>
      <c r="G513" s="329"/>
      <c r="H513" s="329"/>
      <c r="I513" s="329"/>
      <c r="J513" s="329"/>
      <c r="K513" s="329"/>
      <c r="L513" s="329"/>
      <c r="M513" s="329"/>
      <c r="N513" s="329"/>
      <c r="O513" s="329"/>
      <c r="P513" s="329"/>
      <c r="Q513" s="329"/>
    </row>
    <row r="515" spans="1:18" ht="13">
      <c r="A515" s="472" t="s">
        <v>1032</v>
      </c>
      <c r="B515" s="466"/>
      <c r="C515" s="466"/>
      <c r="D515" s="466"/>
      <c r="E515" s="466"/>
      <c r="F515" s="466"/>
      <c r="G515" s="466"/>
      <c r="H515" s="466"/>
      <c r="I515" s="466"/>
      <c r="J515" s="466"/>
      <c r="K515" s="466"/>
      <c r="L515" s="466"/>
      <c r="M515" s="466"/>
      <c r="N515" s="466"/>
      <c r="O515" s="466"/>
      <c r="P515" s="466"/>
      <c r="Q515" s="466"/>
      <c r="R515" s="466"/>
    </row>
    <row r="516" spans="1:18" ht="13">
      <c r="A516" s="356" t="s">
        <v>849</v>
      </c>
      <c r="B516" s="287" t="s">
        <v>1</v>
      </c>
      <c r="C516" s="473" t="s">
        <v>850</v>
      </c>
      <c r="D516" s="466"/>
      <c r="E516" s="467"/>
      <c r="F516" s="465" t="s">
        <v>852</v>
      </c>
      <c r="G516" s="466"/>
      <c r="H516" s="467"/>
      <c r="I516" s="465" t="s">
        <v>1013</v>
      </c>
      <c r="J516" s="466"/>
      <c r="K516" s="467"/>
      <c r="L516" s="465" t="s">
        <v>852</v>
      </c>
      <c r="M516" s="466"/>
      <c r="N516" s="467"/>
      <c r="O516" s="468" t="s">
        <v>865</v>
      </c>
      <c r="P516" s="463"/>
      <c r="Q516" s="464"/>
      <c r="R516" s="287" t="s">
        <v>1028</v>
      </c>
    </row>
    <row r="517" spans="1:18" ht="13">
      <c r="A517" s="357"/>
      <c r="B517" s="393">
        <v>352368</v>
      </c>
      <c r="C517" s="294"/>
      <c r="D517" s="295"/>
      <c r="E517" s="297"/>
      <c r="F517" s="349"/>
      <c r="G517" s="295"/>
      <c r="H517" s="297"/>
      <c r="I517" s="349"/>
      <c r="J517" s="295"/>
      <c r="K517" s="297"/>
      <c r="L517" s="349"/>
      <c r="M517" s="301"/>
      <c r="N517" s="296"/>
      <c r="O517" s="374"/>
      <c r="P517" s="295">
        <f t="shared" ref="P517:P526" si="57">D517+G517+J517+M517+(2.2*R517)</f>
        <v>0</v>
      </c>
      <c r="Q517" s="375" t="e">
        <f t="shared" ref="Q517:Q538" si="58">O517/P517</f>
        <v>#DIV/0!</v>
      </c>
      <c r="R517" s="394"/>
    </row>
    <row r="518" spans="1:18" ht="15">
      <c r="A518" s="359" t="s">
        <v>1029</v>
      </c>
      <c r="B518" s="395">
        <v>352371</v>
      </c>
      <c r="C518" s="304">
        <v>2820.69</v>
      </c>
      <c r="D518" s="305">
        <v>538.66999999999996</v>
      </c>
      <c r="E518" s="307">
        <v>52.06</v>
      </c>
      <c r="F518" s="308"/>
      <c r="G518" s="305"/>
      <c r="H518" s="307"/>
      <c r="I518" s="308"/>
      <c r="J518" s="309"/>
      <c r="K518" s="307"/>
      <c r="L518" s="308"/>
      <c r="M518" s="309"/>
      <c r="N518" s="306"/>
      <c r="O518" s="377">
        <v>3975</v>
      </c>
      <c r="P518" s="305">
        <f t="shared" si="57"/>
        <v>538.66999999999996</v>
      </c>
      <c r="Q518" s="378">
        <f t="shared" si="58"/>
        <v>7.3792860192696832</v>
      </c>
      <c r="R518" s="396"/>
    </row>
    <row r="519" spans="1:18" ht="15">
      <c r="A519" s="276" t="s">
        <v>975</v>
      </c>
      <c r="B519" s="395">
        <v>352372</v>
      </c>
      <c r="C519" s="304"/>
      <c r="D519" s="305"/>
      <c r="E519" s="307"/>
      <c r="F519" s="308"/>
      <c r="G519" s="305"/>
      <c r="H519" s="307"/>
      <c r="I519" s="308"/>
      <c r="J519" s="309"/>
      <c r="K519" s="307"/>
      <c r="L519" s="308"/>
      <c r="M519" s="309"/>
      <c r="N519" s="306"/>
      <c r="O519" s="377"/>
      <c r="P519" s="305">
        <f t="shared" si="57"/>
        <v>0</v>
      </c>
      <c r="Q519" s="378" t="e">
        <f t="shared" si="58"/>
        <v>#DIV/0!</v>
      </c>
      <c r="R519" s="396"/>
    </row>
    <row r="520" spans="1:18" ht="13">
      <c r="A520" s="276"/>
      <c r="B520" s="395">
        <v>352373</v>
      </c>
      <c r="C520" s="304"/>
      <c r="D520" s="305"/>
      <c r="E520" s="307"/>
      <c r="F520" s="308"/>
      <c r="G520" s="305"/>
      <c r="H520" s="307"/>
      <c r="I520" s="308"/>
      <c r="J520" s="309"/>
      <c r="K520" s="307"/>
      <c r="L520" s="308"/>
      <c r="M520" s="309"/>
      <c r="N520" s="306"/>
      <c r="O520" s="380"/>
      <c r="P520" s="305">
        <f t="shared" si="57"/>
        <v>0</v>
      </c>
      <c r="Q520" s="378" t="e">
        <f t="shared" si="58"/>
        <v>#DIV/0!</v>
      </c>
      <c r="R520" s="396"/>
    </row>
    <row r="521" spans="1:18" ht="13">
      <c r="A521" s="276" t="s">
        <v>191</v>
      </c>
      <c r="B521" s="395" t="s">
        <v>1033</v>
      </c>
      <c r="C521" s="304">
        <v>3578.71</v>
      </c>
      <c r="D521" s="305">
        <v>680.16</v>
      </c>
      <c r="E521" s="307">
        <v>186.1</v>
      </c>
      <c r="F521" s="308"/>
      <c r="G521" s="305"/>
      <c r="H521" s="307"/>
      <c r="I521" s="308"/>
      <c r="J521" s="309"/>
      <c r="K521" s="307"/>
      <c r="L521" s="308"/>
      <c r="M521" s="309"/>
      <c r="N521" s="306"/>
      <c r="O521" s="380">
        <v>2639</v>
      </c>
      <c r="P521" s="305">
        <f t="shared" si="57"/>
        <v>680.16</v>
      </c>
      <c r="Q521" s="378">
        <f t="shared" si="58"/>
        <v>3.8799694189602447</v>
      </c>
      <c r="R521" s="396"/>
    </row>
    <row r="522" spans="1:18" ht="14">
      <c r="A522" s="276"/>
      <c r="B522" s="395">
        <v>352375</v>
      </c>
      <c r="C522" s="304"/>
      <c r="D522" s="305"/>
      <c r="E522" s="307"/>
      <c r="F522" s="308"/>
      <c r="G522" s="305"/>
      <c r="H522" s="307"/>
      <c r="I522" s="308"/>
      <c r="J522" s="309"/>
      <c r="K522" s="307"/>
      <c r="L522" s="308"/>
      <c r="M522" s="309"/>
      <c r="N522" s="306"/>
      <c r="O522" s="381"/>
      <c r="P522" s="305">
        <f t="shared" si="57"/>
        <v>0</v>
      </c>
      <c r="Q522" s="378" t="e">
        <f t="shared" si="58"/>
        <v>#DIV/0!</v>
      </c>
      <c r="R522" s="396"/>
    </row>
    <row r="523" spans="1:18" ht="15">
      <c r="A523" s="276" t="s">
        <v>62</v>
      </c>
      <c r="B523" s="395">
        <v>352376</v>
      </c>
      <c r="C523" s="304">
        <v>1087.1400000000001</v>
      </c>
      <c r="D523" s="305">
        <v>230.85</v>
      </c>
      <c r="E523" s="307">
        <v>21.75</v>
      </c>
      <c r="F523" s="308"/>
      <c r="G523" s="305"/>
      <c r="H523" s="307"/>
      <c r="I523" s="308"/>
      <c r="J523" s="309"/>
      <c r="K523" s="307"/>
      <c r="L523" s="308"/>
      <c r="M523" s="309"/>
      <c r="N523" s="306"/>
      <c r="O523" s="382">
        <v>1071</v>
      </c>
      <c r="P523" s="305">
        <f t="shared" si="57"/>
        <v>230.85</v>
      </c>
      <c r="Q523" s="378">
        <f t="shared" si="58"/>
        <v>4.6393762183235872</v>
      </c>
      <c r="R523" s="396"/>
    </row>
    <row r="524" spans="1:18" ht="15">
      <c r="A524" s="276"/>
      <c r="B524" s="395">
        <v>352377</v>
      </c>
      <c r="C524" s="304"/>
      <c r="D524" s="305"/>
      <c r="E524" s="307"/>
      <c r="F524" s="308"/>
      <c r="G524" s="305"/>
      <c r="H524" s="307"/>
      <c r="I524" s="308"/>
      <c r="J524" s="309"/>
      <c r="K524" s="307"/>
      <c r="L524" s="308"/>
      <c r="M524" s="309"/>
      <c r="N524" s="306"/>
      <c r="O524" s="377"/>
      <c r="P524" s="305">
        <f t="shared" si="57"/>
        <v>0</v>
      </c>
      <c r="Q524" s="378" t="e">
        <f t="shared" si="58"/>
        <v>#DIV/0!</v>
      </c>
      <c r="R524" s="396"/>
    </row>
    <row r="525" spans="1:18" ht="15">
      <c r="A525" s="276" t="s">
        <v>315</v>
      </c>
      <c r="B525" s="395">
        <v>359885</v>
      </c>
      <c r="C525" s="304">
        <v>1266.1199999999999</v>
      </c>
      <c r="D525" s="305">
        <v>233.25</v>
      </c>
      <c r="E525" s="307">
        <v>22.44</v>
      </c>
      <c r="F525" s="308"/>
      <c r="G525" s="305"/>
      <c r="H525" s="307"/>
      <c r="I525" s="308"/>
      <c r="J525" s="309"/>
      <c r="K525" s="307"/>
      <c r="L525" s="308"/>
      <c r="M525" s="309"/>
      <c r="N525" s="306"/>
      <c r="O525" s="377"/>
      <c r="P525" s="305">
        <f t="shared" si="57"/>
        <v>233.25</v>
      </c>
      <c r="Q525" s="378">
        <f t="shared" si="58"/>
        <v>0</v>
      </c>
      <c r="R525" s="396"/>
    </row>
    <row r="526" spans="1:18" ht="15">
      <c r="A526" s="357" t="s">
        <v>308</v>
      </c>
      <c r="B526" s="395">
        <v>359886</v>
      </c>
      <c r="C526" s="304">
        <v>2646.37</v>
      </c>
      <c r="D526" s="305">
        <v>494.17</v>
      </c>
      <c r="E526" s="307">
        <v>48.39</v>
      </c>
      <c r="F526" s="308"/>
      <c r="G526" s="305"/>
      <c r="H526" s="307"/>
      <c r="I526" s="308"/>
      <c r="J526" s="309"/>
      <c r="K526" s="307"/>
      <c r="L526" s="308"/>
      <c r="M526" s="309"/>
      <c r="N526" s="306"/>
      <c r="O526" s="377">
        <v>3307</v>
      </c>
      <c r="P526" s="305">
        <f t="shared" si="57"/>
        <v>494.17</v>
      </c>
      <c r="Q526" s="378">
        <f t="shared" si="58"/>
        <v>6.6920290588259101</v>
      </c>
      <c r="R526" s="396"/>
    </row>
    <row r="527" spans="1:18" ht="15">
      <c r="A527" s="276" t="s">
        <v>319</v>
      </c>
      <c r="B527" s="395">
        <v>465180</v>
      </c>
      <c r="C527" s="304">
        <v>799.83</v>
      </c>
      <c r="D527" s="305">
        <v>157.53</v>
      </c>
      <c r="E527" s="307">
        <v>48.8</v>
      </c>
      <c r="F527" s="308"/>
      <c r="G527" s="305"/>
      <c r="H527" s="307"/>
      <c r="I527" s="308"/>
      <c r="J527" s="309"/>
      <c r="K527" s="307"/>
      <c r="L527" s="308"/>
      <c r="M527" s="309"/>
      <c r="N527" s="306"/>
      <c r="O527" s="377">
        <v>1040</v>
      </c>
      <c r="P527" s="305">
        <f t="shared" ref="P527:P537" si="59">D527+G527+J527+M527+(2.25*R527)</f>
        <v>157.53</v>
      </c>
      <c r="Q527" s="378">
        <f t="shared" si="58"/>
        <v>6.6019170951564785</v>
      </c>
      <c r="R527" s="396"/>
    </row>
    <row r="528" spans="1:18" ht="15">
      <c r="A528" s="276" t="s">
        <v>322</v>
      </c>
      <c r="B528" s="395">
        <v>465181</v>
      </c>
      <c r="C528" s="304">
        <v>3968.97</v>
      </c>
      <c r="D528" s="305">
        <v>742</v>
      </c>
      <c r="E528" s="307">
        <v>226.26</v>
      </c>
      <c r="F528" s="308"/>
      <c r="G528" s="305"/>
      <c r="H528" s="307"/>
      <c r="I528" s="308"/>
      <c r="J528" s="309"/>
      <c r="K528" s="307"/>
      <c r="L528" s="308"/>
      <c r="M528" s="309"/>
      <c r="N528" s="306"/>
      <c r="O528" s="377">
        <v>5026</v>
      </c>
      <c r="P528" s="305">
        <f t="shared" si="59"/>
        <v>742</v>
      </c>
      <c r="Q528" s="378">
        <f t="shared" si="58"/>
        <v>6.7735849056603774</v>
      </c>
      <c r="R528" s="396"/>
    </row>
    <row r="529" spans="1:18" ht="15">
      <c r="A529" s="276"/>
      <c r="B529" s="395">
        <v>465182</v>
      </c>
      <c r="C529" s="304"/>
      <c r="D529" s="305"/>
      <c r="E529" s="307"/>
      <c r="F529" s="308"/>
      <c r="G529" s="305"/>
      <c r="H529" s="307"/>
      <c r="I529" s="308"/>
      <c r="J529" s="309"/>
      <c r="K529" s="307"/>
      <c r="L529" s="308"/>
      <c r="M529" s="309"/>
      <c r="N529" s="306"/>
      <c r="O529" s="377"/>
      <c r="P529" s="305">
        <f t="shared" si="59"/>
        <v>0</v>
      </c>
      <c r="Q529" s="378" t="e">
        <f t="shared" si="58"/>
        <v>#DIV/0!</v>
      </c>
      <c r="R529" s="396"/>
    </row>
    <row r="530" spans="1:18" ht="15">
      <c r="A530" s="276" t="s">
        <v>88</v>
      </c>
      <c r="B530" s="395">
        <v>465183</v>
      </c>
      <c r="C530" s="304"/>
      <c r="D530" s="305"/>
      <c r="E530" s="307"/>
      <c r="F530" s="308"/>
      <c r="G530" s="305"/>
      <c r="H530" s="307"/>
      <c r="I530" s="308"/>
      <c r="J530" s="309"/>
      <c r="K530" s="307"/>
      <c r="L530" s="308"/>
      <c r="M530" s="309"/>
      <c r="N530" s="306"/>
      <c r="O530" s="377"/>
      <c r="P530" s="305">
        <f t="shared" si="59"/>
        <v>0</v>
      </c>
      <c r="Q530" s="378" t="e">
        <f t="shared" si="58"/>
        <v>#DIV/0!</v>
      </c>
      <c r="R530" s="396"/>
    </row>
    <row r="531" spans="1:18" ht="15">
      <c r="A531" s="359" t="s">
        <v>40</v>
      </c>
      <c r="B531" s="395">
        <v>465184</v>
      </c>
      <c r="C531" s="304">
        <v>1160.23</v>
      </c>
      <c r="D531" s="305">
        <v>215.78</v>
      </c>
      <c r="E531" s="307">
        <v>20.11</v>
      </c>
      <c r="F531" s="308"/>
      <c r="G531" s="305"/>
      <c r="H531" s="307"/>
      <c r="I531" s="308"/>
      <c r="J531" s="309"/>
      <c r="K531" s="307"/>
      <c r="L531" s="308"/>
      <c r="M531" s="309"/>
      <c r="N531" s="306"/>
      <c r="O531" s="377">
        <v>1821</v>
      </c>
      <c r="P531" s="305">
        <f t="shared" si="59"/>
        <v>215.78</v>
      </c>
      <c r="Q531" s="378">
        <f t="shared" si="58"/>
        <v>8.4391509871165074</v>
      </c>
      <c r="R531" s="396"/>
    </row>
    <row r="532" spans="1:18" ht="15">
      <c r="A532" s="276" t="s">
        <v>75</v>
      </c>
      <c r="B532" s="395">
        <v>465185</v>
      </c>
      <c r="C532" s="304"/>
      <c r="D532" s="305"/>
      <c r="E532" s="307"/>
      <c r="F532" s="308"/>
      <c r="G532" s="305"/>
      <c r="H532" s="307"/>
      <c r="I532" s="308"/>
      <c r="J532" s="309"/>
      <c r="K532" s="307"/>
      <c r="L532" s="308"/>
      <c r="M532" s="309"/>
      <c r="N532" s="306"/>
      <c r="O532" s="377"/>
      <c r="P532" s="305">
        <f t="shared" si="59"/>
        <v>0</v>
      </c>
      <c r="Q532" s="378" t="e">
        <f t="shared" si="58"/>
        <v>#DIV/0!</v>
      </c>
      <c r="R532" s="396"/>
    </row>
    <row r="533" spans="1:18" ht="15">
      <c r="A533" s="276" t="s">
        <v>329</v>
      </c>
      <c r="B533" s="395">
        <v>465186</v>
      </c>
      <c r="C533" s="304"/>
      <c r="D533" s="305"/>
      <c r="E533" s="307"/>
      <c r="F533" s="308"/>
      <c r="G533" s="305"/>
      <c r="H533" s="307"/>
      <c r="I533" s="308"/>
      <c r="J533" s="309"/>
      <c r="K533" s="307"/>
      <c r="L533" s="308"/>
      <c r="M533" s="309"/>
      <c r="N533" s="306"/>
      <c r="O533" s="377"/>
      <c r="P533" s="305">
        <f t="shared" si="59"/>
        <v>0</v>
      </c>
      <c r="Q533" s="378" t="e">
        <f t="shared" si="58"/>
        <v>#DIV/0!</v>
      </c>
      <c r="R533" s="396"/>
    </row>
    <row r="534" spans="1:18" ht="15">
      <c r="A534" s="276" t="s">
        <v>192</v>
      </c>
      <c r="B534" s="395">
        <v>465187</v>
      </c>
      <c r="C534" s="304">
        <v>1301.3399999999999</v>
      </c>
      <c r="D534" s="305">
        <v>255.33</v>
      </c>
      <c r="E534" s="307">
        <v>77.61</v>
      </c>
      <c r="F534" s="308"/>
      <c r="G534" s="305"/>
      <c r="H534" s="307"/>
      <c r="I534" s="308"/>
      <c r="J534" s="309"/>
      <c r="K534" s="307"/>
      <c r="L534" s="308"/>
      <c r="M534" s="309"/>
      <c r="N534" s="306"/>
      <c r="O534" s="377"/>
      <c r="P534" s="305">
        <f t="shared" si="59"/>
        <v>255.33</v>
      </c>
      <c r="Q534" s="378">
        <f t="shared" si="58"/>
        <v>0</v>
      </c>
      <c r="R534" s="396"/>
    </row>
    <row r="535" spans="1:18" ht="15">
      <c r="A535" s="276" t="s">
        <v>14</v>
      </c>
      <c r="B535" s="395">
        <v>465188</v>
      </c>
      <c r="C535" s="304">
        <v>2105.46</v>
      </c>
      <c r="D535" s="305">
        <v>428.09</v>
      </c>
      <c r="E535" s="307">
        <v>133.54</v>
      </c>
      <c r="F535" s="308"/>
      <c r="G535" s="305"/>
      <c r="H535" s="307"/>
      <c r="I535" s="308"/>
      <c r="J535" s="309"/>
      <c r="K535" s="307"/>
      <c r="L535" s="308"/>
      <c r="M535" s="309"/>
      <c r="N535" s="306"/>
      <c r="O535" s="377">
        <v>3537</v>
      </c>
      <c r="P535" s="305">
        <f t="shared" si="59"/>
        <v>428.09</v>
      </c>
      <c r="Q535" s="378">
        <f t="shared" si="58"/>
        <v>8.2622812959891618</v>
      </c>
      <c r="R535" s="396"/>
    </row>
    <row r="536" spans="1:18" ht="15">
      <c r="A536" s="276" t="s">
        <v>318</v>
      </c>
      <c r="B536" s="395">
        <v>465189</v>
      </c>
      <c r="C536" s="304">
        <v>72.66</v>
      </c>
      <c r="D536" s="305">
        <v>14.53</v>
      </c>
      <c r="E536" s="307">
        <v>0.57999999999999996</v>
      </c>
      <c r="F536" s="308"/>
      <c r="G536" s="305"/>
      <c r="H536" s="307"/>
      <c r="I536" s="308"/>
      <c r="J536" s="309"/>
      <c r="K536" s="307"/>
      <c r="L536" s="308"/>
      <c r="M536" s="309"/>
      <c r="N536" s="306"/>
      <c r="O536" s="377"/>
      <c r="P536" s="305">
        <f t="shared" si="59"/>
        <v>14.53</v>
      </c>
      <c r="Q536" s="378">
        <f t="shared" si="58"/>
        <v>0</v>
      </c>
      <c r="R536" s="396"/>
    </row>
    <row r="537" spans="1:18" ht="15">
      <c r="A537" s="384" t="s">
        <v>901</v>
      </c>
      <c r="B537" s="395">
        <v>1650</v>
      </c>
      <c r="C537" s="304"/>
      <c r="D537" s="305"/>
      <c r="E537" s="307"/>
      <c r="F537" s="308"/>
      <c r="G537" s="305"/>
      <c r="H537" s="307"/>
      <c r="I537" s="308"/>
      <c r="J537" s="309"/>
      <c r="K537" s="307"/>
      <c r="L537" s="308"/>
      <c r="M537" s="309"/>
      <c r="N537" s="306"/>
      <c r="O537" s="377"/>
      <c r="P537" s="305">
        <f t="shared" si="59"/>
        <v>0</v>
      </c>
      <c r="Q537" s="378" t="e">
        <f t="shared" si="58"/>
        <v>#DIV/0!</v>
      </c>
      <c r="R537" s="396"/>
    </row>
    <row r="538" spans="1:18" ht="15">
      <c r="A538" s="284" t="s">
        <v>1030</v>
      </c>
      <c r="B538" s="397" t="s">
        <v>362</v>
      </c>
      <c r="C538" s="315"/>
      <c r="D538" s="316"/>
      <c r="E538" s="317"/>
      <c r="F538" s="386"/>
      <c r="G538" s="316"/>
      <c r="H538" s="317"/>
      <c r="I538" s="387"/>
      <c r="J538" s="316"/>
      <c r="K538" s="317"/>
      <c r="L538" s="387"/>
      <c r="M538" s="320"/>
      <c r="N538" s="388"/>
      <c r="O538" s="389"/>
      <c r="P538" s="316">
        <f>D538+G538+J538+M538+(2*R538)</f>
        <v>0</v>
      </c>
      <c r="Q538" s="390" t="e">
        <f t="shared" si="58"/>
        <v>#DIV/0!</v>
      </c>
      <c r="R538" s="391"/>
    </row>
    <row r="539" spans="1:18" ht="13">
      <c r="A539" s="470" t="s">
        <v>860</v>
      </c>
      <c r="B539" s="471"/>
      <c r="C539" s="324" t="s">
        <v>676</v>
      </c>
      <c r="D539" s="325" t="s">
        <v>861</v>
      </c>
      <c r="E539" s="355" t="s">
        <v>862</v>
      </c>
      <c r="F539" s="324" t="s">
        <v>676</v>
      </c>
      <c r="G539" s="325" t="s">
        <v>861</v>
      </c>
      <c r="H539" s="355" t="s">
        <v>862</v>
      </c>
      <c r="I539" s="324" t="s">
        <v>676</v>
      </c>
      <c r="J539" s="325" t="s">
        <v>861</v>
      </c>
      <c r="K539" s="355" t="s">
        <v>862</v>
      </c>
      <c r="L539" s="324" t="s">
        <v>676</v>
      </c>
      <c r="M539" s="325" t="s">
        <v>861</v>
      </c>
      <c r="N539" s="355" t="s">
        <v>862</v>
      </c>
      <c r="O539" s="324" t="s">
        <v>881</v>
      </c>
      <c r="P539" s="325" t="s">
        <v>861</v>
      </c>
      <c r="Q539" s="325" t="s">
        <v>865</v>
      </c>
      <c r="R539" s="392" t="s">
        <v>1031</v>
      </c>
    </row>
    <row r="540" spans="1:18" ht="13">
      <c r="A540" s="470" t="s">
        <v>863</v>
      </c>
      <c r="B540" s="471"/>
      <c r="C540" s="326">
        <f>SUM(C517:C537)+SUM(F517:F537)+SUM(I517:I537)</f>
        <v>20807.519999999997</v>
      </c>
      <c r="D540" s="327">
        <f>SUM(D517:D536)+SUM(G517:G536)+SUM(J517:J536)+SUM(M517:M536)</f>
        <v>3990.3600000000006</v>
      </c>
      <c r="E540" s="328">
        <f>SUM(E517:E536)</f>
        <v>837.64</v>
      </c>
      <c r="F540" s="329"/>
      <c r="G540" s="329"/>
      <c r="H540" s="329"/>
      <c r="I540" s="329"/>
      <c r="J540" s="329"/>
      <c r="K540" s="329"/>
      <c r="L540" s="329"/>
      <c r="M540" s="329"/>
      <c r="N540" s="329"/>
      <c r="O540" s="329"/>
      <c r="P540" s="329"/>
      <c r="Q540" s="329"/>
    </row>
    <row r="543" spans="1:18" ht="13">
      <c r="A543" s="472" t="s">
        <v>1034</v>
      </c>
      <c r="B543" s="466"/>
      <c r="C543" s="466"/>
      <c r="D543" s="466"/>
      <c r="E543" s="466"/>
      <c r="F543" s="466"/>
      <c r="G543" s="466"/>
      <c r="H543" s="466"/>
      <c r="I543" s="466"/>
      <c r="J543" s="466"/>
      <c r="K543" s="466"/>
      <c r="L543" s="466"/>
      <c r="M543" s="466"/>
      <c r="N543" s="466"/>
      <c r="O543" s="466"/>
      <c r="P543" s="466"/>
      <c r="Q543" s="466"/>
      <c r="R543" s="466"/>
    </row>
    <row r="544" spans="1:18" ht="13">
      <c r="A544" s="356" t="s">
        <v>849</v>
      </c>
      <c r="B544" s="287" t="s">
        <v>1</v>
      </c>
      <c r="C544" s="473" t="s">
        <v>850</v>
      </c>
      <c r="D544" s="466"/>
      <c r="E544" s="467"/>
      <c r="F544" s="465" t="s">
        <v>852</v>
      </c>
      <c r="G544" s="466"/>
      <c r="H544" s="467"/>
      <c r="I544" s="465" t="s">
        <v>1013</v>
      </c>
      <c r="J544" s="466"/>
      <c r="K544" s="467"/>
      <c r="L544" s="465" t="s">
        <v>852</v>
      </c>
      <c r="M544" s="466"/>
      <c r="N544" s="467"/>
      <c r="O544" s="468" t="s">
        <v>865</v>
      </c>
      <c r="P544" s="463"/>
      <c r="Q544" s="464"/>
      <c r="R544" s="287" t="s">
        <v>1028</v>
      </c>
    </row>
    <row r="545" spans="1:18" ht="13">
      <c r="A545" s="357"/>
      <c r="B545" s="393">
        <v>352368</v>
      </c>
      <c r="C545" s="294"/>
      <c r="D545" s="295"/>
      <c r="E545" s="297"/>
      <c r="F545" s="349"/>
      <c r="G545" s="295"/>
      <c r="H545" s="297"/>
      <c r="I545" s="349"/>
      <c r="J545" s="295"/>
      <c r="K545" s="297"/>
      <c r="L545" s="349"/>
      <c r="M545" s="301"/>
      <c r="N545" s="296"/>
      <c r="O545" s="374"/>
      <c r="P545" s="295">
        <f t="shared" ref="P545:P554" si="60">D545+G545+J545+M545+(2.2*R545)</f>
        <v>114.4</v>
      </c>
      <c r="Q545" s="375">
        <f t="shared" ref="Q545:Q566" si="61">O545/P545</f>
        <v>0</v>
      </c>
      <c r="R545" s="394">
        <v>52</v>
      </c>
    </row>
    <row r="546" spans="1:18" ht="15">
      <c r="A546" s="359" t="s">
        <v>1029</v>
      </c>
      <c r="B546" s="395">
        <v>352371</v>
      </c>
      <c r="C546" s="304">
        <v>2086.0500000000002</v>
      </c>
      <c r="D546" s="305">
        <v>370.2</v>
      </c>
      <c r="E546" s="366">
        <v>96.13</v>
      </c>
      <c r="F546" s="366"/>
      <c r="G546" s="305"/>
      <c r="H546" s="307"/>
      <c r="I546" s="308"/>
      <c r="J546" s="309"/>
      <c r="K546" s="307"/>
      <c r="L546" s="308"/>
      <c r="M546" s="309"/>
      <c r="N546" s="306"/>
      <c r="O546" s="377">
        <v>1292</v>
      </c>
      <c r="P546" s="305">
        <f t="shared" si="60"/>
        <v>548.4</v>
      </c>
      <c r="Q546" s="378">
        <f t="shared" si="61"/>
        <v>2.3559445660102116</v>
      </c>
      <c r="R546" s="396">
        <v>81</v>
      </c>
    </row>
    <row r="547" spans="1:18" ht="15">
      <c r="A547" s="276" t="s">
        <v>975</v>
      </c>
      <c r="B547" s="395">
        <v>352372</v>
      </c>
      <c r="C547" s="304"/>
      <c r="D547" s="305"/>
      <c r="E547" s="366"/>
      <c r="F547" s="366"/>
      <c r="G547" s="305"/>
      <c r="H547" s="307"/>
      <c r="I547" s="308"/>
      <c r="J547" s="309"/>
      <c r="K547" s="307"/>
      <c r="L547" s="308"/>
      <c r="M547" s="309"/>
      <c r="N547" s="306"/>
      <c r="O547" s="377"/>
      <c r="P547" s="305">
        <f t="shared" si="60"/>
        <v>94.600000000000009</v>
      </c>
      <c r="Q547" s="378">
        <f t="shared" si="61"/>
        <v>0</v>
      </c>
      <c r="R547" s="396">
        <v>43</v>
      </c>
    </row>
    <row r="548" spans="1:18" ht="13">
      <c r="A548" s="276" t="s">
        <v>347</v>
      </c>
      <c r="B548" s="395">
        <v>352373</v>
      </c>
      <c r="C548" s="304">
        <v>1339.43</v>
      </c>
      <c r="D548" s="305">
        <v>298.85000000000002</v>
      </c>
      <c r="E548" s="366">
        <v>55.02</v>
      </c>
      <c r="F548" s="366"/>
      <c r="G548" s="305"/>
      <c r="H548" s="307"/>
      <c r="I548" s="308"/>
      <c r="J548" s="309"/>
      <c r="K548" s="307"/>
      <c r="L548" s="308"/>
      <c r="M548" s="309"/>
      <c r="N548" s="306"/>
      <c r="O548" s="380">
        <v>1152</v>
      </c>
      <c r="P548" s="305">
        <f t="shared" si="60"/>
        <v>342.85</v>
      </c>
      <c r="Q548" s="378">
        <f t="shared" si="61"/>
        <v>3.3600700014583635</v>
      </c>
      <c r="R548" s="396">
        <v>20</v>
      </c>
    </row>
    <row r="549" spans="1:18" ht="13">
      <c r="A549" s="276" t="s">
        <v>191</v>
      </c>
      <c r="B549" s="395">
        <v>352374</v>
      </c>
      <c r="C549" s="304">
        <v>1178.76</v>
      </c>
      <c r="D549" s="305">
        <v>213.68</v>
      </c>
      <c r="E549" s="366">
        <v>31.88</v>
      </c>
      <c r="F549" s="366"/>
      <c r="G549" s="305"/>
      <c r="H549" s="307"/>
      <c r="I549" s="308"/>
      <c r="J549" s="309"/>
      <c r="K549" s="307"/>
      <c r="L549" s="308"/>
      <c r="M549" s="309"/>
      <c r="N549" s="306"/>
      <c r="O549" s="380">
        <v>1629</v>
      </c>
      <c r="P549" s="305">
        <f t="shared" si="60"/>
        <v>365.48</v>
      </c>
      <c r="Q549" s="378">
        <f t="shared" si="61"/>
        <v>4.4571522381525659</v>
      </c>
      <c r="R549" s="396">
        <v>69</v>
      </c>
    </row>
    <row r="550" spans="1:18" ht="14">
      <c r="A550" s="276" t="s">
        <v>1035</v>
      </c>
      <c r="B550" s="395">
        <v>352375</v>
      </c>
      <c r="C550" s="304">
        <v>2491.6799999999998</v>
      </c>
      <c r="D550" s="305">
        <v>508.76</v>
      </c>
      <c r="E550" s="366">
        <v>157.88999999999999</v>
      </c>
      <c r="F550" s="366"/>
      <c r="G550" s="305"/>
      <c r="H550" s="307"/>
      <c r="I550" s="308"/>
      <c r="J550" s="309"/>
      <c r="K550" s="307"/>
      <c r="L550" s="308"/>
      <c r="M550" s="309"/>
      <c r="N550" s="306"/>
      <c r="O550" s="381">
        <v>3332</v>
      </c>
      <c r="P550" s="305">
        <f t="shared" si="60"/>
        <v>561.55999999999995</v>
      </c>
      <c r="Q550" s="378">
        <f t="shared" si="61"/>
        <v>5.9334710449462218</v>
      </c>
      <c r="R550" s="396">
        <v>24</v>
      </c>
    </row>
    <row r="551" spans="1:18" ht="15">
      <c r="A551" s="276" t="s">
        <v>62</v>
      </c>
      <c r="B551" s="395">
        <v>352376</v>
      </c>
      <c r="C551" s="304">
        <v>1340.21</v>
      </c>
      <c r="D551" s="305">
        <v>271.81</v>
      </c>
      <c r="E551" s="307">
        <v>82.95</v>
      </c>
      <c r="F551" s="308"/>
      <c r="G551" s="305"/>
      <c r="H551" s="307"/>
      <c r="I551" s="308"/>
      <c r="J551" s="309"/>
      <c r="K551" s="307"/>
      <c r="L551" s="308"/>
      <c r="M551" s="309"/>
      <c r="N551" s="306"/>
      <c r="O551" s="382">
        <v>1728</v>
      </c>
      <c r="P551" s="305">
        <f t="shared" si="60"/>
        <v>397.21000000000004</v>
      </c>
      <c r="Q551" s="378">
        <f t="shared" si="61"/>
        <v>4.3503436469373877</v>
      </c>
      <c r="R551" s="396">
        <v>57</v>
      </c>
    </row>
    <row r="552" spans="1:18" ht="15">
      <c r="A552" s="276"/>
      <c r="B552" s="395">
        <v>352377</v>
      </c>
      <c r="C552" s="304"/>
      <c r="D552" s="305"/>
      <c r="E552" s="307"/>
      <c r="F552" s="308"/>
      <c r="G552" s="305"/>
      <c r="H552" s="307"/>
      <c r="I552" s="308"/>
      <c r="J552" s="309"/>
      <c r="K552" s="307"/>
      <c r="L552" s="308"/>
      <c r="M552" s="309"/>
      <c r="N552" s="306"/>
      <c r="O552" s="377"/>
      <c r="P552" s="305">
        <f t="shared" si="60"/>
        <v>105.60000000000001</v>
      </c>
      <c r="Q552" s="378">
        <f t="shared" si="61"/>
        <v>0</v>
      </c>
      <c r="R552" s="396">
        <v>48</v>
      </c>
    </row>
    <row r="553" spans="1:18" ht="15">
      <c r="A553" s="276" t="s">
        <v>315</v>
      </c>
      <c r="B553" s="395">
        <v>359885</v>
      </c>
      <c r="C553" s="304">
        <v>2338.91</v>
      </c>
      <c r="D553" s="305">
        <v>456.38</v>
      </c>
      <c r="E553" s="307">
        <v>43.5</v>
      </c>
      <c r="F553" s="308"/>
      <c r="G553" s="305"/>
      <c r="H553" s="307"/>
      <c r="I553" s="308"/>
      <c r="J553" s="309"/>
      <c r="K553" s="307"/>
      <c r="L553" s="308"/>
      <c r="M553" s="309"/>
      <c r="N553" s="306"/>
      <c r="O553" s="377">
        <v>3106</v>
      </c>
      <c r="P553" s="305">
        <f t="shared" si="60"/>
        <v>553.18000000000006</v>
      </c>
      <c r="Q553" s="378">
        <f t="shared" si="61"/>
        <v>5.6148089229545528</v>
      </c>
      <c r="R553" s="396">
        <v>44</v>
      </c>
    </row>
    <row r="554" spans="1:18" ht="15">
      <c r="A554" s="357" t="s">
        <v>386</v>
      </c>
      <c r="B554" s="395">
        <v>359886</v>
      </c>
      <c r="C554" s="304">
        <v>4101.8900000000003</v>
      </c>
      <c r="D554" s="305">
        <v>789.44</v>
      </c>
      <c r="E554" s="307">
        <v>84.22</v>
      </c>
      <c r="F554" s="308"/>
      <c r="G554" s="305"/>
      <c r="H554" s="307"/>
      <c r="I554" s="308"/>
      <c r="J554" s="309"/>
      <c r="K554" s="307"/>
      <c r="L554" s="308"/>
      <c r="M554" s="309"/>
      <c r="N554" s="306"/>
      <c r="O554" s="377">
        <v>4984</v>
      </c>
      <c r="P554" s="305">
        <f t="shared" si="60"/>
        <v>969.84</v>
      </c>
      <c r="Q554" s="378">
        <f t="shared" si="61"/>
        <v>5.1389919986801944</v>
      </c>
      <c r="R554" s="396">
        <v>82</v>
      </c>
    </row>
    <row r="555" spans="1:18" ht="15">
      <c r="A555" s="276" t="s">
        <v>319</v>
      </c>
      <c r="B555" s="395">
        <v>465180</v>
      </c>
      <c r="C555" s="304">
        <v>3037.36</v>
      </c>
      <c r="D555" s="305">
        <v>577.52</v>
      </c>
      <c r="E555" s="307">
        <v>266.73</v>
      </c>
      <c r="F555" s="308"/>
      <c r="G555" s="305"/>
      <c r="H555" s="307"/>
      <c r="I555" s="308"/>
      <c r="J555" s="309"/>
      <c r="K555" s="307"/>
      <c r="L555" s="308"/>
      <c r="M555" s="309"/>
      <c r="N555" s="306"/>
      <c r="O555" s="377">
        <v>3447</v>
      </c>
      <c r="P555" s="305">
        <f t="shared" ref="P555:P565" si="62">D555+G555+J555+M555+(2.25*R555)</f>
        <v>703.52</v>
      </c>
      <c r="Q555" s="378">
        <f t="shared" si="61"/>
        <v>4.8996474869229019</v>
      </c>
      <c r="R555" s="396">
        <v>56</v>
      </c>
    </row>
    <row r="556" spans="1:18" ht="15">
      <c r="A556" s="276" t="s">
        <v>322</v>
      </c>
      <c r="B556" s="395">
        <v>465181</v>
      </c>
      <c r="C556" s="304">
        <v>1237.31</v>
      </c>
      <c r="D556" s="305">
        <v>245.49</v>
      </c>
      <c r="E556" s="307">
        <v>75.84</v>
      </c>
      <c r="F556" s="308"/>
      <c r="G556" s="305"/>
      <c r="H556" s="307"/>
      <c r="I556" s="308"/>
      <c r="J556" s="309"/>
      <c r="K556" s="307"/>
      <c r="L556" s="308"/>
      <c r="M556" s="309"/>
      <c r="N556" s="306"/>
      <c r="O556" s="377">
        <v>1280</v>
      </c>
      <c r="P556" s="305">
        <f t="shared" si="62"/>
        <v>420.99</v>
      </c>
      <c r="Q556" s="378">
        <f t="shared" si="61"/>
        <v>3.0404522672747571</v>
      </c>
      <c r="R556" s="396">
        <v>78</v>
      </c>
    </row>
    <row r="557" spans="1:18" ht="15">
      <c r="A557" s="276"/>
      <c r="B557" s="395">
        <v>465182</v>
      </c>
      <c r="C557" s="304"/>
      <c r="D557" s="305"/>
      <c r="E557" s="307"/>
      <c r="F557" s="308"/>
      <c r="G557" s="305"/>
      <c r="H557" s="307"/>
      <c r="I557" s="308"/>
      <c r="J557" s="309"/>
      <c r="K557" s="307"/>
      <c r="L557" s="308"/>
      <c r="M557" s="309"/>
      <c r="N557" s="306"/>
      <c r="O557" s="377"/>
      <c r="P557" s="305">
        <f t="shared" si="62"/>
        <v>101.25</v>
      </c>
      <c r="Q557" s="378">
        <f t="shared" si="61"/>
        <v>0</v>
      </c>
      <c r="R557" s="396">
        <v>45</v>
      </c>
    </row>
    <row r="558" spans="1:18" ht="15">
      <c r="A558" s="276" t="s">
        <v>88</v>
      </c>
      <c r="B558" s="395">
        <v>465183</v>
      </c>
      <c r="C558" s="304">
        <v>1679.58</v>
      </c>
      <c r="D558" s="305">
        <v>349.02</v>
      </c>
      <c r="E558" s="307">
        <v>105.5</v>
      </c>
      <c r="F558" s="308"/>
      <c r="G558" s="305"/>
      <c r="H558" s="307"/>
      <c r="I558" s="308"/>
      <c r="J558" s="309"/>
      <c r="K558" s="307"/>
      <c r="L558" s="308"/>
      <c r="M558" s="309"/>
      <c r="N558" s="306"/>
      <c r="O558" s="377">
        <v>1914</v>
      </c>
      <c r="P558" s="305">
        <f t="shared" si="62"/>
        <v>513.27</v>
      </c>
      <c r="Q558" s="378">
        <f t="shared" si="61"/>
        <v>3.7290315038868433</v>
      </c>
      <c r="R558" s="396">
        <v>73</v>
      </c>
    </row>
    <row r="559" spans="1:18" ht="15">
      <c r="A559" s="359" t="s">
        <v>40</v>
      </c>
      <c r="B559" s="395">
        <v>465184</v>
      </c>
      <c r="C559" s="304">
        <v>3917.24</v>
      </c>
      <c r="D559" s="305">
        <v>779.63</v>
      </c>
      <c r="E559" s="307">
        <v>58.65</v>
      </c>
      <c r="F559" s="308"/>
      <c r="G559" s="305"/>
      <c r="H559" s="307"/>
      <c r="I559" s="308"/>
      <c r="J559" s="309"/>
      <c r="K559" s="307"/>
      <c r="L559" s="308"/>
      <c r="M559" s="309"/>
      <c r="N559" s="306"/>
      <c r="O559" s="377">
        <v>4187</v>
      </c>
      <c r="P559" s="305">
        <f t="shared" si="62"/>
        <v>849.38</v>
      </c>
      <c r="Q559" s="378">
        <f t="shared" si="61"/>
        <v>4.929477972167934</v>
      </c>
      <c r="R559" s="396">
        <v>31</v>
      </c>
    </row>
    <row r="560" spans="1:18" ht="15">
      <c r="A560" s="276" t="s">
        <v>75</v>
      </c>
      <c r="B560" s="395">
        <v>465185</v>
      </c>
      <c r="C560" s="304">
        <v>2829.11</v>
      </c>
      <c r="D560" s="305">
        <v>582.71</v>
      </c>
      <c r="E560" s="307">
        <v>179.01</v>
      </c>
      <c r="F560" s="308"/>
      <c r="G560" s="305"/>
      <c r="H560" s="307"/>
      <c r="I560" s="308"/>
      <c r="J560" s="309"/>
      <c r="K560" s="307"/>
      <c r="L560" s="308"/>
      <c r="M560" s="309"/>
      <c r="N560" s="306"/>
      <c r="O560" s="377">
        <v>2952</v>
      </c>
      <c r="P560" s="305">
        <f t="shared" si="62"/>
        <v>674.96</v>
      </c>
      <c r="Q560" s="378">
        <f t="shared" si="61"/>
        <v>4.3735925091857295</v>
      </c>
      <c r="R560" s="396">
        <v>41</v>
      </c>
    </row>
    <row r="561" spans="1:18" ht="15">
      <c r="A561" s="276" t="s">
        <v>329</v>
      </c>
      <c r="B561" s="395">
        <v>465186</v>
      </c>
      <c r="C561" s="304">
        <v>441.8</v>
      </c>
      <c r="D561" s="305">
        <v>107.29</v>
      </c>
      <c r="E561" s="307">
        <v>0</v>
      </c>
      <c r="F561" s="308"/>
      <c r="G561" s="305"/>
      <c r="H561" s="307"/>
      <c r="I561" s="308"/>
      <c r="J561" s="309"/>
      <c r="K561" s="307"/>
      <c r="L561" s="308"/>
      <c r="M561" s="309"/>
      <c r="N561" s="306"/>
      <c r="O561" s="377"/>
      <c r="P561" s="305">
        <f t="shared" si="62"/>
        <v>219.79000000000002</v>
      </c>
      <c r="Q561" s="378">
        <f t="shared" si="61"/>
        <v>0</v>
      </c>
      <c r="R561" s="396">
        <v>50</v>
      </c>
    </row>
    <row r="562" spans="1:18" ht="15">
      <c r="A562" s="276" t="s">
        <v>192</v>
      </c>
      <c r="B562" s="395">
        <v>465187</v>
      </c>
      <c r="C562" s="304">
        <v>3133.84</v>
      </c>
      <c r="D562" s="305">
        <v>641.61</v>
      </c>
      <c r="E562" s="307">
        <v>94.09</v>
      </c>
      <c r="F562" s="308"/>
      <c r="G562" s="305"/>
      <c r="H562" s="307"/>
      <c r="I562" s="308"/>
      <c r="J562" s="309"/>
      <c r="K562" s="307"/>
      <c r="L562" s="308"/>
      <c r="M562" s="309"/>
      <c r="N562" s="306"/>
      <c r="O562" s="377">
        <v>3056</v>
      </c>
      <c r="P562" s="305">
        <f t="shared" si="62"/>
        <v>742.86</v>
      </c>
      <c r="Q562" s="378">
        <f t="shared" si="61"/>
        <v>4.1138303314218021</v>
      </c>
      <c r="R562" s="396">
        <v>45</v>
      </c>
    </row>
    <row r="563" spans="1:18" ht="15">
      <c r="A563" s="276" t="s">
        <v>14</v>
      </c>
      <c r="B563" s="395">
        <v>465188</v>
      </c>
      <c r="C563" s="304">
        <v>4613.6099999999997</v>
      </c>
      <c r="D563" s="305">
        <v>881.28</v>
      </c>
      <c r="E563" s="307">
        <v>270.27</v>
      </c>
      <c r="F563" s="308"/>
      <c r="G563" s="305"/>
      <c r="H563" s="307"/>
      <c r="I563" s="308"/>
      <c r="J563" s="309"/>
      <c r="K563" s="307"/>
      <c r="L563" s="308"/>
      <c r="M563" s="309"/>
      <c r="N563" s="306"/>
      <c r="O563" s="377">
        <v>4727</v>
      </c>
      <c r="P563" s="305">
        <f t="shared" si="62"/>
        <v>937.53</v>
      </c>
      <c r="Q563" s="378">
        <f t="shared" si="61"/>
        <v>5.041971990229646</v>
      </c>
      <c r="R563" s="396">
        <v>25</v>
      </c>
    </row>
    <row r="564" spans="1:18" ht="15">
      <c r="A564" s="276"/>
      <c r="B564" s="395">
        <v>465189</v>
      </c>
      <c r="C564" s="304"/>
      <c r="D564" s="305"/>
      <c r="E564" s="307"/>
      <c r="F564" s="308"/>
      <c r="G564" s="305"/>
      <c r="H564" s="307"/>
      <c r="I564" s="308"/>
      <c r="J564" s="309"/>
      <c r="K564" s="307"/>
      <c r="L564" s="308"/>
      <c r="M564" s="309"/>
      <c r="N564" s="306"/>
      <c r="O564" s="377"/>
      <c r="P564" s="305">
        <f t="shared" si="62"/>
        <v>42.75</v>
      </c>
      <c r="Q564" s="378">
        <f t="shared" si="61"/>
        <v>0</v>
      </c>
      <c r="R564" s="396">
        <v>19</v>
      </c>
    </row>
    <row r="565" spans="1:18" ht="15">
      <c r="A565" s="384" t="s">
        <v>901</v>
      </c>
      <c r="B565" s="395">
        <v>1650</v>
      </c>
      <c r="C565" s="304">
        <v>499.53</v>
      </c>
      <c r="D565" s="305">
        <v>98.16</v>
      </c>
      <c r="E565" s="307">
        <v>31.41</v>
      </c>
      <c r="F565" s="308"/>
      <c r="G565" s="305"/>
      <c r="H565" s="307"/>
      <c r="I565" s="308"/>
      <c r="J565" s="309"/>
      <c r="K565" s="307"/>
      <c r="L565" s="308"/>
      <c r="M565" s="309"/>
      <c r="N565" s="306"/>
      <c r="O565" s="377"/>
      <c r="P565" s="305">
        <f t="shared" si="62"/>
        <v>138.66</v>
      </c>
      <c r="Q565" s="378">
        <f t="shared" si="61"/>
        <v>0</v>
      </c>
      <c r="R565" s="396">
        <v>18</v>
      </c>
    </row>
    <row r="566" spans="1:18" ht="15">
      <c r="A566" s="284" t="s">
        <v>1030</v>
      </c>
      <c r="B566" s="397" t="s">
        <v>362</v>
      </c>
      <c r="C566" s="315"/>
      <c r="D566" s="316"/>
      <c r="E566" s="317"/>
      <c r="F566" s="386"/>
      <c r="G566" s="316"/>
      <c r="H566" s="317"/>
      <c r="I566" s="387"/>
      <c r="J566" s="316"/>
      <c r="K566" s="317"/>
      <c r="L566" s="387"/>
      <c r="M566" s="320"/>
      <c r="N566" s="388"/>
      <c r="O566" s="389"/>
      <c r="P566" s="316">
        <f>D566+G566+J566+M566+(2*R566)</f>
        <v>0</v>
      </c>
      <c r="Q566" s="390" t="e">
        <f t="shared" si="61"/>
        <v>#DIV/0!</v>
      </c>
      <c r="R566" s="391"/>
    </row>
    <row r="567" spans="1:18" ht="13">
      <c r="A567" s="470" t="s">
        <v>860</v>
      </c>
      <c r="B567" s="471"/>
      <c r="C567" s="324" t="s">
        <v>676</v>
      </c>
      <c r="D567" s="325" t="s">
        <v>861</v>
      </c>
      <c r="E567" s="355" t="s">
        <v>862</v>
      </c>
      <c r="F567" s="324" t="s">
        <v>676</v>
      </c>
      <c r="G567" s="325" t="s">
        <v>861</v>
      </c>
      <c r="H567" s="355" t="s">
        <v>862</v>
      </c>
      <c r="I567" s="324" t="s">
        <v>676</v>
      </c>
      <c r="J567" s="325" t="s">
        <v>861</v>
      </c>
      <c r="K567" s="355" t="s">
        <v>862</v>
      </c>
      <c r="L567" s="324" t="s">
        <v>676</v>
      </c>
      <c r="M567" s="325" t="s">
        <v>861</v>
      </c>
      <c r="N567" s="355" t="s">
        <v>862</v>
      </c>
      <c r="O567" s="324" t="s">
        <v>881</v>
      </c>
      <c r="P567" s="325" t="s">
        <v>861</v>
      </c>
      <c r="Q567" s="325" t="s">
        <v>865</v>
      </c>
      <c r="R567" s="392" t="s">
        <v>1031</v>
      </c>
    </row>
    <row r="568" spans="1:18" ht="13">
      <c r="A568" s="470" t="s">
        <v>863</v>
      </c>
      <c r="B568" s="471"/>
      <c r="C568" s="326">
        <f>SUM(C545:C565)+SUM(F545:F565)+SUM(I545:I565)</f>
        <v>36266.31</v>
      </c>
      <c r="D568" s="327">
        <f>SUM(D545:D564)+SUM(G545:G564)+SUM(J545:J564)+SUM(M545:M564)</f>
        <v>7073.6699999999992</v>
      </c>
      <c r="E568" s="328">
        <f>SUM(E545:E564)</f>
        <v>1601.6799999999998</v>
      </c>
      <c r="F568" s="329"/>
      <c r="G568" s="329"/>
      <c r="H568" s="329"/>
      <c r="I568" s="329"/>
      <c r="J568" s="329"/>
      <c r="K568" s="329"/>
      <c r="L568" s="329"/>
      <c r="M568" s="329"/>
      <c r="N568" s="329"/>
      <c r="O568" s="329"/>
      <c r="P568" s="329"/>
      <c r="Q568" s="329"/>
    </row>
    <row r="570" spans="1:18" ht="13">
      <c r="A570" s="472" t="s">
        <v>1036</v>
      </c>
      <c r="B570" s="466"/>
      <c r="C570" s="466"/>
      <c r="D570" s="466"/>
      <c r="E570" s="466"/>
      <c r="F570" s="466"/>
      <c r="G570" s="466"/>
      <c r="H570" s="466"/>
      <c r="I570" s="466"/>
      <c r="J570" s="466"/>
      <c r="K570" s="466"/>
      <c r="L570" s="466"/>
      <c r="M570" s="466"/>
      <c r="N570" s="466"/>
      <c r="O570" s="466"/>
      <c r="P570" s="466"/>
      <c r="Q570" s="466"/>
      <c r="R570" s="466"/>
    </row>
    <row r="571" spans="1:18" ht="13">
      <c r="A571" s="356" t="s">
        <v>849</v>
      </c>
      <c r="B571" s="287" t="s">
        <v>1</v>
      </c>
      <c r="C571" s="473" t="s">
        <v>850</v>
      </c>
      <c r="D571" s="466"/>
      <c r="E571" s="467"/>
      <c r="F571" s="465" t="s">
        <v>852</v>
      </c>
      <c r="G571" s="466"/>
      <c r="H571" s="467"/>
      <c r="I571" s="465" t="s">
        <v>1013</v>
      </c>
      <c r="J571" s="466"/>
      <c r="K571" s="467"/>
      <c r="L571" s="465" t="s">
        <v>852</v>
      </c>
      <c r="M571" s="466"/>
      <c r="N571" s="467"/>
      <c r="O571" s="468" t="s">
        <v>865</v>
      </c>
      <c r="P571" s="463"/>
      <c r="Q571" s="464"/>
      <c r="R571" s="287" t="s">
        <v>1028</v>
      </c>
    </row>
    <row r="572" spans="1:18" ht="15">
      <c r="A572" s="398" t="s">
        <v>349</v>
      </c>
      <c r="B572" s="393">
        <v>352368</v>
      </c>
      <c r="C572" s="294">
        <v>2181.85</v>
      </c>
      <c r="D572" s="295">
        <v>472</v>
      </c>
      <c r="E572" s="297">
        <v>98.55</v>
      </c>
      <c r="F572" s="349"/>
      <c r="G572" s="295"/>
      <c r="H572" s="297"/>
      <c r="I572" s="349"/>
      <c r="J572" s="295"/>
      <c r="K572" s="297"/>
      <c r="L572" s="349"/>
      <c r="M572" s="301"/>
      <c r="N572" s="366"/>
      <c r="O572" s="343">
        <v>0.1</v>
      </c>
      <c r="P572" s="295">
        <f t="shared" ref="P572:P581" si="63">D572+G572+J572+M572+(2.2*R572)</f>
        <v>582</v>
      </c>
      <c r="Q572" s="375">
        <f t="shared" ref="Q572:Q593" si="64">O572/P572</f>
        <v>1.7182130584192441E-4</v>
      </c>
      <c r="R572" s="394">
        <v>50</v>
      </c>
    </row>
    <row r="573" spans="1:18" ht="15">
      <c r="A573" s="399" t="s">
        <v>355</v>
      </c>
      <c r="B573" s="395">
        <v>352371</v>
      </c>
      <c r="C573" s="304">
        <v>1395.45</v>
      </c>
      <c r="D573" s="305">
        <v>314.75</v>
      </c>
      <c r="E573" s="307">
        <v>98.06</v>
      </c>
      <c r="F573" s="308"/>
      <c r="G573" s="305"/>
      <c r="H573" s="307"/>
      <c r="I573" s="308"/>
      <c r="J573" s="309"/>
      <c r="K573" s="307"/>
      <c r="L573" s="308"/>
      <c r="M573" s="309"/>
      <c r="N573" s="366"/>
      <c r="O573" s="343">
        <v>1761.5</v>
      </c>
      <c r="P573" s="305">
        <f t="shared" si="63"/>
        <v>451.15</v>
      </c>
      <c r="Q573" s="378">
        <f t="shared" si="64"/>
        <v>3.9044663637371166</v>
      </c>
      <c r="R573" s="396">
        <v>62</v>
      </c>
    </row>
    <row r="574" spans="1:18" ht="15">
      <c r="A574" s="276" t="s">
        <v>975</v>
      </c>
      <c r="B574" s="395">
        <v>352372</v>
      </c>
      <c r="C574" s="304"/>
      <c r="D574" s="305"/>
      <c r="E574" s="307"/>
      <c r="F574" s="308"/>
      <c r="G574" s="305"/>
      <c r="H574" s="307"/>
      <c r="I574" s="308"/>
      <c r="J574" s="309"/>
      <c r="K574" s="307"/>
      <c r="L574" s="308"/>
      <c r="M574" s="309"/>
      <c r="N574" s="366"/>
      <c r="O574" s="343"/>
      <c r="P574" s="305">
        <f t="shared" si="63"/>
        <v>94.600000000000009</v>
      </c>
      <c r="Q574" s="378">
        <f t="shared" si="64"/>
        <v>0</v>
      </c>
      <c r="R574" s="396">
        <v>43</v>
      </c>
    </row>
    <row r="575" spans="1:18" ht="15">
      <c r="A575" s="400" t="s">
        <v>347</v>
      </c>
      <c r="B575" s="395">
        <v>352373</v>
      </c>
      <c r="C575" s="304">
        <v>2339.9</v>
      </c>
      <c r="D575" s="305">
        <v>453.48</v>
      </c>
      <c r="E575" s="307">
        <v>81.88</v>
      </c>
      <c r="F575" s="308"/>
      <c r="G575" s="305"/>
      <c r="H575" s="307"/>
      <c r="I575" s="308"/>
      <c r="J575" s="309"/>
      <c r="K575" s="307"/>
      <c r="L575" s="308"/>
      <c r="M575" s="309"/>
      <c r="N575" s="366"/>
      <c r="O575" s="343">
        <v>3480.5</v>
      </c>
      <c r="P575" s="305">
        <f t="shared" si="63"/>
        <v>578.88</v>
      </c>
      <c r="Q575" s="378">
        <f t="shared" si="64"/>
        <v>6.012472360420122</v>
      </c>
      <c r="R575" s="396">
        <v>57</v>
      </c>
    </row>
    <row r="576" spans="1:18" ht="15">
      <c r="A576" s="276" t="s">
        <v>191</v>
      </c>
      <c r="B576" s="395">
        <v>352374</v>
      </c>
      <c r="C576" s="366">
        <v>365.89</v>
      </c>
      <c r="D576" s="305">
        <v>83.16</v>
      </c>
      <c r="E576" s="366">
        <v>0</v>
      </c>
      <c r="F576" s="308"/>
      <c r="G576" s="305"/>
      <c r="H576" s="307"/>
      <c r="I576" s="308"/>
      <c r="J576" s="309"/>
      <c r="K576" s="307"/>
      <c r="L576" s="308"/>
      <c r="M576" s="309"/>
      <c r="N576" s="366"/>
      <c r="O576" s="343">
        <v>0.1</v>
      </c>
      <c r="P576" s="305">
        <f t="shared" si="63"/>
        <v>217.36</v>
      </c>
      <c r="Q576" s="378">
        <f t="shared" si="64"/>
        <v>4.6006624953993377E-4</v>
      </c>
      <c r="R576" s="396">
        <v>61</v>
      </c>
    </row>
    <row r="577" spans="1:18" ht="15">
      <c r="A577" s="276"/>
      <c r="B577" s="395">
        <v>352375</v>
      </c>
      <c r="C577" s="366"/>
      <c r="D577" s="305"/>
      <c r="E577" s="366"/>
      <c r="F577" s="308"/>
      <c r="G577" s="305"/>
      <c r="H577" s="307"/>
      <c r="I577" s="308"/>
      <c r="J577" s="309"/>
      <c r="K577" s="307"/>
      <c r="L577" s="308"/>
      <c r="M577" s="309"/>
      <c r="N577" s="366"/>
      <c r="O577" s="343">
        <v>2.2999999999999998</v>
      </c>
      <c r="P577" s="305">
        <f t="shared" si="63"/>
        <v>116.60000000000001</v>
      </c>
      <c r="Q577" s="378">
        <f t="shared" si="64"/>
        <v>1.9725557461406515E-2</v>
      </c>
      <c r="R577" s="396">
        <v>53</v>
      </c>
    </row>
    <row r="578" spans="1:18" ht="15">
      <c r="A578" s="276" t="s">
        <v>62</v>
      </c>
      <c r="B578" s="395">
        <v>352376</v>
      </c>
      <c r="C578" s="366">
        <v>3196.98</v>
      </c>
      <c r="D578" s="305">
        <v>652.69000000000005</v>
      </c>
      <c r="E578" s="366">
        <v>150.4</v>
      </c>
      <c r="F578" s="308"/>
      <c r="G578" s="305"/>
      <c r="H578" s="307"/>
      <c r="I578" s="308"/>
      <c r="J578" s="309"/>
      <c r="K578" s="307"/>
      <c r="L578" s="308"/>
      <c r="M578" s="309"/>
      <c r="N578" s="366"/>
      <c r="O578" s="343">
        <v>4429.3999999999996</v>
      </c>
      <c r="P578" s="305">
        <f t="shared" si="63"/>
        <v>734.09</v>
      </c>
      <c r="Q578" s="378">
        <f t="shared" si="64"/>
        <v>6.0338650574180273</v>
      </c>
      <c r="R578" s="396">
        <v>37</v>
      </c>
    </row>
    <row r="579" spans="1:18" ht="15">
      <c r="A579" s="276" t="s">
        <v>370</v>
      </c>
      <c r="B579" s="395" t="s">
        <v>1037</v>
      </c>
      <c r="C579" s="366">
        <v>771.13</v>
      </c>
      <c r="D579" s="305">
        <v>156.34</v>
      </c>
      <c r="E579" s="366">
        <v>46.89</v>
      </c>
      <c r="F579" s="308"/>
      <c r="G579" s="305"/>
      <c r="H579" s="307"/>
      <c r="I579" s="308"/>
      <c r="J579" s="309"/>
      <c r="K579" s="307"/>
      <c r="L579" s="308"/>
      <c r="M579" s="309"/>
      <c r="N579" s="366"/>
      <c r="O579" s="343">
        <v>844.8</v>
      </c>
      <c r="P579" s="305">
        <f t="shared" si="63"/>
        <v>266.34000000000003</v>
      </c>
      <c r="Q579" s="378">
        <f t="shared" si="64"/>
        <v>3.1718855598107676</v>
      </c>
      <c r="R579" s="396">
        <v>50</v>
      </c>
    </row>
    <row r="580" spans="1:18" ht="15">
      <c r="A580" s="276" t="s">
        <v>315</v>
      </c>
      <c r="B580" s="395">
        <v>359885</v>
      </c>
      <c r="C580" s="366">
        <v>2274.69</v>
      </c>
      <c r="D580" s="305">
        <v>484.23</v>
      </c>
      <c r="E580" s="366">
        <v>68.150000000000006</v>
      </c>
      <c r="F580" s="308"/>
      <c r="G580" s="305"/>
      <c r="H580" s="307"/>
      <c r="I580" s="308"/>
      <c r="J580" s="309"/>
      <c r="K580" s="307"/>
      <c r="L580" s="308"/>
      <c r="M580" s="309"/>
      <c r="N580" s="366"/>
      <c r="O580" s="343">
        <v>2543.1999999999998</v>
      </c>
      <c r="P580" s="305">
        <f t="shared" si="63"/>
        <v>567.83000000000004</v>
      </c>
      <c r="Q580" s="378">
        <f t="shared" si="64"/>
        <v>4.4788052762270389</v>
      </c>
      <c r="R580" s="396">
        <v>38</v>
      </c>
    </row>
    <row r="581" spans="1:18" ht="15">
      <c r="A581" s="357" t="s">
        <v>308</v>
      </c>
      <c r="B581" s="395">
        <v>359886</v>
      </c>
      <c r="C581" s="366">
        <v>2800.6</v>
      </c>
      <c r="D581" s="305">
        <v>599.28</v>
      </c>
      <c r="E581" s="366">
        <v>89.09</v>
      </c>
      <c r="F581" s="308"/>
      <c r="G581" s="305"/>
      <c r="H581" s="307"/>
      <c r="I581" s="308"/>
      <c r="J581" s="309"/>
      <c r="K581" s="307"/>
      <c r="L581" s="308"/>
      <c r="M581" s="309"/>
      <c r="N581" s="366"/>
      <c r="O581" s="343">
        <v>4028.6</v>
      </c>
      <c r="P581" s="305">
        <f t="shared" si="63"/>
        <v>720.28</v>
      </c>
      <c r="Q581" s="378">
        <f t="shared" si="64"/>
        <v>5.5931026822902208</v>
      </c>
      <c r="R581" s="396">
        <v>55</v>
      </c>
    </row>
    <row r="582" spans="1:18" ht="15">
      <c r="A582" s="276" t="s">
        <v>319</v>
      </c>
      <c r="B582" s="395">
        <v>465180</v>
      </c>
      <c r="C582" s="366">
        <v>2931.17</v>
      </c>
      <c r="D582" s="305">
        <v>588.70000000000005</v>
      </c>
      <c r="E582" s="366">
        <v>204.39</v>
      </c>
      <c r="F582" s="308"/>
      <c r="G582" s="305"/>
      <c r="H582" s="307"/>
      <c r="I582" s="308"/>
      <c r="J582" s="309"/>
      <c r="K582" s="307"/>
      <c r="L582" s="308"/>
      <c r="M582" s="309"/>
      <c r="N582" s="366"/>
      <c r="O582" s="343">
        <v>4796.3</v>
      </c>
      <c r="P582" s="305">
        <f>D582+G582+J582+M582+(2.25*R582)</f>
        <v>813.7</v>
      </c>
      <c r="Q582" s="378">
        <f t="shared" si="64"/>
        <v>5.8944328376551551</v>
      </c>
      <c r="R582" s="396">
        <v>100</v>
      </c>
    </row>
    <row r="583" spans="1:18" ht="15">
      <c r="A583" s="276" t="s">
        <v>322</v>
      </c>
      <c r="B583" s="395">
        <v>465181</v>
      </c>
      <c r="C583" s="305">
        <v>3544.69</v>
      </c>
      <c r="D583" s="305">
        <v>735.5</v>
      </c>
      <c r="E583" s="366">
        <v>219.75</v>
      </c>
      <c r="F583" s="308"/>
      <c r="G583" s="305"/>
      <c r="H583" s="307"/>
      <c r="I583" s="308"/>
      <c r="J583" s="309"/>
      <c r="K583" s="307"/>
      <c r="L583" s="308"/>
      <c r="M583" s="309"/>
      <c r="N583" s="366"/>
      <c r="O583" s="343">
        <v>4414</v>
      </c>
      <c r="P583" s="305">
        <f>C583+G583+J583+M583+(2.25*R583)</f>
        <v>3645.94</v>
      </c>
      <c r="Q583" s="378">
        <f t="shared" si="64"/>
        <v>1.2106617223541802</v>
      </c>
      <c r="R583" s="396">
        <v>45</v>
      </c>
    </row>
    <row r="584" spans="1:18" ht="15">
      <c r="A584" s="276"/>
      <c r="B584" s="395">
        <v>465182</v>
      </c>
      <c r="C584" s="366"/>
      <c r="D584" s="305"/>
      <c r="E584" s="366"/>
      <c r="F584" s="308"/>
      <c r="G584" s="305"/>
      <c r="H584" s="307"/>
      <c r="I584" s="308"/>
      <c r="J584" s="309"/>
      <c r="K584" s="307"/>
      <c r="L584" s="308"/>
      <c r="M584" s="309"/>
      <c r="N584" s="366"/>
      <c r="O584" s="343">
        <v>26.9</v>
      </c>
      <c r="P584" s="305">
        <f>D583+G584+J584+M584+(2.25*R584)</f>
        <v>832.25</v>
      </c>
      <c r="Q584" s="378">
        <f t="shared" si="64"/>
        <v>3.2322018624211475E-2</v>
      </c>
      <c r="R584" s="396">
        <v>43</v>
      </c>
    </row>
    <row r="585" spans="1:18" ht="15">
      <c r="A585" s="276" t="s">
        <v>88</v>
      </c>
      <c r="B585" s="395">
        <v>465183</v>
      </c>
      <c r="C585" s="366">
        <v>3202.63</v>
      </c>
      <c r="D585" s="305">
        <v>649.97</v>
      </c>
      <c r="E585" s="366">
        <v>370.98</v>
      </c>
      <c r="F585" s="308"/>
      <c r="G585" s="305"/>
      <c r="H585" s="307"/>
      <c r="I585" s="308"/>
      <c r="J585" s="309"/>
      <c r="K585" s="307"/>
      <c r="L585" s="308"/>
      <c r="M585" s="309"/>
      <c r="N585" s="366"/>
      <c r="O585" s="343">
        <v>4367.2</v>
      </c>
      <c r="P585" s="305">
        <f t="shared" ref="P585:P592" si="65">D585+G585+J585+M585+(2.25*R585)</f>
        <v>816.47</v>
      </c>
      <c r="Q585" s="378">
        <f t="shared" si="64"/>
        <v>5.3488799343515376</v>
      </c>
      <c r="R585" s="396">
        <v>74</v>
      </c>
    </row>
    <row r="586" spans="1:18" ht="15">
      <c r="A586" s="359" t="s">
        <v>40</v>
      </c>
      <c r="B586" s="395">
        <v>465184</v>
      </c>
      <c r="C586" s="366">
        <v>3290.67</v>
      </c>
      <c r="D586" s="305">
        <v>691.61</v>
      </c>
      <c r="E586" s="366">
        <v>65.87</v>
      </c>
      <c r="F586" s="308"/>
      <c r="G586" s="305"/>
      <c r="H586" s="307"/>
      <c r="I586" s="308"/>
      <c r="J586" s="309"/>
      <c r="K586" s="307"/>
      <c r="L586" s="308"/>
      <c r="M586" s="309"/>
      <c r="N586" s="366"/>
      <c r="O586" s="343">
        <v>4749.2</v>
      </c>
      <c r="P586" s="305">
        <f t="shared" si="65"/>
        <v>916.61</v>
      </c>
      <c r="Q586" s="378">
        <f t="shared" si="64"/>
        <v>5.1812657509736963</v>
      </c>
      <c r="R586" s="396">
        <v>100</v>
      </c>
    </row>
    <row r="587" spans="1:18" ht="15">
      <c r="A587" s="276" t="s">
        <v>75</v>
      </c>
      <c r="B587" s="395">
        <v>465185</v>
      </c>
      <c r="C587" s="366">
        <v>3164.07</v>
      </c>
      <c r="D587" s="305">
        <v>639.78</v>
      </c>
      <c r="E587" s="366">
        <v>195.84</v>
      </c>
      <c r="F587" s="308"/>
      <c r="G587" s="305"/>
      <c r="H587" s="307"/>
      <c r="I587" s="308"/>
      <c r="J587" s="309"/>
      <c r="K587" s="307"/>
      <c r="L587" s="308"/>
      <c r="M587" s="309"/>
      <c r="N587" s="366"/>
      <c r="O587" s="343">
        <v>4215.2</v>
      </c>
      <c r="P587" s="305">
        <f t="shared" si="65"/>
        <v>864.78</v>
      </c>
      <c r="Q587" s="378">
        <f t="shared" si="64"/>
        <v>4.8743032910104303</v>
      </c>
      <c r="R587" s="396">
        <v>100</v>
      </c>
    </row>
    <row r="588" spans="1:18" ht="15">
      <c r="A588" s="276" t="s">
        <v>329</v>
      </c>
      <c r="B588" s="395">
        <v>465186</v>
      </c>
      <c r="C588" s="401"/>
      <c r="D588" s="305"/>
      <c r="E588" s="366"/>
      <c r="F588" s="308"/>
      <c r="G588" s="305"/>
      <c r="H588" s="307"/>
      <c r="I588" s="308"/>
      <c r="J588" s="309"/>
      <c r="K588" s="307"/>
      <c r="L588" s="308"/>
      <c r="M588" s="309"/>
      <c r="N588" s="366"/>
      <c r="O588" s="343"/>
      <c r="P588" s="305">
        <f t="shared" si="65"/>
        <v>22.5</v>
      </c>
      <c r="Q588" s="378">
        <f t="shared" si="64"/>
        <v>0</v>
      </c>
      <c r="R588" s="396">
        <v>10</v>
      </c>
    </row>
    <row r="589" spans="1:18" ht="15">
      <c r="A589" s="276" t="s">
        <v>192</v>
      </c>
      <c r="B589" s="395">
        <v>465187</v>
      </c>
      <c r="C589" s="366">
        <v>3015.81</v>
      </c>
      <c r="D589" s="305">
        <v>591.96</v>
      </c>
      <c r="E589" s="366">
        <v>182.72</v>
      </c>
      <c r="F589" s="308"/>
      <c r="G589" s="305"/>
      <c r="H589" s="307"/>
      <c r="I589" s="308"/>
      <c r="J589" s="309"/>
      <c r="K589" s="307"/>
      <c r="L589" s="308"/>
      <c r="M589" s="309"/>
      <c r="N589" s="366"/>
      <c r="O589" s="343">
        <v>4306.3</v>
      </c>
      <c r="P589" s="305">
        <f t="shared" si="65"/>
        <v>816.96</v>
      </c>
      <c r="Q589" s="378">
        <f t="shared" si="64"/>
        <v>5.2711271053662356</v>
      </c>
      <c r="R589" s="396">
        <v>100</v>
      </c>
    </row>
    <row r="590" spans="1:18" ht="15">
      <c r="A590" s="276" t="s">
        <v>14</v>
      </c>
      <c r="B590" s="395">
        <v>465188</v>
      </c>
      <c r="C590" s="366">
        <v>3016.17</v>
      </c>
      <c r="D590" s="305">
        <v>642.54999999999995</v>
      </c>
      <c r="E590" s="366">
        <v>200.04</v>
      </c>
      <c r="F590" s="308"/>
      <c r="G590" s="305"/>
      <c r="H590" s="307"/>
      <c r="I590" s="308"/>
      <c r="J590" s="309"/>
      <c r="K590" s="307"/>
      <c r="L590" s="308"/>
      <c r="M590" s="309"/>
      <c r="N590" s="366"/>
      <c r="O590" s="343">
        <v>4073.1</v>
      </c>
      <c r="P590" s="305">
        <f t="shared" si="65"/>
        <v>867.55</v>
      </c>
      <c r="Q590" s="378">
        <f t="shared" si="64"/>
        <v>4.6949455362803301</v>
      </c>
      <c r="R590" s="396">
        <v>100</v>
      </c>
    </row>
    <row r="591" spans="1:18" ht="15">
      <c r="A591" s="276"/>
      <c r="B591" s="395">
        <v>465189</v>
      </c>
      <c r="C591" s="366"/>
      <c r="D591" s="305"/>
      <c r="E591" s="366"/>
      <c r="F591" s="308"/>
      <c r="G591" s="305"/>
      <c r="H591" s="307"/>
      <c r="I591" s="308"/>
      <c r="J591" s="309"/>
      <c r="K591" s="307"/>
      <c r="L591" s="308"/>
      <c r="M591" s="309"/>
      <c r="N591" s="366"/>
      <c r="O591" s="343">
        <v>26.9</v>
      </c>
      <c r="P591" s="305">
        <f t="shared" si="65"/>
        <v>36</v>
      </c>
      <c r="Q591" s="378">
        <f t="shared" si="64"/>
        <v>0.74722222222222223</v>
      </c>
      <c r="R591" s="396">
        <v>16</v>
      </c>
    </row>
    <row r="592" spans="1:18" ht="15">
      <c r="A592" s="384" t="s">
        <v>901</v>
      </c>
      <c r="B592" s="395">
        <v>1650</v>
      </c>
      <c r="C592" s="366"/>
      <c r="D592" s="305"/>
      <c r="E592" s="366"/>
      <c r="F592" s="308"/>
      <c r="G592" s="305"/>
      <c r="H592" s="307"/>
      <c r="I592" s="308"/>
      <c r="J592" s="309"/>
      <c r="K592" s="307"/>
      <c r="L592" s="308"/>
      <c r="M592" s="309"/>
      <c r="N592" s="306"/>
      <c r="O592" s="377"/>
      <c r="P592" s="305">
        <f t="shared" si="65"/>
        <v>0</v>
      </c>
      <c r="Q592" s="378" t="e">
        <f t="shared" si="64"/>
        <v>#DIV/0!</v>
      </c>
      <c r="R592" s="396"/>
    </row>
    <row r="593" spans="1:18" ht="15">
      <c r="A593" s="284" t="s">
        <v>1030</v>
      </c>
      <c r="B593" s="397" t="s">
        <v>362</v>
      </c>
      <c r="C593" s="366"/>
      <c r="D593" s="305"/>
      <c r="E593" s="366"/>
      <c r="F593" s="386"/>
      <c r="G593" s="316"/>
      <c r="H593" s="317"/>
      <c r="I593" s="387"/>
      <c r="J593" s="316"/>
      <c r="K593" s="317"/>
      <c r="L593" s="387"/>
      <c r="M593" s="320"/>
      <c r="N593" s="388"/>
      <c r="O593" s="389"/>
      <c r="P593" s="316">
        <f>D593+G593+J593+M593+(2*R593)</f>
        <v>0</v>
      </c>
      <c r="Q593" s="390" t="e">
        <f t="shared" si="64"/>
        <v>#DIV/0!</v>
      </c>
      <c r="R593" s="391"/>
    </row>
    <row r="594" spans="1:18" ht="13">
      <c r="A594" s="470" t="s">
        <v>860</v>
      </c>
      <c r="B594" s="471"/>
      <c r="C594" s="324" t="s">
        <v>676</v>
      </c>
      <c r="D594" s="325" t="s">
        <v>861</v>
      </c>
      <c r="E594" s="355" t="s">
        <v>862</v>
      </c>
      <c r="F594" s="324" t="s">
        <v>676</v>
      </c>
      <c r="G594" s="325" t="s">
        <v>861</v>
      </c>
      <c r="H594" s="355" t="s">
        <v>862</v>
      </c>
      <c r="I594" s="324" t="s">
        <v>676</v>
      </c>
      <c r="J594" s="325" t="s">
        <v>861</v>
      </c>
      <c r="K594" s="355" t="s">
        <v>862</v>
      </c>
      <c r="L594" s="324" t="s">
        <v>676</v>
      </c>
      <c r="M594" s="325" t="s">
        <v>861</v>
      </c>
      <c r="N594" s="355" t="s">
        <v>862</v>
      </c>
      <c r="O594" s="324" t="s">
        <v>881</v>
      </c>
      <c r="P594" s="325" t="s">
        <v>861</v>
      </c>
      <c r="Q594" s="325" t="s">
        <v>865</v>
      </c>
      <c r="R594" s="392" t="s">
        <v>1031</v>
      </c>
    </row>
    <row r="595" spans="1:18" ht="13">
      <c r="A595" s="470" t="s">
        <v>863</v>
      </c>
      <c r="B595" s="471"/>
      <c r="C595" s="326">
        <f>SUM(C572:C592)+SUM(F572:F592)+SUM(I572:I592)</f>
        <v>37491.699999999997</v>
      </c>
      <c r="D595" s="327">
        <f>SUM(D572:D591)+SUM(G572:G591)+SUM(J572:J591)+SUM(M572:M591)</f>
        <v>7756</v>
      </c>
      <c r="E595" s="328">
        <f>SUM(E572:E591)</f>
        <v>2072.6099999999997</v>
      </c>
      <c r="F595" s="329"/>
      <c r="G595" s="329"/>
      <c r="H595" s="329"/>
      <c r="I595" s="329"/>
      <c r="J595" s="329"/>
      <c r="K595" s="329"/>
      <c r="L595" s="329"/>
      <c r="M595" s="329"/>
      <c r="N595" s="329"/>
      <c r="O595" s="329"/>
      <c r="P595" s="329"/>
      <c r="Q595" s="329"/>
    </row>
    <row r="597" spans="1:18" ht="13">
      <c r="A597" s="472" t="s">
        <v>1038</v>
      </c>
      <c r="B597" s="466"/>
      <c r="C597" s="466"/>
      <c r="D597" s="466"/>
      <c r="E597" s="466"/>
      <c r="F597" s="466"/>
      <c r="G597" s="466"/>
      <c r="H597" s="466"/>
      <c r="I597" s="466"/>
      <c r="J597" s="466"/>
      <c r="K597" s="466"/>
      <c r="L597" s="466"/>
      <c r="M597" s="466"/>
      <c r="N597" s="466"/>
      <c r="O597" s="466"/>
      <c r="P597" s="466"/>
      <c r="Q597" s="466"/>
      <c r="R597" s="466"/>
    </row>
    <row r="598" spans="1:18" ht="13">
      <c r="A598" s="356" t="s">
        <v>849</v>
      </c>
      <c r="B598" s="287" t="s">
        <v>1</v>
      </c>
      <c r="C598" s="473" t="s">
        <v>850</v>
      </c>
      <c r="D598" s="466"/>
      <c r="E598" s="467"/>
      <c r="F598" s="465" t="s">
        <v>852</v>
      </c>
      <c r="G598" s="466"/>
      <c r="H598" s="467"/>
      <c r="I598" s="465" t="s">
        <v>1013</v>
      </c>
      <c r="J598" s="466"/>
      <c r="K598" s="467"/>
      <c r="L598" s="465" t="s">
        <v>1039</v>
      </c>
      <c r="M598" s="466"/>
      <c r="N598" s="467"/>
      <c r="O598" s="468" t="s">
        <v>865</v>
      </c>
      <c r="P598" s="463"/>
      <c r="Q598" s="464"/>
      <c r="R598" s="287" t="s">
        <v>1028</v>
      </c>
    </row>
    <row r="599" spans="1:18" ht="13">
      <c r="A599" s="398" t="s">
        <v>349</v>
      </c>
      <c r="B599" s="393">
        <v>352368</v>
      </c>
      <c r="C599" s="294">
        <v>2061.4499999999998</v>
      </c>
      <c r="D599" s="295">
        <v>445.67</v>
      </c>
      <c r="E599" s="297">
        <v>43.04</v>
      </c>
      <c r="F599" s="349">
        <v>350</v>
      </c>
      <c r="G599" s="295"/>
      <c r="H599" s="297"/>
      <c r="I599" s="349"/>
      <c r="J599" s="295"/>
      <c r="K599" s="297"/>
      <c r="L599" s="349">
        <f>450+300</f>
        <v>750</v>
      </c>
      <c r="M599" s="301"/>
      <c r="N599" s="296"/>
      <c r="O599" s="374">
        <v>4354.8</v>
      </c>
      <c r="P599" s="295">
        <f t="shared" ref="P599:P608" si="66">D599+G599+J599+M599+(2.2*R599)</f>
        <v>555.67000000000007</v>
      </c>
      <c r="Q599" s="375">
        <f t="shared" ref="Q599:Q618" si="67">O599/P599</f>
        <v>7.8370255727320162</v>
      </c>
      <c r="R599" s="394">
        <v>50</v>
      </c>
    </row>
    <row r="600" spans="1:18" ht="15">
      <c r="A600" s="399" t="s">
        <v>355</v>
      </c>
      <c r="B600" s="395">
        <v>352371</v>
      </c>
      <c r="C600" s="304">
        <v>1220.8</v>
      </c>
      <c r="D600" s="305">
        <v>252.56</v>
      </c>
      <c r="E600" s="307">
        <v>117.52</v>
      </c>
      <c r="F600" s="308"/>
      <c r="G600" s="305"/>
      <c r="H600" s="307"/>
      <c r="I600" s="308"/>
      <c r="J600" s="309"/>
      <c r="K600" s="307"/>
      <c r="L600" s="308">
        <f>700+600</f>
        <v>1300</v>
      </c>
      <c r="M600" s="309"/>
      <c r="N600" s="306"/>
      <c r="O600" s="377">
        <v>3810.9</v>
      </c>
      <c r="P600" s="305">
        <f t="shared" si="66"/>
        <v>336.16</v>
      </c>
      <c r="Q600" s="378">
        <f t="shared" si="67"/>
        <v>11.336565920990004</v>
      </c>
      <c r="R600" s="396">
        <v>38</v>
      </c>
    </row>
    <row r="601" spans="1:18" ht="15">
      <c r="A601" s="276"/>
      <c r="B601" s="395">
        <v>352372</v>
      </c>
      <c r="C601" s="304"/>
      <c r="D601" s="305"/>
      <c r="E601" s="307"/>
      <c r="F601" s="308"/>
      <c r="G601" s="305"/>
      <c r="H601" s="307"/>
      <c r="I601" s="308"/>
      <c r="J601" s="309"/>
      <c r="K601" s="307"/>
      <c r="L601" s="308"/>
      <c r="M601" s="309"/>
      <c r="N601" s="306"/>
      <c r="O601" s="377"/>
      <c r="P601" s="305">
        <f t="shared" si="66"/>
        <v>94.600000000000009</v>
      </c>
      <c r="Q601" s="378">
        <f t="shared" si="67"/>
        <v>0</v>
      </c>
      <c r="R601" s="396">
        <v>43</v>
      </c>
    </row>
    <row r="602" spans="1:18" ht="13">
      <c r="A602" s="400" t="s">
        <v>347</v>
      </c>
      <c r="B602" s="395">
        <v>352373</v>
      </c>
      <c r="C602" s="304">
        <v>1687.3</v>
      </c>
      <c r="D602" s="305">
        <v>376.27</v>
      </c>
      <c r="E602" s="307">
        <v>109.23</v>
      </c>
      <c r="F602" s="308">
        <v>300</v>
      </c>
      <c r="G602" s="305"/>
      <c r="H602" s="307"/>
      <c r="I602" s="308"/>
      <c r="J602" s="309"/>
      <c r="K602" s="307"/>
      <c r="L602" s="308">
        <v>500</v>
      </c>
      <c r="M602" s="309"/>
      <c r="N602" s="306"/>
      <c r="O602" s="380">
        <v>3755.2</v>
      </c>
      <c r="P602" s="305">
        <f t="shared" si="66"/>
        <v>484.07</v>
      </c>
      <c r="Q602" s="378">
        <f t="shared" si="67"/>
        <v>7.7575557254116134</v>
      </c>
      <c r="R602" s="396">
        <v>49</v>
      </c>
    </row>
    <row r="603" spans="1:18" ht="13">
      <c r="A603" s="276" t="s">
        <v>191</v>
      </c>
      <c r="B603" s="395">
        <v>331466</v>
      </c>
      <c r="C603" s="304">
        <v>2626.23</v>
      </c>
      <c r="D603" s="305">
        <v>531.53</v>
      </c>
      <c r="E603" s="307">
        <v>382.95</v>
      </c>
      <c r="F603" s="308">
        <v>400</v>
      </c>
      <c r="G603" s="305"/>
      <c r="H603" s="307"/>
      <c r="I603" s="308"/>
      <c r="J603" s="309"/>
      <c r="K603" s="307"/>
      <c r="L603" s="308">
        <v>1293.2</v>
      </c>
      <c r="M603" s="309"/>
      <c r="N603" s="306"/>
      <c r="O603" s="380">
        <v>34.299999999999997</v>
      </c>
      <c r="P603" s="305">
        <f t="shared" si="66"/>
        <v>643.73</v>
      </c>
      <c r="Q603" s="378">
        <f t="shared" si="67"/>
        <v>5.3283208798719957E-2</v>
      </c>
      <c r="R603" s="396">
        <v>51</v>
      </c>
    </row>
    <row r="604" spans="1:18" ht="14">
      <c r="A604" s="276"/>
      <c r="B604" s="395">
        <v>352375</v>
      </c>
      <c r="C604" s="304"/>
      <c r="D604" s="305"/>
      <c r="E604" s="307"/>
      <c r="F604" s="308"/>
      <c r="G604" s="305"/>
      <c r="H604" s="307"/>
      <c r="I604" s="308"/>
      <c r="J604" s="309"/>
      <c r="K604" s="307"/>
      <c r="L604" s="308"/>
      <c r="M604" s="309"/>
      <c r="N604" s="306"/>
      <c r="O604" s="381"/>
      <c r="P604" s="305">
        <f t="shared" si="66"/>
        <v>116.60000000000001</v>
      </c>
      <c r="Q604" s="378">
        <f t="shared" si="67"/>
        <v>0</v>
      </c>
      <c r="R604" s="396">
        <v>53</v>
      </c>
    </row>
    <row r="605" spans="1:18" ht="15">
      <c r="A605" s="276" t="s">
        <v>62</v>
      </c>
      <c r="B605" s="395">
        <v>352376</v>
      </c>
      <c r="C605" s="304">
        <v>1378</v>
      </c>
      <c r="D605" s="305">
        <v>275.51</v>
      </c>
      <c r="E605" s="307">
        <v>180.22</v>
      </c>
      <c r="F605" s="308">
        <v>1125.26</v>
      </c>
      <c r="G605" s="305" t="s">
        <v>1040</v>
      </c>
      <c r="H605" s="307"/>
      <c r="I605" s="308"/>
      <c r="J605" s="309"/>
      <c r="K605" s="307"/>
      <c r="L605" s="308">
        <v>700</v>
      </c>
      <c r="M605" s="309"/>
      <c r="N605" s="306"/>
      <c r="O605" s="382">
        <v>4020.8</v>
      </c>
      <c r="P605" s="305" t="e">
        <f t="shared" si="66"/>
        <v>#VALUE!</v>
      </c>
      <c r="Q605" s="378" t="e">
        <f t="shared" si="67"/>
        <v>#VALUE!</v>
      </c>
      <c r="R605" s="396">
        <v>35</v>
      </c>
    </row>
    <row r="606" spans="1:18" ht="15">
      <c r="A606" s="276" t="s">
        <v>370</v>
      </c>
      <c r="B606" s="395">
        <v>352377</v>
      </c>
      <c r="C606" s="304">
        <v>1369.69</v>
      </c>
      <c r="D606" s="305">
        <v>289.24</v>
      </c>
      <c r="E606" s="307">
        <v>162.37</v>
      </c>
      <c r="F606" s="308"/>
      <c r="G606" s="305"/>
      <c r="H606" s="307"/>
      <c r="I606" s="308"/>
      <c r="J606" s="309"/>
      <c r="K606" s="307"/>
      <c r="L606" s="308">
        <v>1250</v>
      </c>
      <c r="M606" s="309"/>
      <c r="N606" s="306"/>
      <c r="O606" s="377">
        <v>3428.1</v>
      </c>
      <c r="P606" s="305">
        <f t="shared" si="66"/>
        <v>425.64</v>
      </c>
      <c r="Q606" s="378">
        <f t="shared" si="67"/>
        <v>8.0539892867211726</v>
      </c>
      <c r="R606" s="396">
        <v>62</v>
      </c>
    </row>
    <row r="607" spans="1:18" ht="15">
      <c r="A607" s="276" t="s">
        <v>345</v>
      </c>
      <c r="B607" s="395">
        <v>359885</v>
      </c>
      <c r="C607" s="304">
        <v>1398.2</v>
      </c>
      <c r="D607" s="305">
        <v>267.3</v>
      </c>
      <c r="E607" s="307">
        <v>225.86</v>
      </c>
      <c r="F607" s="308">
        <f>300</f>
        <v>300</v>
      </c>
      <c r="G607" s="305"/>
      <c r="H607" s="307"/>
      <c r="I607" s="308"/>
      <c r="J607" s="309"/>
      <c r="K607" s="307"/>
      <c r="L607" s="308">
        <v>300</v>
      </c>
      <c r="M607" s="402"/>
      <c r="N607" s="306"/>
      <c r="O607" s="377">
        <v>2630.6</v>
      </c>
      <c r="P607" s="305">
        <f t="shared" si="66"/>
        <v>359.70000000000005</v>
      </c>
      <c r="Q607" s="378">
        <f t="shared" si="67"/>
        <v>7.3133166527661926</v>
      </c>
      <c r="R607" s="396">
        <v>42</v>
      </c>
    </row>
    <row r="608" spans="1:18" ht="15">
      <c r="A608" s="357" t="s">
        <v>308</v>
      </c>
      <c r="B608" s="395">
        <v>359886</v>
      </c>
      <c r="C608" s="304">
        <v>2579.2800000000002</v>
      </c>
      <c r="D608" s="305">
        <v>528.42999999999995</v>
      </c>
      <c r="E608" s="307">
        <v>119.33</v>
      </c>
      <c r="F608" s="308"/>
      <c r="G608" s="305"/>
      <c r="H608" s="307"/>
      <c r="I608" s="308"/>
      <c r="J608" s="309"/>
      <c r="K608" s="307"/>
      <c r="L608" s="308">
        <v>700</v>
      </c>
      <c r="M608" s="309"/>
      <c r="N608" s="306"/>
      <c r="O608" s="377">
        <v>4739.8</v>
      </c>
      <c r="P608" s="305">
        <f t="shared" si="66"/>
        <v>653.82999999999993</v>
      </c>
      <c r="Q608" s="378">
        <f t="shared" si="67"/>
        <v>7.2492849823348591</v>
      </c>
      <c r="R608" s="396">
        <v>57</v>
      </c>
    </row>
    <row r="609" spans="1:18" ht="15">
      <c r="A609" s="276" t="s">
        <v>319</v>
      </c>
      <c r="B609" s="395">
        <v>465180</v>
      </c>
      <c r="C609" s="304">
        <v>912.35</v>
      </c>
      <c r="D609" s="305">
        <v>177.07</v>
      </c>
      <c r="E609" s="307">
        <v>33.9</v>
      </c>
      <c r="F609" s="308">
        <f>350</f>
        <v>350</v>
      </c>
      <c r="G609" s="305"/>
      <c r="H609" s="307"/>
      <c r="I609" s="308"/>
      <c r="J609" s="309"/>
      <c r="K609" s="307"/>
      <c r="L609" s="308"/>
      <c r="M609" s="309"/>
      <c r="N609" s="306"/>
      <c r="O609" s="377">
        <v>2770.3</v>
      </c>
      <c r="P609" s="305">
        <f t="shared" ref="P609:P618" si="68">D609+G609+J609+M609+(2.25*R609)</f>
        <v>343.57</v>
      </c>
      <c r="Q609" s="378">
        <f t="shared" si="67"/>
        <v>8.0632767703815826</v>
      </c>
      <c r="R609" s="396">
        <v>74</v>
      </c>
    </row>
    <row r="610" spans="1:18" ht="15">
      <c r="A610" s="276" t="s">
        <v>322</v>
      </c>
      <c r="B610" s="395">
        <v>465181</v>
      </c>
      <c r="C610" s="304">
        <v>939.96</v>
      </c>
      <c r="D610" s="305">
        <v>198.98</v>
      </c>
      <c r="E610" s="307">
        <v>221.07</v>
      </c>
      <c r="F610" s="308"/>
      <c r="G610" s="305"/>
      <c r="H610" s="307"/>
      <c r="I610" s="308"/>
      <c r="J610" s="309"/>
      <c r="K610" s="307"/>
      <c r="L610" s="308">
        <f>200</f>
        <v>200</v>
      </c>
      <c r="M610" s="309"/>
      <c r="N610" s="306"/>
      <c r="O610" s="377">
        <v>2300.5</v>
      </c>
      <c r="P610" s="305">
        <f t="shared" si="68"/>
        <v>423.98</v>
      </c>
      <c r="Q610" s="378">
        <f t="shared" si="67"/>
        <v>5.4259634888438129</v>
      </c>
      <c r="R610" s="396">
        <v>100</v>
      </c>
    </row>
    <row r="611" spans="1:18" ht="15">
      <c r="A611" s="276" t="s">
        <v>318</v>
      </c>
      <c r="B611" s="395">
        <v>465182</v>
      </c>
      <c r="C611" s="304">
        <v>1631.66</v>
      </c>
      <c r="D611" s="305">
        <v>350.61</v>
      </c>
      <c r="E611" s="307">
        <v>331.11</v>
      </c>
      <c r="F611" s="308">
        <f>655.42</f>
        <v>655.42</v>
      </c>
      <c r="G611" s="305"/>
      <c r="H611" s="307"/>
      <c r="I611" s="308"/>
      <c r="J611" s="309"/>
      <c r="K611" s="307"/>
      <c r="L611" s="308"/>
      <c r="M611" s="309"/>
      <c r="N611" s="306"/>
      <c r="O611" s="377">
        <v>3718.8</v>
      </c>
      <c r="P611" s="305">
        <f t="shared" si="68"/>
        <v>442.86</v>
      </c>
      <c r="Q611" s="378">
        <f t="shared" si="67"/>
        <v>8.3972361468635679</v>
      </c>
      <c r="R611" s="396">
        <v>41</v>
      </c>
    </row>
    <row r="612" spans="1:18" ht="15">
      <c r="A612" s="276" t="s">
        <v>88</v>
      </c>
      <c r="B612" s="395">
        <v>465183</v>
      </c>
      <c r="C612" s="304">
        <v>2767.54</v>
      </c>
      <c r="D612" s="305">
        <v>587.48</v>
      </c>
      <c r="E612" s="307">
        <v>439.38</v>
      </c>
      <c r="F612" s="308"/>
      <c r="G612" s="305"/>
      <c r="H612" s="307"/>
      <c r="I612" s="308"/>
      <c r="J612" s="309"/>
      <c r="K612" s="307"/>
      <c r="L612" s="308">
        <v>800</v>
      </c>
      <c r="M612" s="309"/>
      <c r="N612" s="306"/>
      <c r="O612" s="377">
        <v>4603.5</v>
      </c>
      <c r="P612" s="305">
        <f t="shared" si="68"/>
        <v>751.73</v>
      </c>
      <c r="Q612" s="378">
        <f t="shared" si="67"/>
        <v>6.1238742633658356</v>
      </c>
      <c r="R612" s="396">
        <v>73</v>
      </c>
    </row>
    <row r="613" spans="1:18" ht="15">
      <c r="A613" s="359" t="s">
        <v>40</v>
      </c>
      <c r="B613" s="395">
        <v>465184</v>
      </c>
      <c r="C613" s="304">
        <v>2308.89</v>
      </c>
      <c r="D613" s="305">
        <v>504.8</v>
      </c>
      <c r="E613" s="307">
        <v>48.73</v>
      </c>
      <c r="F613" s="308">
        <v>400</v>
      </c>
      <c r="G613" s="305"/>
      <c r="H613" s="307"/>
      <c r="I613" s="308"/>
      <c r="J613" s="309"/>
      <c r="K613" s="307"/>
      <c r="L613" s="308">
        <f>200+500+200</f>
        <v>900</v>
      </c>
      <c r="M613" s="309"/>
      <c r="N613" s="306"/>
      <c r="O613" s="377">
        <v>5149.3999999999996</v>
      </c>
      <c r="P613" s="305">
        <f t="shared" si="68"/>
        <v>675.8</v>
      </c>
      <c r="Q613" s="378">
        <f t="shared" si="67"/>
        <v>7.619709973364901</v>
      </c>
      <c r="R613" s="396">
        <v>76</v>
      </c>
    </row>
    <row r="614" spans="1:18" ht="15">
      <c r="A614" s="276" t="s">
        <v>75</v>
      </c>
      <c r="B614" s="395">
        <v>465185</v>
      </c>
      <c r="C614" s="304">
        <v>1134.6099999999999</v>
      </c>
      <c r="D614" s="305">
        <v>258.86</v>
      </c>
      <c r="E614" s="307">
        <v>225.13</v>
      </c>
      <c r="F614" s="308"/>
      <c r="G614" s="305"/>
      <c r="H614" s="307"/>
      <c r="I614" s="308"/>
      <c r="J614" s="309"/>
      <c r="K614" s="307"/>
      <c r="L614" s="308">
        <f>700+600</f>
        <v>1300</v>
      </c>
      <c r="M614" s="309"/>
      <c r="N614" s="306"/>
      <c r="O614" s="377">
        <v>3364.7</v>
      </c>
      <c r="P614" s="305">
        <f t="shared" si="68"/>
        <v>483.86</v>
      </c>
      <c r="Q614" s="378">
        <f t="shared" si="67"/>
        <v>6.9538709544082993</v>
      </c>
      <c r="R614" s="396">
        <v>100</v>
      </c>
    </row>
    <row r="615" spans="1:18" ht="15">
      <c r="A615" s="276"/>
      <c r="B615" s="395">
        <v>465186</v>
      </c>
      <c r="C615" s="304"/>
      <c r="D615" s="305"/>
      <c r="E615" s="307"/>
      <c r="F615" s="308"/>
      <c r="G615" s="305"/>
      <c r="H615" s="307"/>
      <c r="I615" s="308"/>
      <c r="J615" s="309"/>
      <c r="K615" s="307"/>
      <c r="L615" s="308"/>
      <c r="M615" s="309"/>
      <c r="N615" s="306"/>
      <c r="O615" s="377"/>
      <c r="P615" s="305">
        <f t="shared" si="68"/>
        <v>24.75</v>
      </c>
      <c r="Q615" s="378">
        <f t="shared" si="67"/>
        <v>0</v>
      </c>
      <c r="R615" s="396">
        <v>11</v>
      </c>
    </row>
    <row r="616" spans="1:18" ht="15">
      <c r="A616" s="276" t="s">
        <v>192</v>
      </c>
      <c r="B616" s="395">
        <v>465187</v>
      </c>
      <c r="C616" s="304">
        <v>2225.25</v>
      </c>
      <c r="D616" s="305">
        <v>446.38</v>
      </c>
      <c r="E616" s="307">
        <v>214.68</v>
      </c>
      <c r="F616" s="308"/>
      <c r="G616" s="305"/>
      <c r="H616" s="307"/>
      <c r="I616" s="308"/>
      <c r="J616" s="309"/>
      <c r="K616" s="307"/>
      <c r="L616" s="308">
        <f>500+900+700</f>
        <v>2100</v>
      </c>
      <c r="M616" s="402"/>
      <c r="N616" s="306"/>
      <c r="O616" s="377">
        <v>5032.3999999999996</v>
      </c>
      <c r="P616" s="305">
        <f t="shared" si="68"/>
        <v>585.88</v>
      </c>
      <c r="Q616" s="378">
        <f t="shared" si="67"/>
        <v>8.5894722468764932</v>
      </c>
      <c r="R616" s="396">
        <v>62</v>
      </c>
    </row>
    <row r="617" spans="1:18" ht="15">
      <c r="A617" s="276" t="s">
        <v>14</v>
      </c>
      <c r="B617" s="395">
        <v>465188</v>
      </c>
      <c r="C617" s="304">
        <v>2262.0100000000002</v>
      </c>
      <c r="D617" s="305">
        <v>490.35</v>
      </c>
      <c r="E617" s="307">
        <v>331.19</v>
      </c>
      <c r="F617" s="308">
        <v>300</v>
      </c>
      <c r="G617" s="305"/>
      <c r="H617" s="307"/>
      <c r="I617" s="308"/>
      <c r="J617" s="309"/>
      <c r="K617" s="307"/>
      <c r="L617" s="308">
        <f>700+800</f>
        <v>1500</v>
      </c>
      <c r="M617" s="309"/>
      <c r="N617" s="306"/>
      <c r="O617" s="377">
        <v>5691.5</v>
      </c>
      <c r="P617" s="305">
        <f t="shared" si="68"/>
        <v>715.35</v>
      </c>
      <c r="Q617" s="378">
        <f t="shared" si="67"/>
        <v>7.9562451946599566</v>
      </c>
      <c r="R617" s="396">
        <v>100</v>
      </c>
    </row>
    <row r="618" spans="1:18" ht="15">
      <c r="A618" s="384" t="s">
        <v>1041</v>
      </c>
      <c r="B618" s="395">
        <v>1118</v>
      </c>
      <c r="C618" s="304">
        <v>652.98</v>
      </c>
      <c r="D618" s="305">
        <v>159.30000000000001</v>
      </c>
      <c r="E618" s="307">
        <v>0</v>
      </c>
      <c r="F618" s="308"/>
      <c r="G618" s="305"/>
      <c r="H618" s="307"/>
      <c r="I618" s="308"/>
      <c r="J618" s="309"/>
      <c r="K618" s="307"/>
      <c r="L618" s="308"/>
      <c r="M618" s="309"/>
      <c r="N618" s="306"/>
      <c r="O618" s="377"/>
      <c r="P618" s="305">
        <f t="shared" si="68"/>
        <v>177.3</v>
      </c>
      <c r="Q618" s="378">
        <f t="shared" si="67"/>
        <v>0</v>
      </c>
      <c r="R618" s="396">
        <v>8</v>
      </c>
    </row>
    <row r="619" spans="1:18" ht="15">
      <c r="A619" s="384" t="s">
        <v>1042</v>
      </c>
      <c r="B619" s="397" t="s">
        <v>362</v>
      </c>
      <c r="C619" s="304"/>
      <c r="D619" s="305"/>
      <c r="E619" s="307"/>
      <c r="F619" s="308">
        <v>600</v>
      </c>
      <c r="G619" s="305"/>
      <c r="H619" s="307"/>
      <c r="I619" s="308"/>
      <c r="J619" s="309"/>
      <c r="K619" s="307"/>
      <c r="L619" s="308">
        <f>700+900+600</f>
        <v>2200</v>
      </c>
      <c r="M619" s="402"/>
      <c r="N619" s="306"/>
      <c r="O619" s="377"/>
      <c r="P619" s="305"/>
      <c r="Q619" s="378"/>
      <c r="R619" s="396"/>
    </row>
    <row r="620" spans="1:18" ht="15">
      <c r="A620" s="403" t="s">
        <v>1043</v>
      </c>
      <c r="B620" s="395" t="s">
        <v>1044</v>
      </c>
      <c r="C620" s="304"/>
      <c r="D620" s="305"/>
      <c r="E620" s="307"/>
      <c r="F620" s="308"/>
      <c r="G620" s="305"/>
      <c r="H620" s="307"/>
      <c r="I620" s="308"/>
      <c r="J620" s="309"/>
      <c r="K620" s="307"/>
      <c r="L620" s="308"/>
      <c r="M620" s="309"/>
      <c r="N620" s="306"/>
      <c r="O620" s="377"/>
      <c r="P620" s="305"/>
      <c r="Q620" s="378"/>
      <c r="R620" s="396"/>
    </row>
    <row r="621" spans="1:18" ht="15">
      <c r="A621" s="384" t="s">
        <v>901</v>
      </c>
      <c r="B621" s="395">
        <v>1650</v>
      </c>
      <c r="C621" s="304"/>
      <c r="D621" s="305"/>
      <c r="E621" s="307"/>
      <c r="F621" s="308"/>
      <c r="G621" s="305"/>
      <c r="H621" s="307"/>
      <c r="I621" s="308"/>
      <c r="J621" s="309"/>
      <c r="K621" s="307"/>
      <c r="L621" s="308"/>
      <c r="M621" s="309"/>
      <c r="N621" s="306"/>
      <c r="O621" s="377"/>
      <c r="P621" s="305">
        <f t="shared" ref="P621:P623" si="69">D621+G621+J621+M621+(2.25*R621)</f>
        <v>0</v>
      </c>
      <c r="Q621" s="378" t="e">
        <f t="shared" ref="Q621:Q624" si="70">O621/P621</f>
        <v>#DIV/0!</v>
      </c>
      <c r="R621" s="396"/>
    </row>
    <row r="622" spans="1:18" ht="15">
      <c r="A622" s="384" t="s">
        <v>368</v>
      </c>
      <c r="B622" s="395" t="s">
        <v>1045</v>
      </c>
      <c r="C622" s="304"/>
      <c r="D622" s="305"/>
      <c r="E622" s="307"/>
      <c r="F622" s="308"/>
      <c r="G622" s="305"/>
      <c r="H622" s="307"/>
      <c r="I622" s="308"/>
      <c r="J622" s="309"/>
      <c r="K622" s="307"/>
      <c r="L622" s="308"/>
      <c r="M622" s="309"/>
      <c r="N622" s="306"/>
      <c r="O622" s="377"/>
      <c r="P622" s="305">
        <f t="shared" si="69"/>
        <v>0</v>
      </c>
      <c r="Q622" s="378" t="e">
        <f t="shared" si="70"/>
        <v>#DIV/0!</v>
      </c>
      <c r="R622" s="396"/>
    </row>
    <row r="623" spans="1:18" ht="15">
      <c r="A623" s="384" t="s">
        <v>359</v>
      </c>
      <c r="B623" s="395">
        <v>9450</v>
      </c>
      <c r="C623" s="304"/>
      <c r="D623" s="305"/>
      <c r="E623" s="307"/>
      <c r="F623" s="308"/>
      <c r="G623" s="305"/>
      <c r="H623" s="307"/>
      <c r="I623" s="308"/>
      <c r="J623" s="309"/>
      <c r="K623" s="307"/>
      <c r="L623" s="308"/>
      <c r="M623" s="309"/>
      <c r="N623" s="306"/>
      <c r="O623" s="377"/>
      <c r="P623" s="305">
        <f t="shared" si="69"/>
        <v>0</v>
      </c>
      <c r="Q623" s="378" t="e">
        <f t="shared" si="70"/>
        <v>#DIV/0!</v>
      </c>
      <c r="R623" s="396"/>
    </row>
    <row r="624" spans="1:18" ht="15">
      <c r="A624" s="284" t="s">
        <v>1030</v>
      </c>
      <c r="B624" s="397" t="s">
        <v>1045</v>
      </c>
      <c r="C624" s="315"/>
      <c r="D624" s="316"/>
      <c r="E624" s="317"/>
      <c r="F624" s="386"/>
      <c r="G624" s="316"/>
      <c r="H624" s="317"/>
      <c r="I624" s="387"/>
      <c r="J624" s="316"/>
      <c r="K624" s="317"/>
      <c r="L624" s="387"/>
      <c r="M624" s="320"/>
      <c r="N624" s="388"/>
      <c r="O624" s="389"/>
      <c r="P624" s="316">
        <f>D624+G624+J624+M624+(2*R624)</f>
        <v>0</v>
      </c>
      <c r="Q624" s="390" t="e">
        <f t="shared" si="70"/>
        <v>#DIV/0!</v>
      </c>
      <c r="R624" s="391"/>
    </row>
    <row r="625" spans="1:18" ht="13">
      <c r="A625" s="470" t="s">
        <v>860</v>
      </c>
      <c r="B625" s="471"/>
      <c r="C625" s="324" t="s">
        <v>676</v>
      </c>
      <c r="D625" s="325" t="s">
        <v>861</v>
      </c>
      <c r="E625" s="355" t="s">
        <v>862</v>
      </c>
      <c r="F625" s="324" t="s">
        <v>676</v>
      </c>
      <c r="G625" s="325" t="s">
        <v>861</v>
      </c>
      <c r="H625" s="355" t="s">
        <v>862</v>
      </c>
      <c r="I625" s="324" t="s">
        <v>676</v>
      </c>
      <c r="J625" s="325" t="s">
        <v>861</v>
      </c>
      <c r="K625" s="355" t="s">
        <v>862</v>
      </c>
      <c r="L625" s="324" t="s">
        <v>676</v>
      </c>
      <c r="M625" s="325" t="s">
        <v>861</v>
      </c>
      <c r="N625" s="355" t="s">
        <v>862</v>
      </c>
      <c r="O625" s="324" t="s">
        <v>881</v>
      </c>
      <c r="P625" s="325" t="s">
        <v>861</v>
      </c>
      <c r="Q625" s="325" t="s">
        <v>865</v>
      </c>
      <c r="R625" s="392" t="s">
        <v>1031</v>
      </c>
    </row>
    <row r="626" spans="1:18" ht="13">
      <c r="A626" s="470" t="s">
        <v>863</v>
      </c>
      <c r="B626" s="471"/>
      <c r="C626" s="326">
        <f>SUM(C599:C621)+SUM(F599:F621)+SUM(I599:I621)</f>
        <v>33936.880000000005</v>
      </c>
      <c r="D626" s="327">
        <f>SUM(D599:D618)+SUM(G599:G618)+SUM(J599:J618)+SUM(M599:M618)</f>
        <v>6140.34</v>
      </c>
      <c r="E626" s="328">
        <f>SUM(E599:E618)</f>
        <v>3185.71</v>
      </c>
      <c r="F626" s="329"/>
      <c r="G626" s="329"/>
      <c r="H626" s="329"/>
      <c r="I626" s="329"/>
      <c r="J626" s="329"/>
      <c r="K626" s="329"/>
      <c r="L626" s="329"/>
      <c r="M626" s="329"/>
      <c r="N626" s="329"/>
      <c r="O626" s="329"/>
      <c r="P626" s="329"/>
      <c r="Q626" s="329"/>
    </row>
    <row r="630" spans="1:18" ht="13">
      <c r="A630" s="472" t="s">
        <v>1046</v>
      </c>
      <c r="B630" s="466"/>
      <c r="C630" s="466"/>
      <c r="D630" s="466"/>
      <c r="E630" s="466"/>
      <c r="F630" s="466"/>
      <c r="G630" s="466"/>
      <c r="H630" s="466"/>
      <c r="I630" s="466"/>
      <c r="J630" s="466"/>
      <c r="K630" s="466"/>
      <c r="L630" s="466"/>
      <c r="M630" s="466"/>
      <c r="N630" s="466"/>
      <c r="O630" s="466"/>
      <c r="P630" s="466"/>
      <c r="Q630" s="466"/>
      <c r="R630" s="466"/>
    </row>
    <row r="631" spans="1:18" ht="13">
      <c r="A631" s="404" t="s">
        <v>849</v>
      </c>
      <c r="B631" s="405" t="s">
        <v>1</v>
      </c>
      <c r="C631" s="473" t="s">
        <v>850</v>
      </c>
      <c r="D631" s="466"/>
      <c r="E631" s="467"/>
      <c r="F631" s="465" t="s">
        <v>852</v>
      </c>
      <c r="G631" s="466"/>
      <c r="H631" s="467"/>
      <c r="I631" s="465" t="s">
        <v>1013</v>
      </c>
      <c r="J631" s="466"/>
      <c r="K631" s="467"/>
      <c r="L631" s="465" t="s">
        <v>1047</v>
      </c>
      <c r="M631" s="466"/>
      <c r="N631" s="467"/>
      <c r="O631" s="468" t="s">
        <v>865</v>
      </c>
      <c r="P631" s="463"/>
      <c r="Q631" s="464"/>
      <c r="R631" s="287" t="s">
        <v>1028</v>
      </c>
    </row>
    <row r="632" spans="1:18" ht="13">
      <c r="A632" s="398" t="s">
        <v>349</v>
      </c>
      <c r="B632" s="406" t="s">
        <v>1048</v>
      </c>
      <c r="C632" s="366">
        <v>962.58</v>
      </c>
      <c r="D632" s="305">
        <v>233.28</v>
      </c>
      <c r="E632" s="366">
        <v>22.69</v>
      </c>
      <c r="F632" s="349">
        <v>400</v>
      </c>
      <c r="G632" s="295"/>
      <c r="H632" s="297"/>
      <c r="I632" s="349"/>
      <c r="J632" s="295"/>
      <c r="K632" s="297"/>
      <c r="L632" s="349">
        <v>600</v>
      </c>
      <c r="M632" s="301"/>
      <c r="N632" s="296"/>
      <c r="O632" s="374">
        <v>3069.2</v>
      </c>
      <c r="P632" s="295">
        <f t="shared" ref="P632:P641" si="71">D632+G632+J632+M632+(2.2*R632)</f>
        <v>358.68</v>
      </c>
      <c r="Q632" s="375">
        <f t="shared" ref="Q632:Q653" si="72">O632/P632</f>
        <v>8.5569309691089543</v>
      </c>
      <c r="R632" s="394">
        <v>57</v>
      </c>
    </row>
    <row r="633" spans="1:18" ht="15">
      <c r="A633" s="399" t="s">
        <v>355</v>
      </c>
      <c r="B633" s="397" t="s">
        <v>1049</v>
      </c>
      <c r="C633" s="366">
        <v>1164.58</v>
      </c>
      <c r="D633" s="305">
        <v>250.64</v>
      </c>
      <c r="E633" s="366">
        <v>319.83</v>
      </c>
      <c r="F633" s="308">
        <v>700</v>
      </c>
      <c r="G633" s="305"/>
      <c r="H633" s="307"/>
      <c r="I633" s="308"/>
      <c r="J633" s="309"/>
      <c r="K633" s="307"/>
      <c r="L633" s="308"/>
      <c r="M633" s="309"/>
      <c r="N633" s="306"/>
      <c r="O633" s="377">
        <v>2037.8</v>
      </c>
      <c r="P633" s="305">
        <f t="shared" si="71"/>
        <v>321.03999999999996</v>
      </c>
      <c r="Q633" s="378">
        <f t="shared" si="72"/>
        <v>6.3474956391726893</v>
      </c>
      <c r="R633" s="396">
        <v>32</v>
      </c>
    </row>
    <row r="634" spans="1:18" ht="15">
      <c r="A634" s="398"/>
      <c r="B634" s="397" t="s">
        <v>1050</v>
      </c>
      <c r="C634" s="366"/>
      <c r="D634" s="305"/>
      <c r="E634" s="366"/>
      <c r="F634" s="308"/>
      <c r="G634" s="305"/>
      <c r="H634" s="307"/>
      <c r="I634" s="308"/>
      <c r="J634" s="309"/>
      <c r="K634" s="307"/>
      <c r="L634" s="308"/>
      <c r="M634" s="309"/>
      <c r="N634" s="306"/>
      <c r="O634" s="377"/>
      <c r="P634" s="305">
        <f t="shared" si="71"/>
        <v>94.600000000000009</v>
      </c>
      <c r="Q634" s="378">
        <f t="shared" si="72"/>
        <v>0</v>
      </c>
      <c r="R634" s="396">
        <v>43</v>
      </c>
    </row>
    <row r="635" spans="1:18" ht="13">
      <c r="A635" s="400" t="s">
        <v>347</v>
      </c>
      <c r="B635" s="397" t="s">
        <v>1051</v>
      </c>
      <c r="C635" s="366">
        <v>1522.2</v>
      </c>
      <c r="D635" s="305">
        <v>358.65</v>
      </c>
      <c r="E635" s="366">
        <v>80.040000000000006</v>
      </c>
      <c r="F635" s="308">
        <v>1250</v>
      </c>
      <c r="G635" s="305"/>
      <c r="H635" s="307"/>
      <c r="I635" s="308"/>
      <c r="J635" s="309"/>
      <c r="K635" s="307"/>
      <c r="L635" s="308"/>
      <c r="M635" s="309"/>
      <c r="N635" s="306"/>
      <c r="O635" s="380">
        <v>3850.3</v>
      </c>
      <c r="P635" s="305">
        <f t="shared" si="71"/>
        <v>525.85</v>
      </c>
      <c r="Q635" s="378">
        <f t="shared" si="72"/>
        <v>7.3220500142626221</v>
      </c>
      <c r="R635" s="396">
        <v>76</v>
      </c>
    </row>
    <row r="636" spans="1:18" ht="13">
      <c r="A636" s="398" t="s">
        <v>191</v>
      </c>
      <c r="B636" s="397" t="s">
        <v>366</v>
      </c>
      <c r="C636" s="366"/>
      <c r="D636" s="305"/>
      <c r="E636" s="366"/>
      <c r="F636" s="308">
        <v>1100</v>
      </c>
      <c r="G636" s="305"/>
      <c r="H636" s="307"/>
      <c r="I636" s="308"/>
      <c r="J636" s="309"/>
      <c r="K636" s="307"/>
      <c r="L636" s="308"/>
      <c r="M636" s="309"/>
      <c r="N636" s="306"/>
      <c r="O636" s="380"/>
      <c r="P636" s="305">
        <f t="shared" si="71"/>
        <v>83.600000000000009</v>
      </c>
      <c r="Q636" s="378">
        <f t="shared" si="72"/>
        <v>0</v>
      </c>
      <c r="R636" s="396">
        <v>38</v>
      </c>
    </row>
    <row r="637" spans="1:18" ht="14">
      <c r="A637" s="398"/>
      <c r="B637" s="397" t="s">
        <v>1052</v>
      </c>
      <c r="C637" s="366"/>
      <c r="D637" s="305"/>
      <c r="E637" s="366"/>
      <c r="F637" s="308"/>
      <c r="G637" s="305"/>
      <c r="H637" s="307"/>
      <c r="I637" s="308"/>
      <c r="J637" s="309"/>
      <c r="K637" s="307"/>
      <c r="L637" s="308"/>
      <c r="M637" s="309"/>
      <c r="N637" s="306"/>
      <c r="O637" s="381"/>
      <c r="P637" s="305">
        <f t="shared" si="71"/>
        <v>116.60000000000001</v>
      </c>
      <c r="Q637" s="378">
        <f t="shared" si="72"/>
        <v>0</v>
      </c>
      <c r="R637" s="396">
        <v>53</v>
      </c>
    </row>
    <row r="638" spans="1:18" ht="15">
      <c r="A638" s="398" t="s">
        <v>62</v>
      </c>
      <c r="B638" s="397" t="s">
        <v>1053</v>
      </c>
      <c r="C638" s="366">
        <v>1579.4</v>
      </c>
      <c r="D638" s="305">
        <v>375.62</v>
      </c>
      <c r="E638" s="366">
        <v>133.59</v>
      </c>
      <c r="F638" s="308">
        <v>650</v>
      </c>
      <c r="G638" s="305" t="s">
        <v>1040</v>
      </c>
      <c r="H638" s="307"/>
      <c r="I638" s="308"/>
      <c r="J638" s="309"/>
      <c r="K638" s="307"/>
      <c r="L638" s="308"/>
      <c r="M638" s="309"/>
      <c r="N638" s="306"/>
      <c r="O638" s="382">
        <v>3022</v>
      </c>
      <c r="P638" s="305" t="e">
        <f t="shared" si="71"/>
        <v>#VALUE!</v>
      </c>
      <c r="Q638" s="378" t="e">
        <f t="shared" si="72"/>
        <v>#VALUE!</v>
      </c>
      <c r="R638" s="396">
        <v>35</v>
      </c>
    </row>
    <row r="639" spans="1:18" ht="15">
      <c r="A639" s="276" t="s">
        <v>370</v>
      </c>
      <c r="B639" s="397" t="s">
        <v>1054</v>
      </c>
      <c r="C639" s="366">
        <v>1142.83</v>
      </c>
      <c r="D639" s="305">
        <v>248.1</v>
      </c>
      <c r="E639" s="366">
        <v>263.22000000000003</v>
      </c>
      <c r="F639" s="308">
        <v>410</v>
      </c>
      <c r="G639" s="305"/>
      <c r="H639" s="307"/>
      <c r="I639" s="308"/>
      <c r="J639" s="309"/>
      <c r="K639" s="307"/>
      <c r="L639" s="308"/>
      <c r="M639" s="309"/>
      <c r="N639" s="306"/>
      <c r="O639" s="377"/>
      <c r="P639" s="305">
        <f t="shared" si="71"/>
        <v>446.1</v>
      </c>
      <c r="Q639" s="378">
        <f t="shared" si="72"/>
        <v>0</v>
      </c>
      <c r="R639" s="396">
        <v>90</v>
      </c>
    </row>
    <row r="640" spans="1:18" ht="15">
      <c r="A640" s="398" t="s">
        <v>315</v>
      </c>
      <c r="B640" s="397" t="s">
        <v>1055</v>
      </c>
      <c r="C640" s="366">
        <v>618.86</v>
      </c>
      <c r="D640" s="373">
        <v>133.71</v>
      </c>
      <c r="E640" s="366">
        <v>158.79</v>
      </c>
      <c r="F640" s="308">
        <f>620.6</f>
        <v>620.6</v>
      </c>
      <c r="G640" s="305"/>
      <c r="H640" s="307"/>
      <c r="I640" s="308"/>
      <c r="J640" s="309"/>
      <c r="K640" s="307"/>
      <c r="L640" s="308"/>
      <c r="M640" s="309"/>
      <c r="N640" s="306"/>
      <c r="O640" s="377">
        <v>1176</v>
      </c>
      <c r="P640" s="305">
        <f t="shared" si="71"/>
        <v>243.71000000000004</v>
      </c>
      <c r="Q640" s="378">
        <f t="shared" si="72"/>
        <v>4.8254072463173436</v>
      </c>
      <c r="R640" s="396">
        <v>50</v>
      </c>
    </row>
    <row r="641" spans="1:18" ht="15">
      <c r="A641" s="347" t="s">
        <v>308</v>
      </c>
      <c r="B641" s="397" t="s">
        <v>1056</v>
      </c>
      <c r="C641" s="366">
        <v>1707.22</v>
      </c>
      <c r="D641" s="373">
        <v>369.99</v>
      </c>
      <c r="E641" s="366">
        <v>81.03</v>
      </c>
      <c r="F641" s="308"/>
      <c r="G641" s="305"/>
      <c r="H641" s="307"/>
      <c r="I641" s="308"/>
      <c r="J641" s="309"/>
      <c r="K641" s="307"/>
      <c r="L641" s="308"/>
      <c r="M641" s="309"/>
      <c r="N641" s="306"/>
      <c r="O641" s="377">
        <v>2230.5</v>
      </c>
      <c r="P641" s="305">
        <f t="shared" si="71"/>
        <v>495.39</v>
      </c>
      <c r="Q641" s="378">
        <f t="shared" si="72"/>
        <v>4.5025131714406834</v>
      </c>
      <c r="R641" s="396">
        <v>57</v>
      </c>
    </row>
    <row r="642" spans="1:18" ht="15">
      <c r="A642" s="398" t="s">
        <v>319</v>
      </c>
      <c r="B642" s="397" t="s">
        <v>1057</v>
      </c>
      <c r="C642" s="366"/>
      <c r="D642" s="305"/>
      <c r="E642" s="366"/>
      <c r="F642" s="308">
        <f>300</f>
        <v>300</v>
      </c>
      <c r="G642" s="305"/>
      <c r="H642" s="307"/>
      <c r="I642" s="308">
        <f>550</f>
        <v>550</v>
      </c>
      <c r="J642" s="309"/>
      <c r="K642" s="307"/>
      <c r="L642" s="308"/>
      <c r="M642" s="309"/>
      <c r="N642" s="306"/>
      <c r="O642" s="377">
        <v>2435.5</v>
      </c>
      <c r="P642" s="305">
        <f t="shared" ref="P642:P652" si="73">D642+G642+J642+M642+(2.25*R642)</f>
        <v>225</v>
      </c>
      <c r="Q642" s="378">
        <f t="shared" si="72"/>
        <v>10.824444444444444</v>
      </c>
      <c r="R642" s="396">
        <v>100</v>
      </c>
    </row>
    <row r="643" spans="1:18" ht="15">
      <c r="A643" s="398" t="s">
        <v>322</v>
      </c>
      <c r="B643" s="397" t="s">
        <v>1058</v>
      </c>
      <c r="C643" s="366">
        <v>2163.5300000000002</v>
      </c>
      <c r="D643" s="305">
        <v>475.75</v>
      </c>
      <c r="E643" s="366">
        <v>306.91000000000003</v>
      </c>
      <c r="F643" s="308">
        <f>400+500</f>
        <v>900</v>
      </c>
      <c r="G643" s="305"/>
      <c r="H643" s="307"/>
      <c r="I643" s="308"/>
      <c r="J643" s="309"/>
      <c r="K643" s="307"/>
      <c r="L643" s="308"/>
      <c r="M643" s="309"/>
      <c r="N643" s="306"/>
      <c r="O643" s="377">
        <v>4284.3</v>
      </c>
      <c r="P643" s="305">
        <f t="shared" si="73"/>
        <v>577</v>
      </c>
      <c r="Q643" s="378">
        <f t="shared" si="72"/>
        <v>7.4251299826689774</v>
      </c>
      <c r="R643" s="396">
        <v>45</v>
      </c>
    </row>
    <row r="644" spans="1:18" ht="15">
      <c r="A644" s="398" t="s">
        <v>318</v>
      </c>
      <c r="B644" s="397" t="s">
        <v>1059</v>
      </c>
      <c r="C644" s="366">
        <v>1540.32</v>
      </c>
      <c r="D644" s="305">
        <v>344.31</v>
      </c>
      <c r="E644" s="366">
        <v>245.26</v>
      </c>
      <c r="F644" s="308"/>
      <c r="G644" s="305"/>
      <c r="H644" s="307"/>
      <c r="I644" s="308"/>
      <c r="J644" s="309"/>
      <c r="K644" s="307"/>
      <c r="L644" s="308"/>
      <c r="M644" s="309"/>
      <c r="N644" s="306"/>
      <c r="O644" s="377">
        <v>3456.2</v>
      </c>
      <c r="P644" s="305">
        <f t="shared" si="73"/>
        <v>391.56</v>
      </c>
      <c r="Q644" s="378">
        <f t="shared" si="72"/>
        <v>8.8267443048319532</v>
      </c>
      <c r="R644" s="396">
        <v>21</v>
      </c>
    </row>
    <row r="645" spans="1:18" ht="15">
      <c r="A645" s="398" t="s">
        <v>88</v>
      </c>
      <c r="B645" s="397" t="s">
        <v>1060</v>
      </c>
      <c r="C645" s="366"/>
      <c r="D645" s="305"/>
      <c r="E645" s="366"/>
      <c r="F645" s="308">
        <v>500</v>
      </c>
      <c r="G645" s="305"/>
      <c r="H645" s="307"/>
      <c r="I645" s="308"/>
      <c r="J645" s="309"/>
      <c r="K645" s="307"/>
      <c r="L645" s="308"/>
      <c r="M645" s="309"/>
      <c r="N645" s="306"/>
      <c r="O645" s="377">
        <v>1300.5999999999999</v>
      </c>
      <c r="P645" s="305">
        <f t="shared" si="73"/>
        <v>225</v>
      </c>
      <c r="Q645" s="378">
        <f t="shared" si="72"/>
        <v>5.7804444444444441</v>
      </c>
      <c r="R645" s="396">
        <v>100</v>
      </c>
    </row>
    <row r="646" spans="1:18" ht="15">
      <c r="A646" s="347" t="s">
        <v>40</v>
      </c>
      <c r="B646" s="397" t="s">
        <v>1061</v>
      </c>
      <c r="C646" s="366">
        <v>683.42</v>
      </c>
      <c r="D646" s="305">
        <v>171.65</v>
      </c>
      <c r="E646" s="366">
        <v>16.059999999999999</v>
      </c>
      <c r="F646" s="308">
        <v>1000</v>
      </c>
      <c r="G646" s="305"/>
      <c r="H646" s="307"/>
      <c r="I646" s="308"/>
      <c r="J646" s="309"/>
      <c r="K646" s="307"/>
      <c r="L646" s="308"/>
      <c r="M646" s="309"/>
      <c r="N646" s="306"/>
      <c r="O646" s="377">
        <v>2856.5</v>
      </c>
      <c r="P646" s="305">
        <f t="shared" si="73"/>
        <v>279.64999999999998</v>
      </c>
      <c r="Q646" s="378">
        <f t="shared" si="72"/>
        <v>10.214553906669051</v>
      </c>
      <c r="R646" s="396">
        <v>48</v>
      </c>
    </row>
    <row r="647" spans="1:18" ht="15">
      <c r="A647" s="398" t="s">
        <v>75</v>
      </c>
      <c r="B647" s="397" t="s">
        <v>1062</v>
      </c>
      <c r="C647" s="366"/>
      <c r="D647" s="305"/>
      <c r="E647" s="366"/>
      <c r="F647" s="308">
        <v>400</v>
      </c>
      <c r="G647" s="305"/>
      <c r="H647" s="307"/>
      <c r="I647" s="308"/>
      <c r="J647" s="309"/>
      <c r="K647" s="307"/>
      <c r="L647" s="308"/>
      <c r="M647" s="309"/>
      <c r="N647" s="306"/>
      <c r="O647" s="377">
        <v>1302.5</v>
      </c>
      <c r="P647" s="305">
        <f t="shared" si="73"/>
        <v>225</v>
      </c>
      <c r="Q647" s="378">
        <f t="shared" si="72"/>
        <v>5.7888888888888888</v>
      </c>
      <c r="R647" s="396">
        <v>100</v>
      </c>
    </row>
    <row r="648" spans="1:18" ht="15">
      <c r="A648" s="398"/>
      <c r="B648" s="397" t="s">
        <v>1063</v>
      </c>
      <c r="C648" s="366"/>
      <c r="D648" s="305"/>
      <c r="E648" s="366"/>
      <c r="F648" s="308"/>
      <c r="G648" s="305"/>
      <c r="H648" s="307"/>
      <c r="I648" s="308"/>
      <c r="J648" s="309"/>
      <c r="K648" s="307"/>
      <c r="L648" s="308"/>
      <c r="M648" s="309"/>
      <c r="N648" s="306"/>
      <c r="O648" s="377"/>
      <c r="P648" s="305">
        <f t="shared" si="73"/>
        <v>24.75</v>
      </c>
      <c r="Q648" s="378">
        <f t="shared" si="72"/>
        <v>0</v>
      </c>
      <c r="R648" s="396">
        <v>11</v>
      </c>
    </row>
    <row r="649" spans="1:18" ht="15">
      <c r="A649" s="398" t="s">
        <v>192</v>
      </c>
      <c r="B649" s="397" t="s">
        <v>1064</v>
      </c>
      <c r="C649" s="366"/>
      <c r="D649" s="305"/>
      <c r="E649" s="366"/>
      <c r="F649" s="308">
        <v>500</v>
      </c>
      <c r="G649" s="305"/>
      <c r="H649" s="307"/>
      <c r="I649" s="308"/>
      <c r="J649" s="309"/>
      <c r="K649" s="307"/>
      <c r="L649" s="308"/>
      <c r="M649" s="309"/>
      <c r="N649" s="306"/>
      <c r="O649" s="377">
        <v>1400.9</v>
      </c>
      <c r="P649" s="305">
        <f t="shared" si="73"/>
        <v>225</v>
      </c>
      <c r="Q649" s="378">
        <f t="shared" si="72"/>
        <v>6.2262222222222228</v>
      </c>
      <c r="R649" s="396">
        <v>100</v>
      </c>
    </row>
    <row r="650" spans="1:18" ht="15">
      <c r="A650" s="398" t="s">
        <v>14</v>
      </c>
      <c r="B650" s="407" t="s">
        <v>1065</v>
      </c>
      <c r="C650" s="366">
        <v>1854.65</v>
      </c>
      <c r="D650" s="305">
        <v>385.69</v>
      </c>
      <c r="E650" s="366">
        <v>415.31</v>
      </c>
      <c r="F650" s="308">
        <f>400+500</f>
        <v>900</v>
      </c>
      <c r="G650" s="305"/>
      <c r="H650" s="307"/>
      <c r="I650" s="308"/>
      <c r="J650" s="309"/>
      <c r="K650" s="307"/>
      <c r="L650" s="308"/>
      <c r="M650" s="309"/>
      <c r="N650" s="306"/>
      <c r="O650" s="377">
        <v>3089.5</v>
      </c>
      <c r="P650" s="305">
        <f t="shared" si="73"/>
        <v>579.19000000000005</v>
      </c>
      <c r="Q650" s="378">
        <f t="shared" si="72"/>
        <v>5.3341735872511604</v>
      </c>
      <c r="R650" s="396">
        <v>86</v>
      </c>
    </row>
    <row r="651" spans="1:18" ht="15">
      <c r="A651" s="398"/>
      <c r="B651" s="407" t="s">
        <v>1066</v>
      </c>
      <c r="C651" s="366"/>
      <c r="D651" s="305"/>
      <c r="E651" s="366"/>
      <c r="F651" s="308"/>
      <c r="G651" s="305"/>
      <c r="H651" s="307"/>
      <c r="I651" s="308"/>
      <c r="J651" s="309"/>
      <c r="K651" s="307"/>
      <c r="L651" s="308"/>
      <c r="M651" s="309"/>
      <c r="N651" s="306"/>
      <c r="O651" s="377"/>
      <c r="P651" s="305">
        <f t="shared" si="73"/>
        <v>18</v>
      </c>
      <c r="Q651" s="378">
        <f t="shared" si="72"/>
        <v>0</v>
      </c>
      <c r="R651" s="396">
        <v>8</v>
      </c>
    </row>
    <row r="652" spans="1:18" ht="15">
      <c r="A652" s="408" t="s">
        <v>1067</v>
      </c>
      <c r="B652" s="407" t="s">
        <v>362</v>
      </c>
      <c r="C652" s="366">
        <v>624.01</v>
      </c>
      <c r="D652" s="305">
        <v>125.08</v>
      </c>
      <c r="E652" s="366">
        <v>198.98</v>
      </c>
      <c r="F652" s="366">
        <f>600</f>
        <v>600</v>
      </c>
      <c r="G652" s="305"/>
      <c r="H652" s="366"/>
      <c r="I652" s="366">
        <f>900</f>
        <v>900</v>
      </c>
      <c r="J652" s="309"/>
      <c r="K652" s="366"/>
      <c r="L652" s="366"/>
      <c r="M652" s="309"/>
      <c r="N652" s="366"/>
      <c r="O652" s="409">
        <v>3272.5</v>
      </c>
      <c r="P652" s="305">
        <f t="shared" si="73"/>
        <v>260.08</v>
      </c>
      <c r="Q652" s="410">
        <f t="shared" si="72"/>
        <v>12.582666871731776</v>
      </c>
      <c r="R652" s="309">
        <v>60</v>
      </c>
    </row>
    <row r="653" spans="1:18" ht="15">
      <c r="A653" s="408" t="s">
        <v>1041</v>
      </c>
      <c r="B653" s="407" t="s">
        <v>1068</v>
      </c>
      <c r="C653" s="366"/>
      <c r="D653" s="305"/>
      <c r="E653" s="366"/>
      <c r="F653" s="411"/>
      <c r="G653" s="305"/>
      <c r="H653" s="366"/>
      <c r="I653" s="366"/>
      <c r="J653" s="305"/>
      <c r="K653" s="366"/>
      <c r="L653" s="366"/>
      <c r="M653" s="309"/>
      <c r="N653" s="366"/>
      <c r="O653" s="409">
        <v>1958.6</v>
      </c>
      <c r="P653" s="305">
        <f>D653+G653+J653+M653+(2*R653)</f>
        <v>0</v>
      </c>
      <c r="Q653" s="410" t="e">
        <f t="shared" si="72"/>
        <v>#DIV/0!</v>
      </c>
      <c r="R653" s="309"/>
    </row>
    <row r="654" spans="1:18" ht="15">
      <c r="A654" s="408" t="s">
        <v>1043</v>
      </c>
      <c r="B654" s="407" t="s">
        <v>1069</v>
      </c>
      <c r="C654" s="366">
        <v>1821.77</v>
      </c>
      <c r="D654" s="305">
        <v>400.29</v>
      </c>
      <c r="E654" s="366">
        <v>116.71</v>
      </c>
      <c r="F654" s="411">
        <v>700</v>
      </c>
      <c r="G654" s="305"/>
      <c r="H654" s="366"/>
      <c r="I654" s="366"/>
      <c r="J654" s="305"/>
      <c r="K654" s="366"/>
      <c r="L654" s="366"/>
      <c r="M654" s="309"/>
      <c r="N654" s="366"/>
      <c r="O654" s="409">
        <v>3285.8</v>
      </c>
      <c r="P654" s="305"/>
      <c r="Q654" s="410"/>
      <c r="R654" s="309">
        <v>42</v>
      </c>
    </row>
    <row r="655" spans="1:18" ht="15">
      <c r="A655" s="408" t="s">
        <v>359</v>
      </c>
      <c r="B655" s="407" t="s">
        <v>360</v>
      </c>
      <c r="C655" s="366">
        <v>1424.42</v>
      </c>
      <c r="D655" s="305">
        <v>333.98</v>
      </c>
      <c r="E655" s="366">
        <v>32.17</v>
      </c>
      <c r="F655" s="411">
        <v>790</v>
      </c>
      <c r="G655" s="305"/>
      <c r="H655" s="366"/>
      <c r="I655" s="366"/>
      <c r="J655" s="305"/>
      <c r="K655" s="366"/>
      <c r="L655" s="366"/>
      <c r="M655" s="309"/>
      <c r="N655" s="366"/>
      <c r="O655" s="409">
        <v>3815.1</v>
      </c>
      <c r="P655" s="305"/>
      <c r="Q655" s="410"/>
      <c r="R655" s="309">
        <v>99</v>
      </c>
    </row>
    <row r="656" spans="1:18" ht="15">
      <c r="A656" s="408" t="s">
        <v>368</v>
      </c>
      <c r="B656" s="407" t="s">
        <v>362</v>
      </c>
      <c r="C656" s="366">
        <v>830.61</v>
      </c>
      <c r="D656" s="305">
        <v>183.42</v>
      </c>
      <c r="E656" s="366">
        <v>18.329999999999998</v>
      </c>
      <c r="F656" s="411"/>
      <c r="G656" s="305"/>
      <c r="H656" s="366"/>
      <c r="I656" s="366"/>
      <c r="J656" s="305"/>
      <c r="K656" s="366"/>
      <c r="L656" s="366"/>
      <c r="M656" s="309"/>
      <c r="N656" s="366"/>
      <c r="O656" s="409">
        <v>2469.8000000000002</v>
      </c>
      <c r="P656" s="305"/>
      <c r="Q656" s="410"/>
      <c r="R656" s="309"/>
    </row>
    <row r="657" spans="1:18" ht="15">
      <c r="A657" s="408" t="s">
        <v>370</v>
      </c>
      <c r="B657" s="397" t="s">
        <v>1070</v>
      </c>
      <c r="C657" s="366"/>
      <c r="D657" s="305"/>
      <c r="E657" s="366"/>
      <c r="F657" s="366"/>
      <c r="G657" s="305"/>
      <c r="H657" s="366"/>
      <c r="I657" s="366"/>
      <c r="J657" s="305"/>
      <c r="K657" s="366"/>
      <c r="L657" s="366"/>
      <c r="M657" s="309"/>
      <c r="N657" s="366"/>
      <c r="O657" s="409">
        <v>1101.5</v>
      </c>
      <c r="P657" s="305"/>
      <c r="Q657" s="410"/>
      <c r="R657" s="309"/>
    </row>
    <row r="658" spans="1:18" ht="13">
      <c r="A658" s="470" t="s">
        <v>860</v>
      </c>
      <c r="B658" s="471"/>
      <c r="C658" s="324" t="s">
        <v>676</v>
      </c>
      <c r="D658" s="325" t="s">
        <v>861</v>
      </c>
      <c r="E658" s="355" t="s">
        <v>862</v>
      </c>
      <c r="F658" s="324" t="s">
        <v>676</v>
      </c>
      <c r="G658" s="325" t="s">
        <v>861</v>
      </c>
      <c r="H658" s="355" t="s">
        <v>862</v>
      </c>
      <c r="I658" s="324" t="s">
        <v>676</v>
      </c>
      <c r="J658" s="325" t="s">
        <v>861</v>
      </c>
      <c r="K658" s="355" t="s">
        <v>862</v>
      </c>
      <c r="L658" s="324" t="s">
        <v>676</v>
      </c>
      <c r="M658" s="325" t="s">
        <v>861</v>
      </c>
      <c r="N658" s="355" t="s">
        <v>862</v>
      </c>
      <c r="O658" s="324" t="s">
        <v>881</v>
      </c>
      <c r="P658" s="325" t="s">
        <v>861</v>
      </c>
      <c r="Q658" s="325" t="s">
        <v>865</v>
      </c>
      <c r="R658" s="412" t="s">
        <v>1031</v>
      </c>
    </row>
    <row r="659" spans="1:18" ht="13">
      <c r="A659" s="470" t="s">
        <v>863</v>
      </c>
      <c r="B659" s="471"/>
      <c r="C659" s="326">
        <f>SUM(C632:C652)+SUM(F632:F652)+SUM(I632:I652)</f>
        <v>27244.2</v>
      </c>
      <c r="D659" s="327">
        <f>SUM(D632:D651)+SUM(G632:G651)+SUM(J632:J651)+SUM(M632:M651)</f>
        <v>3347.39</v>
      </c>
      <c r="E659" s="328">
        <f>SUM(E632:E651)</f>
        <v>2042.73</v>
      </c>
      <c r="G659" s="329"/>
      <c r="H659" s="329"/>
      <c r="I659" s="329"/>
      <c r="J659" s="329"/>
      <c r="K659" s="329"/>
      <c r="L659" s="329"/>
      <c r="M659" s="329"/>
      <c r="N659" s="329"/>
      <c r="O659" s="329"/>
      <c r="P659" s="329"/>
      <c r="Q659" s="329"/>
    </row>
    <row r="661" spans="1:18" ht="13">
      <c r="A661" s="472" t="s">
        <v>1071</v>
      </c>
      <c r="B661" s="466"/>
      <c r="C661" s="466"/>
      <c r="D661" s="466"/>
      <c r="E661" s="466"/>
      <c r="F661" s="466"/>
      <c r="G661" s="466"/>
      <c r="H661" s="466"/>
      <c r="I661" s="466"/>
      <c r="J661" s="466"/>
      <c r="K661" s="466"/>
      <c r="L661" s="466"/>
      <c r="M661" s="466"/>
      <c r="N661" s="466"/>
      <c r="O661" s="466"/>
      <c r="P661" s="466"/>
      <c r="Q661" s="466"/>
      <c r="R661" s="466"/>
    </row>
    <row r="662" spans="1:18" ht="13">
      <c r="A662" s="356" t="s">
        <v>849</v>
      </c>
      <c r="B662" s="356" t="s">
        <v>1</v>
      </c>
      <c r="C662" s="473" t="s">
        <v>850</v>
      </c>
      <c r="D662" s="466"/>
      <c r="E662" s="467"/>
      <c r="F662" s="465" t="s">
        <v>852</v>
      </c>
      <c r="G662" s="466"/>
      <c r="H662" s="467"/>
      <c r="I662" s="465" t="s">
        <v>1013</v>
      </c>
      <c r="J662" s="466"/>
      <c r="K662" s="467"/>
      <c r="L662" s="465" t="s">
        <v>1047</v>
      </c>
      <c r="M662" s="466"/>
      <c r="N662" s="467"/>
      <c r="O662" s="465" t="s">
        <v>865</v>
      </c>
      <c r="P662" s="466"/>
      <c r="Q662" s="467"/>
      <c r="R662" s="356" t="s">
        <v>1028</v>
      </c>
    </row>
    <row r="663" spans="1:18" ht="13">
      <c r="A663" s="398" t="s">
        <v>349</v>
      </c>
      <c r="B663" s="413">
        <v>352368</v>
      </c>
      <c r="C663" s="366"/>
      <c r="D663" s="305"/>
      <c r="E663" s="366"/>
      <c r="F663" s="366"/>
      <c r="G663" s="305"/>
      <c r="H663" s="366"/>
      <c r="I663" s="366"/>
      <c r="J663" s="305"/>
      <c r="K663" s="366"/>
      <c r="L663" s="366"/>
      <c r="M663" s="309"/>
      <c r="N663" s="366"/>
      <c r="O663" s="414"/>
      <c r="P663" s="305"/>
      <c r="Q663" s="410"/>
      <c r="R663" s="309">
        <v>49</v>
      </c>
    </row>
    <row r="664" spans="1:18" ht="15">
      <c r="A664" s="399" t="s">
        <v>355</v>
      </c>
      <c r="B664" s="413">
        <v>352371</v>
      </c>
      <c r="C664" s="366">
        <v>2708.11</v>
      </c>
      <c r="D664" s="305">
        <v>553.51</v>
      </c>
      <c r="E664" s="366">
        <v>464.58</v>
      </c>
      <c r="F664" s="366"/>
      <c r="G664" s="305"/>
      <c r="H664" s="366"/>
      <c r="I664" s="366"/>
      <c r="J664" s="309"/>
      <c r="K664" s="366"/>
      <c r="L664" s="366"/>
      <c r="M664" s="309"/>
      <c r="N664" s="366"/>
      <c r="O664" s="409">
        <v>2808.1</v>
      </c>
      <c r="P664" s="305"/>
      <c r="Q664" s="410"/>
      <c r="R664" s="309">
        <v>49</v>
      </c>
    </row>
    <row r="665" spans="1:18" ht="15">
      <c r="A665" s="398"/>
      <c r="B665" s="413">
        <v>352372</v>
      </c>
      <c r="C665" s="366"/>
      <c r="D665" s="305"/>
      <c r="E665" s="366"/>
      <c r="F665" s="366"/>
      <c r="G665" s="305"/>
      <c r="H665" s="366"/>
      <c r="I665" s="366"/>
      <c r="J665" s="309"/>
      <c r="K665" s="366"/>
      <c r="L665" s="366"/>
      <c r="M665" s="309"/>
      <c r="N665" s="366"/>
      <c r="O665" s="409"/>
      <c r="P665" s="305"/>
      <c r="Q665" s="410"/>
      <c r="R665" s="309">
        <v>43</v>
      </c>
    </row>
    <row r="666" spans="1:18" ht="13">
      <c r="A666" s="400" t="s">
        <v>347</v>
      </c>
      <c r="B666" s="413">
        <v>352373</v>
      </c>
      <c r="C666" s="366"/>
      <c r="D666" s="305"/>
      <c r="E666" s="366"/>
      <c r="F666" s="366"/>
      <c r="G666" s="305"/>
      <c r="H666" s="366"/>
      <c r="I666" s="366"/>
      <c r="J666" s="309"/>
      <c r="K666" s="366"/>
      <c r="L666" s="366"/>
      <c r="M666" s="309"/>
      <c r="N666" s="366"/>
      <c r="O666" s="414">
        <v>434.4</v>
      </c>
      <c r="P666" s="305"/>
      <c r="Q666" s="410"/>
      <c r="R666" s="309">
        <v>76</v>
      </c>
    </row>
    <row r="667" spans="1:18" ht="13">
      <c r="A667" s="398" t="s">
        <v>191</v>
      </c>
      <c r="B667" s="407" t="s">
        <v>366</v>
      </c>
      <c r="C667" s="366"/>
      <c r="D667" s="305"/>
      <c r="E667" s="366"/>
      <c r="F667" s="366"/>
      <c r="G667" s="305"/>
      <c r="H667" s="366"/>
      <c r="I667" s="366"/>
      <c r="J667" s="309"/>
      <c r="K667" s="366"/>
      <c r="L667" s="366"/>
      <c r="M667" s="309"/>
      <c r="N667" s="366"/>
      <c r="O667" s="414"/>
      <c r="P667" s="305"/>
      <c r="Q667" s="410"/>
      <c r="R667" s="309"/>
    </row>
    <row r="668" spans="1:18" ht="13">
      <c r="A668" s="398"/>
      <c r="B668" s="413">
        <v>352375</v>
      </c>
      <c r="C668" s="366"/>
      <c r="D668" s="305"/>
      <c r="E668" s="366"/>
      <c r="F668" s="366"/>
      <c r="G668" s="305"/>
      <c r="H668" s="366"/>
      <c r="I668" s="366"/>
      <c r="J668" s="309"/>
      <c r="K668" s="366"/>
      <c r="L668" s="366"/>
      <c r="M668" s="309"/>
      <c r="N668" s="366"/>
      <c r="O668" s="414"/>
      <c r="P668" s="305"/>
      <c r="Q668" s="410"/>
      <c r="R668" s="309">
        <v>53</v>
      </c>
    </row>
    <row r="669" spans="1:18" ht="14">
      <c r="A669" s="398"/>
      <c r="B669" s="413">
        <v>352375</v>
      </c>
      <c r="C669" s="366"/>
      <c r="D669" s="305"/>
      <c r="E669" s="366"/>
      <c r="F669" s="366"/>
      <c r="G669" s="305"/>
      <c r="H669" s="366"/>
      <c r="I669" s="366"/>
      <c r="J669" s="309"/>
      <c r="K669" s="366"/>
      <c r="L669" s="366"/>
      <c r="M669" s="309"/>
      <c r="N669" s="366"/>
      <c r="O669" s="415"/>
      <c r="P669" s="305"/>
      <c r="Q669" s="410"/>
      <c r="R669" s="309">
        <v>62</v>
      </c>
    </row>
    <row r="670" spans="1:18" ht="15">
      <c r="A670" s="398" t="s">
        <v>62</v>
      </c>
      <c r="B670" s="413">
        <v>352376</v>
      </c>
      <c r="C670" s="366"/>
      <c r="D670" s="305"/>
      <c r="E670" s="366"/>
      <c r="F670" s="366"/>
      <c r="G670" s="305"/>
      <c r="H670" s="366"/>
      <c r="I670" s="366"/>
      <c r="J670" s="309"/>
      <c r="K670" s="366"/>
      <c r="L670" s="366"/>
      <c r="M670" s="309"/>
      <c r="N670" s="366"/>
      <c r="O670" s="416"/>
      <c r="P670" s="305"/>
      <c r="Q670" s="410"/>
      <c r="R670" s="309">
        <v>42</v>
      </c>
    </row>
    <row r="671" spans="1:18" ht="15">
      <c r="A671" s="398"/>
      <c r="B671" s="413">
        <v>352377</v>
      </c>
      <c r="C671" s="366"/>
      <c r="D671" s="305"/>
      <c r="E671" s="366"/>
      <c r="F671" s="366"/>
      <c r="G671" s="305"/>
      <c r="H671" s="366"/>
      <c r="I671" s="366"/>
      <c r="J671" s="309"/>
      <c r="K671" s="366"/>
      <c r="L671" s="366"/>
      <c r="M671" s="309"/>
      <c r="N671" s="366"/>
      <c r="O671" s="409">
        <v>0.7</v>
      </c>
      <c r="P671" s="305"/>
      <c r="Q671" s="410"/>
      <c r="R671" s="309">
        <v>75</v>
      </c>
    </row>
    <row r="672" spans="1:18" ht="15">
      <c r="A672" s="398" t="s">
        <v>315</v>
      </c>
      <c r="B672" s="413">
        <v>359885</v>
      </c>
      <c r="C672" s="366"/>
      <c r="D672" s="305"/>
      <c r="E672" s="366"/>
      <c r="F672" s="366"/>
      <c r="G672" s="305"/>
      <c r="H672" s="366"/>
      <c r="I672" s="366"/>
      <c r="J672" s="309"/>
      <c r="K672" s="366"/>
      <c r="L672" s="366"/>
      <c r="M672" s="309"/>
      <c r="N672" s="366"/>
      <c r="O672" s="409"/>
      <c r="P672" s="305"/>
      <c r="Q672" s="410"/>
      <c r="R672" s="309">
        <v>22</v>
      </c>
    </row>
    <row r="673" spans="1:18" ht="15">
      <c r="A673" s="347"/>
      <c r="B673" s="413">
        <v>359886</v>
      </c>
      <c r="C673" s="366"/>
      <c r="D673" s="305"/>
      <c r="E673" s="366"/>
      <c r="F673" s="366"/>
      <c r="G673" s="305"/>
      <c r="H673" s="366"/>
      <c r="I673" s="366"/>
      <c r="J673" s="309"/>
      <c r="K673" s="366"/>
      <c r="L673" s="366"/>
      <c r="M673" s="309"/>
      <c r="N673" s="366"/>
      <c r="O673" s="409">
        <v>10.9</v>
      </c>
      <c r="P673" s="305"/>
      <c r="Q673" s="410"/>
      <c r="R673" s="309">
        <v>40</v>
      </c>
    </row>
    <row r="674" spans="1:18" ht="15">
      <c r="A674" s="398" t="s">
        <v>319</v>
      </c>
      <c r="B674" s="413">
        <v>465180</v>
      </c>
      <c r="C674" s="366">
        <v>1163.5999999999999</v>
      </c>
      <c r="D674" s="305">
        <v>282.94</v>
      </c>
      <c r="E674" s="366">
        <v>153.93</v>
      </c>
      <c r="F674" s="366"/>
      <c r="G674" s="305"/>
      <c r="H674" s="366"/>
      <c r="I674" s="366"/>
      <c r="J674" s="309"/>
      <c r="K674" s="366"/>
      <c r="L674" s="366"/>
      <c r="M674" s="309"/>
      <c r="N674" s="366"/>
      <c r="O674" s="409">
        <v>0.1</v>
      </c>
      <c r="P674" s="305"/>
      <c r="Q674" s="410"/>
      <c r="R674" s="309">
        <v>62</v>
      </c>
    </row>
    <row r="675" spans="1:18" ht="15">
      <c r="A675" s="398" t="s">
        <v>322</v>
      </c>
      <c r="B675" s="413">
        <v>465181</v>
      </c>
      <c r="C675" s="366">
        <v>2342.65</v>
      </c>
      <c r="D675" s="305">
        <v>503.19</v>
      </c>
      <c r="E675" s="366">
        <v>463.32</v>
      </c>
      <c r="F675" s="366"/>
      <c r="G675" s="305"/>
      <c r="H675" s="366"/>
      <c r="I675" s="366"/>
      <c r="J675" s="309"/>
      <c r="K675" s="366"/>
      <c r="L675" s="366"/>
      <c r="M675" s="309"/>
      <c r="N675" s="366"/>
      <c r="O675" s="409">
        <v>3426.6</v>
      </c>
      <c r="P675" s="305"/>
      <c r="Q675" s="410"/>
      <c r="R675" s="309">
        <v>16</v>
      </c>
    </row>
    <row r="676" spans="1:18" ht="15">
      <c r="A676" s="398" t="s">
        <v>1072</v>
      </c>
      <c r="B676" s="413">
        <v>465182</v>
      </c>
      <c r="C676" s="366">
        <v>121.45</v>
      </c>
      <c r="D676" s="305">
        <v>26.99</v>
      </c>
      <c r="E676" s="366"/>
      <c r="F676" s="366"/>
      <c r="G676" s="305"/>
      <c r="H676" s="366"/>
      <c r="I676" s="366"/>
      <c r="J676" s="309"/>
      <c r="K676" s="366"/>
      <c r="L676" s="366"/>
      <c r="M676" s="309"/>
      <c r="N676" s="366"/>
      <c r="O676" s="409"/>
      <c r="P676" s="305"/>
      <c r="Q676" s="410"/>
      <c r="R676" s="309">
        <v>50</v>
      </c>
    </row>
    <row r="677" spans="1:18" ht="15">
      <c r="A677" s="398" t="s">
        <v>88</v>
      </c>
      <c r="B677" s="413">
        <v>465183</v>
      </c>
      <c r="C677" s="366"/>
      <c r="D677" s="305"/>
      <c r="E677" s="366"/>
      <c r="F677" s="366"/>
      <c r="G677" s="305"/>
      <c r="H677" s="366"/>
      <c r="I677" s="366"/>
      <c r="J677" s="309"/>
      <c r="K677" s="366"/>
      <c r="L677" s="366"/>
      <c r="M677" s="309"/>
      <c r="N677" s="366"/>
      <c r="O677" s="409">
        <v>0.3</v>
      </c>
      <c r="P677" s="305"/>
      <c r="Q677" s="410"/>
      <c r="R677" s="309">
        <v>46</v>
      </c>
    </row>
    <row r="678" spans="1:18" ht="15">
      <c r="A678" s="347" t="s">
        <v>40</v>
      </c>
      <c r="B678" s="413">
        <v>465184</v>
      </c>
      <c r="C678" s="366"/>
      <c r="D678" s="305"/>
      <c r="E678" s="366"/>
      <c r="F678" s="366"/>
      <c r="G678" s="305"/>
      <c r="H678" s="366"/>
      <c r="I678" s="366"/>
      <c r="J678" s="309"/>
      <c r="K678" s="366"/>
      <c r="L678" s="366"/>
      <c r="M678" s="309"/>
      <c r="N678" s="366"/>
      <c r="O678" s="409">
        <v>50</v>
      </c>
      <c r="P678" s="305"/>
      <c r="Q678" s="410"/>
      <c r="R678" s="309">
        <v>48</v>
      </c>
    </row>
    <row r="679" spans="1:18" ht="15">
      <c r="A679" s="398" t="s">
        <v>75</v>
      </c>
      <c r="B679" s="413">
        <v>465185</v>
      </c>
      <c r="C679" s="366"/>
      <c r="D679" s="305"/>
      <c r="E679" s="366"/>
      <c r="F679" s="366"/>
      <c r="G679" s="305"/>
      <c r="H679" s="366"/>
      <c r="I679" s="366"/>
      <c r="J679" s="309"/>
      <c r="K679" s="366"/>
      <c r="L679" s="366"/>
      <c r="M679" s="309"/>
      <c r="N679" s="366"/>
      <c r="O679" s="409"/>
      <c r="P679" s="305"/>
      <c r="Q679" s="410"/>
      <c r="R679" s="309">
        <v>48</v>
      </c>
    </row>
    <row r="680" spans="1:18" ht="15">
      <c r="A680" s="398" t="s">
        <v>386</v>
      </c>
      <c r="B680" s="413">
        <v>465186</v>
      </c>
      <c r="C680" s="366">
        <v>2252.69</v>
      </c>
      <c r="D680" s="305">
        <v>493.3</v>
      </c>
      <c r="E680" s="366">
        <v>76.09</v>
      </c>
      <c r="F680" s="366"/>
      <c r="G680" s="305"/>
      <c r="H680" s="366"/>
      <c r="I680" s="366"/>
      <c r="J680" s="309"/>
      <c r="K680" s="366"/>
      <c r="L680" s="366"/>
      <c r="M680" s="309"/>
      <c r="N680" s="366"/>
      <c r="O680" s="409">
        <v>2995.7</v>
      </c>
      <c r="P680" s="305"/>
      <c r="Q680" s="410"/>
      <c r="R680" s="309">
        <v>89</v>
      </c>
    </row>
    <row r="681" spans="1:18" ht="15">
      <c r="A681" s="398" t="s">
        <v>192</v>
      </c>
      <c r="B681" s="413">
        <v>465187</v>
      </c>
      <c r="C681" s="366"/>
      <c r="D681" s="305"/>
      <c r="E681" s="366"/>
      <c r="F681" s="366"/>
      <c r="G681" s="305"/>
      <c r="H681" s="366"/>
      <c r="I681" s="366"/>
      <c r="J681" s="309"/>
      <c r="K681" s="366"/>
      <c r="L681" s="366"/>
      <c r="M681" s="309"/>
      <c r="N681" s="366"/>
      <c r="O681" s="409">
        <v>0.3</v>
      </c>
      <c r="P681" s="305"/>
      <c r="Q681" s="410"/>
      <c r="R681" s="309">
        <v>30</v>
      </c>
    </row>
    <row r="682" spans="1:18" ht="15">
      <c r="A682" s="398" t="s">
        <v>14</v>
      </c>
      <c r="B682" s="413">
        <v>465188</v>
      </c>
      <c r="C682" s="366">
        <v>798.74</v>
      </c>
      <c r="D682" s="305">
        <v>177.19</v>
      </c>
      <c r="E682" s="366">
        <v>68.91</v>
      </c>
      <c r="F682" s="366"/>
      <c r="G682" s="305"/>
      <c r="H682" s="366"/>
      <c r="I682" s="366"/>
      <c r="J682" s="309"/>
      <c r="K682" s="366"/>
      <c r="L682" s="366"/>
      <c r="M682" s="309"/>
      <c r="N682" s="366"/>
      <c r="O682" s="409">
        <v>1020</v>
      </c>
      <c r="P682" s="305"/>
      <c r="Q682" s="410"/>
      <c r="R682" s="309">
        <v>100</v>
      </c>
    </row>
    <row r="683" spans="1:18" ht="15">
      <c r="A683" s="398"/>
      <c r="B683" s="413">
        <v>465189</v>
      </c>
      <c r="C683" s="366"/>
      <c r="D683" s="366"/>
      <c r="E683" s="366"/>
      <c r="F683" s="366"/>
      <c r="G683" s="305"/>
      <c r="H683" s="366"/>
      <c r="I683" s="366"/>
      <c r="J683" s="309"/>
      <c r="K683" s="366"/>
      <c r="L683" s="366"/>
      <c r="M683" s="309"/>
      <c r="N683" s="366"/>
      <c r="O683" s="409">
        <v>4.4000000000000004</v>
      </c>
      <c r="P683" s="305"/>
      <c r="Q683" s="410"/>
      <c r="R683" s="309">
        <v>9</v>
      </c>
    </row>
    <row r="684" spans="1:18" ht="15">
      <c r="A684" s="408" t="s">
        <v>1067</v>
      </c>
      <c r="B684" s="407" t="s">
        <v>362</v>
      </c>
      <c r="C684" s="366">
        <v>1890</v>
      </c>
      <c r="D684" s="366">
        <v>385.73</v>
      </c>
      <c r="E684" s="366">
        <v>245.7</v>
      </c>
      <c r="F684" s="366"/>
      <c r="G684" s="305"/>
      <c r="H684" s="366"/>
      <c r="I684" s="366"/>
      <c r="J684" s="309"/>
      <c r="K684" s="366"/>
      <c r="L684" s="366"/>
      <c r="M684" s="309"/>
      <c r="N684" s="366"/>
      <c r="O684" s="409">
        <v>2288.1999999999998</v>
      </c>
      <c r="P684" s="305"/>
      <c r="Q684" s="410"/>
      <c r="R684" s="309"/>
    </row>
    <row r="685" spans="1:18" ht="15">
      <c r="A685" s="408" t="s">
        <v>1041</v>
      </c>
      <c r="B685" s="407" t="s">
        <v>1068</v>
      </c>
      <c r="C685" s="366">
        <v>1483.38</v>
      </c>
      <c r="D685" s="305">
        <v>353.05</v>
      </c>
      <c r="E685" s="366">
        <v>33.61</v>
      </c>
      <c r="F685" s="411"/>
      <c r="G685" s="305"/>
      <c r="H685" s="366"/>
      <c r="I685" s="366"/>
      <c r="J685" s="305"/>
      <c r="K685" s="366"/>
      <c r="L685" s="366"/>
      <c r="M685" s="309"/>
      <c r="N685" s="366"/>
      <c r="O685" s="409">
        <v>2282</v>
      </c>
      <c r="P685" s="305"/>
      <c r="Q685" s="410"/>
      <c r="R685" s="309"/>
    </row>
    <row r="686" spans="1:18" ht="15">
      <c r="A686" s="408" t="s">
        <v>1043</v>
      </c>
      <c r="B686" s="407" t="s">
        <v>1069</v>
      </c>
      <c r="C686" s="366"/>
      <c r="D686" s="305"/>
      <c r="E686" s="366"/>
      <c r="F686" s="411"/>
      <c r="G686" s="305"/>
      <c r="H686" s="366"/>
      <c r="I686" s="366"/>
      <c r="J686" s="305"/>
      <c r="K686" s="366"/>
      <c r="L686" s="366"/>
      <c r="M686" s="309"/>
      <c r="N686" s="366"/>
      <c r="O686" s="409">
        <v>122.4</v>
      </c>
      <c r="P686" s="305"/>
      <c r="Q686" s="410"/>
      <c r="R686" s="309">
        <v>54</v>
      </c>
    </row>
    <row r="687" spans="1:18" ht="15">
      <c r="A687" s="408" t="s">
        <v>359</v>
      </c>
      <c r="B687" s="407" t="s">
        <v>360</v>
      </c>
      <c r="C687" s="366">
        <v>1957.27</v>
      </c>
      <c r="D687" s="305">
        <v>433.05</v>
      </c>
      <c r="E687" s="366">
        <v>41.21</v>
      </c>
      <c r="F687" s="411"/>
      <c r="G687" s="305"/>
      <c r="H687" s="366"/>
      <c r="I687" s="366"/>
      <c r="J687" s="305"/>
      <c r="K687" s="366"/>
      <c r="L687" s="366"/>
      <c r="M687" s="309"/>
      <c r="N687" s="366"/>
      <c r="O687" s="409">
        <v>3099.1</v>
      </c>
      <c r="P687" s="305"/>
      <c r="Q687" s="410"/>
      <c r="R687" s="309">
        <v>60</v>
      </c>
    </row>
    <row r="688" spans="1:18" ht="15">
      <c r="A688" s="408" t="s">
        <v>370</v>
      </c>
      <c r="B688" s="407" t="s">
        <v>1070</v>
      </c>
      <c r="C688" s="366">
        <v>496.34</v>
      </c>
      <c r="D688" s="305">
        <v>101.31</v>
      </c>
      <c r="E688" s="366">
        <v>10.130000000000001</v>
      </c>
      <c r="F688" s="411"/>
      <c r="G688" s="305"/>
      <c r="H688" s="366"/>
      <c r="I688" s="366"/>
      <c r="J688" s="305"/>
      <c r="K688" s="366"/>
      <c r="L688" s="366"/>
      <c r="M688" s="309"/>
      <c r="N688" s="366"/>
      <c r="O688" s="409">
        <v>195.5</v>
      </c>
      <c r="P688" s="305"/>
      <c r="Q688" s="410"/>
      <c r="R688" s="309"/>
    </row>
    <row r="689" spans="1:18" ht="15">
      <c r="A689" s="408" t="s">
        <v>368</v>
      </c>
      <c r="B689" s="407" t="s">
        <v>362</v>
      </c>
      <c r="C689" s="366">
        <v>2171.92</v>
      </c>
      <c r="D689" s="305">
        <v>473.32</v>
      </c>
      <c r="E689" s="366">
        <v>128.44999999999999</v>
      </c>
      <c r="F689" s="411"/>
      <c r="G689" s="305"/>
      <c r="H689" s="366"/>
      <c r="I689" s="366"/>
      <c r="J689" s="305"/>
      <c r="K689" s="366"/>
      <c r="L689" s="366"/>
      <c r="M689" s="309"/>
      <c r="N689" s="366"/>
      <c r="O689" s="409">
        <v>2923.6</v>
      </c>
      <c r="P689" s="305"/>
      <c r="Q689" s="410"/>
      <c r="R689" s="309"/>
    </row>
    <row r="690" spans="1:18" ht="13">
      <c r="A690" s="470" t="s">
        <v>860</v>
      </c>
      <c r="B690" s="471"/>
      <c r="C690" s="324" t="s">
        <v>676</v>
      </c>
      <c r="D690" s="325" t="s">
        <v>861</v>
      </c>
      <c r="E690" s="355" t="s">
        <v>862</v>
      </c>
      <c r="F690" s="324" t="s">
        <v>676</v>
      </c>
      <c r="G690" s="325" t="s">
        <v>861</v>
      </c>
      <c r="H690" s="355" t="s">
        <v>862</v>
      </c>
      <c r="I690" s="324" t="s">
        <v>676</v>
      </c>
      <c r="J690" s="325" t="s">
        <v>861</v>
      </c>
      <c r="K690" s="355" t="s">
        <v>862</v>
      </c>
      <c r="L690" s="324" t="s">
        <v>676</v>
      </c>
      <c r="M690" s="325" t="s">
        <v>861</v>
      </c>
      <c r="N690" s="355" t="s">
        <v>862</v>
      </c>
      <c r="O690" s="324" t="s">
        <v>881</v>
      </c>
      <c r="P690" s="325" t="s">
        <v>861</v>
      </c>
      <c r="Q690" s="325" t="s">
        <v>865</v>
      </c>
      <c r="R690" s="412" t="s">
        <v>1031</v>
      </c>
    </row>
    <row r="691" spans="1:18" ht="13">
      <c r="A691" s="470" t="s">
        <v>863</v>
      </c>
      <c r="B691" s="471"/>
      <c r="C691" s="326">
        <f>SUM(C663:C684)+SUM(F663:F684)+SUM(I663:I684)</f>
        <v>11277.24</v>
      </c>
      <c r="D691" s="327">
        <f>SUM(D663:D683)+SUM(G663:G683)+SUM(J663:J683)+SUM(M663:M683)</f>
        <v>2037.1200000000001</v>
      </c>
      <c r="E691" s="328">
        <f>SUM(E663:E683)</f>
        <v>1226.83</v>
      </c>
      <c r="F691" s="329"/>
      <c r="G691" s="329"/>
      <c r="H691" s="329"/>
      <c r="I691" s="329"/>
      <c r="J691" s="329"/>
      <c r="K691" s="329"/>
      <c r="L691" s="329"/>
      <c r="M691" s="329"/>
      <c r="N691" s="329"/>
      <c r="O691" s="329"/>
      <c r="P691" s="329"/>
      <c r="Q691" s="329"/>
    </row>
    <row r="693" spans="1:18" ht="13">
      <c r="A693" s="472" t="s">
        <v>1073</v>
      </c>
      <c r="B693" s="466"/>
      <c r="C693" s="466"/>
      <c r="D693" s="466"/>
      <c r="E693" s="466"/>
      <c r="F693" s="466"/>
      <c r="G693" s="466"/>
      <c r="H693" s="466"/>
      <c r="I693" s="466"/>
      <c r="J693" s="466"/>
      <c r="K693" s="466"/>
      <c r="L693" s="466"/>
      <c r="M693" s="466"/>
      <c r="N693" s="466"/>
      <c r="O693" s="466"/>
      <c r="P693" s="466"/>
      <c r="Q693" s="466"/>
      <c r="R693" s="466"/>
    </row>
    <row r="694" spans="1:18" ht="13">
      <c r="A694" s="356" t="s">
        <v>849</v>
      </c>
      <c r="B694" s="356" t="s">
        <v>1</v>
      </c>
      <c r="C694" s="473" t="s">
        <v>850</v>
      </c>
      <c r="D694" s="466"/>
      <c r="E694" s="467"/>
      <c r="F694" s="465" t="s">
        <v>852</v>
      </c>
      <c r="G694" s="466"/>
      <c r="H694" s="467"/>
      <c r="I694" s="465" t="s">
        <v>1013</v>
      </c>
      <c r="J694" s="466"/>
      <c r="K694" s="467"/>
      <c r="L694" s="465" t="s">
        <v>1047</v>
      </c>
      <c r="M694" s="466"/>
      <c r="N694" s="467"/>
      <c r="O694" s="465" t="s">
        <v>865</v>
      </c>
      <c r="P694" s="466"/>
      <c r="Q694" s="467"/>
      <c r="R694" s="356" t="s">
        <v>1028</v>
      </c>
    </row>
    <row r="695" spans="1:18" ht="13">
      <c r="A695" s="398" t="s">
        <v>349</v>
      </c>
      <c r="B695" s="413">
        <v>352368</v>
      </c>
      <c r="C695" s="366">
        <v>2582.19</v>
      </c>
      <c r="D695" s="305">
        <v>589.91999999999996</v>
      </c>
      <c r="E695" s="366">
        <v>47.9</v>
      </c>
      <c r="F695" s="366">
        <f>500</f>
        <v>500</v>
      </c>
      <c r="G695" s="305">
        <v>115.23399999999999</v>
      </c>
      <c r="H695" s="366"/>
      <c r="I695" s="366"/>
      <c r="J695" s="305"/>
      <c r="K695" s="366"/>
      <c r="L695" s="366"/>
      <c r="M695" s="309"/>
      <c r="N695" s="366"/>
      <c r="O695" s="414">
        <v>1186</v>
      </c>
      <c r="P695" s="305"/>
      <c r="Q695" s="410"/>
      <c r="R695" s="309">
        <v>49</v>
      </c>
    </row>
    <row r="696" spans="1:18" ht="15">
      <c r="A696" s="399" t="s">
        <v>355</v>
      </c>
      <c r="B696" s="413">
        <v>352371</v>
      </c>
      <c r="C696" s="366"/>
      <c r="D696" s="305"/>
      <c r="E696" s="366"/>
      <c r="F696" s="366"/>
      <c r="G696" s="305"/>
      <c r="H696" s="366"/>
      <c r="I696" s="366"/>
      <c r="J696" s="309"/>
      <c r="K696" s="366"/>
      <c r="L696" s="366"/>
      <c r="M696" s="309"/>
      <c r="N696" s="366"/>
      <c r="O696" s="409">
        <v>167.9</v>
      </c>
      <c r="P696" s="305"/>
      <c r="Q696" s="410"/>
      <c r="R696" s="309">
        <v>49</v>
      </c>
    </row>
    <row r="697" spans="1:18" ht="15">
      <c r="A697" s="398"/>
      <c r="B697" s="413">
        <v>352372</v>
      </c>
      <c r="C697" s="366"/>
      <c r="D697" s="305"/>
      <c r="E697" s="366"/>
      <c r="F697" s="366"/>
      <c r="G697" s="305"/>
      <c r="H697" s="366"/>
      <c r="I697" s="366"/>
      <c r="J697" s="309"/>
      <c r="K697" s="366"/>
      <c r="L697" s="366"/>
      <c r="M697" s="309"/>
      <c r="N697" s="366"/>
      <c r="O697" s="409"/>
      <c r="P697" s="305"/>
      <c r="Q697" s="410"/>
      <c r="R697" s="309">
        <v>43</v>
      </c>
    </row>
    <row r="698" spans="1:18" ht="13">
      <c r="A698" s="400" t="s">
        <v>347</v>
      </c>
      <c r="B698" s="413">
        <v>352373</v>
      </c>
      <c r="C698" s="366">
        <v>2626.07</v>
      </c>
      <c r="D698" s="305">
        <v>613.49</v>
      </c>
      <c r="E698" s="366">
        <v>284</v>
      </c>
      <c r="F698" s="366"/>
      <c r="G698" s="305"/>
      <c r="H698" s="366"/>
      <c r="I698" s="366"/>
      <c r="J698" s="309"/>
      <c r="K698" s="366"/>
      <c r="L698" s="366"/>
      <c r="M698" s="309"/>
      <c r="N698" s="366"/>
      <c r="O698" s="414">
        <v>905.1</v>
      </c>
      <c r="P698" s="305"/>
      <c r="Q698" s="410"/>
      <c r="R698" s="309">
        <v>76</v>
      </c>
    </row>
    <row r="699" spans="1:18" ht="13">
      <c r="A699" s="398" t="s">
        <v>191</v>
      </c>
      <c r="B699" s="407" t="s">
        <v>366</v>
      </c>
      <c r="C699" s="366"/>
      <c r="D699" s="305"/>
      <c r="E699" s="366"/>
      <c r="F699" s="366"/>
      <c r="G699" s="305"/>
      <c r="H699" s="366"/>
      <c r="I699" s="366"/>
      <c r="J699" s="309"/>
      <c r="K699" s="366"/>
      <c r="L699" s="366"/>
      <c r="M699" s="309"/>
      <c r="N699" s="366"/>
      <c r="O699" s="414"/>
      <c r="P699" s="305"/>
      <c r="Q699" s="410"/>
      <c r="R699" s="309"/>
    </row>
    <row r="700" spans="1:18" ht="13">
      <c r="A700" s="398"/>
      <c r="B700" s="413">
        <v>352375</v>
      </c>
      <c r="C700" s="366"/>
      <c r="D700" s="305"/>
      <c r="E700" s="366"/>
      <c r="F700" s="366"/>
      <c r="G700" s="305"/>
      <c r="H700" s="366"/>
      <c r="I700" s="366"/>
      <c r="J700" s="309"/>
      <c r="K700" s="366"/>
      <c r="L700" s="366"/>
      <c r="M700" s="309"/>
      <c r="N700" s="366"/>
      <c r="O700" s="414"/>
      <c r="P700" s="305"/>
      <c r="Q700" s="410"/>
      <c r="R700" s="309">
        <v>53</v>
      </c>
    </row>
    <row r="701" spans="1:18" ht="14">
      <c r="A701" s="398"/>
      <c r="B701" s="413">
        <v>352375</v>
      </c>
      <c r="C701" s="366"/>
      <c r="D701" s="305"/>
      <c r="E701" s="366"/>
      <c r="F701" s="366"/>
      <c r="G701" s="305"/>
      <c r="H701" s="366"/>
      <c r="I701" s="366"/>
      <c r="J701" s="309"/>
      <c r="K701" s="366"/>
      <c r="L701" s="366"/>
      <c r="M701" s="309"/>
      <c r="N701" s="366"/>
      <c r="O701" s="415"/>
      <c r="P701" s="305"/>
      <c r="Q701" s="410"/>
      <c r="R701" s="309">
        <v>62</v>
      </c>
    </row>
    <row r="702" spans="1:18" ht="15">
      <c r="A702" s="398" t="s">
        <v>62</v>
      </c>
      <c r="B702" s="413">
        <v>352376</v>
      </c>
      <c r="C702" s="366">
        <v>2582.19</v>
      </c>
      <c r="D702" s="305">
        <v>323.22000000000003</v>
      </c>
      <c r="E702" s="366">
        <v>261.91000000000003</v>
      </c>
      <c r="F702" s="366"/>
      <c r="G702" s="305"/>
      <c r="H702" s="366"/>
      <c r="I702" s="366"/>
      <c r="J702" s="309"/>
      <c r="K702" s="366"/>
      <c r="L702" s="366"/>
      <c r="M702" s="309"/>
      <c r="N702" s="366"/>
      <c r="O702" s="416">
        <v>2280.3000000000002</v>
      </c>
      <c r="P702" s="305"/>
      <c r="Q702" s="410"/>
      <c r="R702" s="309">
        <v>42</v>
      </c>
    </row>
    <row r="703" spans="1:18" ht="15">
      <c r="A703" s="398"/>
      <c r="B703" s="413">
        <v>352377</v>
      </c>
      <c r="C703" s="366"/>
      <c r="D703" s="305"/>
      <c r="E703" s="366"/>
      <c r="F703" s="366"/>
      <c r="G703" s="305"/>
      <c r="H703" s="366"/>
      <c r="I703" s="366"/>
      <c r="J703" s="309"/>
      <c r="K703" s="366"/>
      <c r="L703" s="366"/>
      <c r="M703" s="309"/>
      <c r="N703" s="366"/>
      <c r="O703" s="409"/>
      <c r="P703" s="305"/>
      <c r="Q703" s="410"/>
      <c r="R703" s="309">
        <v>75</v>
      </c>
    </row>
    <row r="704" spans="1:18" ht="15">
      <c r="A704" s="398" t="s">
        <v>315</v>
      </c>
      <c r="B704" s="413">
        <v>359885</v>
      </c>
      <c r="C704" s="366"/>
      <c r="D704" s="305"/>
      <c r="E704" s="366"/>
      <c r="F704" s="366"/>
      <c r="G704" s="305"/>
      <c r="H704" s="366"/>
      <c r="I704" s="366"/>
      <c r="J704" s="309"/>
      <c r="K704" s="366"/>
      <c r="L704" s="366"/>
      <c r="M704" s="309"/>
      <c r="N704" s="366"/>
      <c r="O704" s="409"/>
      <c r="P704" s="305"/>
      <c r="Q704" s="410"/>
      <c r="R704" s="309">
        <v>22</v>
      </c>
    </row>
    <row r="705" spans="1:18" ht="15">
      <c r="A705" s="347"/>
      <c r="B705" s="413">
        <v>359886</v>
      </c>
      <c r="C705" s="366"/>
      <c r="D705" s="305"/>
      <c r="E705" s="366"/>
      <c r="F705" s="366"/>
      <c r="G705" s="305"/>
      <c r="H705" s="366"/>
      <c r="I705" s="366"/>
      <c r="J705" s="309"/>
      <c r="K705" s="366"/>
      <c r="L705" s="366"/>
      <c r="M705" s="309"/>
      <c r="N705" s="366"/>
      <c r="O705" s="409"/>
      <c r="P705" s="305"/>
      <c r="Q705" s="410"/>
      <c r="R705" s="309">
        <v>40</v>
      </c>
    </row>
    <row r="706" spans="1:18" ht="15">
      <c r="A706" s="398" t="s">
        <v>319</v>
      </c>
      <c r="B706" s="413">
        <v>465180</v>
      </c>
      <c r="C706" s="366">
        <v>172.49</v>
      </c>
      <c r="D706" s="305">
        <v>40.6</v>
      </c>
      <c r="E706" s="366">
        <v>27.01</v>
      </c>
      <c r="F706" s="366"/>
      <c r="G706" s="305"/>
      <c r="H706" s="366"/>
      <c r="I706" s="366"/>
      <c r="J706" s="309"/>
      <c r="K706" s="366"/>
      <c r="L706" s="366"/>
      <c r="M706" s="309"/>
      <c r="N706" s="366"/>
      <c r="O706" s="409">
        <v>22.1</v>
      </c>
      <c r="P706" s="305"/>
      <c r="Q706" s="410"/>
      <c r="R706" s="309">
        <v>62</v>
      </c>
    </row>
    <row r="707" spans="1:18" ht="15">
      <c r="A707" s="398" t="s">
        <v>322</v>
      </c>
      <c r="B707" s="413">
        <v>465181</v>
      </c>
      <c r="C707" s="366">
        <v>2552.9699999999998</v>
      </c>
      <c r="D707" s="305">
        <v>560.29</v>
      </c>
      <c r="E707" s="366">
        <v>479.36</v>
      </c>
      <c r="F707" s="366"/>
      <c r="G707" s="305"/>
      <c r="H707" s="366"/>
      <c r="I707" s="366"/>
      <c r="J707" s="309"/>
      <c r="K707" s="366"/>
      <c r="L707" s="366"/>
      <c r="M707" s="309"/>
      <c r="N707" s="366"/>
      <c r="O707" s="409">
        <v>2830.3</v>
      </c>
      <c r="P707" s="305"/>
      <c r="Q707" s="410"/>
      <c r="R707" s="309">
        <v>16</v>
      </c>
    </row>
    <row r="708" spans="1:18" ht="15">
      <c r="A708" s="398" t="s">
        <v>1072</v>
      </c>
      <c r="B708" s="413">
        <v>465182</v>
      </c>
      <c r="C708" s="366"/>
      <c r="D708" s="305"/>
      <c r="E708" s="366"/>
      <c r="F708" s="366"/>
      <c r="G708" s="305"/>
      <c r="H708" s="366"/>
      <c r="I708" s="366"/>
      <c r="J708" s="309"/>
      <c r="K708" s="366"/>
      <c r="L708" s="366"/>
      <c r="M708" s="309"/>
      <c r="N708" s="366"/>
      <c r="O708" s="409">
        <v>2448.4</v>
      </c>
      <c r="P708" s="305"/>
      <c r="Q708" s="410"/>
      <c r="R708" s="309">
        <v>50</v>
      </c>
    </row>
    <row r="709" spans="1:18" ht="15">
      <c r="A709" s="398" t="s">
        <v>88</v>
      </c>
      <c r="B709" s="413">
        <v>465183</v>
      </c>
      <c r="C709" s="366">
        <v>2251.58</v>
      </c>
      <c r="D709" s="305">
        <v>480.95</v>
      </c>
      <c r="E709" s="366">
        <v>374.18</v>
      </c>
      <c r="F709" s="366"/>
      <c r="G709" s="305"/>
      <c r="H709" s="366"/>
      <c r="I709" s="366"/>
      <c r="J709" s="309"/>
      <c r="K709" s="366"/>
      <c r="L709" s="366"/>
      <c r="M709" s="309"/>
      <c r="N709" s="366"/>
      <c r="O709" s="409">
        <v>2840.2</v>
      </c>
      <c r="P709" s="305"/>
      <c r="Q709" s="410"/>
      <c r="R709" s="309">
        <v>46</v>
      </c>
    </row>
    <row r="710" spans="1:18" ht="15">
      <c r="A710" s="347" t="s">
        <v>40</v>
      </c>
      <c r="B710" s="413">
        <v>465184</v>
      </c>
      <c r="C710" s="366">
        <v>3344.61</v>
      </c>
      <c r="D710" s="305">
        <v>723.73</v>
      </c>
      <c r="E710" s="366">
        <v>69.66</v>
      </c>
      <c r="F710" s="366"/>
      <c r="G710" s="305"/>
      <c r="H710" s="366"/>
      <c r="I710" s="366"/>
      <c r="J710" s="309"/>
      <c r="K710" s="366"/>
      <c r="L710" s="366"/>
      <c r="M710" s="309"/>
      <c r="N710" s="366"/>
      <c r="O710" s="409">
        <v>4424.1000000000004</v>
      </c>
      <c r="P710" s="305"/>
      <c r="Q710" s="410"/>
      <c r="R710" s="309">
        <v>48</v>
      </c>
    </row>
    <row r="711" spans="1:18" ht="15">
      <c r="A711" s="398" t="s">
        <v>75</v>
      </c>
      <c r="B711" s="413">
        <v>465185</v>
      </c>
      <c r="C711" s="366">
        <v>1961.71</v>
      </c>
      <c r="D711" s="305">
        <v>448.28</v>
      </c>
      <c r="E711" s="366">
        <v>194.36</v>
      </c>
      <c r="F711" s="366"/>
      <c r="G711" s="305"/>
      <c r="H711" s="366"/>
      <c r="I711" s="366"/>
      <c r="J711" s="309"/>
      <c r="K711" s="366"/>
      <c r="L711" s="366"/>
      <c r="M711" s="309"/>
      <c r="N711" s="366"/>
      <c r="O711" s="409">
        <v>2720.7</v>
      </c>
      <c r="P711" s="305"/>
      <c r="Q711" s="410"/>
      <c r="R711" s="309">
        <v>48</v>
      </c>
    </row>
    <row r="712" spans="1:18" ht="15">
      <c r="A712" s="398" t="s">
        <v>386</v>
      </c>
      <c r="B712" s="413">
        <v>465186</v>
      </c>
      <c r="C712" s="366">
        <v>3149.77</v>
      </c>
      <c r="D712" s="305">
        <v>683.85</v>
      </c>
      <c r="E712" s="366">
        <v>55.55</v>
      </c>
      <c r="F712" s="366">
        <v>500</v>
      </c>
      <c r="G712" s="305"/>
      <c r="H712" s="366"/>
      <c r="I712" s="366"/>
      <c r="J712" s="309"/>
      <c r="K712" s="366"/>
      <c r="L712" s="366"/>
      <c r="M712" s="309"/>
      <c r="N712" s="366"/>
      <c r="O712" s="409">
        <v>5535.1</v>
      </c>
      <c r="P712" s="305"/>
      <c r="Q712" s="410"/>
      <c r="R712" s="309">
        <v>89</v>
      </c>
    </row>
    <row r="713" spans="1:18" ht="15">
      <c r="A713" s="398" t="s">
        <v>192</v>
      </c>
      <c r="B713" s="413">
        <v>465187</v>
      </c>
      <c r="C713" s="366">
        <v>3153.46</v>
      </c>
      <c r="D713" s="305">
        <v>715.4</v>
      </c>
      <c r="E713" s="366">
        <v>270.11</v>
      </c>
      <c r="F713" s="366"/>
      <c r="G713" s="305"/>
      <c r="H713" s="366"/>
      <c r="I713" s="366"/>
      <c r="J713" s="309"/>
      <c r="K713" s="366"/>
      <c r="L713" s="366"/>
      <c r="M713" s="309"/>
      <c r="N713" s="366"/>
      <c r="O713" s="409">
        <v>3959.3</v>
      </c>
      <c r="P713" s="305"/>
      <c r="Q713" s="410"/>
      <c r="R713" s="309">
        <v>30</v>
      </c>
    </row>
    <row r="714" spans="1:18" ht="15">
      <c r="A714" s="398" t="s">
        <v>14</v>
      </c>
      <c r="B714" s="413">
        <v>465188</v>
      </c>
      <c r="C714" s="366">
        <v>2024.98</v>
      </c>
      <c r="D714" s="305">
        <v>446.03</v>
      </c>
      <c r="E714" s="366">
        <v>336.72</v>
      </c>
      <c r="F714" s="366">
        <f>500</f>
        <v>500</v>
      </c>
      <c r="G714" s="305">
        <v>89.460999999999999</v>
      </c>
      <c r="H714" s="366"/>
      <c r="I714" s="366"/>
      <c r="J714" s="309"/>
      <c r="K714" s="366"/>
      <c r="L714" s="366"/>
      <c r="M714" s="309"/>
      <c r="N714" s="366"/>
      <c r="O714" s="409">
        <v>3718.9</v>
      </c>
      <c r="P714" s="305"/>
      <c r="Q714" s="410"/>
      <c r="R714" s="309">
        <v>100</v>
      </c>
    </row>
    <row r="715" spans="1:18" ht="15">
      <c r="A715" s="398"/>
      <c r="B715" s="413">
        <v>465189</v>
      </c>
      <c r="C715" s="366"/>
      <c r="D715" s="366"/>
      <c r="E715" s="366"/>
      <c r="F715" s="366"/>
      <c r="G715" s="305"/>
      <c r="H715" s="366"/>
      <c r="I715" s="366"/>
      <c r="J715" s="309"/>
      <c r="K715" s="366"/>
      <c r="L715" s="366"/>
      <c r="M715" s="309"/>
      <c r="N715" s="366"/>
      <c r="O715" s="409">
        <v>2097.1</v>
      </c>
      <c r="P715" s="305"/>
      <c r="Q715" s="410"/>
      <c r="R715" s="309">
        <v>9</v>
      </c>
    </row>
    <row r="716" spans="1:18" ht="15">
      <c r="A716" s="408" t="s">
        <v>1067</v>
      </c>
      <c r="B716" s="407" t="s">
        <v>362</v>
      </c>
      <c r="C716" s="366">
        <v>2976</v>
      </c>
      <c r="D716" s="410" t="s">
        <v>1074</v>
      </c>
      <c r="E716" s="366">
        <v>199.17</v>
      </c>
      <c r="F716" s="366"/>
      <c r="G716" s="305"/>
      <c r="H716" s="366"/>
      <c r="I716" s="366"/>
      <c r="J716" s="309"/>
      <c r="K716" s="366"/>
      <c r="L716" s="366"/>
      <c r="M716" s="309"/>
      <c r="N716" s="366"/>
      <c r="O716" s="409">
        <v>4225.6000000000004</v>
      </c>
      <c r="P716" s="305"/>
      <c r="Q716" s="410"/>
      <c r="R716" s="309"/>
    </row>
    <row r="717" spans="1:18" ht="15">
      <c r="A717" s="408" t="s">
        <v>1041</v>
      </c>
      <c r="B717" s="407" t="s">
        <v>1068</v>
      </c>
      <c r="C717" s="366">
        <v>1466.02</v>
      </c>
      <c r="D717" s="305">
        <v>343.48</v>
      </c>
      <c r="E717" s="366">
        <v>0</v>
      </c>
      <c r="F717" s="411"/>
      <c r="G717" s="305"/>
      <c r="H717" s="366"/>
      <c r="I717" s="366"/>
      <c r="J717" s="305"/>
      <c r="K717" s="366"/>
      <c r="L717" s="366"/>
      <c r="M717" s="309"/>
      <c r="N717" s="366"/>
      <c r="O717" s="409">
        <v>2270.8000000000002</v>
      </c>
      <c r="P717" s="305"/>
      <c r="Q717" s="410"/>
      <c r="R717" s="309"/>
    </row>
    <row r="718" spans="1:18" ht="15">
      <c r="A718" s="408" t="s">
        <v>1043</v>
      </c>
      <c r="B718" s="407" t="s">
        <v>1069</v>
      </c>
      <c r="C718" s="366">
        <v>1734.91</v>
      </c>
      <c r="D718" s="305">
        <v>387.85</v>
      </c>
      <c r="E718" s="366">
        <v>119.39</v>
      </c>
      <c r="F718" s="411"/>
      <c r="G718" s="305"/>
      <c r="H718" s="366"/>
      <c r="I718" s="366"/>
      <c r="J718" s="305"/>
      <c r="K718" s="366"/>
      <c r="L718" s="366"/>
      <c r="M718" s="309"/>
      <c r="N718" s="366"/>
      <c r="O718" s="409">
        <v>2286.4</v>
      </c>
      <c r="P718" s="305"/>
      <c r="Q718" s="410"/>
      <c r="R718" s="309">
        <v>54</v>
      </c>
    </row>
    <row r="719" spans="1:18" ht="15">
      <c r="A719" s="408" t="s">
        <v>359</v>
      </c>
      <c r="B719" s="407" t="s">
        <v>360</v>
      </c>
      <c r="C719" s="366">
        <v>2451.58</v>
      </c>
      <c r="D719" s="305">
        <v>582.67999999999995</v>
      </c>
      <c r="E719" s="366">
        <v>55.93</v>
      </c>
      <c r="F719" s="411"/>
      <c r="G719" s="305"/>
      <c r="H719" s="366"/>
      <c r="I719" s="366"/>
      <c r="J719" s="305"/>
      <c r="K719" s="366"/>
      <c r="L719" s="366"/>
      <c r="M719" s="309"/>
      <c r="N719" s="366"/>
      <c r="O719" s="409">
        <v>3061.7</v>
      </c>
      <c r="P719" s="305"/>
      <c r="Q719" s="410"/>
      <c r="R719" s="309">
        <v>60</v>
      </c>
    </row>
    <row r="720" spans="1:18" ht="15">
      <c r="A720" s="408" t="s">
        <v>370</v>
      </c>
      <c r="B720" s="407" t="s">
        <v>1070</v>
      </c>
      <c r="C720" s="366"/>
      <c r="D720" s="305"/>
      <c r="E720" s="366"/>
      <c r="F720" s="411"/>
      <c r="G720" s="305"/>
      <c r="H720" s="366"/>
      <c r="I720" s="366"/>
      <c r="J720" s="305"/>
      <c r="K720" s="366"/>
      <c r="L720" s="366"/>
      <c r="M720" s="309"/>
      <c r="N720" s="366"/>
      <c r="O720" s="409"/>
      <c r="P720" s="305"/>
      <c r="Q720" s="410"/>
      <c r="R720" s="309"/>
    </row>
    <row r="721" spans="1:18" ht="15">
      <c r="A721" s="408" t="s">
        <v>368</v>
      </c>
      <c r="B721" s="407" t="s">
        <v>362</v>
      </c>
      <c r="C721" s="366">
        <v>825.7</v>
      </c>
      <c r="D721" s="305">
        <v>175.4</v>
      </c>
      <c r="E721" s="366">
        <v>67.87</v>
      </c>
      <c r="F721" s="411"/>
      <c r="G721" s="305"/>
      <c r="H721" s="366"/>
      <c r="I721" s="366"/>
      <c r="J721" s="305"/>
      <c r="K721" s="366"/>
      <c r="L721" s="366"/>
      <c r="M721" s="309"/>
      <c r="N721" s="366"/>
      <c r="O721" s="409">
        <v>1380.4</v>
      </c>
      <c r="P721" s="305"/>
      <c r="Q721" s="410"/>
      <c r="R721" s="309"/>
    </row>
    <row r="722" spans="1:18" ht="13">
      <c r="A722" s="470" t="s">
        <v>860</v>
      </c>
      <c r="B722" s="471"/>
      <c r="C722" s="324" t="s">
        <v>676</v>
      </c>
      <c r="D722" s="325" t="s">
        <v>861</v>
      </c>
      <c r="E722" s="355" t="s">
        <v>862</v>
      </c>
      <c r="F722" s="324" t="s">
        <v>676</v>
      </c>
      <c r="G722" s="325" t="s">
        <v>861</v>
      </c>
      <c r="H722" s="355" t="s">
        <v>862</v>
      </c>
      <c r="I722" s="324" t="s">
        <v>676</v>
      </c>
      <c r="J722" s="325" t="s">
        <v>861</v>
      </c>
      <c r="K722" s="355" t="s">
        <v>862</v>
      </c>
      <c r="L722" s="324" t="s">
        <v>676</v>
      </c>
      <c r="M722" s="325" t="s">
        <v>861</v>
      </c>
      <c r="N722" s="355" t="s">
        <v>862</v>
      </c>
      <c r="O722" s="324" t="s">
        <v>881</v>
      </c>
      <c r="P722" s="325" t="s">
        <v>861</v>
      </c>
      <c r="Q722" s="325" t="s">
        <v>865</v>
      </c>
      <c r="R722" s="412" t="s">
        <v>1031</v>
      </c>
    </row>
    <row r="723" spans="1:18" ht="13">
      <c r="A723" s="470" t="s">
        <v>863</v>
      </c>
      <c r="B723" s="471"/>
      <c r="C723" s="326">
        <f>SUM(C695:C716)+SUM(F695:F716)+SUM(I695:I716)</f>
        <v>30878.02</v>
      </c>
      <c r="D723" s="327">
        <f>SUM(D695:D715)+SUM(G695:G715)+SUM(J695:J715)+SUM(M695:M715)</f>
        <v>5830.454999999999</v>
      </c>
      <c r="E723" s="328">
        <f>SUM(E695:E715)</f>
        <v>2400.7600000000002</v>
      </c>
      <c r="F723" s="329"/>
      <c r="G723" s="329"/>
      <c r="H723" s="329"/>
      <c r="I723" s="329"/>
      <c r="J723" s="329"/>
      <c r="K723" s="329"/>
      <c r="L723" s="329"/>
      <c r="M723" s="329"/>
      <c r="N723" s="329"/>
      <c r="O723" s="329"/>
      <c r="P723" s="329"/>
      <c r="Q723" s="329"/>
    </row>
    <row r="725" spans="1:18" ht="13">
      <c r="A725" s="472" t="s">
        <v>1075</v>
      </c>
      <c r="B725" s="466"/>
      <c r="C725" s="466"/>
      <c r="D725" s="466"/>
      <c r="E725" s="466"/>
      <c r="F725" s="466"/>
      <c r="G725" s="466"/>
      <c r="H725" s="466"/>
      <c r="I725" s="466"/>
      <c r="J725" s="466"/>
      <c r="K725" s="466"/>
      <c r="L725" s="466"/>
      <c r="M725" s="466"/>
      <c r="N725" s="466"/>
      <c r="O725" s="466"/>
      <c r="P725" s="466"/>
      <c r="Q725" s="466"/>
      <c r="R725" s="466"/>
    </row>
    <row r="726" spans="1:18" ht="13">
      <c r="A726" s="356" t="s">
        <v>849</v>
      </c>
      <c r="B726" s="356" t="s">
        <v>1</v>
      </c>
      <c r="C726" s="473" t="s">
        <v>850</v>
      </c>
      <c r="D726" s="466"/>
      <c r="E726" s="467"/>
      <c r="F726" s="465" t="s">
        <v>852</v>
      </c>
      <c r="G726" s="466"/>
      <c r="H726" s="467"/>
      <c r="I726" s="465" t="s">
        <v>1013</v>
      </c>
      <c r="J726" s="466"/>
      <c r="K726" s="467"/>
      <c r="L726" s="465" t="s">
        <v>1047</v>
      </c>
      <c r="M726" s="466"/>
      <c r="N726" s="467"/>
      <c r="O726" s="465" t="s">
        <v>865</v>
      </c>
      <c r="P726" s="466"/>
      <c r="Q726" s="467"/>
      <c r="R726" s="356" t="s">
        <v>1028</v>
      </c>
    </row>
    <row r="727" spans="1:18" ht="13">
      <c r="A727" s="398" t="s">
        <v>349</v>
      </c>
      <c r="B727" s="413">
        <v>352368</v>
      </c>
      <c r="C727" s="366"/>
      <c r="D727" s="305"/>
      <c r="E727" s="366"/>
      <c r="F727" s="417"/>
      <c r="G727" s="305"/>
      <c r="H727" s="366"/>
      <c r="I727" s="366"/>
      <c r="J727" s="305"/>
      <c r="K727" s="366"/>
      <c r="L727" s="366"/>
      <c r="M727" s="309"/>
      <c r="N727" s="366"/>
      <c r="O727" s="414"/>
      <c r="P727" s="305"/>
      <c r="Q727" s="410"/>
      <c r="R727" s="309">
        <v>42</v>
      </c>
    </row>
    <row r="728" spans="1:18" ht="15">
      <c r="A728" s="399" t="s">
        <v>355</v>
      </c>
      <c r="B728" s="413">
        <v>352371</v>
      </c>
      <c r="C728" s="366">
        <v>3490.11</v>
      </c>
      <c r="D728" s="305">
        <v>719.46</v>
      </c>
      <c r="E728" s="366">
        <v>290.64999999999998</v>
      </c>
      <c r="F728" s="366"/>
      <c r="G728" s="305"/>
      <c r="H728" s="366"/>
      <c r="I728" s="366"/>
      <c r="J728" s="309"/>
      <c r="K728" s="366"/>
      <c r="L728" s="366"/>
      <c r="M728" s="309"/>
      <c r="N728" s="366"/>
      <c r="O728" s="409">
        <v>4409.3999999999996</v>
      </c>
      <c r="P728" s="305"/>
      <c r="Q728" s="410"/>
      <c r="R728" s="309">
        <v>42</v>
      </c>
    </row>
    <row r="729" spans="1:18" ht="15">
      <c r="A729" s="398"/>
      <c r="B729" s="413">
        <v>352372</v>
      </c>
      <c r="C729" s="366"/>
      <c r="D729" s="305"/>
      <c r="E729" s="366"/>
      <c r="F729" s="366"/>
      <c r="G729" s="305"/>
      <c r="H729" s="366"/>
      <c r="I729" s="366"/>
      <c r="J729" s="309"/>
      <c r="K729" s="366"/>
      <c r="L729" s="366"/>
      <c r="M729" s="309"/>
      <c r="N729" s="366"/>
      <c r="O729" s="409"/>
      <c r="P729" s="305"/>
      <c r="Q729" s="410"/>
      <c r="R729" s="309">
        <v>43</v>
      </c>
    </row>
    <row r="730" spans="1:18" ht="13">
      <c r="A730" s="400" t="s">
        <v>347</v>
      </c>
      <c r="B730" s="413" t="s">
        <v>1076</v>
      </c>
      <c r="C730" s="366">
        <v>1308.1500000000001</v>
      </c>
      <c r="D730" s="305">
        <v>299.39999999999998</v>
      </c>
      <c r="E730" s="366">
        <v>130.78</v>
      </c>
      <c r="F730" s="366"/>
      <c r="G730" s="305"/>
      <c r="H730" s="366"/>
      <c r="I730" s="366"/>
      <c r="J730" s="309"/>
      <c r="K730" s="366"/>
      <c r="L730" s="366"/>
      <c r="M730" s="309"/>
      <c r="N730" s="366"/>
      <c r="O730" s="414"/>
      <c r="P730" s="305"/>
      <c r="Q730" s="410"/>
      <c r="R730" s="309">
        <v>32</v>
      </c>
    </row>
    <row r="731" spans="1:18" ht="13">
      <c r="A731" s="398" t="s">
        <v>191</v>
      </c>
      <c r="B731" s="407" t="s">
        <v>366</v>
      </c>
      <c r="C731" s="366"/>
      <c r="D731" s="305"/>
      <c r="E731" s="366"/>
      <c r="F731" s="366"/>
      <c r="G731" s="305"/>
      <c r="H731" s="366"/>
      <c r="I731" s="366"/>
      <c r="J731" s="309"/>
      <c r="K731" s="366"/>
      <c r="L731" s="366"/>
      <c r="M731" s="309"/>
      <c r="N731" s="366"/>
      <c r="O731" s="414">
        <v>722.5</v>
      </c>
      <c r="P731" s="305"/>
      <c r="Q731" s="410"/>
      <c r="R731" s="309">
        <v>50</v>
      </c>
    </row>
    <row r="732" spans="1:18" ht="13">
      <c r="A732" s="398"/>
      <c r="B732" s="413">
        <v>352375</v>
      </c>
      <c r="C732" s="366"/>
      <c r="D732" s="305"/>
      <c r="E732" s="366"/>
      <c r="F732" s="366"/>
      <c r="G732" s="305"/>
      <c r="H732" s="366"/>
      <c r="I732" s="366"/>
      <c r="J732" s="309"/>
      <c r="K732" s="366"/>
      <c r="L732" s="366"/>
      <c r="M732" s="309"/>
      <c r="N732" s="366"/>
      <c r="O732" s="414"/>
      <c r="P732" s="305"/>
      <c r="Q732" s="410"/>
      <c r="R732" s="309">
        <v>53</v>
      </c>
    </row>
    <row r="733" spans="1:18" ht="15">
      <c r="A733" s="398" t="s">
        <v>62</v>
      </c>
      <c r="B733" s="413">
        <v>352376</v>
      </c>
      <c r="C733" s="366">
        <v>1748.38</v>
      </c>
      <c r="D733" s="305">
        <v>390.09</v>
      </c>
      <c r="E733" s="366">
        <v>248.91</v>
      </c>
      <c r="F733" s="366"/>
      <c r="G733" s="305"/>
      <c r="H733" s="366"/>
      <c r="I733" s="366"/>
      <c r="J733" s="309"/>
      <c r="K733" s="366"/>
      <c r="L733" s="366"/>
      <c r="M733" s="309"/>
      <c r="N733" s="366"/>
      <c r="O733" s="416">
        <v>2128.3000000000002</v>
      </c>
      <c r="P733" s="305"/>
      <c r="Q733" s="410"/>
      <c r="R733" s="309">
        <v>36</v>
      </c>
    </row>
    <row r="734" spans="1:18" ht="15">
      <c r="A734" s="398" t="s">
        <v>390</v>
      </c>
      <c r="B734" s="413" t="s">
        <v>1077</v>
      </c>
      <c r="C734" s="366">
        <v>2391.2399999999998</v>
      </c>
      <c r="D734" s="305">
        <v>538.9</v>
      </c>
      <c r="E734" s="366">
        <v>51.54</v>
      </c>
      <c r="F734" s="366"/>
      <c r="G734" s="305"/>
      <c r="H734" s="366"/>
      <c r="I734" s="366"/>
      <c r="J734" s="309"/>
      <c r="K734" s="366"/>
      <c r="L734" s="366"/>
      <c r="M734" s="309"/>
      <c r="N734" s="366"/>
      <c r="O734" s="409">
        <v>3064.5</v>
      </c>
      <c r="P734" s="305"/>
      <c r="Q734" s="410"/>
      <c r="R734" s="309">
        <v>37</v>
      </c>
    </row>
    <row r="735" spans="1:18" ht="15">
      <c r="A735" s="398" t="s">
        <v>191</v>
      </c>
      <c r="B735" s="413">
        <v>359885</v>
      </c>
      <c r="C735" s="366">
        <v>1714.71</v>
      </c>
      <c r="D735" s="305">
        <v>360.71</v>
      </c>
      <c r="E735" s="366">
        <v>294.48</v>
      </c>
      <c r="F735" s="366"/>
      <c r="G735" s="305"/>
      <c r="H735" s="366"/>
      <c r="I735" s="366"/>
      <c r="J735" s="309"/>
      <c r="K735" s="366"/>
      <c r="L735" s="366"/>
      <c r="M735" s="309"/>
      <c r="N735" s="366"/>
      <c r="O735" s="409">
        <v>1878.1</v>
      </c>
      <c r="P735" s="305"/>
      <c r="Q735" s="410"/>
      <c r="R735" s="309">
        <v>74</v>
      </c>
    </row>
    <row r="736" spans="1:18" ht="15">
      <c r="A736" s="347"/>
      <c r="B736" s="413">
        <v>359886</v>
      </c>
      <c r="C736" s="366"/>
      <c r="D736" s="305"/>
      <c r="E736" s="366"/>
      <c r="F736" s="366"/>
      <c r="G736" s="305"/>
      <c r="H736" s="366"/>
      <c r="I736" s="366"/>
      <c r="J736" s="309"/>
      <c r="K736" s="366"/>
      <c r="L736" s="366"/>
      <c r="M736" s="309"/>
      <c r="N736" s="366"/>
      <c r="O736" s="409"/>
      <c r="P736" s="305"/>
      <c r="Q736" s="410"/>
      <c r="R736" s="309">
        <v>21</v>
      </c>
    </row>
    <row r="737" spans="1:18" ht="15">
      <c r="A737" s="398" t="s">
        <v>319</v>
      </c>
      <c r="B737" s="413">
        <v>465180</v>
      </c>
      <c r="C737" s="366">
        <v>3073.17</v>
      </c>
      <c r="D737" s="305">
        <v>685.62</v>
      </c>
      <c r="E737" s="366">
        <v>519.14</v>
      </c>
      <c r="F737" s="366"/>
      <c r="G737" s="305"/>
      <c r="H737" s="366"/>
      <c r="I737" s="366"/>
      <c r="J737" s="309"/>
      <c r="K737" s="366"/>
      <c r="L737" s="366"/>
      <c r="M737" s="309"/>
      <c r="N737" s="366"/>
      <c r="O737" s="409">
        <v>3453.5</v>
      </c>
      <c r="P737" s="305"/>
      <c r="Q737" s="410"/>
      <c r="R737" s="309">
        <v>36</v>
      </c>
    </row>
    <row r="738" spans="1:18" ht="15">
      <c r="A738" s="398" t="s">
        <v>322</v>
      </c>
      <c r="B738" s="413">
        <v>465181</v>
      </c>
      <c r="C738" s="366">
        <v>1941.65</v>
      </c>
      <c r="D738" s="305">
        <v>426.59</v>
      </c>
      <c r="E738" s="366">
        <v>286.31</v>
      </c>
      <c r="F738" s="366"/>
      <c r="G738" s="305"/>
      <c r="H738" s="366"/>
      <c r="I738" s="366"/>
      <c r="J738" s="309"/>
      <c r="K738" s="366"/>
      <c r="L738" s="366"/>
      <c r="M738" s="309"/>
      <c r="N738" s="366"/>
      <c r="O738" s="409">
        <v>3136.7</v>
      </c>
      <c r="P738" s="305"/>
      <c r="Q738" s="410"/>
      <c r="R738" s="309">
        <v>100</v>
      </c>
    </row>
    <row r="739" spans="1:18" ht="15">
      <c r="A739" s="398" t="s">
        <v>349</v>
      </c>
      <c r="B739" s="413">
        <v>465182</v>
      </c>
      <c r="C739" s="366">
        <v>3445.92</v>
      </c>
      <c r="D739" s="305">
        <v>760.8</v>
      </c>
      <c r="E739" s="366">
        <v>65.78</v>
      </c>
      <c r="F739" s="366">
        <v>500</v>
      </c>
      <c r="G739" s="305">
        <v>115.23399999999999</v>
      </c>
      <c r="H739" s="366"/>
      <c r="I739" s="366"/>
      <c r="J739" s="309"/>
      <c r="K739" s="366"/>
      <c r="L739" s="366"/>
      <c r="M739" s="309"/>
      <c r="N739" s="366"/>
      <c r="O739" s="409">
        <v>5374.9</v>
      </c>
      <c r="P739" s="305"/>
      <c r="Q739" s="410"/>
      <c r="R739" s="309">
        <v>31</v>
      </c>
    </row>
    <row r="740" spans="1:18" ht="15">
      <c r="A740" s="398" t="s">
        <v>88</v>
      </c>
      <c r="B740" s="413">
        <v>465183</v>
      </c>
      <c r="C740" s="366">
        <v>2861.87</v>
      </c>
      <c r="D740" s="305">
        <v>670.33</v>
      </c>
      <c r="E740" s="366">
        <v>231.19</v>
      </c>
      <c r="F740" s="366"/>
      <c r="G740" s="305"/>
      <c r="H740" s="366"/>
      <c r="I740" s="366"/>
      <c r="J740" s="309"/>
      <c r="K740" s="366"/>
      <c r="L740" s="366"/>
      <c r="M740" s="309"/>
      <c r="N740" s="366"/>
      <c r="O740" s="409">
        <v>3957.5</v>
      </c>
      <c r="P740" s="305"/>
      <c r="Q740" s="410"/>
      <c r="R740" s="309">
        <v>70</v>
      </c>
    </row>
    <row r="741" spans="1:18" ht="15">
      <c r="A741" s="347" t="s">
        <v>40</v>
      </c>
      <c r="B741" s="413">
        <v>465184</v>
      </c>
      <c r="C741" s="366">
        <v>3152.1</v>
      </c>
      <c r="D741" s="305">
        <v>666.12</v>
      </c>
      <c r="E741" s="366">
        <v>64.11</v>
      </c>
      <c r="F741" s="366"/>
      <c r="G741" s="305"/>
      <c r="H741" s="366"/>
      <c r="I741" s="366"/>
      <c r="J741" s="309"/>
      <c r="K741" s="366"/>
      <c r="L741" s="366"/>
      <c r="M741" s="309"/>
      <c r="N741" s="366"/>
      <c r="O741" s="409">
        <v>4318</v>
      </c>
      <c r="P741" s="305"/>
      <c r="Q741" s="410"/>
      <c r="R741" s="309">
        <v>74</v>
      </c>
    </row>
    <row r="742" spans="1:18" ht="15">
      <c r="A742" s="398" t="s">
        <v>75</v>
      </c>
      <c r="B742" s="413">
        <v>465185</v>
      </c>
      <c r="C742" s="366">
        <v>3259.05</v>
      </c>
      <c r="D742" s="305">
        <v>682.68</v>
      </c>
      <c r="E742" s="366">
        <v>617.04</v>
      </c>
      <c r="F742" s="366"/>
      <c r="G742" s="305"/>
      <c r="H742" s="366"/>
      <c r="I742" s="366"/>
      <c r="J742" s="309"/>
      <c r="K742" s="366"/>
      <c r="L742" s="366"/>
      <c r="M742" s="309"/>
      <c r="N742" s="366"/>
      <c r="O742" s="409">
        <v>3881.4</v>
      </c>
      <c r="P742" s="305"/>
      <c r="Q742" s="410"/>
      <c r="R742" s="309">
        <v>56</v>
      </c>
    </row>
    <row r="743" spans="1:18" ht="15">
      <c r="A743" s="398" t="s">
        <v>386</v>
      </c>
      <c r="B743" s="413">
        <v>465186</v>
      </c>
      <c r="C743" s="366">
        <v>2947.63</v>
      </c>
      <c r="D743" s="305">
        <v>626.15</v>
      </c>
      <c r="E743" s="366">
        <v>274.05</v>
      </c>
      <c r="F743" s="366"/>
      <c r="G743" s="305"/>
      <c r="H743" s="366"/>
      <c r="I743" s="366"/>
      <c r="J743" s="309"/>
      <c r="K743" s="366"/>
      <c r="L743" s="366"/>
      <c r="M743" s="309"/>
      <c r="N743" s="366"/>
      <c r="O743" s="409">
        <v>4345.8</v>
      </c>
      <c r="P743" s="305"/>
      <c r="Q743" s="410"/>
      <c r="R743" s="309">
        <v>80</v>
      </c>
    </row>
    <row r="744" spans="1:18" ht="15">
      <c r="A744" s="398" t="s">
        <v>192</v>
      </c>
      <c r="B744" s="413">
        <v>465187</v>
      </c>
      <c r="C744" s="366">
        <v>3597.06</v>
      </c>
      <c r="D744" s="305">
        <v>740.33</v>
      </c>
      <c r="E744" s="366">
        <v>620.27</v>
      </c>
      <c r="F744" s="366"/>
      <c r="G744" s="305"/>
      <c r="H744" s="366"/>
      <c r="I744" s="366"/>
      <c r="J744" s="309"/>
      <c r="K744" s="366"/>
      <c r="L744" s="366"/>
      <c r="M744" s="309"/>
      <c r="N744" s="366"/>
      <c r="O744" s="409">
        <v>3726.3</v>
      </c>
      <c r="P744" s="305"/>
      <c r="Q744" s="410"/>
      <c r="R744" s="309">
        <v>62</v>
      </c>
    </row>
    <row r="745" spans="1:18" ht="15">
      <c r="A745" s="398" t="s">
        <v>14</v>
      </c>
      <c r="B745" s="413">
        <v>465188</v>
      </c>
      <c r="C745" s="366">
        <v>2604.5700000000002</v>
      </c>
      <c r="D745" s="305">
        <v>572.17999999999995</v>
      </c>
      <c r="E745" s="366">
        <v>387.38</v>
      </c>
      <c r="F745" s="366">
        <v>500</v>
      </c>
      <c r="G745" s="305">
        <v>89.460999999999999</v>
      </c>
      <c r="H745" s="366"/>
      <c r="I745" s="366"/>
      <c r="J745" s="309"/>
      <c r="K745" s="366"/>
      <c r="L745" s="366"/>
      <c r="M745" s="309"/>
      <c r="N745" s="366"/>
      <c r="O745" s="409">
        <v>3486.2</v>
      </c>
      <c r="P745" s="305"/>
      <c r="Q745" s="410"/>
      <c r="R745" s="309">
        <v>56</v>
      </c>
    </row>
    <row r="746" spans="1:18" ht="15">
      <c r="A746" s="398"/>
      <c r="B746" s="413">
        <v>465189</v>
      </c>
      <c r="C746" s="366"/>
      <c r="D746" s="366"/>
      <c r="E746" s="366"/>
      <c r="F746" s="366"/>
      <c r="G746" s="305"/>
      <c r="H746" s="366"/>
      <c r="I746" s="366"/>
      <c r="J746" s="309"/>
      <c r="K746" s="366"/>
      <c r="L746" s="366"/>
      <c r="M746" s="309"/>
      <c r="N746" s="366"/>
      <c r="O746" s="409">
        <v>690.4</v>
      </c>
      <c r="P746" s="305"/>
      <c r="Q746" s="410"/>
      <c r="R746" s="309">
        <v>100</v>
      </c>
    </row>
    <row r="747" spans="1:18" ht="15">
      <c r="A747" s="408" t="s">
        <v>391</v>
      </c>
      <c r="B747" s="413">
        <v>86</v>
      </c>
      <c r="C747" s="366">
        <v>2341</v>
      </c>
      <c r="D747" s="410" t="s">
        <v>1078</v>
      </c>
      <c r="E747" s="366">
        <v>19.39</v>
      </c>
      <c r="F747" s="366"/>
      <c r="G747" s="305"/>
      <c r="H747" s="366"/>
      <c r="I747" s="366"/>
      <c r="J747" s="309"/>
      <c r="K747" s="366"/>
      <c r="L747" s="366"/>
      <c r="M747" s="309"/>
      <c r="N747" s="366"/>
      <c r="O747" s="409">
        <v>2885.9</v>
      </c>
      <c r="P747" s="305"/>
      <c r="Q747" s="410"/>
      <c r="R747" s="309" t="s">
        <v>306</v>
      </c>
    </row>
    <row r="748" spans="1:18" ht="15">
      <c r="A748" s="408" t="s">
        <v>1067</v>
      </c>
      <c r="B748" s="407" t="s">
        <v>362</v>
      </c>
      <c r="C748" s="366">
        <v>4013.92</v>
      </c>
      <c r="D748" s="410" t="s">
        <v>1079</v>
      </c>
      <c r="E748" s="366">
        <v>270.37</v>
      </c>
      <c r="F748" s="366"/>
      <c r="G748" s="305"/>
      <c r="H748" s="366"/>
      <c r="I748" s="366"/>
      <c r="J748" s="309"/>
      <c r="K748" s="366"/>
      <c r="L748" s="366"/>
      <c r="M748" s="309"/>
      <c r="N748" s="366"/>
      <c r="O748" s="409">
        <v>6079.3</v>
      </c>
      <c r="P748" s="305"/>
      <c r="Q748" s="410"/>
      <c r="R748" s="309">
        <v>32</v>
      </c>
    </row>
    <row r="749" spans="1:18" ht="15">
      <c r="A749" s="408" t="s">
        <v>1041</v>
      </c>
      <c r="B749" s="407" t="s">
        <v>1068</v>
      </c>
      <c r="C749" s="366">
        <v>2343.8200000000002</v>
      </c>
      <c r="D749" s="305">
        <v>592.29</v>
      </c>
      <c r="E749" s="366">
        <v>16.23</v>
      </c>
      <c r="F749" s="411"/>
      <c r="G749" s="305"/>
      <c r="H749" s="366"/>
      <c r="I749" s="366"/>
      <c r="J749" s="305"/>
      <c r="K749" s="366"/>
      <c r="L749" s="366"/>
      <c r="M749" s="309"/>
      <c r="N749" s="366"/>
      <c r="O749" s="409">
        <v>3899.9</v>
      </c>
      <c r="P749" s="305"/>
      <c r="Q749" s="410"/>
      <c r="R749" s="309"/>
    </row>
    <row r="750" spans="1:18" ht="15">
      <c r="A750" s="408" t="s">
        <v>1043</v>
      </c>
      <c r="B750" s="407" t="s">
        <v>1069</v>
      </c>
      <c r="C750" s="366">
        <v>1491.03</v>
      </c>
      <c r="D750" s="305">
        <v>358.29</v>
      </c>
      <c r="E750" s="366">
        <v>77.58</v>
      </c>
      <c r="F750" s="411">
        <v>700</v>
      </c>
      <c r="G750" s="305"/>
      <c r="H750" s="366"/>
      <c r="I750" s="366"/>
      <c r="J750" s="305"/>
      <c r="K750" s="366"/>
      <c r="L750" s="366"/>
      <c r="M750" s="309"/>
      <c r="N750" s="366"/>
      <c r="O750" s="409">
        <v>2671</v>
      </c>
      <c r="P750" s="305"/>
      <c r="Q750" s="410"/>
      <c r="R750" s="309">
        <v>36</v>
      </c>
    </row>
    <row r="751" spans="1:18" ht="15">
      <c r="A751" s="408" t="s">
        <v>359</v>
      </c>
      <c r="B751" s="407" t="s">
        <v>360</v>
      </c>
      <c r="C751" s="366">
        <v>2022.34</v>
      </c>
      <c r="D751" s="305">
        <v>459.82</v>
      </c>
      <c r="E751" s="366">
        <v>44.53</v>
      </c>
      <c r="F751" s="411"/>
      <c r="G751" s="305"/>
      <c r="H751" s="366"/>
      <c r="I751" s="366"/>
      <c r="J751" s="305"/>
      <c r="K751" s="366"/>
      <c r="L751" s="366"/>
      <c r="M751" s="309"/>
      <c r="N751" s="366"/>
      <c r="O751" s="409">
        <v>3595.1</v>
      </c>
      <c r="P751" s="305"/>
      <c r="Q751" s="410"/>
      <c r="R751" s="309">
        <v>100</v>
      </c>
    </row>
    <row r="752" spans="1:18" ht="15">
      <c r="A752" s="408" t="s">
        <v>370</v>
      </c>
      <c r="B752" s="407" t="s">
        <v>1070</v>
      </c>
      <c r="C752" s="366">
        <v>653.77</v>
      </c>
      <c r="D752" s="305">
        <v>142.15</v>
      </c>
      <c r="E752" s="366">
        <v>14.21</v>
      </c>
      <c r="F752" s="411"/>
      <c r="G752" s="305"/>
      <c r="H752" s="366"/>
      <c r="I752" s="366"/>
      <c r="J752" s="305"/>
      <c r="K752" s="366"/>
      <c r="L752" s="366"/>
      <c r="M752" s="309"/>
      <c r="N752" s="366"/>
      <c r="O752" s="409"/>
      <c r="P752" s="305"/>
      <c r="Q752" s="410"/>
      <c r="R752" s="309">
        <v>0</v>
      </c>
    </row>
    <row r="753" spans="1:19" ht="15">
      <c r="A753" s="408" t="s">
        <v>368</v>
      </c>
      <c r="B753" s="407" t="s">
        <v>362</v>
      </c>
      <c r="C753" s="366"/>
      <c r="D753" s="305"/>
      <c r="E753" s="366"/>
      <c r="F753" s="411"/>
      <c r="G753" s="305"/>
      <c r="H753" s="366"/>
      <c r="I753" s="366"/>
      <c r="J753" s="305"/>
      <c r="K753" s="366"/>
      <c r="L753" s="366"/>
      <c r="M753" s="309"/>
      <c r="N753" s="366"/>
      <c r="O753" s="409"/>
      <c r="P753" s="305"/>
      <c r="Q753" s="410"/>
      <c r="R753" s="309">
        <v>43</v>
      </c>
    </row>
    <row r="754" spans="1:19" ht="13">
      <c r="A754" s="470" t="s">
        <v>860</v>
      </c>
      <c r="B754" s="471"/>
      <c r="C754" s="324" t="s">
        <v>676</v>
      </c>
      <c r="D754" s="325" t="s">
        <v>861</v>
      </c>
      <c r="E754" s="355" t="s">
        <v>862</v>
      </c>
      <c r="F754" s="324" t="s">
        <v>676</v>
      </c>
      <c r="G754" s="325" t="s">
        <v>861</v>
      </c>
      <c r="H754" s="355" t="s">
        <v>862</v>
      </c>
      <c r="I754" s="324" t="s">
        <v>676</v>
      </c>
      <c r="J754" s="325" t="s">
        <v>861</v>
      </c>
      <c r="K754" s="355" t="s">
        <v>862</v>
      </c>
      <c r="L754" s="324" t="s">
        <v>676</v>
      </c>
      <c r="M754" s="325" t="s">
        <v>861</v>
      </c>
      <c r="N754" s="355" t="s">
        <v>862</v>
      </c>
      <c r="O754" s="324" t="s">
        <v>881</v>
      </c>
      <c r="P754" s="325" t="s">
        <v>861</v>
      </c>
      <c r="Q754" s="325" t="s">
        <v>865</v>
      </c>
      <c r="R754" s="412" t="s">
        <v>1031</v>
      </c>
    </row>
    <row r="755" spans="1:19" ht="13">
      <c r="A755" s="470" t="s">
        <v>863</v>
      </c>
      <c r="B755" s="471"/>
      <c r="C755" s="326">
        <f>SUM(C727:C748)+SUM(F728:F748)+SUM(I727:I748)</f>
        <v>44890.53</v>
      </c>
      <c r="D755" s="327">
        <f>SUM(D727:D746)+SUM(G727:G746)+SUM(J727:J746)+SUM(M727:M746)</f>
        <v>8344.0550000000003</v>
      </c>
      <c r="E755" s="328">
        <f>SUM(E727:E746)</f>
        <v>4081.63</v>
      </c>
      <c r="F755" s="329"/>
      <c r="G755" s="329"/>
      <c r="H755" s="329"/>
      <c r="I755" s="329"/>
      <c r="J755" s="329"/>
      <c r="K755" s="329"/>
      <c r="L755" s="329"/>
      <c r="M755" s="329"/>
      <c r="N755" s="329"/>
      <c r="O755" s="329"/>
      <c r="P755" s="329"/>
      <c r="Q755" s="329"/>
    </row>
    <row r="757" spans="1:19" ht="13">
      <c r="A757" s="472" t="s">
        <v>1080</v>
      </c>
      <c r="B757" s="466"/>
      <c r="C757" s="466"/>
      <c r="D757" s="466"/>
      <c r="E757" s="466"/>
      <c r="F757" s="466"/>
      <c r="G757" s="466"/>
      <c r="H757" s="466"/>
      <c r="I757" s="466"/>
      <c r="J757" s="466"/>
      <c r="K757" s="466"/>
      <c r="L757" s="466"/>
      <c r="M757" s="466"/>
      <c r="N757" s="466"/>
      <c r="O757" s="466"/>
      <c r="P757" s="466"/>
      <c r="Q757" s="466"/>
      <c r="R757" s="466"/>
      <c r="S757" s="466"/>
    </row>
    <row r="758" spans="1:19" ht="13">
      <c r="A758" s="356" t="s">
        <v>849</v>
      </c>
      <c r="B758" s="356" t="s">
        <v>1</v>
      </c>
      <c r="C758" s="356" t="s">
        <v>89</v>
      </c>
      <c r="D758" s="473" t="s">
        <v>850</v>
      </c>
      <c r="E758" s="466"/>
      <c r="F758" s="467"/>
      <c r="G758" s="465" t="s">
        <v>852</v>
      </c>
      <c r="H758" s="466"/>
      <c r="I758" s="467"/>
      <c r="J758" s="465" t="s">
        <v>1013</v>
      </c>
      <c r="K758" s="466"/>
      <c r="L758" s="467"/>
      <c r="M758" s="465" t="s">
        <v>1047</v>
      </c>
      <c r="N758" s="466"/>
      <c r="O758" s="467"/>
      <c r="P758" s="465" t="s">
        <v>865</v>
      </c>
      <c r="Q758" s="466"/>
      <c r="R758" s="467"/>
      <c r="S758" s="356" t="s">
        <v>1028</v>
      </c>
    </row>
    <row r="759" spans="1:19" ht="15">
      <c r="A759" s="398"/>
      <c r="B759" s="413">
        <v>352368</v>
      </c>
      <c r="C759" s="366">
        <f t="shared" ref="C759:C786" si="74">D759+G759+J759+M759</f>
        <v>0</v>
      </c>
      <c r="D759" s="366"/>
      <c r="E759" s="305"/>
      <c r="F759" s="366"/>
      <c r="G759" s="366"/>
      <c r="H759" s="305"/>
      <c r="I759" s="366"/>
      <c r="J759" s="366"/>
      <c r="K759" s="305"/>
      <c r="L759" s="366"/>
      <c r="M759" s="366"/>
      <c r="N759" s="309"/>
      <c r="O759" s="366"/>
      <c r="P759" s="345">
        <v>0.1</v>
      </c>
      <c r="Q759" s="305"/>
      <c r="R759" s="410"/>
      <c r="S759" s="309">
        <v>36</v>
      </c>
    </row>
    <row r="760" spans="1:19" ht="15">
      <c r="A760" s="399" t="s">
        <v>355</v>
      </c>
      <c r="B760" s="413">
        <v>352371</v>
      </c>
      <c r="C760" s="366">
        <f t="shared" si="74"/>
        <v>3045.93</v>
      </c>
      <c r="D760" s="366">
        <v>2745.93</v>
      </c>
      <c r="E760" s="305">
        <v>538.39</v>
      </c>
      <c r="F760" s="366">
        <v>224</v>
      </c>
      <c r="G760" s="366"/>
      <c r="H760" s="305"/>
      <c r="I760" s="366"/>
      <c r="J760" s="366">
        <f>200</f>
        <v>200</v>
      </c>
      <c r="K760" s="309">
        <v>44.06</v>
      </c>
      <c r="L760" s="366"/>
      <c r="M760" s="366">
        <f>100</f>
        <v>100</v>
      </c>
      <c r="N760" s="309">
        <v>22.030999999999999</v>
      </c>
      <c r="O760" s="366"/>
      <c r="P760" s="418">
        <v>3386.3</v>
      </c>
      <c r="Q760" s="305"/>
      <c r="R760" s="410"/>
      <c r="S760" s="309">
        <v>42</v>
      </c>
    </row>
    <row r="761" spans="1:19" ht="15">
      <c r="A761" s="398"/>
      <c r="B761" s="413">
        <v>352372</v>
      </c>
      <c r="C761" s="366">
        <f t="shared" si="74"/>
        <v>0</v>
      </c>
      <c r="D761" s="366"/>
      <c r="E761" s="305"/>
      <c r="F761" s="366"/>
      <c r="G761" s="366"/>
      <c r="H761" s="305"/>
      <c r="I761" s="366"/>
      <c r="J761" s="366"/>
      <c r="K761" s="309"/>
      <c r="L761" s="366"/>
      <c r="M761" s="366"/>
      <c r="N761" s="309"/>
      <c r="O761" s="366"/>
      <c r="P761" s="418"/>
      <c r="Q761" s="305"/>
      <c r="R761" s="410"/>
      <c r="S761" s="309">
        <v>43</v>
      </c>
    </row>
    <row r="762" spans="1:19" ht="15">
      <c r="A762" s="400" t="s">
        <v>347</v>
      </c>
      <c r="B762" s="413">
        <v>352373</v>
      </c>
      <c r="C762" s="366">
        <f t="shared" si="74"/>
        <v>0</v>
      </c>
      <c r="D762" s="366"/>
      <c r="E762" s="305"/>
      <c r="F762" s="366"/>
      <c r="G762" s="366"/>
      <c r="H762" s="305"/>
      <c r="I762" s="366"/>
      <c r="J762" s="366"/>
      <c r="K762" s="309"/>
      <c r="L762" s="366"/>
      <c r="M762" s="366"/>
      <c r="N762" s="309"/>
      <c r="O762" s="366"/>
      <c r="P762" s="418">
        <v>12.3</v>
      </c>
      <c r="Q762" s="305"/>
      <c r="R762" s="410"/>
      <c r="S762" s="309">
        <v>27</v>
      </c>
    </row>
    <row r="763" spans="1:19" ht="15">
      <c r="A763" s="398"/>
      <c r="B763" s="407" t="s">
        <v>366</v>
      </c>
      <c r="C763" s="366">
        <f t="shared" si="74"/>
        <v>0</v>
      </c>
      <c r="D763" s="366"/>
      <c r="E763" s="305"/>
      <c r="F763" s="366"/>
      <c r="G763" s="366"/>
      <c r="H763" s="305"/>
      <c r="I763" s="366"/>
      <c r="J763" s="366"/>
      <c r="K763" s="309"/>
      <c r="L763" s="366"/>
      <c r="M763" s="366"/>
      <c r="N763" s="309"/>
      <c r="O763" s="366"/>
      <c r="P763" s="418">
        <v>0.1</v>
      </c>
      <c r="Q763" s="305"/>
      <c r="R763" s="410"/>
      <c r="S763" s="309">
        <v>47</v>
      </c>
    </row>
    <row r="764" spans="1:19" ht="15">
      <c r="A764" s="398"/>
      <c r="B764" s="413">
        <v>352375</v>
      </c>
      <c r="C764" s="366">
        <f t="shared" si="74"/>
        <v>0</v>
      </c>
      <c r="D764" s="366"/>
      <c r="E764" s="305"/>
      <c r="F764" s="366"/>
      <c r="G764" s="366"/>
      <c r="H764" s="305"/>
      <c r="I764" s="366"/>
      <c r="J764" s="366"/>
      <c r="K764" s="309"/>
      <c r="L764" s="366"/>
      <c r="M764" s="366"/>
      <c r="N764" s="309"/>
      <c r="O764" s="366"/>
      <c r="P764" s="418"/>
      <c r="Q764" s="305"/>
      <c r="R764" s="410"/>
      <c r="S764" s="309">
        <v>53</v>
      </c>
    </row>
    <row r="765" spans="1:19" ht="15">
      <c r="A765" s="398" t="s">
        <v>62</v>
      </c>
      <c r="B765" s="413">
        <v>352376</v>
      </c>
      <c r="C765" s="366">
        <f t="shared" si="74"/>
        <v>3411.8</v>
      </c>
      <c r="D765" s="419">
        <v>3211.8</v>
      </c>
      <c r="E765" s="305">
        <v>688.27</v>
      </c>
      <c r="F765" s="366">
        <v>282.27</v>
      </c>
      <c r="G765" s="366"/>
      <c r="H765" s="305"/>
      <c r="I765" s="366"/>
      <c r="J765" s="366"/>
      <c r="K765" s="309"/>
      <c r="L765" s="366"/>
      <c r="M765" s="366">
        <f>200</f>
        <v>200</v>
      </c>
      <c r="N765" s="309">
        <v>39.848999999999997</v>
      </c>
      <c r="O765" s="366"/>
      <c r="P765" s="418">
        <v>4023.2</v>
      </c>
      <c r="Q765" s="305"/>
      <c r="R765" s="410"/>
      <c r="S765" s="309">
        <v>25</v>
      </c>
    </row>
    <row r="766" spans="1:19" ht="15">
      <c r="A766" s="398" t="s">
        <v>390</v>
      </c>
      <c r="B766" s="413">
        <v>352377</v>
      </c>
      <c r="C766" s="366">
        <f t="shared" si="74"/>
        <v>3650.13</v>
      </c>
      <c r="D766" s="420">
        <v>3250.13</v>
      </c>
      <c r="E766" s="305">
        <v>658.11</v>
      </c>
      <c r="F766" s="366">
        <v>53.27</v>
      </c>
      <c r="G766" s="366"/>
      <c r="H766" s="305"/>
      <c r="I766" s="366"/>
      <c r="J766" s="366">
        <f>400</f>
        <v>400</v>
      </c>
      <c r="K766" s="309">
        <v>70.188000000000002</v>
      </c>
      <c r="L766" s="366"/>
      <c r="M766" s="366"/>
      <c r="N766" s="309"/>
      <c r="O766" s="366"/>
      <c r="P766" s="418">
        <v>5082.7</v>
      </c>
      <c r="Q766" s="305"/>
      <c r="R766" s="410"/>
      <c r="S766" s="309">
        <v>58</v>
      </c>
    </row>
    <row r="767" spans="1:19" ht="15">
      <c r="A767" s="398" t="s">
        <v>191</v>
      </c>
      <c r="B767" s="413">
        <v>359885</v>
      </c>
      <c r="C767" s="366">
        <f t="shared" si="74"/>
        <v>3571.44</v>
      </c>
      <c r="D767" s="420">
        <v>3571.44</v>
      </c>
      <c r="E767" s="305">
        <v>722.72</v>
      </c>
      <c r="F767" s="366">
        <v>436.72</v>
      </c>
      <c r="G767" s="366"/>
      <c r="H767" s="305"/>
      <c r="I767" s="366"/>
      <c r="J767" s="366"/>
      <c r="K767" s="309"/>
      <c r="L767" s="366"/>
      <c r="M767" s="366"/>
      <c r="N767" s="309"/>
      <c r="O767" s="366"/>
      <c r="P767" s="418">
        <v>4700.8</v>
      </c>
      <c r="Q767" s="305"/>
      <c r="R767" s="410"/>
      <c r="S767" s="309">
        <v>49</v>
      </c>
    </row>
    <row r="768" spans="1:19" ht="15">
      <c r="A768" s="171" t="s">
        <v>393</v>
      </c>
      <c r="B768" s="413">
        <v>359886</v>
      </c>
      <c r="C768" s="366">
        <f t="shared" si="74"/>
        <v>1379.39</v>
      </c>
      <c r="D768" s="420">
        <v>1379.39</v>
      </c>
      <c r="E768" s="305">
        <v>324.08</v>
      </c>
      <c r="F768" s="366">
        <v>79.5</v>
      </c>
      <c r="G768" s="366"/>
      <c r="H768" s="305"/>
      <c r="I768" s="366"/>
      <c r="J768" s="366"/>
      <c r="K768" s="309"/>
      <c r="L768" s="366"/>
      <c r="M768" s="366"/>
      <c r="N768" s="309"/>
      <c r="O768" s="366"/>
      <c r="P768" s="418">
        <v>1375.4</v>
      </c>
      <c r="Q768" s="305"/>
      <c r="R768" s="410"/>
      <c r="S768" s="309">
        <v>22</v>
      </c>
    </row>
    <row r="769" spans="1:20" ht="15">
      <c r="A769" s="398" t="s">
        <v>319</v>
      </c>
      <c r="B769" s="413">
        <v>465180</v>
      </c>
      <c r="C769" s="366">
        <f t="shared" si="74"/>
        <v>1513.52</v>
      </c>
      <c r="D769" s="420">
        <v>1513.52</v>
      </c>
      <c r="E769" s="305">
        <v>335.51</v>
      </c>
      <c r="F769" s="366">
        <v>182.95</v>
      </c>
      <c r="G769" s="366"/>
      <c r="H769" s="305"/>
      <c r="I769" s="366"/>
      <c r="J769" s="366"/>
      <c r="K769" s="309"/>
      <c r="L769" s="366"/>
      <c r="M769" s="366"/>
      <c r="N769" s="309"/>
      <c r="O769" s="366"/>
      <c r="P769" s="418">
        <v>2596.9</v>
      </c>
      <c r="Q769" s="305"/>
      <c r="R769" s="410"/>
      <c r="S769" s="309">
        <v>100</v>
      </c>
    </row>
    <row r="770" spans="1:20" ht="15">
      <c r="A770" s="398" t="s">
        <v>322</v>
      </c>
      <c r="B770" s="413">
        <v>465181</v>
      </c>
      <c r="C770" s="366">
        <f t="shared" si="74"/>
        <v>2584.7199999999998</v>
      </c>
      <c r="D770" s="420">
        <v>2084.7199999999998</v>
      </c>
      <c r="E770" s="305">
        <v>367.97</v>
      </c>
      <c r="F770" s="366">
        <v>173.04</v>
      </c>
      <c r="G770" s="366"/>
      <c r="H770" s="305"/>
      <c r="I770" s="366"/>
      <c r="J770" s="366"/>
      <c r="K770" s="309"/>
      <c r="L770" s="366"/>
      <c r="M770" s="366">
        <f>500</f>
        <v>500</v>
      </c>
      <c r="N770" s="309">
        <v>105.50700000000001</v>
      </c>
      <c r="O770" s="366"/>
      <c r="P770" s="418">
        <v>3281.3</v>
      </c>
      <c r="Q770" s="305"/>
      <c r="R770" s="410"/>
      <c r="S770" s="309">
        <v>95</v>
      </c>
    </row>
    <row r="771" spans="1:20" ht="15">
      <c r="A771" s="398" t="s">
        <v>349</v>
      </c>
      <c r="B771" s="413">
        <v>465182</v>
      </c>
      <c r="C771" s="366">
        <f t="shared" si="74"/>
        <v>1951.52</v>
      </c>
      <c r="D771" s="420">
        <v>1951.52</v>
      </c>
      <c r="E771" s="305">
        <v>413.25</v>
      </c>
      <c r="F771" s="366">
        <v>39.22</v>
      </c>
      <c r="G771" s="366"/>
      <c r="H771" s="305"/>
      <c r="I771" s="366"/>
      <c r="J771" s="366"/>
      <c r="K771" s="309"/>
      <c r="L771" s="366"/>
      <c r="M771" s="366"/>
      <c r="N771" s="309"/>
      <c r="O771" s="366"/>
      <c r="P771" s="418">
        <v>2886.2</v>
      </c>
      <c r="Q771" s="305"/>
      <c r="R771" s="410"/>
      <c r="S771" s="309">
        <v>62</v>
      </c>
    </row>
    <row r="772" spans="1:20" ht="15">
      <c r="A772" s="398" t="s">
        <v>88</v>
      </c>
      <c r="B772" s="413">
        <v>465183</v>
      </c>
      <c r="C772" s="366">
        <f t="shared" si="74"/>
        <v>2057.2600000000002</v>
      </c>
      <c r="D772" s="420">
        <v>1657.26</v>
      </c>
      <c r="E772" s="305">
        <v>286.27999999999997</v>
      </c>
      <c r="F772" s="366">
        <v>56.44</v>
      </c>
      <c r="G772" s="366"/>
      <c r="H772" s="305"/>
      <c r="I772" s="366"/>
      <c r="J772" s="366"/>
      <c r="K772" s="309"/>
      <c r="L772" s="366"/>
      <c r="M772" s="366">
        <f>400</f>
        <v>400</v>
      </c>
      <c r="N772" s="309"/>
      <c r="O772" s="366"/>
      <c r="P772" s="418">
        <v>1718.1</v>
      </c>
      <c r="Q772" s="305"/>
      <c r="R772" s="410"/>
      <c r="S772" s="309">
        <v>41</v>
      </c>
    </row>
    <row r="773" spans="1:20" ht="15">
      <c r="A773" s="347" t="s">
        <v>40</v>
      </c>
      <c r="B773" s="413">
        <v>465184</v>
      </c>
      <c r="C773" s="366">
        <f t="shared" si="74"/>
        <v>5220.29</v>
      </c>
      <c r="D773" s="420">
        <v>3863.2</v>
      </c>
      <c r="E773" s="305">
        <v>517.26</v>
      </c>
      <c r="F773" s="366">
        <v>50.15</v>
      </c>
      <c r="G773" s="366"/>
      <c r="H773" s="305"/>
      <c r="I773" s="366"/>
      <c r="J773" s="366">
        <v>757.09</v>
      </c>
      <c r="K773" s="309">
        <v>160.333</v>
      </c>
      <c r="L773" s="366"/>
      <c r="M773" s="366">
        <f>600</f>
        <v>600</v>
      </c>
      <c r="N773" s="309">
        <v>119.54600000000001</v>
      </c>
      <c r="O773" s="366"/>
      <c r="P773" s="418">
        <v>4952.8999999999996</v>
      </c>
      <c r="Q773" s="305"/>
      <c r="R773" s="410"/>
      <c r="S773" s="309">
        <v>100</v>
      </c>
    </row>
    <row r="774" spans="1:20" ht="15">
      <c r="A774" s="398" t="s">
        <v>75</v>
      </c>
      <c r="B774" s="413">
        <v>465185</v>
      </c>
      <c r="C774" s="366">
        <f t="shared" si="74"/>
        <v>3554.98</v>
      </c>
      <c r="D774" s="420">
        <v>2854.98</v>
      </c>
      <c r="E774" s="305">
        <v>469.17</v>
      </c>
      <c r="F774" s="366">
        <v>341.61</v>
      </c>
      <c r="G774" s="366"/>
      <c r="H774" s="305"/>
      <c r="I774" s="366"/>
      <c r="J774" s="366">
        <f>700</f>
        <v>700</v>
      </c>
      <c r="K774" s="309">
        <v>153.98099999999999</v>
      </c>
      <c r="L774" s="366"/>
      <c r="M774" s="366"/>
      <c r="N774" s="309"/>
      <c r="O774" s="366"/>
      <c r="P774" s="418">
        <v>4727.3</v>
      </c>
      <c r="Q774" s="305"/>
      <c r="R774" s="410"/>
      <c r="S774" s="309">
        <v>80</v>
      </c>
    </row>
    <row r="775" spans="1:20" ht="15">
      <c r="A775" s="398" t="s">
        <v>386</v>
      </c>
      <c r="B775" s="413">
        <v>465186</v>
      </c>
      <c r="C775" s="366">
        <f t="shared" si="74"/>
        <v>2809.54</v>
      </c>
      <c r="D775" s="420">
        <v>2809.54</v>
      </c>
      <c r="E775" s="305">
        <v>602.79999999999995</v>
      </c>
      <c r="F775" s="366">
        <v>98.09</v>
      </c>
      <c r="G775" s="366"/>
      <c r="H775" s="305"/>
      <c r="I775" s="366"/>
      <c r="J775" s="366"/>
      <c r="K775" s="309"/>
      <c r="L775" s="366"/>
      <c r="M775" s="366"/>
      <c r="N775" s="309"/>
      <c r="O775" s="366"/>
      <c r="P775" s="418">
        <v>3791.5</v>
      </c>
      <c r="Q775" s="305"/>
      <c r="R775" s="410"/>
      <c r="S775" s="309">
        <v>68</v>
      </c>
    </row>
    <row r="776" spans="1:20" ht="15">
      <c r="A776" s="398" t="s">
        <v>192</v>
      </c>
      <c r="B776" s="413">
        <v>465187</v>
      </c>
      <c r="C776" s="366">
        <f t="shared" si="74"/>
        <v>1457.96</v>
      </c>
      <c r="D776" s="420">
        <v>1457.96</v>
      </c>
      <c r="E776" s="305">
        <v>304.43</v>
      </c>
      <c r="F776" s="366">
        <v>57.97</v>
      </c>
      <c r="G776" s="366"/>
      <c r="H776" s="305"/>
      <c r="I776" s="366"/>
      <c r="J776" s="366"/>
      <c r="K776" s="309"/>
      <c r="L776" s="366"/>
      <c r="M776" s="366"/>
      <c r="N776" s="309"/>
      <c r="O776" s="366"/>
      <c r="P776" s="418">
        <v>1454.7</v>
      </c>
      <c r="Q776" s="305"/>
      <c r="R776" s="410"/>
      <c r="S776" s="309">
        <v>74</v>
      </c>
    </row>
    <row r="777" spans="1:20" ht="15">
      <c r="A777" s="398" t="s">
        <v>14</v>
      </c>
      <c r="B777" s="413">
        <v>465188</v>
      </c>
      <c r="C777" s="366">
        <f t="shared" si="74"/>
        <v>0</v>
      </c>
      <c r="D777" s="420">
        <v>0</v>
      </c>
      <c r="E777" s="305">
        <v>0</v>
      </c>
      <c r="F777" s="366">
        <v>0</v>
      </c>
      <c r="G777" s="366"/>
      <c r="H777" s="305"/>
      <c r="I777" s="366"/>
      <c r="J777" s="366"/>
      <c r="K777" s="309"/>
      <c r="L777" s="366"/>
      <c r="M777" s="366"/>
      <c r="N777" s="309"/>
      <c r="O777" s="366"/>
      <c r="P777" s="418">
        <v>820.6</v>
      </c>
      <c r="Q777" s="305"/>
      <c r="R777" s="410"/>
      <c r="S777" s="309">
        <v>100</v>
      </c>
    </row>
    <row r="778" spans="1:20" ht="15">
      <c r="A778" s="400" t="s">
        <v>347</v>
      </c>
      <c r="B778" s="413" t="s">
        <v>394</v>
      </c>
      <c r="C778" s="366">
        <f t="shared" si="74"/>
        <v>2161.23</v>
      </c>
      <c r="D778" s="420">
        <v>2161.23</v>
      </c>
      <c r="E778" s="410" t="s">
        <v>1081</v>
      </c>
      <c r="F778" s="366">
        <v>203.76</v>
      </c>
      <c r="G778" s="366"/>
      <c r="H778" s="305"/>
      <c r="I778" s="366"/>
      <c r="J778" s="366"/>
      <c r="K778" s="309"/>
      <c r="L778" s="366"/>
      <c r="M778" s="366"/>
      <c r="N778" s="309"/>
      <c r="O778" s="366"/>
      <c r="P778" s="418"/>
      <c r="Q778" s="305"/>
      <c r="R778" s="410"/>
      <c r="S778" s="309">
        <v>61</v>
      </c>
    </row>
    <row r="779" spans="1:20" ht="15">
      <c r="A779" s="408" t="s">
        <v>391</v>
      </c>
      <c r="B779" s="413">
        <v>86</v>
      </c>
      <c r="C779" s="366">
        <f t="shared" si="74"/>
        <v>2655</v>
      </c>
      <c r="D779" s="366">
        <v>2605</v>
      </c>
      <c r="E779" s="366">
        <v>609.59</v>
      </c>
      <c r="F779" s="366">
        <v>58.33</v>
      </c>
      <c r="G779" s="366"/>
      <c r="H779" s="305"/>
      <c r="I779" s="366"/>
      <c r="J779" s="366"/>
      <c r="K779" s="309"/>
      <c r="L779" s="366"/>
      <c r="M779" s="366">
        <f>50</f>
        <v>50</v>
      </c>
      <c r="N779" s="309"/>
      <c r="O779" s="366"/>
      <c r="P779" s="409">
        <v>3099.5</v>
      </c>
      <c r="Q779" s="305"/>
      <c r="R779" s="410"/>
      <c r="S779" s="309"/>
    </row>
    <row r="780" spans="1:20" ht="15">
      <c r="A780" s="408" t="s">
        <v>1067</v>
      </c>
      <c r="B780" s="407" t="s">
        <v>362</v>
      </c>
      <c r="C780" s="366">
        <f t="shared" si="74"/>
        <v>1999</v>
      </c>
      <c r="D780" s="366">
        <v>1999</v>
      </c>
      <c r="E780" s="366">
        <v>421.08</v>
      </c>
      <c r="F780" s="366">
        <v>302.32</v>
      </c>
      <c r="G780" s="366"/>
      <c r="H780" s="305"/>
      <c r="I780" s="366"/>
      <c r="J780" s="366"/>
      <c r="K780" s="309"/>
      <c r="L780" s="366"/>
      <c r="M780" s="366"/>
      <c r="N780" s="309"/>
      <c r="O780" s="366"/>
      <c r="P780" s="409">
        <v>2801.7</v>
      </c>
      <c r="Q780" s="305"/>
      <c r="R780" s="410"/>
      <c r="S780" s="309"/>
    </row>
    <row r="781" spans="1:20" ht="15">
      <c r="A781" s="408" t="s">
        <v>1041</v>
      </c>
      <c r="B781" s="407" t="s">
        <v>1068</v>
      </c>
      <c r="C781" s="366">
        <f t="shared" si="74"/>
        <v>1801.12</v>
      </c>
      <c r="D781" s="366">
        <v>1801.12</v>
      </c>
      <c r="E781" s="305">
        <v>439.93</v>
      </c>
      <c r="F781" s="366">
        <v>0</v>
      </c>
      <c r="G781" s="411"/>
      <c r="H781" s="305"/>
      <c r="I781" s="366"/>
      <c r="J781" s="366"/>
      <c r="K781" s="305"/>
      <c r="L781" s="366"/>
      <c r="M781" s="366"/>
      <c r="N781" s="309"/>
      <c r="O781" s="366"/>
      <c r="P781" s="409">
        <v>2820.1</v>
      </c>
      <c r="Q781" s="305"/>
      <c r="R781" s="410"/>
      <c r="S781" s="309"/>
    </row>
    <row r="782" spans="1:20" ht="15">
      <c r="A782" s="408" t="s">
        <v>1043</v>
      </c>
      <c r="B782" s="407" t="s">
        <v>1069</v>
      </c>
      <c r="C782" s="366">
        <f t="shared" si="74"/>
        <v>3701.99</v>
      </c>
      <c r="D782" s="366">
        <v>2301.9899999999998</v>
      </c>
      <c r="E782" s="305">
        <v>505.38</v>
      </c>
      <c r="F782" s="366">
        <v>205.68</v>
      </c>
      <c r="G782" s="411">
        <f>700</f>
        <v>700</v>
      </c>
      <c r="H782" s="305">
        <v>157.35400000000001</v>
      </c>
      <c r="I782" s="366"/>
      <c r="J782" s="366">
        <f>700</f>
        <v>700</v>
      </c>
      <c r="K782" s="305"/>
      <c r="L782" s="366"/>
      <c r="M782" s="366"/>
      <c r="N782" s="309"/>
      <c r="O782" s="366"/>
      <c r="P782" s="409">
        <v>3704</v>
      </c>
      <c r="Q782" s="305"/>
      <c r="R782" s="410"/>
      <c r="S782" s="309">
        <v>17</v>
      </c>
    </row>
    <row r="783" spans="1:20" ht="15">
      <c r="A783" s="408" t="s">
        <v>359</v>
      </c>
      <c r="B783" s="407" t="s">
        <v>360</v>
      </c>
      <c r="C783" s="366">
        <f t="shared" si="74"/>
        <v>2995.5</v>
      </c>
      <c r="D783" s="366">
        <v>2995.5</v>
      </c>
      <c r="E783" s="305">
        <v>623.26</v>
      </c>
      <c r="F783" s="366">
        <v>59.39</v>
      </c>
      <c r="G783" s="411"/>
      <c r="H783" s="305"/>
      <c r="I783" s="366"/>
      <c r="J783" s="366"/>
      <c r="K783" s="305"/>
      <c r="L783" s="366"/>
      <c r="M783" s="366"/>
      <c r="N783" s="309"/>
      <c r="O783" s="366"/>
      <c r="P783" s="409">
        <v>3311.1</v>
      </c>
      <c r="Q783" s="305"/>
      <c r="R783" s="410"/>
      <c r="S783" s="309">
        <v>34</v>
      </c>
      <c r="T783" s="421"/>
    </row>
    <row r="784" spans="1:20" ht="15">
      <c r="A784" s="408" t="s">
        <v>370</v>
      </c>
      <c r="B784" s="407" t="s">
        <v>1070</v>
      </c>
      <c r="C784" s="366">
        <f t="shared" si="74"/>
        <v>4253.83</v>
      </c>
      <c r="D784" s="366">
        <v>3003.83</v>
      </c>
      <c r="E784" s="305">
        <v>360.15</v>
      </c>
      <c r="F784" s="366">
        <v>207.64</v>
      </c>
      <c r="G784" s="411"/>
      <c r="H784" s="305"/>
      <c r="I784" s="366"/>
      <c r="J784" s="366">
        <f>700</f>
        <v>700</v>
      </c>
      <c r="K784" s="305">
        <v>135.38800000000001</v>
      </c>
      <c r="L784" s="366"/>
      <c r="M784" s="366">
        <f>550</f>
        <v>550</v>
      </c>
      <c r="N784" s="309"/>
      <c r="O784" s="366"/>
      <c r="P784" s="409">
        <v>1855.8</v>
      </c>
      <c r="Q784" s="305"/>
      <c r="R784" s="410"/>
      <c r="S784" s="309"/>
    </row>
    <row r="785" spans="1:19" ht="15">
      <c r="A785" s="408" t="s">
        <v>368</v>
      </c>
      <c r="B785" s="407" t="s">
        <v>362</v>
      </c>
      <c r="C785" s="366">
        <f t="shared" si="74"/>
        <v>1803.29</v>
      </c>
      <c r="D785" s="366">
        <v>1803.29</v>
      </c>
      <c r="E785" s="305">
        <v>401.03</v>
      </c>
      <c r="F785" s="366">
        <v>114.74</v>
      </c>
      <c r="G785" s="411"/>
      <c r="H785" s="305"/>
      <c r="I785" s="366"/>
      <c r="J785" s="366"/>
      <c r="K785" s="305"/>
      <c r="L785" s="366"/>
      <c r="M785" s="366"/>
      <c r="N785" s="309"/>
      <c r="O785" s="366"/>
      <c r="P785" s="409">
        <v>3141.8</v>
      </c>
      <c r="Q785" s="305"/>
      <c r="R785" s="410"/>
      <c r="S785" s="309">
        <v>41</v>
      </c>
    </row>
    <row r="786" spans="1:19" ht="15">
      <c r="A786" s="408" t="s">
        <v>1082</v>
      </c>
      <c r="B786" s="407" t="s">
        <v>1045</v>
      </c>
      <c r="C786" s="366">
        <f t="shared" si="74"/>
        <v>1114.57</v>
      </c>
      <c r="D786" s="366">
        <v>1114.57</v>
      </c>
      <c r="E786" s="305">
        <v>242.32</v>
      </c>
      <c r="F786" s="366">
        <v>63.63</v>
      </c>
      <c r="G786" s="411"/>
      <c r="H786" s="305"/>
      <c r="I786" s="366"/>
      <c r="J786" s="366"/>
      <c r="K786" s="305"/>
      <c r="L786" s="366"/>
      <c r="M786" s="366"/>
      <c r="N786" s="309"/>
      <c r="O786" s="366"/>
      <c r="P786" s="409">
        <v>1629.9</v>
      </c>
      <c r="Q786" s="305"/>
      <c r="R786" s="410"/>
      <c r="S786" s="309"/>
    </row>
    <row r="787" spans="1:19" ht="13">
      <c r="A787" s="470" t="s">
        <v>860</v>
      </c>
      <c r="B787" s="471"/>
      <c r="C787" s="422" t="s">
        <v>89</v>
      </c>
      <c r="D787" s="324" t="s">
        <v>676</v>
      </c>
      <c r="E787" s="325" t="s">
        <v>861</v>
      </c>
      <c r="F787" s="355" t="s">
        <v>862</v>
      </c>
      <c r="G787" s="324" t="s">
        <v>676</v>
      </c>
      <c r="H787" s="325" t="s">
        <v>861</v>
      </c>
      <c r="I787" s="355" t="s">
        <v>862</v>
      </c>
      <c r="J787" s="324" t="s">
        <v>676</v>
      </c>
      <c r="K787" s="325" t="s">
        <v>861</v>
      </c>
      <c r="L787" s="355" t="s">
        <v>862</v>
      </c>
      <c r="M787" s="324" t="s">
        <v>676</v>
      </c>
      <c r="N787" s="325" t="s">
        <v>861</v>
      </c>
      <c r="O787" s="355" t="s">
        <v>862</v>
      </c>
      <c r="P787" s="324" t="s">
        <v>881</v>
      </c>
      <c r="Q787" s="325" t="s">
        <v>861</v>
      </c>
      <c r="R787" s="325" t="s">
        <v>865</v>
      </c>
      <c r="S787" s="412" t="s">
        <v>1031</v>
      </c>
    </row>
    <row r="788" spans="1:19" ht="13">
      <c r="A788" s="470" t="s">
        <v>863</v>
      </c>
      <c r="B788" s="471"/>
      <c r="C788" s="326">
        <f>SUM(C759:C786)</f>
        <v>58694.01</v>
      </c>
      <c r="D788" s="326">
        <f>SUM(D759:D780)+SUM(G759:G780)+SUM(J759:J780)</f>
        <v>41173.710000000006</v>
      </c>
      <c r="E788" s="327">
        <f>SUM(E759:E778)+SUM(H759:H778)+SUM(K759:K778)+SUM(N759:N778)</f>
        <v>6943.7350000000006</v>
      </c>
      <c r="F788" s="328">
        <f>SUM(F759:F778)</f>
        <v>2278.9899999999998</v>
      </c>
      <c r="G788" s="329"/>
      <c r="H788" s="329"/>
      <c r="I788" s="329"/>
      <c r="J788" s="329"/>
      <c r="K788" s="329"/>
      <c r="L788" s="329"/>
      <c r="M788" s="329"/>
      <c r="N788" s="329"/>
      <c r="O788" s="329"/>
      <c r="P788" s="329"/>
      <c r="Q788" s="329"/>
      <c r="R788" s="329"/>
    </row>
    <row r="790" spans="1:19" ht="13">
      <c r="A790" s="472" t="s">
        <v>1083</v>
      </c>
      <c r="B790" s="466"/>
      <c r="C790" s="466"/>
      <c r="D790" s="466"/>
      <c r="E790" s="466"/>
      <c r="F790" s="466"/>
      <c r="G790" s="466"/>
      <c r="H790" s="466"/>
      <c r="I790" s="466"/>
      <c r="J790" s="466"/>
      <c r="K790" s="466"/>
      <c r="L790" s="466"/>
      <c r="M790" s="466"/>
      <c r="N790" s="466"/>
      <c r="O790" s="466"/>
      <c r="P790" s="466"/>
      <c r="Q790" s="466"/>
      <c r="R790" s="466"/>
      <c r="S790" s="466"/>
    </row>
    <row r="791" spans="1:19" ht="13">
      <c r="A791" s="356" t="s">
        <v>849</v>
      </c>
      <c r="B791" s="356" t="s">
        <v>1</v>
      </c>
      <c r="C791" s="356" t="s">
        <v>89</v>
      </c>
      <c r="D791" s="473" t="s">
        <v>850</v>
      </c>
      <c r="E791" s="466"/>
      <c r="F791" s="467"/>
      <c r="G791" s="465" t="s">
        <v>852</v>
      </c>
      <c r="H791" s="466"/>
      <c r="I791" s="467"/>
      <c r="J791" s="465" t="s">
        <v>1013</v>
      </c>
      <c r="K791" s="466"/>
      <c r="L791" s="467"/>
      <c r="M791" s="465" t="s">
        <v>1047</v>
      </c>
      <c r="N791" s="466"/>
      <c r="O791" s="467"/>
      <c r="P791" s="465" t="s">
        <v>865</v>
      </c>
      <c r="Q791" s="466"/>
      <c r="R791" s="467"/>
      <c r="S791" s="356" t="s">
        <v>1028</v>
      </c>
    </row>
    <row r="792" spans="1:19" ht="15">
      <c r="A792" s="398"/>
      <c r="B792" s="413">
        <v>352368</v>
      </c>
      <c r="C792" s="366">
        <f t="shared" ref="C792:C820" si="75">D792+G792+J792+M792</f>
        <v>0</v>
      </c>
      <c r="D792" s="366"/>
      <c r="E792" s="305"/>
      <c r="F792" s="366"/>
      <c r="G792" s="366"/>
      <c r="H792" s="305"/>
      <c r="I792" s="366"/>
      <c r="J792" s="366"/>
      <c r="K792" s="305"/>
      <c r="L792" s="366"/>
      <c r="M792" s="366"/>
      <c r="N792" s="309"/>
      <c r="O792" s="366"/>
      <c r="P792" s="345">
        <v>1.1000000000000001</v>
      </c>
      <c r="Q792" s="305"/>
      <c r="R792" s="410"/>
      <c r="S792" s="309">
        <v>36</v>
      </c>
    </row>
    <row r="793" spans="1:19" ht="15">
      <c r="A793" s="399" t="s">
        <v>355</v>
      </c>
      <c r="B793" s="413">
        <v>352371</v>
      </c>
      <c r="C793" s="366">
        <f t="shared" si="75"/>
        <v>2667.99</v>
      </c>
      <c r="D793" s="366">
        <v>2667.99</v>
      </c>
      <c r="E793" s="305">
        <v>559.67999999999995</v>
      </c>
      <c r="F793" s="366">
        <v>370.43</v>
      </c>
      <c r="G793" s="366"/>
      <c r="H793" s="305"/>
      <c r="I793" s="366"/>
      <c r="J793" s="366"/>
      <c r="K793" s="309"/>
      <c r="L793" s="366"/>
      <c r="M793" s="366"/>
      <c r="N793" s="309"/>
      <c r="O793" s="366"/>
      <c r="P793" s="418">
        <v>2852.5</v>
      </c>
      <c r="Q793" s="305"/>
      <c r="R793" s="410"/>
      <c r="S793" s="309">
        <v>18</v>
      </c>
    </row>
    <row r="794" spans="1:19" ht="15">
      <c r="A794" s="398"/>
      <c r="B794" s="413">
        <v>352372</v>
      </c>
      <c r="C794" s="366">
        <f t="shared" si="75"/>
        <v>0</v>
      </c>
      <c r="D794" s="366"/>
      <c r="E794" s="305"/>
      <c r="F794" s="366"/>
      <c r="G794" s="366"/>
      <c r="H794" s="305"/>
      <c r="I794" s="366"/>
      <c r="J794" s="366"/>
      <c r="K794" s="309"/>
      <c r="L794" s="366"/>
      <c r="M794" s="366"/>
      <c r="N794" s="309"/>
      <c r="O794" s="366"/>
      <c r="P794" s="418"/>
      <c r="Q794" s="305"/>
      <c r="R794" s="410"/>
      <c r="S794" s="309">
        <v>43</v>
      </c>
    </row>
    <row r="795" spans="1:19" ht="15">
      <c r="A795" s="276" t="s">
        <v>318</v>
      </c>
      <c r="B795" s="413">
        <v>352373</v>
      </c>
      <c r="C795" s="366">
        <f t="shared" si="75"/>
        <v>1244.52</v>
      </c>
      <c r="D795" s="366">
        <v>1244.52</v>
      </c>
      <c r="E795" s="305">
        <v>267.73</v>
      </c>
      <c r="F795" s="366">
        <v>126.97</v>
      </c>
      <c r="G795" s="366"/>
      <c r="H795" s="305"/>
      <c r="I795" s="366"/>
      <c r="J795" s="366"/>
      <c r="K795" s="309"/>
      <c r="L795" s="366"/>
      <c r="M795" s="366"/>
      <c r="N795" s="309"/>
      <c r="O795" s="366"/>
      <c r="P795" s="418">
        <v>1114.3</v>
      </c>
      <c r="Q795" s="305"/>
      <c r="R795" s="410"/>
      <c r="S795" s="309">
        <v>26</v>
      </c>
    </row>
    <row r="796" spans="1:19" ht="15">
      <c r="A796" s="398"/>
      <c r="B796" s="407" t="s">
        <v>366</v>
      </c>
      <c r="C796" s="366">
        <f t="shared" si="75"/>
        <v>0</v>
      </c>
      <c r="D796" s="366"/>
      <c r="E796" s="305"/>
      <c r="F796" s="366"/>
      <c r="G796" s="366"/>
      <c r="H796" s="305"/>
      <c r="I796" s="366"/>
      <c r="J796" s="366"/>
      <c r="K796" s="309"/>
      <c r="L796" s="366"/>
      <c r="M796" s="366"/>
      <c r="N796" s="309"/>
      <c r="O796" s="366"/>
      <c r="P796" s="418">
        <v>0.2</v>
      </c>
      <c r="Q796" s="305"/>
      <c r="R796" s="410"/>
      <c r="S796" s="309">
        <v>16</v>
      </c>
    </row>
    <row r="797" spans="1:19" ht="15">
      <c r="A797" s="398"/>
      <c r="B797" s="413">
        <v>352375</v>
      </c>
      <c r="C797" s="366">
        <f t="shared" si="75"/>
        <v>0</v>
      </c>
      <c r="D797" s="366"/>
      <c r="E797" s="305"/>
      <c r="F797" s="366"/>
      <c r="G797" s="366"/>
      <c r="H797" s="305"/>
      <c r="I797" s="366"/>
      <c r="J797" s="366"/>
      <c r="K797" s="309"/>
      <c r="L797" s="366"/>
      <c r="M797" s="366"/>
      <c r="N797" s="309"/>
      <c r="O797" s="366"/>
      <c r="P797" s="418"/>
      <c r="Q797" s="305"/>
      <c r="R797" s="410"/>
      <c r="S797" s="309">
        <v>53</v>
      </c>
    </row>
    <row r="798" spans="1:19" ht="15">
      <c r="A798" s="398" t="s">
        <v>62</v>
      </c>
      <c r="B798" s="413">
        <v>352376</v>
      </c>
      <c r="C798" s="366">
        <f t="shared" si="75"/>
        <v>2444.3000000000002</v>
      </c>
      <c r="D798" s="366">
        <v>2444.3000000000002</v>
      </c>
      <c r="E798" s="305">
        <v>524.58000000000004</v>
      </c>
      <c r="F798" s="366">
        <v>296.08</v>
      </c>
      <c r="G798" s="366"/>
      <c r="H798" s="305"/>
      <c r="I798" s="366"/>
      <c r="J798" s="366"/>
      <c r="K798" s="309"/>
      <c r="L798" s="366"/>
      <c r="M798" s="366"/>
      <c r="N798" s="309"/>
      <c r="O798" s="366"/>
      <c r="P798" s="418">
        <v>2982.6</v>
      </c>
      <c r="Q798" s="305"/>
      <c r="R798" s="410"/>
      <c r="S798" s="309">
        <v>36</v>
      </c>
    </row>
    <row r="799" spans="1:19" ht="15">
      <c r="A799" s="398" t="s">
        <v>390</v>
      </c>
      <c r="B799" s="413">
        <v>352377</v>
      </c>
      <c r="C799" s="366">
        <f t="shared" si="75"/>
        <v>2733.18</v>
      </c>
      <c r="D799" s="366">
        <v>2733.18</v>
      </c>
      <c r="E799" s="305">
        <v>560.28</v>
      </c>
      <c r="F799" s="366">
        <v>120.39</v>
      </c>
      <c r="G799" s="366"/>
      <c r="H799" s="305"/>
      <c r="I799" s="366"/>
      <c r="J799" s="366"/>
      <c r="K799" s="309"/>
      <c r="L799" s="366"/>
      <c r="M799" s="366"/>
      <c r="N799" s="309"/>
      <c r="O799" s="366"/>
      <c r="P799" s="418">
        <v>4156.2</v>
      </c>
      <c r="Q799" s="305"/>
      <c r="R799" s="410"/>
      <c r="S799" s="309">
        <v>22</v>
      </c>
    </row>
    <row r="800" spans="1:19" ht="15">
      <c r="A800" s="398" t="s">
        <v>191</v>
      </c>
      <c r="B800" s="413" t="s">
        <v>1084</v>
      </c>
      <c r="C800" s="366">
        <f t="shared" si="75"/>
        <v>2165.1799999999998</v>
      </c>
      <c r="D800" s="366">
        <v>2165.1799999999998</v>
      </c>
      <c r="E800" s="305">
        <v>475.88</v>
      </c>
      <c r="F800" s="366">
        <v>189.73</v>
      </c>
      <c r="G800" s="366"/>
      <c r="H800" s="305"/>
      <c r="I800" s="366"/>
      <c r="J800" s="366"/>
      <c r="K800" s="309"/>
      <c r="L800" s="366"/>
      <c r="M800" s="366"/>
      <c r="N800" s="309"/>
      <c r="O800" s="366"/>
      <c r="P800" s="418">
        <v>1123.4000000000001</v>
      </c>
      <c r="Q800" s="305"/>
      <c r="R800" s="410"/>
      <c r="S800" s="309">
        <v>26</v>
      </c>
    </row>
    <row r="801" spans="1:19" ht="15">
      <c r="A801" s="171" t="s">
        <v>393</v>
      </c>
      <c r="B801" s="413">
        <v>359886</v>
      </c>
      <c r="C801" s="366">
        <f t="shared" si="75"/>
        <v>1888.13</v>
      </c>
      <c r="D801" s="366">
        <v>1888.13</v>
      </c>
      <c r="E801" s="305">
        <v>396.07</v>
      </c>
      <c r="F801" s="366">
        <v>196.63</v>
      </c>
      <c r="G801" s="366"/>
      <c r="H801" s="305"/>
      <c r="I801" s="366"/>
      <c r="J801" s="366"/>
      <c r="K801" s="309"/>
      <c r="L801" s="366"/>
      <c r="M801" s="366"/>
      <c r="N801" s="309"/>
      <c r="O801" s="366"/>
      <c r="P801" s="418">
        <v>2649.8</v>
      </c>
      <c r="Q801" s="305"/>
      <c r="R801" s="410"/>
      <c r="S801" s="309">
        <v>78</v>
      </c>
    </row>
    <row r="802" spans="1:19" ht="15">
      <c r="A802" s="398" t="s">
        <v>319</v>
      </c>
      <c r="B802" s="413">
        <v>465180</v>
      </c>
      <c r="C802" s="366">
        <f t="shared" si="75"/>
        <v>3533.8</v>
      </c>
      <c r="D802" s="366">
        <v>3533.8</v>
      </c>
      <c r="E802" s="305">
        <v>758.07</v>
      </c>
      <c r="F802" s="366">
        <v>362.52</v>
      </c>
      <c r="G802" s="366"/>
      <c r="H802" s="305"/>
      <c r="I802" s="366"/>
      <c r="J802" s="366"/>
      <c r="K802" s="309"/>
      <c r="L802" s="366"/>
      <c r="M802" s="366"/>
      <c r="N802" s="309"/>
      <c r="O802" s="366"/>
      <c r="P802" s="418">
        <v>4326.6000000000004</v>
      </c>
      <c r="Q802" s="305"/>
      <c r="R802" s="410"/>
      <c r="S802" s="309">
        <v>50</v>
      </c>
    </row>
    <row r="803" spans="1:19" ht="15">
      <c r="A803" s="398" t="s">
        <v>322</v>
      </c>
      <c r="B803" s="413">
        <v>465181</v>
      </c>
      <c r="C803" s="366">
        <f t="shared" si="75"/>
        <v>2106.19</v>
      </c>
      <c r="D803" s="366">
        <v>2106.19</v>
      </c>
      <c r="E803" s="305">
        <v>428.62</v>
      </c>
      <c r="F803" s="366">
        <v>254.97</v>
      </c>
      <c r="G803" s="366"/>
      <c r="H803" s="305"/>
      <c r="I803" s="366"/>
      <c r="J803" s="366"/>
      <c r="K803" s="309"/>
      <c r="L803" s="366"/>
      <c r="M803" s="366"/>
      <c r="N803" s="309"/>
      <c r="O803" s="366"/>
      <c r="P803" s="418">
        <v>2889</v>
      </c>
      <c r="Q803" s="305"/>
      <c r="R803" s="410"/>
      <c r="S803" s="309">
        <v>41</v>
      </c>
    </row>
    <row r="804" spans="1:19" ht="15">
      <c r="A804" s="398" t="s">
        <v>349</v>
      </c>
      <c r="B804" s="413">
        <v>465182</v>
      </c>
      <c r="C804" s="366">
        <f t="shared" si="75"/>
        <v>1774.11</v>
      </c>
      <c r="D804" s="366">
        <v>1774.11</v>
      </c>
      <c r="E804" s="305">
        <v>372.78</v>
      </c>
      <c r="F804" s="366">
        <v>36.14</v>
      </c>
      <c r="G804" s="366"/>
      <c r="H804" s="305"/>
      <c r="I804" s="366"/>
      <c r="J804" s="366"/>
      <c r="K804" s="309"/>
      <c r="L804" s="366"/>
      <c r="M804" s="366"/>
      <c r="N804" s="309"/>
      <c r="O804" s="366"/>
      <c r="P804" s="418">
        <v>2246.1999999999998</v>
      </c>
      <c r="Q804" s="305"/>
      <c r="R804" s="410"/>
      <c r="S804" s="309">
        <v>44</v>
      </c>
    </row>
    <row r="805" spans="1:19" ht="15">
      <c r="A805" s="398" t="s">
        <v>88</v>
      </c>
      <c r="B805" s="413">
        <v>465183</v>
      </c>
      <c r="C805" s="366">
        <f t="shared" si="75"/>
        <v>1927.02</v>
      </c>
      <c r="D805" s="366">
        <v>1927.02</v>
      </c>
      <c r="E805" s="305">
        <v>422.06</v>
      </c>
      <c r="F805" s="366">
        <v>151.87</v>
      </c>
      <c r="G805" s="366"/>
      <c r="H805" s="305"/>
      <c r="I805" s="366"/>
      <c r="J805" s="366"/>
      <c r="K805" s="309"/>
      <c r="L805" s="366"/>
      <c r="M805" s="366"/>
      <c r="N805" s="309"/>
      <c r="O805" s="366"/>
      <c r="P805" s="418">
        <v>2305.4</v>
      </c>
      <c r="Q805" s="305"/>
      <c r="R805" s="410"/>
      <c r="S805" s="309">
        <v>74</v>
      </c>
    </row>
    <row r="806" spans="1:19" ht="15">
      <c r="A806" s="347" t="s">
        <v>40</v>
      </c>
      <c r="B806" s="413">
        <v>465184</v>
      </c>
      <c r="C806" s="366">
        <f t="shared" si="75"/>
        <v>1281.6400000000001</v>
      </c>
      <c r="D806" s="366">
        <v>1281.6400000000001</v>
      </c>
      <c r="E806" s="305">
        <v>275.88</v>
      </c>
      <c r="F806" s="366">
        <v>11.89</v>
      </c>
      <c r="G806" s="366"/>
      <c r="H806" s="305"/>
      <c r="I806" s="366"/>
      <c r="J806" s="366"/>
      <c r="K806" s="309"/>
      <c r="L806" s="366"/>
      <c r="M806" s="366"/>
      <c r="N806" s="309"/>
      <c r="O806" s="366"/>
      <c r="P806" s="418">
        <v>2369.6</v>
      </c>
      <c r="Q806" s="305"/>
      <c r="R806" s="410"/>
      <c r="S806" s="309">
        <v>26</v>
      </c>
    </row>
    <row r="807" spans="1:19" ht="15">
      <c r="A807" s="398" t="s">
        <v>75</v>
      </c>
      <c r="B807" s="413">
        <v>465185</v>
      </c>
      <c r="C807" s="366">
        <f t="shared" si="75"/>
        <v>150</v>
      </c>
      <c r="D807" s="366"/>
      <c r="E807" s="305"/>
      <c r="F807" s="366"/>
      <c r="G807" s="366"/>
      <c r="H807" s="305"/>
      <c r="I807" s="366"/>
      <c r="J807" s="366"/>
      <c r="K807" s="309"/>
      <c r="L807" s="366"/>
      <c r="M807" s="366">
        <v>150</v>
      </c>
      <c r="N807" s="309">
        <v>33.143999999999998</v>
      </c>
      <c r="O807" s="366"/>
      <c r="P807" s="418">
        <v>113.9</v>
      </c>
      <c r="Q807" s="305"/>
      <c r="R807" s="410"/>
      <c r="S807" s="309">
        <v>34</v>
      </c>
    </row>
    <row r="808" spans="1:19" ht="15">
      <c r="A808" s="398" t="s">
        <v>386</v>
      </c>
      <c r="B808" s="413" t="s">
        <v>398</v>
      </c>
      <c r="C808" s="366">
        <f t="shared" si="75"/>
        <v>0</v>
      </c>
      <c r="D808" s="366">
        <v>0</v>
      </c>
      <c r="E808" s="305">
        <v>0</v>
      </c>
      <c r="F808" s="366">
        <v>0</v>
      </c>
      <c r="G808" s="366"/>
      <c r="H808" s="305"/>
      <c r="I808" s="366"/>
      <c r="J808" s="366"/>
      <c r="K808" s="309"/>
      <c r="L808" s="366"/>
      <c r="M808" s="366"/>
      <c r="N808" s="309"/>
      <c r="O808" s="366"/>
      <c r="P808" s="418">
        <v>48.9</v>
      </c>
      <c r="Q808" s="305"/>
      <c r="R808" s="410"/>
      <c r="S808" s="309">
        <v>95</v>
      </c>
    </row>
    <row r="809" spans="1:19" ht="15">
      <c r="A809" s="398" t="s">
        <v>192</v>
      </c>
      <c r="B809" s="413">
        <v>465187</v>
      </c>
      <c r="C809" s="366">
        <f t="shared" si="75"/>
        <v>3038.53</v>
      </c>
      <c r="D809" s="366">
        <v>3038.53</v>
      </c>
      <c r="E809" s="305">
        <v>619.34</v>
      </c>
      <c r="F809" s="366">
        <v>286.58</v>
      </c>
      <c r="G809" s="366"/>
      <c r="H809" s="305"/>
      <c r="I809" s="366"/>
      <c r="J809" s="366"/>
      <c r="K809" s="309"/>
      <c r="L809" s="366"/>
      <c r="M809" s="366"/>
      <c r="N809" s="309"/>
      <c r="O809" s="366"/>
      <c r="P809" s="418">
        <v>3725</v>
      </c>
      <c r="Q809" s="305"/>
      <c r="R809" s="410"/>
      <c r="S809" s="309">
        <v>100</v>
      </c>
    </row>
    <row r="810" spans="1:19" ht="15">
      <c r="A810" s="398" t="s">
        <v>14</v>
      </c>
      <c r="B810" s="413">
        <v>465188</v>
      </c>
      <c r="C810" s="366">
        <f t="shared" si="75"/>
        <v>0</v>
      </c>
      <c r="D810" s="366"/>
      <c r="E810" s="305"/>
      <c r="F810" s="366"/>
      <c r="G810" s="366"/>
      <c r="H810" s="305"/>
      <c r="I810" s="366"/>
      <c r="J810" s="366"/>
      <c r="K810" s="309"/>
      <c r="L810" s="366"/>
      <c r="M810" s="366"/>
      <c r="N810" s="309"/>
      <c r="O810" s="366"/>
      <c r="P810" s="418">
        <v>84.4</v>
      </c>
      <c r="Q810" s="305"/>
      <c r="R810" s="410"/>
      <c r="S810" s="309">
        <v>24</v>
      </c>
    </row>
    <row r="811" spans="1:19" ht="13">
      <c r="A811" s="400" t="s">
        <v>347</v>
      </c>
      <c r="B811" s="413" t="s">
        <v>394</v>
      </c>
      <c r="C811" s="366">
        <f t="shared" si="75"/>
        <v>367.14</v>
      </c>
      <c r="D811" s="366">
        <v>367.14</v>
      </c>
      <c r="E811" s="410" t="s">
        <v>1085</v>
      </c>
      <c r="F811" s="366">
        <v>8.82</v>
      </c>
      <c r="G811" s="366"/>
      <c r="H811" s="305"/>
      <c r="I811" s="366"/>
      <c r="J811" s="366"/>
      <c r="K811" s="309"/>
      <c r="L811" s="366"/>
      <c r="M811" s="366"/>
      <c r="N811" s="309"/>
      <c r="O811" s="366"/>
      <c r="P811" s="423"/>
      <c r="Q811" s="305"/>
      <c r="R811" s="410"/>
      <c r="S811" s="309">
        <v>61</v>
      </c>
    </row>
    <row r="812" spans="1:19" ht="15">
      <c r="A812" s="408" t="s">
        <v>391</v>
      </c>
      <c r="B812" s="413">
        <v>86</v>
      </c>
      <c r="C812" s="366">
        <f t="shared" si="75"/>
        <v>1930</v>
      </c>
      <c r="D812" s="366">
        <v>1930</v>
      </c>
      <c r="E812" s="410" t="s">
        <v>1086</v>
      </c>
      <c r="F812" s="366">
        <v>43.92</v>
      </c>
      <c r="G812" s="366"/>
      <c r="H812" s="305"/>
      <c r="I812" s="366"/>
      <c r="J812" s="366"/>
      <c r="K812" s="309"/>
      <c r="L812" s="366"/>
      <c r="M812" s="366"/>
      <c r="N812" s="309"/>
      <c r="O812" s="366"/>
      <c r="P812" s="409">
        <v>2776.3</v>
      </c>
      <c r="Q812" s="305"/>
      <c r="R812" s="410"/>
      <c r="S812" s="309" t="s">
        <v>306</v>
      </c>
    </row>
    <row r="813" spans="1:19" ht="15">
      <c r="A813" s="408" t="s">
        <v>386</v>
      </c>
      <c r="B813" s="407" t="s">
        <v>399</v>
      </c>
      <c r="C813" s="366">
        <f t="shared" si="75"/>
        <v>0</v>
      </c>
      <c r="D813" s="366"/>
      <c r="E813" s="366"/>
      <c r="F813" s="366"/>
      <c r="G813" s="366"/>
      <c r="H813" s="305"/>
      <c r="I813" s="366"/>
      <c r="J813" s="366"/>
      <c r="K813" s="309"/>
      <c r="L813" s="366"/>
      <c r="M813" s="366"/>
      <c r="N813" s="309"/>
      <c r="O813" s="366"/>
      <c r="P813" s="409">
        <v>807</v>
      </c>
      <c r="Q813" s="305"/>
      <c r="R813" s="410"/>
      <c r="S813" s="309"/>
    </row>
    <row r="814" spans="1:19" ht="15">
      <c r="A814" s="408" t="s">
        <v>1067</v>
      </c>
      <c r="B814" s="407" t="s">
        <v>362</v>
      </c>
      <c r="C814" s="366">
        <f t="shared" si="75"/>
        <v>1136</v>
      </c>
      <c r="D814" s="366">
        <v>1136</v>
      </c>
      <c r="E814" s="410" t="s">
        <v>1087</v>
      </c>
      <c r="F814" s="366">
        <v>5.0199999999999996</v>
      </c>
      <c r="G814" s="366"/>
      <c r="H814" s="305"/>
      <c r="I814" s="366"/>
      <c r="J814" s="366"/>
      <c r="K814" s="309"/>
      <c r="L814" s="366"/>
      <c r="M814" s="366"/>
      <c r="N814" s="309"/>
      <c r="O814" s="366"/>
      <c r="P814" s="409">
        <v>1725.6</v>
      </c>
      <c r="Q814" s="305"/>
      <c r="R814" s="410"/>
      <c r="S814" s="309">
        <v>33</v>
      </c>
    </row>
    <row r="815" spans="1:19" ht="15">
      <c r="A815" s="408" t="s">
        <v>1041</v>
      </c>
      <c r="B815" s="407" t="s">
        <v>1068</v>
      </c>
      <c r="C815" s="366">
        <f t="shared" si="75"/>
        <v>970</v>
      </c>
      <c r="D815" s="366">
        <v>970</v>
      </c>
      <c r="E815" s="305">
        <v>210.92</v>
      </c>
      <c r="F815" s="366"/>
      <c r="G815" s="411"/>
      <c r="H815" s="305"/>
      <c r="I815" s="366"/>
      <c r="J815" s="366"/>
      <c r="K815" s="305"/>
      <c r="L815" s="366"/>
      <c r="M815" s="366"/>
      <c r="N815" s="309"/>
      <c r="O815" s="366"/>
      <c r="P815" s="409">
        <v>1023</v>
      </c>
      <c r="Q815" s="305"/>
      <c r="R815" s="410"/>
      <c r="S815" s="309" t="s">
        <v>306</v>
      </c>
    </row>
    <row r="816" spans="1:19" ht="15">
      <c r="A816" s="408" t="s">
        <v>1043</v>
      </c>
      <c r="B816" s="407" t="s">
        <v>1069</v>
      </c>
      <c r="C816" s="366">
        <f t="shared" si="75"/>
        <v>2416.7600000000002</v>
      </c>
      <c r="D816" s="366">
        <v>2416.7600000000002</v>
      </c>
      <c r="E816" s="305">
        <v>554.66999999999996</v>
      </c>
      <c r="F816" s="366">
        <v>46.84</v>
      </c>
      <c r="G816" s="411"/>
      <c r="H816" s="305"/>
      <c r="I816" s="366"/>
      <c r="J816" s="366"/>
      <c r="K816" s="305"/>
      <c r="L816" s="366"/>
      <c r="M816" s="366"/>
      <c r="N816" s="309"/>
      <c r="O816" s="366"/>
      <c r="P816" s="409">
        <v>3577</v>
      </c>
      <c r="Q816" s="305"/>
      <c r="R816" s="410"/>
      <c r="S816" s="309">
        <v>53</v>
      </c>
    </row>
    <row r="817" spans="1:19" ht="15">
      <c r="A817" s="408" t="s">
        <v>359</v>
      </c>
      <c r="B817" s="407" t="s">
        <v>360</v>
      </c>
      <c r="C817" s="366">
        <f t="shared" si="75"/>
        <v>685.69</v>
      </c>
      <c r="D817" s="366">
        <v>685.69</v>
      </c>
      <c r="E817" s="305">
        <v>125.6</v>
      </c>
      <c r="F817" s="366">
        <v>12.55</v>
      </c>
      <c r="G817" s="411"/>
      <c r="H817" s="305"/>
      <c r="I817" s="366"/>
      <c r="J817" s="366"/>
      <c r="K817" s="305"/>
      <c r="L817" s="366"/>
      <c r="M817" s="366"/>
      <c r="N817" s="309"/>
      <c r="O817" s="366"/>
      <c r="P817" s="409">
        <v>574</v>
      </c>
      <c r="Q817" s="305"/>
      <c r="R817" s="410"/>
      <c r="S817" s="309">
        <v>66</v>
      </c>
    </row>
    <row r="818" spans="1:19" ht="15">
      <c r="A818" s="408" t="s">
        <v>370</v>
      </c>
      <c r="B818" s="407" t="s">
        <v>1070</v>
      </c>
      <c r="C818" s="366">
        <f t="shared" si="75"/>
        <v>2695.06</v>
      </c>
      <c r="D818" s="366">
        <v>2695.06</v>
      </c>
      <c r="E818" s="305">
        <v>594.37</v>
      </c>
      <c r="F818" s="366">
        <v>129.66999999999999</v>
      </c>
      <c r="G818" s="411"/>
      <c r="H818" s="305"/>
      <c r="I818" s="366"/>
      <c r="J818" s="366"/>
      <c r="K818" s="305"/>
      <c r="L818" s="366"/>
      <c r="M818" s="366"/>
      <c r="N818" s="309"/>
      <c r="O818" s="366"/>
      <c r="P818" s="409">
        <v>3060</v>
      </c>
      <c r="Q818" s="305"/>
      <c r="R818" s="410"/>
      <c r="S818" s="309" t="s">
        <v>306</v>
      </c>
    </row>
    <row r="819" spans="1:19" ht="15">
      <c r="A819" s="408" t="s">
        <v>368</v>
      </c>
      <c r="B819" s="407" t="s">
        <v>362</v>
      </c>
      <c r="C819" s="366">
        <f t="shared" si="75"/>
        <v>2383.46</v>
      </c>
      <c r="D819" s="366">
        <v>2383.46</v>
      </c>
      <c r="E819" s="305">
        <v>518.79</v>
      </c>
      <c r="F819" s="366">
        <v>157.69</v>
      </c>
      <c r="G819" s="411"/>
      <c r="H819" s="305"/>
      <c r="I819" s="366"/>
      <c r="J819" s="366"/>
      <c r="K819" s="305"/>
      <c r="L819" s="366"/>
      <c r="M819" s="366"/>
      <c r="N819" s="309"/>
      <c r="O819" s="366"/>
      <c r="P819" s="409">
        <v>2840</v>
      </c>
      <c r="Q819" s="305"/>
      <c r="R819" s="410"/>
      <c r="S819" s="309">
        <v>22</v>
      </c>
    </row>
    <row r="820" spans="1:19" ht="15">
      <c r="A820" s="408" t="s">
        <v>1082</v>
      </c>
      <c r="B820" s="407" t="s">
        <v>1045</v>
      </c>
      <c r="C820" s="366">
        <f t="shared" si="75"/>
        <v>2210.71</v>
      </c>
      <c r="D820" s="366">
        <v>2210.71</v>
      </c>
      <c r="E820" s="305">
        <v>466.58</v>
      </c>
      <c r="F820" s="366">
        <v>45.36</v>
      </c>
      <c r="G820" s="411"/>
      <c r="H820" s="305"/>
      <c r="I820" s="366"/>
      <c r="J820" s="366"/>
      <c r="K820" s="305"/>
      <c r="L820" s="366"/>
      <c r="M820" s="366"/>
      <c r="N820" s="309"/>
      <c r="O820" s="366"/>
      <c r="P820" s="409">
        <v>2245</v>
      </c>
      <c r="Q820" s="305"/>
      <c r="R820" s="410"/>
      <c r="S820" s="309"/>
    </row>
    <row r="821" spans="1:19" ht="13">
      <c r="A821" s="470" t="s">
        <v>860</v>
      </c>
      <c r="B821" s="471"/>
      <c r="C821" s="422" t="s">
        <v>89</v>
      </c>
      <c r="D821" s="324" t="s">
        <v>676</v>
      </c>
      <c r="E821" s="325" t="s">
        <v>861</v>
      </c>
      <c r="F821" s="355" t="s">
        <v>862</v>
      </c>
      <c r="G821" s="324" t="s">
        <v>676</v>
      </c>
      <c r="H821" s="325" t="s">
        <v>861</v>
      </c>
      <c r="I821" s="355" t="s">
        <v>862</v>
      </c>
      <c r="J821" s="324" t="s">
        <v>676</v>
      </c>
      <c r="K821" s="325" t="s">
        <v>861</v>
      </c>
      <c r="L821" s="355" t="s">
        <v>862</v>
      </c>
      <c r="M821" s="324" t="s">
        <v>676</v>
      </c>
      <c r="N821" s="325" t="s">
        <v>861</v>
      </c>
      <c r="O821" s="355" t="s">
        <v>862</v>
      </c>
      <c r="P821" s="324" t="s">
        <v>881</v>
      </c>
      <c r="Q821" s="325" t="s">
        <v>861</v>
      </c>
      <c r="R821" s="325" t="s">
        <v>865</v>
      </c>
      <c r="S821" s="412" t="s">
        <v>1031</v>
      </c>
    </row>
    <row r="822" spans="1:19" ht="13">
      <c r="A822" s="470" t="s">
        <v>863</v>
      </c>
      <c r="B822" s="471"/>
      <c r="C822" s="326">
        <f>SUM(C792:C820)</f>
        <v>41749.409999999996</v>
      </c>
      <c r="D822" s="326">
        <f>SUM(D792:D820)+SUM(G792:G820)+SUM(J792:J820)+SUM(M792:M820)</f>
        <v>41749.409999999996</v>
      </c>
      <c r="E822" s="327">
        <f>SUM(E792:E811)+SUM(H792:H811)+SUM(K792:K811)+SUM(N792:N811)</f>
        <v>5694.1140000000014</v>
      </c>
      <c r="F822" s="328">
        <f>SUM(F792:F811)</f>
        <v>2413.02</v>
      </c>
      <c r="G822" s="329"/>
      <c r="H822" s="329"/>
      <c r="I822" s="329"/>
      <c r="J822" s="329"/>
      <c r="K822" s="329"/>
      <c r="L822" s="329"/>
      <c r="M822" s="329"/>
      <c r="N822" s="329"/>
      <c r="O822" s="329"/>
      <c r="P822" s="329"/>
      <c r="Q822" s="329"/>
      <c r="R822" s="329"/>
    </row>
    <row r="824" spans="1:19" ht="13">
      <c r="A824" s="472" t="s">
        <v>1088</v>
      </c>
      <c r="B824" s="466"/>
      <c r="C824" s="466"/>
      <c r="D824" s="466"/>
      <c r="E824" s="466"/>
      <c r="F824" s="466"/>
      <c r="G824" s="466"/>
      <c r="H824" s="466"/>
      <c r="I824" s="466"/>
      <c r="J824" s="466"/>
      <c r="K824" s="466"/>
      <c r="L824" s="466"/>
      <c r="M824" s="466"/>
      <c r="N824" s="466"/>
      <c r="O824" s="466"/>
      <c r="P824" s="466"/>
      <c r="Q824" s="466"/>
      <c r="R824" s="466"/>
      <c r="S824" s="466"/>
    </row>
    <row r="825" spans="1:19" ht="13">
      <c r="A825" s="356" t="s">
        <v>849</v>
      </c>
      <c r="B825" s="356" t="s">
        <v>1</v>
      </c>
      <c r="C825" s="356" t="s">
        <v>89</v>
      </c>
      <c r="D825" s="473" t="s">
        <v>850</v>
      </c>
      <c r="E825" s="466"/>
      <c r="F825" s="467"/>
      <c r="G825" s="465" t="s">
        <v>852</v>
      </c>
      <c r="H825" s="466"/>
      <c r="I825" s="467"/>
      <c r="J825" s="465" t="s">
        <v>1013</v>
      </c>
      <c r="K825" s="466"/>
      <c r="L825" s="467"/>
      <c r="M825" s="465" t="s">
        <v>1047</v>
      </c>
      <c r="N825" s="466"/>
      <c r="O825" s="467"/>
      <c r="P825" s="465" t="s">
        <v>865</v>
      </c>
      <c r="Q825" s="466"/>
      <c r="R825" s="467"/>
      <c r="S825" s="356" t="s">
        <v>1028</v>
      </c>
    </row>
    <row r="826" spans="1:19" ht="15">
      <c r="A826" s="400" t="s">
        <v>347</v>
      </c>
      <c r="B826" s="413">
        <v>352368</v>
      </c>
      <c r="C826" s="366">
        <f t="shared" ref="C826:C854" si="76">D826+G826+J826+M826</f>
        <v>2673.51</v>
      </c>
      <c r="D826" s="424">
        <v>2673.51</v>
      </c>
      <c r="E826" s="305">
        <v>599.83000000000004</v>
      </c>
      <c r="F826" s="366">
        <v>338.89</v>
      </c>
      <c r="G826" s="424"/>
      <c r="H826" s="305"/>
      <c r="I826" s="366"/>
      <c r="J826" s="424"/>
      <c r="K826" s="305"/>
      <c r="L826" s="366"/>
      <c r="M826" s="424"/>
      <c r="N826" s="309"/>
      <c r="O826" s="366"/>
      <c r="P826" s="425">
        <v>2247.3000000000002</v>
      </c>
      <c r="Q826" s="305"/>
      <c r="R826" s="410"/>
      <c r="S826" s="309">
        <v>34</v>
      </c>
    </row>
    <row r="827" spans="1:19" ht="15">
      <c r="A827" s="399" t="s">
        <v>355</v>
      </c>
      <c r="B827" s="413">
        <v>352371</v>
      </c>
      <c r="C827" s="366">
        <f t="shared" si="76"/>
        <v>2715.38</v>
      </c>
      <c r="D827" s="424">
        <v>2715.38</v>
      </c>
      <c r="E827" s="305">
        <v>571.9</v>
      </c>
      <c r="F827" s="366">
        <v>349.14</v>
      </c>
      <c r="G827" s="424"/>
      <c r="H827" s="305"/>
      <c r="I827" s="366"/>
      <c r="J827" s="424"/>
      <c r="K827" s="309"/>
      <c r="L827" s="366"/>
      <c r="M827" s="424"/>
      <c r="N827" s="309"/>
      <c r="O827" s="366"/>
      <c r="P827" s="425">
        <v>2968.4</v>
      </c>
      <c r="Q827" s="305"/>
      <c r="R827" s="410"/>
      <c r="S827" s="309">
        <v>25</v>
      </c>
    </row>
    <row r="828" spans="1:19" ht="15">
      <c r="A828" s="398"/>
      <c r="B828" s="413">
        <v>352372</v>
      </c>
      <c r="C828" s="366">
        <f t="shared" si="76"/>
        <v>0</v>
      </c>
      <c r="D828" s="424"/>
      <c r="E828" s="305"/>
      <c r="F828" s="366"/>
      <c r="G828" s="424"/>
      <c r="H828" s="305"/>
      <c r="I828" s="366"/>
      <c r="J828" s="424"/>
      <c r="K828" s="309"/>
      <c r="L828" s="366"/>
      <c r="M828" s="424"/>
      <c r="N828" s="309"/>
      <c r="O828" s="366"/>
      <c r="P828" s="425">
        <v>0.2</v>
      </c>
      <c r="Q828" s="305"/>
      <c r="R828" s="410"/>
      <c r="S828" s="309">
        <v>43</v>
      </c>
    </row>
    <row r="829" spans="1:19" ht="15">
      <c r="A829" s="400" t="s">
        <v>318</v>
      </c>
      <c r="B829" s="413">
        <v>352373</v>
      </c>
      <c r="C829" s="366">
        <f t="shared" si="76"/>
        <v>270.93</v>
      </c>
      <c r="D829" s="424">
        <v>270.93</v>
      </c>
      <c r="E829" s="305">
        <v>63.02</v>
      </c>
      <c r="F829" s="366">
        <v>27.67</v>
      </c>
      <c r="G829" s="424"/>
      <c r="H829" s="305"/>
      <c r="I829" s="366"/>
      <c r="J829" s="424"/>
      <c r="K829" s="309"/>
      <c r="L829" s="366"/>
      <c r="M829" s="424"/>
      <c r="N829" s="309"/>
      <c r="O829" s="366"/>
      <c r="P829" s="425">
        <v>1030.3</v>
      </c>
      <c r="Q829" s="305"/>
      <c r="R829" s="410"/>
      <c r="S829" s="309">
        <v>97</v>
      </c>
    </row>
    <row r="830" spans="1:19" ht="15">
      <c r="A830" s="398"/>
      <c r="B830" s="407" t="s">
        <v>366</v>
      </c>
      <c r="C830" s="366">
        <f t="shared" si="76"/>
        <v>0</v>
      </c>
      <c r="D830" s="424"/>
      <c r="E830" s="305"/>
      <c r="F830" s="366"/>
      <c r="G830" s="424"/>
      <c r="H830" s="305"/>
      <c r="I830" s="366"/>
      <c r="J830" s="424"/>
      <c r="K830" s="309"/>
      <c r="L830" s="366"/>
      <c r="M830" s="424"/>
      <c r="N830" s="309"/>
      <c r="O830" s="366"/>
      <c r="P830" s="425"/>
      <c r="Q830" s="305"/>
      <c r="R830" s="410"/>
      <c r="S830" s="309">
        <v>10</v>
      </c>
    </row>
    <row r="831" spans="1:19" ht="15">
      <c r="A831" s="398"/>
      <c r="B831" s="413">
        <v>352375</v>
      </c>
      <c r="C831" s="366">
        <f t="shared" si="76"/>
        <v>0</v>
      </c>
      <c r="D831" s="424"/>
      <c r="E831" s="305"/>
      <c r="F831" s="366"/>
      <c r="G831" s="424"/>
      <c r="H831" s="305"/>
      <c r="I831" s="366"/>
      <c r="J831" s="424"/>
      <c r="K831" s="309"/>
      <c r="L831" s="366"/>
      <c r="M831" s="424"/>
      <c r="N831" s="309"/>
      <c r="O831" s="366"/>
      <c r="P831" s="425"/>
      <c r="Q831" s="305"/>
      <c r="R831" s="410"/>
      <c r="S831" s="309">
        <v>53</v>
      </c>
    </row>
    <row r="832" spans="1:19" ht="15">
      <c r="A832" s="398" t="s">
        <v>62</v>
      </c>
      <c r="B832" s="413">
        <v>352376</v>
      </c>
      <c r="C832" s="366">
        <f t="shared" si="76"/>
        <v>1789.84</v>
      </c>
      <c r="D832" s="424">
        <v>1789.84</v>
      </c>
      <c r="E832" s="305">
        <v>386.32</v>
      </c>
      <c r="F832" s="366">
        <v>291.45</v>
      </c>
      <c r="G832" s="424"/>
      <c r="H832" s="305"/>
      <c r="I832" s="366"/>
      <c r="J832" s="424"/>
      <c r="K832" s="309"/>
      <c r="L832" s="366"/>
      <c r="M832" s="424"/>
      <c r="N832" s="309"/>
      <c r="O832" s="366"/>
      <c r="P832" s="425">
        <v>2756.4</v>
      </c>
      <c r="Q832" s="305"/>
      <c r="R832" s="410"/>
      <c r="S832" s="309">
        <v>55</v>
      </c>
    </row>
    <row r="833" spans="1:19" ht="15">
      <c r="A833" s="398" t="s">
        <v>390</v>
      </c>
      <c r="B833" s="413">
        <v>352377</v>
      </c>
      <c r="C833" s="366">
        <f t="shared" si="76"/>
        <v>3701.7</v>
      </c>
      <c r="D833" s="424">
        <v>3701.7</v>
      </c>
      <c r="E833" s="305">
        <v>794.86</v>
      </c>
      <c r="F833" s="366">
        <v>65.040000000000006</v>
      </c>
      <c r="G833" s="424"/>
      <c r="H833" s="305"/>
      <c r="I833" s="366"/>
      <c r="J833" s="424"/>
      <c r="K833" s="309"/>
      <c r="L833" s="366"/>
      <c r="M833" s="424"/>
      <c r="N833" s="309"/>
      <c r="O833" s="366"/>
      <c r="P833" s="425">
        <v>4926.6000000000004</v>
      </c>
      <c r="Q833" s="305"/>
      <c r="R833" s="410"/>
      <c r="S833" s="309">
        <v>56</v>
      </c>
    </row>
    <row r="834" spans="1:19" ht="15">
      <c r="A834" s="398"/>
      <c r="B834" s="413" t="s">
        <v>1084</v>
      </c>
      <c r="C834" s="366">
        <f t="shared" si="76"/>
        <v>0</v>
      </c>
      <c r="D834" s="424"/>
      <c r="E834" s="305"/>
      <c r="F834" s="366"/>
      <c r="G834" s="424"/>
      <c r="H834" s="305"/>
      <c r="I834" s="366"/>
      <c r="J834" s="424"/>
      <c r="K834" s="309"/>
      <c r="L834" s="366"/>
      <c r="M834" s="424"/>
      <c r="N834" s="309"/>
      <c r="O834" s="366"/>
      <c r="P834" s="425">
        <v>970.2</v>
      </c>
      <c r="Q834" s="305"/>
      <c r="R834" s="410"/>
      <c r="S834" s="309">
        <v>97</v>
      </c>
    </row>
    <row r="835" spans="1:19" ht="15">
      <c r="A835" s="171" t="s">
        <v>393</v>
      </c>
      <c r="B835" s="413">
        <v>359886</v>
      </c>
      <c r="C835" s="366">
        <f t="shared" si="76"/>
        <v>2385.31</v>
      </c>
      <c r="D835" s="424">
        <v>2385.31</v>
      </c>
      <c r="E835" s="305">
        <v>536.36</v>
      </c>
      <c r="F835" s="366">
        <v>405.31</v>
      </c>
      <c r="G835" s="424"/>
      <c r="H835" s="305"/>
      <c r="I835" s="366"/>
      <c r="J835" s="424"/>
      <c r="K835" s="309"/>
      <c r="L835" s="366"/>
      <c r="M835" s="424"/>
      <c r="N835" s="309"/>
      <c r="O835" s="366"/>
      <c r="P835" s="425">
        <v>3323</v>
      </c>
      <c r="Q835" s="305"/>
      <c r="R835" s="410"/>
      <c r="S835" s="309">
        <v>97</v>
      </c>
    </row>
    <row r="836" spans="1:19" ht="15">
      <c r="A836" s="398" t="s">
        <v>319</v>
      </c>
      <c r="B836" s="413">
        <v>465180</v>
      </c>
      <c r="C836" s="366">
        <f t="shared" si="76"/>
        <v>515.6</v>
      </c>
      <c r="D836" s="424">
        <v>515.6</v>
      </c>
      <c r="E836" s="305">
        <v>113.04</v>
      </c>
      <c r="F836" s="366">
        <v>84.85</v>
      </c>
      <c r="G836" s="424"/>
      <c r="H836" s="305"/>
      <c r="I836" s="366"/>
      <c r="J836" s="424"/>
      <c r="K836" s="309"/>
      <c r="L836" s="366"/>
      <c r="M836" s="424"/>
      <c r="N836" s="309"/>
      <c r="O836" s="366"/>
      <c r="P836" s="425">
        <v>117</v>
      </c>
      <c r="Q836" s="305"/>
      <c r="R836" s="410"/>
      <c r="S836" s="309">
        <v>62</v>
      </c>
    </row>
    <row r="837" spans="1:19" ht="15">
      <c r="A837" s="398" t="s">
        <v>322</v>
      </c>
      <c r="B837" s="413">
        <v>465181</v>
      </c>
      <c r="C837" s="366">
        <f t="shared" si="76"/>
        <v>2848.67</v>
      </c>
      <c r="D837" s="424">
        <v>2848.67</v>
      </c>
      <c r="E837" s="305">
        <v>598.27</v>
      </c>
      <c r="F837" s="366">
        <v>469.76</v>
      </c>
      <c r="G837" s="424"/>
      <c r="H837" s="305"/>
      <c r="I837" s="366"/>
      <c r="J837" s="424"/>
      <c r="K837" s="309"/>
      <c r="L837" s="366"/>
      <c r="M837" s="424"/>
      <c r="N837" s="309"/>
      <c r="O837" s="366"/>
      <c r="P837" s="425">
        <v>3339</v>
      </c>
      <c r="Q837" s="305"/>
      <c r="R837" s="410"/>
      <c r="S837" s="309">
        <v>31</v>
      </c>
    </row>
    <row r="838" spans="1:19" ht="15">
      <c r="A838" s="398" t="s">
        <v>349</v>
      </c>
      <c r="B838" s="413">
        <v>465182</v>
      </c>
      <c r="C838" s="366">
        <f t="shared" si="76"/>
        <v>2633.8</v>
      </c>
      <c r="D838" s="424">
        <v>2633.8</v>
      </c>
      <c r="E838" s="305">
        <v>578.57000000000005</v>
      </c>
      <c r="F838" s="366">
        <v>31.13</v>
      </c>
      <c r="G838" s="424"/>
      <c r="H838" s="305"/>
      <c r="I838" s="366"/>
      <c r="J838" s="424"/>
      <c r="K838" s="309"/>
      <c r="L838" s="366"/>
      <c r="M838" s="424"/>
      <c r="N838" s="309"/>
      <c r="O838" s="366"/>
      <c r="P838" s="425">
        <v>3782.9</v>
      </c>
      <c r="Q838" s="305"/>
      <c r="R838" s="410"/>
      <c r="S838" s="309">
        <v>56</v>
      </c>
    </row>
    <row r="839" spans="1:19" ht="15">
      <c r="A839" s="398" t="s">
        <v>88</v>
      </c>
      <c r="B839" s="413">
        <v>465183</v>
      </c>
      <c r="C839" s="366">
        <f t="shared" si="76"/>
        <v>0</v>
      </c>
      <c r="D839" s="424"/>
      <c r="E839" s="305"/>
      <c r="F839" s="366"/>
      <c r="G839" s="424"/>
      <c r="H839" s="305"/>
      <c r="I839" s="366"/>
      <c r="J839" s="424"/>
      <c r="K839" s="309"/>
      <c r="L839" s="366"/>
      <c r="M839" s="424"/>
      <c r="N839" s="309"/>
      <c r="O839" s="366"/>
      <c r="P839" s="425">
        <v>0.2</v>
      </c>
      <c r="Q839" s="305"/>
      <c r="R839" s="410"/>
      <c r="S839" s="309">
        <v>52</v>
      </c>
    </row>
    <row r="840" spans="1:19" ht="15">
      <c r="A840" s="347" t="s">
        <v>40</v>
      </c>
      <c r="B840" s="413">
        <v>465184</v>
      </c>
      <c r="C840" s="366">
        <f t="shared" si="76"/>
        <v>3246.41</v>
      </c>
      <c r="D840" s="424">
        <v>3246.41</v>
      </c>
      <c r="E840" s="305">
        <v>729.56</v>
      </c>
      <c r="F840" s="366">
        <v>43.14</v>
      </c>
      <c r="G840" s="424"/>
      <c r="H840" s="305"/>
      <c r="I840" s="366"/>
      <c r="J840" s="424"/>
      <c r="K840" s="309"/>
      <c r="L840" s="366"/>
      <c r="M840" s="424"/>
      <c r="N840" s="309"/>
      <c r="O840" s="366"/>
      <c r="P840" s="425">
        <v>4350.8</v>
      </c>
      <c r="Q840" s="305"/>
      <c r="R840" s="410"/>
      <c r="S840" s="309">
        <v>56</v>
      </c>
    </row>
    <row r="841" spans="1:19" ht="15">
      <c r="A841" s="398" t="s">
        <v>75</v>
      </c>
      <c r="B841" s="413">
        <v>465185</v>
      </c>
      <c r="C841" s="366">
        <f t="shared" si="76"/>
        <v>2749.26</v>
      </c>
      <c r="D841" s="424">
        <v>2749.26</v>
      </c>
      <c r="E841" s="305">
        <v>576.29</v>
      </c>
      <c r="F841" s="366">
        <v>541.55999999999995</v>
      </c>
      <c r="G841" s="424"/>
      <c r="H841" s="305"/>
      <c r="I841" s="366"/>
      <c r="J841" s="424"/>
      <c r="K841" s="309"/>
      <c r="L841" s="366"/>
      <c r="M841" s="424"/>
      <c r="N841" s="309"/>
      <c r="O841" s="366"/>
      <c r="P841" s="425">
        <v>2585.6999999999998</v>
      </c>
      <c r="Q841" s="305"/>
      <c r="R841" s="410"/>
      <c r="S841" s="309">
        <v>36</v>
      </c>
    </row>
    <row r="842" spans="1:19" ht="15">
      <c r="A842" s="398" t="s">
        <v>404</v>
      </c>
      <c r="B842" s="413">
        <v>465186</v>
      </c>
      <c r="C842" s="366">
        <f t="shared" si="76"/>
        <v>1312.99</v>
      </c>
      <c r="D842" s="424">
        <v>1312.99</v>
      </c>
      <c r="E842" s="305">
        <v>301.14</v>
      </c>
      <c r="F842" s="366">
        <v>29.15</v>
      </c>
      <c r="G842" s="424"/>
      <c r="H842" s="305"/>
      <c r="I842" s="366"/>
      <c r="J842" s="424"/>
      <c r="K842" s="309"/>
      <c r="L842" s="366"/>
      <c r="M842" s="424"/>
      <c r="N842" s="309"/>
      <c r="O842" s="366"/>
      <c r="P842" s="425">
        <v>2405.9</v>
      </c>
      <c r="Q842" s="305"/>
      <c r="R842" s="410"/>
      <c r="S842" s="309">
        <v>24</v>
      </c>
    </row>
    <row r="843" spans="1:19" ht="15">
      <c r="A843" s="398" t="s">
        <v>192</v>
      </c>
      <c r="B843" s="413">
        <v>465187</v>
      </c>
      <c r="C843" s="366">
        <f t="shared" si="76"/>
        <v>4288.95</v>
      </c>
      <c r="D843" s="424">
        <v>4288.95</v>
      </c>
      <c r="E843" s="305">
        <v>958.31</v>
      </c>
      <c r="F843" s="366">
        <v>344.45</v>
      </c>
      <c r="G843" s="424"/>
      <c r="H843" s="305"/>
      <c r="I843" s="366"/>
      <c r="J843" s="424"/>
      <c r="K843" s="309"/>
      <c r="L843" s="366"/>
      <c r="M843" s="424"/>
      <c r="N843" s="309"/>
      <c r="O843" s="366"/>
      <c r="P843" s="425">
        <v>5217.2</v>
      </c>
      <c r="Q843" s="305"/>
      <c r="R843" s="410"/>
      <c r="S843" s="309">
        <v>100</v>
      </c>
    </row>
    <row r="844" spans="1:19" ht="15">
      <c r="A844" s="398" t="s">
        <v>191</v>
      </c>
      <c r="B844" s="413">
        <v>465188</v>
      </c>
      <c r="C844" s="366">
        <f t="shared" si="76"/>
        <v>2408.9499999999998</v>
      </c>
      <c r="D844" s="424">
        <v>2408.9499999999998</v>
      </c>
      <c r="E844" s="305">
        <v>495.36</v>
      </c>
      <c r="F844" s="366">
        <v>341.64</v>
      </c>
      <c r="G844" s="424"/>
      <c r="H844" s="305"/>
      <c r="I844" s="366"/>
      <c r="J844" s="424"/>
      <c r="K844" s="309"/>
      <c r="L844" s="366"/>
      <c r="M844" s="424"/>
      <c r="N844" s="309"/>
      <c r="O844" s="366"/>
      <c r="P844" s="425">
        <v>3653.6</v>
      </c>
      <c r="Q844" s="305"/>
      <c r="R844" s="410"/>
      <c r="S844" s="309">
        <v>100</v>
      </c>
    </row>
    <row r="845" spans="1:19" ht="15">
      <c r="A845" s="400"/>
      <c r="B845" s="413">
        <v>465189</v>
      </c>
      <c r="C845" s="366">
        <f t="shared" si="76"/>
        <v>0</v>
      </c>
      <c r="D845" s="424"/>
      <c r="E845" s="410"/>
      <c r="F845" s="366"/>
      <c r="G845" s="424"/>
      <c r="H845" s="305"/>
      <c r="I845" s="366"/>
      <c r="J845" s="424"/>
      <c r="K845" s="309"/>
      <c r="L845" s="366"/>
      <c r="M845" s="424"/>
      <c r="N845" s="309"/>
      <c r="O845" s="366"/>
      <c r="P845" s="416">
        <v>0.3</v>
      </c>
      <c r="Q845" s="305"/>
      <c r="R845" s="410"/>
      <c r="S845" s="309">
        <v>61</v>
      </c>
    </row>
    <row r="846" spans="1:19" ht="15">
      <c r="A846" s="408" t="s">
        <v>386</v>
      </c>
      <c r="B846" s="413">
        <v>218</v>
      </c>
      <c r="C846" s="366">
        <f t="shared" si="76"/>
        <v>2698.33</v>
      </c>
      <c r="D846" s="424">
        <v>2698.33</v>
      </c>
      <c r="E846" s="366">
        <v>572.24</v>
      </c>
      <c r="F846" s="366">
        <v>358.8</v>
      </c>
      <c r="G846" s="424"/>
      <c r="H846" s="305"/>
      <c r="I846" s="366"/>
      <c r="J846" s="424"/>
      <c r="K846" s="309"/>
      <c r="L846" s="366"/>
      <c r="M846" s="424"/>
      <c r="N846" s="309"/>
      <c r="O846" s="366"/>
      <c r="P846" s="426">
        <v>1658</v>
      </c>
      <c r="Q846" s="305"/>
      <c r="R846" s="410"/>
      <c r="S846" s="309"/>
    </row>
    <row r="847" spans="1:19" ht="15">
      <c r="A847" s="408" t="s">
        <v>391</v>
      </c>
      <c r="B847" s="413">
        <v>86</v>
      </c>
      <c r="C847" s="366">
        <f t="shared" si="76"/>
        <v>0</v>
      </c>
      <c r="D847" s="424"/>
      <c r="E847" s="366"/>
      <c r="F847" s="366"/>
      <c r="G847" s="424"/>
      <c r="H847" s="305"/>
      <c r="I847" s="366"/>
      <c r="J847" s="424"/>
      <c r="K847" s="309"/>
      <c r="L847" s="366"/>
      <c r="M847" s="424"/>
      <c r="N847" s="309"/>
      <c r="O847" s="366"/>
      <c r="P847" s="409"/>
      <c r="Q847" s="305"/>
      <c r="R847" s="410"/>
      <c r="S847" s="309">
        <v>61</v>
      </c>
    </row>
    <row r="848" spans="1:19" ht="15">
      <c r="A848" s="408" t="s">
        <v>1067</v>
      </c>
      <c r="B848" s="407" t="s">
        <v>362</v>
      </c>
      <c r="C848" s="366">
        <f t="shared" si="76"/>
        <v>2573.0500000000002</v>
      </c>
      <c r="D848" s="424">
        <v>2573.0500000000002</v>
      </c>
      <c r="E848" s="366">
        <v>529.79999999999995</v>
      </c>
      <c r="F848" s="366">
        <v>388.4</v>
      </c>
      <c r="G848" s="424"/>
      <c r="H848" s="305"/>
      <c r="I848" s="366"/>
      <c r="J848" s="424"/>
      <c r="K848" s="309"/>
      <c r="L848" s="366"/>
      <c r="M848" s="424"/>
      <c r="N848" s="309"/>
      <c r="O848" s="366"/>
      <c r="P848" s="409">
        <v>3607.2</v>
      </c>
      <c r="Q848" s="305"/>
      <c r="R848" s="410"/>
      <c r="S848" s="309">
        <v>24</v>
      </c>
    </row>
    <row r="849" spans="1:19" ht="15">
      <c r="A849" s="408" t="s">
        <v>1041</v>
      </c>
      <c r="B849" s="407" t="s">
        <v>1068</v>
      </c>
      <c r="C849" s="366">
        <f t="shared" si="76"/>
        <v>450</v>
      </c>
      <c r="D849" s="424">
        <v>450</v>
      </c>
      <c r="E849" s="305">
        <v>102.3</v>
      </c>
      <c r="F849" s="366">
        <v>0</v>
      </c>
      <c r="G849" s="427"/>
      <c r="H849" s="305"/>
      <c r="I849" s="366"/>
      <c r="J849" s="424"/>
      <c r="K849" s="305"/>
      <c r="L849" s="366"/>
      <c r="M849" s="424"/>
      <c r="N849" s="309"/>
      <c r="O849" s="366"/>
      <c r="P849" s="409">
        <v>1289.5999999999999</v>
      </c>
      <c r="Q849" s="305"/>
      <c r="R849" s="410"/>
      <c r="S849" s="309" t="s">
        <v>306</v>
      </c>
    </row>
    <row r="850" spans="1:19" ht="15">
      <c r="A850" s="408" t="s">
        <v>1043</v>
      </c>
      <c r="B850" s="407" t="s">
        <v>1069</v>
      </c>
      <c r="C850" s="366">
        <f t="shared" si="76"/>
        <v>1187.47</v>
      </c>
      <c r="D850" s="424">
        <v>1187.47</v>
      </c>
      <c r="E850" s="305">
        <v>245.46</v>
      </c>
      <c r="F850" s="366">
        <v>24.54</v>
      </c>
      <c r="G850" s="427"/>
      <c r="H850" s="305"/>
      <c r="I850" s="366"/>
      <c r="J850" s="424"/>
      <c r="K850" s="305"/>
      <c r="L850" s="366"/>
      <c r="M850" s="424"/>
      <c r="N850" s="309"/>
      <c r="O850" s="366"/>
      <c r="P850" s="409">
        <v>1275.5</v>
      </c>
      <c r="Q850" s="305"/>
      <c r="R850" s="410"/>
      <c r="S850" s="309">
        <v>35</v>
      </c>
    </row>
    <row r="851" spans="1:19" ht="15">
      <c r="A851" s="408" t="s">
        <v>359</v>
      </c>
      <c r="B851" s="407" t="s">
        <v>360</v>
      </c>
      <c r="C851" s="366">
        <f t="shared" si="76"/>
        <v>0</v>
      </c>
      <c r="D851" s="424"/>
      <c r="E851" s="305"/>
      <c r="F851" s="366"/>
      <c r="G851" s="427"/>
      <c r="H851" s="305"/>
      <c r="I851" s="366"/>
      <c r="J851" s="424"/>
      <c r="K851" s="305"/>
      <c r="L851" s="366"/>
      <c r="M851" s="424"/>
      <c r="N851" s="309"/>
      <c r="O851" s="366"/>
      <c r="P851" s="409">
        <v>68.099999999999994</v>
      </c>
      <c r="Q851" s="305"/>
      <c r="R851" s="410"/>
      <c r="S851" s="309">
        <v>73</v>
      </c>
    </row>
    <row r="852" spans="1:19" ht="15">
      <c r="A852" s="408" t="s">
        <v>370</v>
      </c>
      <c r="B852" s="407" t="s">
        <v>1070</v>
      </c>
      <c r="C852" s="366">
        <f t="shared" si="76"/>
        <v>0</v>
      </c>
      <c r="D852" s="424"/>
      <c r="E852" s="305"/>
      <c r="F852" s="366"/>
      <c r="G852" s="427"/>
      <c r="H852" s="305"/>
      <c r="I852" s="366"/>
      <c r="J852" s="424"/>
      <c r="K852" s="305"/>
      <c r="L852" s="366"/>
      <c r="M852" s="424"/>
      <c r="N852" s="309"/>
      <c r="O852" s="366"/>
      <c r="P852" s="409">
        <v>155.69999999999999</v>
      </c>
      <c r="Q852" s="305"/>
      <c r="R852" s="410"/>
      <c r="S852" s="309" t="s">
        <v>306</v>
      </c>
    </row>
    <row r="853" spans="1:19" ht="15">
      <c r="A853" s="408" t="s">
        <v>368</v>
      </c>
      <c r="B853" s="407" t="s">
        <v>362</v>
      </c>
      <c r="C853" s="366">
        <f t="shared" si="76"/>
        <v>2536</v>
      </c>
      <c r="D853" s="424">
        <v>2536</v>
      </c>
      <c r="E853" s="305">
        <v>574.79</v>
      </c>
      <c r="F853" s="366">
        <v>116.1</v>
      </c>
      <c r="G853" s="427"/>
      <c r="H853" s="305"/>
      <c r="I853" s="366"/>
      <c r="J853" s="424"/>
      <c r="K853" s="305"/>
      <c r="L853" s="366"/>
      <c r="M853" s="424"/>
      <c r="N853" s="309"/>
      <c r="O853" s="366"/>
      <c r="P853" s="409">
        <v>3936.8</v>
      </c>
      <c r="Q853" s="305"/>
      <c r="R853" s="410"/>
      <c r="S853" s="309">
        <v>52</v>
      </c>
    </row>
    <row r="854" spans="1:19" ht="15">
      <c r="A854" s="408" t="s">
        <v>1082</v>
      </c>
      <c r="B854" s="407" t="s">
        <v>1045</v>
      </c>
      <c r="C854" s="366">
        <f t="shared" si="76"/>
        <v>361.98</v>
      </c>
      <c r="D854" s="424">
        <v>361.98</v>
      </c>
      <c r="E854" s="305">
        <v>73.540000000000006</v>
      </c>
      <c r="F854" s="366">
        <v>7.03</v>
      </c>
      <c r="G854" s="427"/>
      <c r="H854" s="305"/>
      <c r="I854" s="366"/>
      <c r="J854" s="424"/>
      <c r="K854" s="305"/>
      <c r="L854" s="366"/>
      <c r="M854" s="424"/>
      <c r="N854" s="309"/>
      <c r="O854" s="366"/>
      <c r="P854" s="409">
        <v>1127</v>
      </c>
      <c r="Q854" s="305"/>
      <c r="R854" s="410"/>
      <c r="S854" s="309">
        <v>82</v>
      </c>
    </row>
    <row r="855" spans="1:19" ht="13">
      <c r="A855" s="470" t="s">
        <v>860</v>
      </c>
      <c r="B855" s="471"/>
      <c r="C855" s="422" t="s">
        <v>89</v>
      </c>
      <c r="D855" s="324" t="s">
        <v>676</v>
      </c>
      <c r="E855" s="325" t="s">
        <v>861</v>
      </c>
      <c r="F855" s="355" t="s">
        <v>862</v>
      </c>
      <c r="G855" s="324" t="s">
        <v>676</v>
      </c>
      <c r="H855" s="325" t="s">
        <v>861</v>
      </c>
      <c r="I855" s="355" t="s">
        <v>862</v>
      </c>
      <c r="J855" s="324" t="s">
        <v>676</v>
      </c>
      <c r="K855" s="325" t="s">
        <v>861</v>
      </c>
      <c r="L855" s="355" t="s">
        <v>862</v>
      </c>
      <c r="M855" s="324" t="s">
        <v>676</v>
      </c>
      <c r="N855" s="325" t="s">
        <v>861</v>
      </c>
      <c r="O855" s="355" t="s">
        <v>862</v>
      </c>
      <c r="P855" s="324" t="s">
        <v>881</v>
      </c>
      <c r="Q855" s="325" t="s">
        <v>861</v>
      </c>
      <c r="R855" s="325" t="s">
        <v>865</v>
      </c>
      <c r="S855" s="412" t="s">
        <v>1031</v>
      </c>
    </row>
    <row r="856" spans="1:19" ht="13">
      <c r="A856" s="470" t="s">
        <v>863</v>
      </c>
      <c r="B856" s="471"/>
      <c r="C856" s="326">
        <f>SUM(C826:C854)</f>
        <v>43348.130000000012</v>
      </c>
      <c r="D856" s="428">
        <f>SUM(D826:D854)+SUM(G826:G854)+SUM(J826:J854)+SUM(M826:M854)</f>
        <v>43348.130000000012</v>
      </c>
      <c r="E856" s="327">
        <f>SUM(E826:E854)+SUM(H826:H854)+SUM(K826:K854)+SUM(N826:N854)</f>
        <v>9400.9599999999991</v>
      </c>
      <c r="F856" s="328">
        <f>SUM(F826:F854)</f>
        <v>4258.0499999999993</v>
      </c>
      <c r="G856" s="329"/>
      <c r="H856" s="329"/>
      <c r="I856" s="329"/>
      <c r="J856" s="329"/>
      <c r="K856" s="329"/>
      <c r="L856" s="329"/>
      <c r="M856" s="329"/>
      <c r="N856" s="329"/>
      <c r="O856" s="329"/>
      <c r="P856" s="329"/>
      <c r="Q856" s="329"/>
      <c r="R856" s="329"/>
    </row>
    <row r="858" spans="1:19" ht="13">
      <c r="A858" s="472" t="s">
        <v>1089</v>
      </c>
      <c r="B858" s="466"/>
      <c r="C858" s="466"/>
      <c r="D858" s="466"/>
      <c r="E858" s="466"/>
      <c r="F858" s="466"/>
      <c r="G858" s="466"/>
      <c r="H858" s="466"/>
      <c r="I858" s="466"/>
      <c r="J858" s="466"/>
      <c r="K858" s="466"/>
      <c r="L858" s="466"/>
      <c r="M858" s="466"/>
      <c r="N858" s="466"/>
      <c r="O858" s="466"/>
      <c r="P858" s="466"/>
      <c r="Q858" s="466"/>
      <c r="R858" s="466"/>
      <c r="S858" s="466"/>
    </row>
    <row r="859" spans="1:19" ht="13">
      <c r="A859" s="356" t="s">
        <v>849</v>
      </c>
      <c r="B859" s="356" t="s">
        <v>1</v>
      </c>
      <c r="C859" s="356" t="s">
        <v>89</v>
      </c>
      <c r="D859" s="473" t="s">
        <v>850</v>
      </c>
      <c r="E859" s="466"/>
      <c r="F859" s="467"/>
      <c r="G859" s="465" t="s">
        <v>852</v>
      </c>
      <c r="H859" s="466"/>
      <c r="I859" s="467"/>
      <c r="J859" s="465" t="s">
        <v>1013</v>
      </c>
      <c r="K859" s="466"/>
      <c r="L859" s="467"/>
      <c r="M859" s="465" t="s">
        <v>1047</v>
      </c>
      <c r="N859" s="466"/>
      <c r="O859" s="467"/>
      <c r="P859" s="465" t="s">
        <v>865</v>
      </c>
      <c r="Q859" s="466"/>
      <c r="R859" s="467"/>
      <c r="S859" s="356" t="s">
        <v>1028</v>
      </c>
    </row>
    <row r="860" spans="1:19" ht="15">
      <c r="A860" s="400" t="s">
        <v>347</v>
      </c>
      <c r="B860" s="413">
        <v>352368</v>
      </c>
      <c r="C860" s="366">
        <f t="shared" ref="C860:C889" si="77">D860+G860+J860+M860</f>
        <v>3066.99</v>
      </c>
      <c r="D860" s="366">
        <v>3066.99</v>
      </c>
      <c r="E860" s="305">
        <v>650.27</v>
      </c>
      <c r="F860" s="366">
        <v>512.84</v>
      </c>
      <c r="G860" s="366"/>
      <c r="H860" s="305"/>
      <c r="I860" s="366"/>
      <c r="J860" s="366"/>
      <c r="K860" s="305"/>
      <c r="L860" s="366"/>
      <c r="M860" s="366"/>
      <c r="N860" s="309"/>
      <c r="O860" s="366"/>
      <c r="P860" s="345"/>
      <c r="Q860" s="305"/>
      <c r="R860" s="410"/>
      <c r="S860" s="309">
        <v>24</v>
      </c>
    </row>
    <row r="861" spans="1:19" ht="15">
      <c r="A861" s="399" t="s">
        <v>355</v>
      </c>
      <c r="B861" s="413">
        <v>352371</v>
      </c>
      <c r="C861" s="366">
        <f t="shared" si="77"/>
        <v>0</v>
      </c>
      <c r="D861" s="366"/>
      <c r="E861" s="305"/>
      <c r="F861" s="366"/>
      <c r="G861" s="366"/>
      <c r="H861" s="305"/>
      <c r="I861" s="366"/>
      <c r="J861" s="366"/>
      <c r="K861" s="309"/>
      <c r="L861" s="366"/>
      <c r="M861" s="366"/>
      <c r="N861" s="309"/>
      <c r="O861" s="366"/>
      <c r="P861" s="418"/>
      <c r="Q861" s="305"/>
      <c r="R861" s="410"/>
      <c r="S861" s="309">
        <v>70</v>
      </c>
    </row>
    <row r="862" spans="1:19" ht="15">
      <c r="A862" s="398"/>
      <c r="B862" s="413">
        <v>352372</v>
      </c>
      <c r="C862" s="366">
        <f t="shared" si="77"/>
        <v>0</v>
      </c>
      <c r="D862" s="366"/>
      <c r="E862" s="305"/>
      <c r="F862" s="366"/>
      <c r="G862" s="366"/>
      <c r="H862" s="305"/>
      <c r="I862" s="366"/>
      <c r="J862" s="366"/>
      <c r="K862" s="309"/>
      <c r="L862" s="366"/>
      <c r="M862" s="366"/>
      <c r="N862" s="309"/>
      <c r="O862" s="366"/>
      <c r="P862" s="418"/>
      <c r="Q862" s="305"/>
      <c r="R862" s="410"/>
      <c r="S862" s="309">
        <v>43</v>
      </c>
    </row>
    <row r="863" spans="1:19" ht="15">
      <c r="A863" s="400" t="s">
        <v>1072</v>
      </c>
      <c r="B863" s="413">
        <v>352373</v>
      </c>
      <c r="C863" s="366">
        <f t="shared" si="77"/>
        <v>268.93</v>
      </c>
      <c r="D863" s="366">
        <v>268.93</v>
      </c>
      <c r="E863" s="410" t="s">
        <v>1090</v>
      </c>
      <c r="F863" s="366">
        <v>17.510000000000002</v>
      </c>
      <c r="G863" s="366"/>
      <c r="H863" s="305"/>
      <c r="I863" s="366"/>
      <c r="J863" s="366"/>
      <c r="K863" s="309"/>
      <c r="L863" s="366"/>
      <c r="M863" s="366"/>
      <c r="N863" s="309"/>
      <c r="O863" s="366"/>
      <c r="P863" s="418"/>
      <c r="Q863" s="305"/>
      <c r="R863" s="410"/>
      <c r="S863" s="309">
        <v>41</v>
      </c>
    </row>
    <row r="864" spans="1:19" ht="15">
      <c r="A864" s="398"/>
      <c r="B864" s="407" t="s">
        <v>1091</v>
      </c>
      <c r="C864" s="366">
        <f t="shared" si="77"/>
        <v>0</v>
      </c>
      <c r="D864" s="366"/>
      <c r="E864" s="305"/>
      <c r="F864" s="366"/>
      <c r="G864" s="366"/>
      <c r="H864" s="305"/>
      <c r="I864" s="366"/>
      <c r="J864" s="366"/>
      <c r="K864" s="309"/>
      <c r="L864" s="366"/>
      <c r="M864" s="366"/>
      <c r="N864" s="309"/>
      <c r="O864" s="366"/>
      <c r="P864" s="418"/>
      <c r="Q864" s="305"/>
      <c r="R864" s="410"/>
      <c r="S864" s="309">
        <v>10</v>
      </c>
    </row>
    <row r="865" spans="1:19" ht="15">
      <c r="A865" s="398"/>
      <c r="B865" s="413">
        <v>352375</v>
      </c>
      <c r="C865" s="366">
        <f t="shared" si="77"/>
        <v>0</v>
      </c>
      <c r="D865" s="366"/>
      <c r="E865" s="305"/>
      <c r="F865" s="366"/>
      <c r="G865" s="366"/>
      <c r="H865" s="305"/>
      <c r="I865" s="366"/>
      <c r="J865" s="366"/>
      <c r="K865" s="309"/>
      <c r="L865" s="366"/>
      <c r="M865" s="366"/>
      <c r="N865" s="309"/>
      <c r="O865" s="366"/>
      <c r="P865" s="418"/>
      <c r="Q865" s="305"/>
      <c r="R865" s="410"/>
      <c r="S865" s="309">
        <v>53</v>
      </c>
    </row>
    <row r="866" spans="1:19" ht="15">
      <c r="A866" s="398" t="s">
        <v>62</v>
      </c>
      <c r="B866" s="413">
        <v>352376</v>
      </c>
      <c r="C866" s="366">
        <f t="shared" si="77"/>
        <v>2907.01</v>
      </c>
      <c r="D866" s="366">
        <v>2907.01</v>
      </c>
      <c r="E866" s="305">
        <v>675.52</v>
      </c>
      <c r="F866" s="366">
        <v>339.66</v>
      </c>
      <c r="G866" s="366"/>
      <c r="H866" s="305"/>
      <c r="I866" s="366"/>
      <c r="J866" s="366"/>
      <c r="K866" s="309"/>
      <c r="L866" s="366"/>
      <c r="M866" s="366"/>
      <c r="N866" s="309"/>
      <c r="O866" s="366"/>
      <c r="P866" s="418"/>
      <c r="Q866" s="305"/>
      <c r="R866" s="410"/>
      <c r="S866" s="309">
        <v>63</v>
      </c>
    </row>
    <row r="867" spans="1:19" ht="15">
      <c r="A867" s="398" t="s">
        <v>390</v>
      </c>
      <c r="B867" s="413">
        <v>352377</v>
      </c>
      <c r="C867" s="366">
        <f t="shared" si="77"/>
        <v>0</v>
      </c>
      <c r="D867" s="366">
        <v>0</v>
      </c>
      <c r="E867" s="305">
        <v>0</v>
      </c>
      <c r="F867" s="366">
        <v>0</v>
      </c>
      <c r="G867" s="366"/>
      <c r="H867" s="305"/>
      <c r="I867" s="366"/>
      <c r="J867" s="366"/>
      <c r="K867" s="309"/>
      <c r="L867" s="366"/>
      <c r="M867" s="366"/>
      <c r="N867" s="309"/>
      <c r="O867" s="366"/>
      <c r="P867" s="418"/>
      <c r="Q867" s="305"/>
      <c r="R867" s="410"/>
      <c r="S867" s="309">
        <v>69</v>
      </c>
    </row>
    <row r="868" spans="1:19" ht="15">
      <c r="A868" s="398"/>
      <c r="B868" s="413">
        <v>359885</v>
      </c>
      <c r="C868" s="366">
        <f t="shared" si="77"/>
        <v>0</v>
      </c>
      <c r="D868" s="366"/>
      <c r="E868" s="305"/>
      <c r="F868" s="366"/>
      <c r="G868" s="366"/>
      <c r="H868" s="305"/>
      <c r="I868" s="366"/>
      <c r="J868" s="366"/>
      <c r="K868" s="309"/>
      <c r="L868" s="366"/>
      <c r="M868" s="366"/>
      <c r="N868" s="309"/>
      <c r="O868" s="366"/>
      <c r="P868" s="418"/>
      <c r="Q868" s="305"/>
      <c r="R868" s="410"/>
      <c r="S868" s="309">
        <v>97</v>
      </c>
    </row>
    <row r="869" spans="1:19" ht="15">
      <c r="A869" s="171" t="s">
        <v>393</v>
      </c>
      <c r="B869" s="413">
        <v>359886</v>
      </c>
      <c r="C869" s="366">
        <f t="shared" si="77"/>
        <v>1572.35</v>
      </c>
      <c r="D869" s="366">
        <v>1572.35</v>
      </c>
      <c r="E869" s="305">
        <v>356.41</v>
      </c>
      <c r="F869" s="366">
        <v>150.4</v>
      </c>
      <c r="G869" s="366"/>
      <c r="H869" s="305"/>
      <c r="I869" s="366"/>
      <c r="J869" s="366"/>
      <c r="K869" s="309"/>
      <c r="L869" s="366"/>
      <c r="M869" s="366"/>
      <c r="N869" s="309"/>
      <c r="O869" s="366"/>
      <c r="P869" s="418"/>
      <c r="Q869" s="305"/>
      <c r="R869" s="410"/>
      <c r="S869" s="309">
        <v>97</v>
      </c>
    </row>
    <row r="870" spans="1:19" ht="15">
      <c r="A870" s="398" t="s">
        <v>319</v>
      </c>
      <c r="B870" s="413">
        <v>465180</v>
      </c>
      <c r="C870" s="366">
        <f t="shared" si="77"/>
        <v>1652.37</v>
      </c>
      <c r="D870" s="366">
        <v>1652.37</v>
      </c>
      <c r="E870" s="305">
        <v>373.39</v>
      </c>
      <c r="F870" s="366">
        <v>148.94</v>
      </c>
      <c r="G870" s="366"/>
      <c r="H870" s="305"/>
      <c r="I870" s="366"/>
      <c r="J870" s="366"/>
      <c r="K870" s="309"/>
      <c r="L870" s="366"/>
      <c r="M870" s="366"/>
      <c r="N870" s="309"/>
      <c r="O870" s="366"/>
      <c r="P870" s="418"/>
      <c r="Q870" s="305"/>
      <c r="R870" s="410"/>
      <c r="S870" s="309">
        <v>100</v>
      </c>
    </row>
    <row r="871" spans="1:19" ht="15">
      <c r="A871" s="429" t="s">
        <v>322</v>
      </c>
      <c r="B871" s="413">
        <v>465181</v>
      </c>
      <c r="C871" s="366">
        <f t="shared" si="77"/>
        <v>1937.56</v>
      </c>
      <c r="D871" s="366">
        <v>1937.56</v>
      </c>
      <c r="E871" s="305">
        <v>423.76</v>
      </c>
      <c r="F871" s="366">
        <v>328.18</v>
      </c>
      <c r="G871" s="366"/>
      <c r="H871" s="305"/>
      <c r="I871" s="366"/>
      <c r="J871" s="366"/>
      <c r="K871" s="309"/>
      <c r="L871" s="366"/>
      <c r="M871" s="366"/>
      <c r="N871" s="309"/>
      <c r="O871" s="366"/>
      <c r="P871" s="418"/>
      <c r="Q871" s="305"/>
      <c r="R871" s="410"/>
      <c r="S871" s="309">
        <v>56</v>
      </c>
    </row>
    <row r="872" spans="1:19" ht="15">
      <c r="A872" s="398" t="s">
        <v>349</v>
      </c>
      <c r="B872" s="413">
        <v>465182</v>
      </c>
      <c r="C872" s="366">
        <f t="shared" si="77"/>
        <v>1499.02</v>
      </c>
      <c r="D872" s="366">
        <v>1499.02</v>
      </c>
      <c r="E872" s="305">
        <v>327.85</v>
      </c>
      <c r="F872" s="366">
        <v>32.29</v>
      </c>
      <c r="G872" s="366"/>
      <c r="H872" s="305"/>
      <c r="I872" s="366"/>
      <c r="J872" s="366"/>
      <c r="K872" s="309"/>
      <c r="L872" s="366"/>
      <c r="M872" s="366"/>
      <c r="N872" s="309"/>
      <c r="O872" s="366"/>
      <c r="P872" s="418"/>
      <c r="Q872" s="305"/>
      <c r="R872" s="410"/>
      <c r="S872" s="309">
        <v>42</v>
      </c>
    </row>
    <row r="873" spans="1:19" ht="15">
      <c r="A873" s="398" t="s">
        <v>88</v>
      </c>
      <c r="B873" s="413">
        <v>465183</v>
      </c>
      <c r="C873" s="366">
        <f t="shared" si="77"/>
        <v>3408.39</v>
      </c>
      <c r="D873" s="366">
        <v>3408.39</v>
      </c>
      <c r="E873" s="305">
        <v>761.98</v>
      </c>
      <c r="F873" s="366">
        <v>556.97</v>
      </c>
      <c r="G873" s="366"/>
      <c r="H873" s="305"/>
      <c r="I873" s="366"/>
      <c r="J873" s="366"/>
      <c r="K873" s="309"/>
      <c r="L873" s="366"/>
      <c r="M873" s="366"/>
      <c r="N873" s="309"/>
      <c r="O873" s="366"/>
      <c r="P873" s="418"/>
      <c r="Q873" s="305"/>
      <c r="R873" s="410"/>
      <c r="S873" s="309">
        <v>59</v>
      </c>
    </row>
    <row r="874" spans="1:19" ht="15">
      <c r="A874" s="347" t="s">
        <v>40</v>
      </c>
      <c r="B874" s="413">
        <v>465184</v>
      </c>
      <c r="C874" s="366">
        <f t="shared" si="77"/>
        <v>3265.63</v>
      </c>
      <c r="D874" s="366">
        <v>3265.63</v>
      </c>
      <c r="E874" s="305">
        <v>715.23</v>
      </c>
      <c r="F874" s="366">
        <v>196.57</v>
      </c>
      <c r="G874" s="366"/>
      <c r="H874" s="305"/>
      <c r="I874" s="366"/>
      <c r="J874" s="366"/>
      <c r="K874" s="309"/>
      <c r="L874" s="366"/>
      <c r="M874" s="366"/>
      <c r="N874" s="309"/>
      <c r="O874" s="366"/>
      <c r="P874" s="418"/>
      <c r="Q874" s="305"/>
      <c r="R874" s="410"/>
      <c r="S874" s="309">
        <v>39</v>
      </c>
    </row>
    <row r="875" spans="1:19" ht="15">
      <c r="A875" s="398" t="s">
        <v>75</v>
      </c>
      <c r="B875" s="413">
        <v>465185</v>
      </c>
      <c r="C875" s="366">
        <f t="shared" si="77"/>
        <v>2042.92</v>
      </c>
      <c r="D875" s="366">
        <v>2042.92</v>
      </c>
      <c r="E875" s="305">
        <v>443.1</v>
      </c>
      <c r="F875" s="366">
        <v>393.79</v>
      </c>
      <c r="G875" s="366"/>
      <c r="H875" s="305"/>
      <c r="I875" s="366"/>
      <c r="J875" s="366"/>
      <c r="K875" s="309"/>
      <c r="L875" s="366"/>
      <c r="M875" s="366"/>
      <c r="N875" s="309"/>
      <c r="O875" s="366"/>
      <c r="P875" s="418"/>
      <c r="Q875" s="305"/>
      <c r="R875" s="410"/>
      <c r="S875" s="309">
        <v>100</v>
      </c>
    </row>
    <row r="876" spans="1:19" ht="15">
      <c r="A876" s="398" t="s">
        <v>404</v>
      </c>
      <c r="B876" s="413">
        <v>465186</v>
      </c>
      <c r="C876" s="366">
        <f t="shared" si="77"/>
        <v>3281.76</v>
      </c>
      <c r="D876" s="366">
        <v>3281.76</v>
      </c>
      <c r="E876" s="305">
        <v>731.84</v>
      </c>
      <c r="F876" s="366">
        <v>71.040000000000006</v>
      </c>
      <c r="G876" s="366"/>
      <c r="H876" s="305"/>
      <c r="I876" s="366"/>
      <c r="J876" s="366"/>
      <c r="K876" s="309"/>
      <c r="L876" s="366"/>
      <c r="M876" s="366"/>
      <c r="N876" s="309"/>
      <c r="O876" s="366"/>
      <c r="P876" s="418"/>
      <c r="Q876" s="305"/>
      <c r="R876" s="410"/>
      <c r="S876" s="309">
        <v>41</v>
      </c>
    </row>
    <row r="877" spans="1:19" ht="15">
      <c r="A877" s="398" t="s">
        <v>192</v>
      </c>
      <c r="B877" s="413">
        <v>465187</v>
      </c>
      <c r="C877" s="366">
        <f t="shared" si="77"/>
        <v>3507.77</v>
      </c>
      <c r="D877" s="366">
        <v>3507.77</v>
      </c>
      <c r="E877" s="305">
        <v>803.55</v>
      </c>
      <c r="F877" s="366">
        <v>395.74</v>
      </c>
      <c r="G877" s="366"/>
      <c r="H877" s="305"/>
      <c r="I877" s="366"/>
      <c r="J877" s="366"/>
      <c r="K877" s="309"/>
      <c r="L877" s="366"/>
      <c r="M877" s="366"/>
      <c r="N877" s="309"/>
      <c r="O877" s="366"/>
      <c r="P877" s="418"/>
      <c r="Q877" s="305"/>
      <c r="R877" s="410"/>
      <c r="S877" s="309">
        <v>100</v>
      </c>
    </row>
    <row r="878" spans="1:19" ht="15">
      <c r="A878" s="398" t="s">
        <v>191</v>
      </c>
      <c r="B878" s="413">
        <v>465188</v>
      </c>
      <c r="C878" s="366">
        <f t="shared" si="77"/>
        <v>0</v>
      </c>
      <c r="D878" s="366"/>
      <c r="E878" s="305"/>
      <c r="F878" s="366"/>
      <c r="G878" s="366"/>
      <c r="H878" s="305"/>
      <c r="I878" s="366"/>
      <c r="J878" s="366"/>
      <c r="K878" s="309"/>
      <c r="L878" s="366"/>
      <c r="M878" s="366"/>
      <c r="N878" s="309"/>
      <c r="O878" s="366"/>
      <c r="P878" s="418"/>
      <c r="Q878" s="305"/>
      <c r="R878" s="410"/>
      <c r="S878" s="309">
        <v>50</v>
      </c>
    </row>
    <row r="879" spans="1:19" ht="15">
      <c r="A879" s="400" t="s">
        <v>407</v>
      </c>
      <c r="B879" s="413">
        <v>465189</v>
      </c>
      <c r="C879" s="366">
        <f t="shared" si="77"/>
        <v>1100</v>
      </c>
      <c r="D879" s="366"/>
      <c r="E879" s="410"/>
      <c r="F879" s="366"/>
      <c r="G879" s="366">
        <f>500+350+250</f>
        <v>1100</v>
      </c>
      <c r="H879" s="305">
        <f>104.188+77.257+51.663</f>
        <v>233.108</v>
      </c>
      <c r="I879" s="366"/>
      <c r="J879" s="366"/>
      <c r="K879" s="309"/>
      <c r="L879" s="366"/>
      <c r="M879" s="366"/>
      <c r="N879" s="309"/>
      <c r="O879" s="366"/>
      <c r="P879" s="418"/>
      <c r="Q879" s="305"/>
      <c r="R879" s="410"/>
      <c r="S879" s="309">
        <v>56</v>
      </c>
    </row>
    <row r="880" spans="1:19" ht="15">
      <c r="A880" s="408" t="s">
        <v>408</v>
      </c>
      <c r="B880" s="413">
        <v>1122</v>
      </c>
      <c r="C880" s="366">
        <f t="shared" si="77"/>
        <v>1086.27</v>
      </c>
      <c r="D880" s="366">
        <v>1086.27</v>
      </c>
      <c r="E880" s="366">
        <v>255.8</v>
      </c>
      <c r="F880" s="366">
        <v>6.59</v>
      </c>
      <c r="G880" s="366"/>
      <c r="H880" s="305"/>
      <c r="I880" s="366"/>
      <c r="J880" s="366"/>
      <c r="K880" s="309"/>
      <c r="L880" s="366"/>
      <c r="M880" s="366"/>
      <c r="N880" s="309"/>
      <c r="O880" s="366"/>
      <c r="P880" s="426"/>
      <c r="Q880" s="305"/>
      <c r="R880" s="410"/>
      <c r="S880" s="309"/>
    </row>
    <row r="881" spans="1:19" ht="15">
      <c r="A881" s="408" t="s">
        <v>386</v>
      </c>
      <c r="B881" s="413">
        <v>218</v>
      </c>
      <c r="C881" s="366">
        <f t="shared" si="77"/>
        <v>417.33</v>
      </c>
      <c r="D881" s="366">
        <v>417.33</v>
      </c>
      <c r="E881" s="366">
        <v>92.15</v>
      </c>
      <c r="F881" s="366">
        <v>61.67</v>
      </c>
      <c r="G881" s="366"/>
      <c r="H881" s="305"/>
      <c r="I881" s="366"/>
      <c r="J881" s="366"/>
      <c r="K881" s="309"/>
      <c r="L881" s="366"/>
      <c r="M881" s="366"/>
      <c r="N881" s="309"/>
      <c r="O881" s="366"/>
      <c r="P881" s="426"/>
      <c r="Q881" s="305"/>
      <c r="R881" s="410"/>
      <c r="S881" s="309">
        <v>78</v>
      </c>
    </row>
    <row r="882" spans="1:19" ht="15">
      <c r="A882" s="408" t="s">
        <v>391</v>
      </c>
      <c r="B882" s="413">
        <v>86</v>
      </c>
      <c r="C882" s="366">
        <f t="shared" si="77"/>
        <v>0</v>
      </c>
      <c r="D882" s="366"/>
      <c r="E882" s="366"/>
      <c r="F882" s="366"/>
      <c r="G882" s="366"/>
      <c r="H882" s="305"/>
      <c r="I882" s="366"/>
      <c r="J882" s="366"/>
      <c r="K882" s="309"/>
      <c r="L882" s="366"/>
      <c r="M882" s="366"/>
      <c r="N882" s="309"/>
      <c r="O882" s="366"/>
      <c r="P882" s="409"/>
      <c r="Q882" s="305"/>
      <c r="R882" s="410"/>
      <c r="S882" s="309" t="s">
        <v>306</v>
      </c>
    </row>
    <row r="883" spans="1:19" ht="15">
      <c r="A883" s="408" t="s">
        <v>1067</v>
      </c>
      <c r="B883" s="407" t="s">
        <v>362</v>
      </c>
      <c r="C883" s="366">
        <f t="shared" si="77"/>
        <v>2369.0100000000002</v>
      </c>
      <c r="D883" s="366">
        <v>2369.0100000000002</v>
      </c>
      <c r="E883" s="366">
        <v>532.09</v>
      </c>
      <c r="F883" s="366">
        <v>268.20999999999998</v>
      </c>
      <c r="G883" s="366"/>
      <c r="H883" s="305"/>
      <c r="I883" s="366"/>
      <c r="J883" s="366"/>
      <c r="K883" s="309"/>
      <c r="L883" s="366"/>
      <c r="M883" s="366"/>
      <c r="N883" s="309"/>
      <c r="O883" s="366"/>
      <c r="P883" s="409"/>
      <c r="Q883" s="305"/>
      <c r="R883" s="410"/>
      <c r="S883" s="309">
        <v>21</v>
      </c>
    </row>
    <row r="884" spans="1:19" ht="15">
      <c r="A884" s="408" t="s">
        <v>1041</v>
      </c>
      <c r="B884" s="407" t="s">
        <v>1068</v>
      </c>
      <c r="C884" s="366">
        <f t="shared" si="77"/>
        <v>2140</v>
      </c>
      <c r="D884" s="366">
        <v>2140</v>
      </c>
      <c r="E884" s="305">
        <v>554.20000000000005</v>
      </c>
      <c r="F884" s="366">
        <v>0</v>
      </c>
      <c r="G884" s="411"/>
      <c r="H884" s="305"/>
      <c r="I884" s="366"/>
      <c r="J884" s="366"/>
      <c r="K884" s="305"/>
      <c r="L884" s="366"/>
      <c r="M884" s="366"/>
      <c r="N884" s="309"/>
      <c r="O884" s="366"/>
      <c r="P884" s="409"/>
      <c r="Q884" s="305"/>
      <c r="R884" s="410"/>
      <c r="S884" s="309" t="s">
        <v>306</v>
      </c>
    </row>
    <row r="885" spans="1:19" ht="15">
      <c r="A885" s="408" t="s">
        <v>1043</v>
      </c>
      <c r="B885" s="407" t="s">
        <v>1069</v>
      </c>
      <c r="C885" s="366">
        <f t="shared" si="77"/>
        <v>0</v>
      </c>
      <c r="D885" s="366"/>
      <c r="E885" s="305"/>
      <c r="F885" s="366"/>
      <c r="G885" s="411"/>
      <c r="H885" s="305"/>
      <c r="I885" s="366"/>
      <c r="J885" s="366"/>
      <c r="K885" s="305"/>
      <c r="L885" s="366"/>
      <c r="M885" s="366"/>
      <c r="N885" s="309"/>
      <c r="O885" s="366"/>
      <c r="P885" s="409"/>
      <c r="Q885" s="305"/>
      <c r="R885" s="410"/>
      <c r="S885" s="309">
        <v>66</v>
      </c>
    </row>
    <row r="886" spans="1:19" ht="15">
      <c r="A886" s="408" t="s">
        <v>359</v>
      </c>
      <c r="B886" s="407" t="s">
        <v>360</v>
      </c>
      <c r="C886" s="366">
        <f t="shared" si="77"/>
        <v>1061.5</v>
      </c>
      <c r="D886" s="366">
        <v>1061.5</v>
      </c>
      <c r="E886" s="305">
        <v>228.78</v>
      </c>
      <c r="F886" s="366">
        <v>21.98</v>
      </c>
      <c r="G886" s="411"/>
      <c r="H886" s="305"/>
      <c r="I886" s="366"/>
      <c r="J886" s="366"/>
      <c r="K886" s="305"/>
      <c r="L886" s="366"/>
      <c r="M886" s="366"/>
      <c r="N886" s="309"/>
      <c r="O886" s="366"/>
      <c r="P886" s="409"/>
      <c r="Q886" s="305"/>
      <c r="R886" s="410"/>
      <c r="S886" s="309">
        <v>53</v>
      </c>
    </row>
    <row r="887" spans="1:19" ht="15">
      <c r="A887" s="408" t="s">
        <v>370</v>
      </c>
      <c r="B887" s="407" t="s">
        <v>1070</v>
      </c>
      <c r="C887" s="366">
        <f t="shared" si="77"/>
        <v>0</v>
      </c>
      <c r="D887" s="366"/>
      <c r="E887" s="305"/>
      <c r="F887" s="366"/>
      <c r="G887" s="411"/>
      <c r="H887" s="305"/>
      <c r="I887" s="366"/>
      <c r="J887" s="366"/>
      <c r="K887" s="305"/>
      <c r="L887" s="366"/>
      <c r="M887" s="366"/>
      <c r="N887" s="309"/>
      <c r="O887" s="366"/>
      <c r="P887" s="409"/>
      <c r="Q887" s="305"/>
      <c r="R887" s="410"/>
      <c r="S887" s="309" t="s">
        <v>306</v>
      </c>
    </row>
    <row r="888" spans="1:19" ht="15">
      <c r="A888" s="408" t="s">
        <v>368</v>
      </c>
      <c r="B888" s="407" t="s">
        <v>362</v>
      </c>
      <c r="C888" s="366">
        <f t="shared" si="77"/>
        <v>350</v>
      </c>
      <c r="D888" s="366">
        <v>350</v>
      </c>
      <c r="E888" s="305">
        <v>82.95</v>
      </c>
      <c r="F888" s="366">
        <v>8.2899999999999991</v>
      </c>
      <c r="G888" s="411"/>
      <c r="H888" s="305"/>
      <c r="I888" s="366"/>
      <c r="J888" s="366"/>
      <c r="K888" s="305"/>
      <c r="L888" s="366"/>
      <c r="M888" s="366"/>
      <c r="N888" s="309"/>
      <c r="O888" s="366"/>
      <c r="P888" s="409"/>
      <c r="Q888" s="305"/>
      <c r="R888" s="410"/>
      <c r="S888" s="309">
        <v>22</v>
      </c>
    </row>
    <row r="889" spans="1:19" ht="15">
      <c r="A889" s="408" t="s">
        <v>1082</v>
      </c>
      <c r="B889" s="407" t="s">
        <v>1045</v>
      </c>
      <c r="C889" s="366">
        <f t="shared" si="77"/>
        <v>717.94</v>
      </c>
      <c r="D889" s="366">
        <v>717.94</v>
      </c>
      <c r="E889" s="305">
        <v>140.15</v>
      </c>
      <c r="F889" s="366">
        <v>13.33</v>
      </c>
      <c r="G889" s="411"/>
      <c r="H889" s="305"/>
      <c r="I889" s="366"/>
      <c r="J889" s="366"/>
      <c r="K889" s="305"/>
      <c r="L889" s="366"/>
      <c r="M889" s="366"/>
      <c r="N889" s="309"/>
      <c r="O889" s="366"/>
      <c r="P889" s="409"/>
      <c r="Q889" s="305"/>
      <c r="R889" s="410"/>
      <c r="S889" s="309">
        <v>44</v>
      </c>
    </row>
    <row r="890" spans="1:19" ht="13">
      <c r="A890" s="470" t="s">
        <v>860</v>
      </c>
      <c r="B890" s="471"/>
      <c r="C890" s="422" t="s">
        <v>89</v>
      </c>
      <c r="D890" s="324" t="s">
        <v>676</v>
      </c>
      <c r="E890" s="325" t="s">
        <v>861</v>
      </c>
      <c r="F890" s="355" t="s">
        <v>862</v>
      </c>
      <c r="G890" s="324" t="s">
        <v>676</v>
      </c>
      <c r="H890" s="325" t="s">
        <v>861</v>
      </c>
      <c r="I890" s="355" t="s">
        <v>862</v>
      </c>
      <c r="J890" s="324" t="s">
        <v>676</v>
      </c>
      <c r="K890" s="325" t="s">
        <v>861</v>
      </c>
      <c r="L890" s="355" t="s">
        <v>862</v>
      </c>
      <c r="M890" s="324" t="s">
        <v>676</v>
      </c>
      <c r="N890" s="325" t="s">
        <v>861</v>
      </c>
      <c r="O890" s="355" t="s">
        <v>862</v>
      </c>
      <c r="P890" s="324" t="s">
        <v>881</v>
      </c>
      <c r="Q890" s="325" t="s">
        <v>861</v>
      </c>
      <c r="R890" s="325" t="s">
        <v>865</v>
      </c>
      <c r="S890" s="412" t="s">
        <v>1031</v>
      </c>
    </row>
    <row r="891" spans="1:19" ht="13">
      <c r="A891" s="470" t="s">
        <v>863</v>
      </c>
      <c r="B891" s="471"/>
      <c r="C891" s="326">
        <f>SUM(C860:C889)</f>
        <v>37652.750000000007</v>
      </c>
      <c r="D891" s="326">
        <f>SUM(D860:D883)+SUM(G860:G883)+SUM(J860:J883)</f>
        <v>33383.310000000005</v>
      </c>
      <c r="E891" s="327">
        <f>SUM(E860:E879)+SUM(H860:H879)+SUM(K860:K879)+SUM(N860:N879)</f>
        <v>6496.0080000000007</v>
      </c>
      <c r="F891" s="328">
        <f>SUM(F860:F879)</f>
        <v>3143.9300000000003</v>
      </c>
      <c r="G891" s="329"/>
      <c r="H891" s="329"/>
      <c r="I891" s="329"/>
      <c r="J891" s="329"/>
      <c r="K891" s="329"/>
      <c r="L891" s="329"/>
      <c r="M891" s="329"/>
      <c r="N891" s="329"/>
      <c r="O891" s="329"/>
      <c r="P891" s="329"/>
      <c r="Q891" s="329"/>
      <c r="R891" s="329"/>
    </row>
    <row r="893" spans="1:19" ht="13">
      <c r="A893" s="472" t="s">
        <v>1092</v>
      </c>
      <c r="B893" s="466"/>
      <c r="C893" s="466"/>
      <c r="D893" s="466"/>
      <c r="E893" s="466"/>
      <c r="F893" s="466"/>
      <c r="G893" s="466"/>
      <c r="H893" s="466"/>
      <c r="I893" s="466"/>
      <c r="J893" s="466"/>
      <c r="K893" s="466"/>
      <c r="L893" s="466"/>
      <c r="M893" s="466"/>
      <c r="N893" s="466"/>
      <c r="O893" s="466"/>
      <c r="P893" s="466"/>
      <c r="Q893" s="466"/>
      <c r="R893" s="466"/>
      <c r="S893" s="466"/>
    </row>
    <row r="894" spans="1:19" ht="13">
      <c r="A894" s="356" t="s">
        <v>849</v>
      </c>
      <c r="B894" s="356" t="s">
        <v>1</v>
      </c>
      <c r="C894" s="356" t="s">
        <v>89</v>
      </c>
      <c r="D894" s="473" t="s">
        <v>850</v>
      </c>
      <c r="E894" s="466"/>
      <c r="F894" s="467"/>
      <c r="G894" s="465" t="s">
        <v>852</v>
      </c>
      <c r="H894" s="466"/>
      <c r="I894" s="467"/>
      <c r="J894" s="465" t="s">
        <v>1013</v>
      </c>
      <c r="K894" s="466"/>
      <c r="L894" s="467"/>
      <c r="M894" s="465" t="s">
        <v>1093</v>
      </c>
      <c r="N894" s="466"/>
      <c r="O894" s="467"/>
      <c r="P894" s="465" t="s">
        <v>865</v>
      </c>
      <c r="Q894" s="466"/>
      <c r="R894" s="467"/>
      <c r="S894" s="356" t="s">
        <v>1028</v>
      </c>
    </row>
    <row r="895" spans="1:19" ht="15">
      <c r="A895" s="400" t="s">
        <v>347</v>
      </c>
      <c r="B895" s="413">
        <v>352368</v>
      </c>
      <c r="C895" s="366">
        <f t="shared" ref="C895:C924" si="78">D895+G895+J895+M895</f>
        <v>3049.12</v>
      </c>
      <c r="D895" s="366">
        <v>3049.12</v>
      </c>
      <c r="E895" s="305">
        <v>642.32000000000005</v>
      </c>
      <c r="F895" s="366">
        <v>576.89</v>
      </c>
      <c r="G895" s="366"/>
      <c r="H895" s="305"/>
      <c r="I895" s="366"/>
      <c r="J895" s="366"/>
      <c r="K895" s="305"/>
      <c r="L895" s="366"/>
      <c r="M895" s="366"/>
      <c r="N895" s="309"/>
      <c r="O895" s="366"/>
      <c r="P895" s="345"/>
      <c r="Q895" s="305"/>
      <c r="R895" s="410"/>
      <c r="S895" s="309">
        <v>24</v>
      </c>
    </row>
    <row r="896" spans="1:19" ht="15">
      <c r="A896" s="399" t="s">
        <v>355</v>
      </c>
      <c r="B896" s="413">
        <v>352371</v>
      </c>
      <c r="C896" s="366">
        <f t="shared" si="78"/>
        <v>1039.92</v>
      </c>
      <c r="D896" s="366">
        <v>1039.92</v>
      </c>
      <c r="E896" s="305">
        <v>218.76</v>
      </c>
      <c r="F896" s="366">
        <v>227.7</v>
      </c>
      <c r="G896" s="366"/>
      <c r="H896" s="305"/>
      <c r="I896" s="366"/>
      <c r="J896" s="366"/>
      <c r="K896" s="309"/>
      <c r="L896" s="366"/>
      <c r="M896" s="366"/>
      <c r="N896" s="309"/>
      <c r="O896" s="366"/>
      <c r="P896" s="418"/>
      <c r="Q896" s="305"/>
      <c r="R896" s="410"/>
      <c r="S896" s="309">
        <v>70</v>
      </c>
    </row>
    <row r="897" spans="1:19" ht="15">
      <c r="A897" s="398"/>
      <c r="B897" s="413">
        <v>352372</v>
      </c>
      <c r="C897" s="366">
        <f t="shared" si="78"/>
        <v>0</v>
      </c>
      <c r="D897" s="366"/>
      <c r="E897" s="305"/>
      <c r="F897" s="366"/>
      <c r="G897" s="366"/>
      <c r="H897" s="305"/>
      <c r="I897" s="366"/>
      <c r="J897" s="366"/>
      <c r="K897" s="309"/>
      <c r="L897" s="366"/>
      <c r="M897" s="366"/>
      <c r="N897" s="309"/>
      <c r="O897" s="366"/>
      <c r="P897" s="418"/>
      <c r="Q897" s="305"/>
      <c r="R897" s="410"/>
      <c r="S897" s="309">
        <v>43</v>
      </c>
    </row>
    <row r="898" spans="1:19" ht="15">
      <c r="A898" s="400" t="s">
        <v>1072</v>
      </c>
      <c r="B898" s="413">
        <v>352373</v>
      </c>
      <c r="C898" s="366">
        <f t="shared" si="78"/>
        <v>0</v>
      </c>
      <c r="D898" s="366"/>
      <c r="E898" s="410"/>
      <c r="F898" s="366"/>
      <c r="G898" s="366"/>
      <c r="H898" s="305"/>
      <c r="I898" s="366"/>
      <c r="J898" s="366"/>
      <c r="K898" s="309"/>
      <c r="L898" s="366"/>
      <c r="M898" s="366"/>
      <c r="N898" s="309"/>
      <c r="O898" s="366"/>
      <c r="P898" s="418"/>
      <c r="Q898" s="305"/>
      <c r="R898" s="410"/>
      <c r="S898" s="309">
        <v>41</v>
      </c>
    </row>
    <row r="899" spans="1:19" ht="15">
      <c r="A899" s="398"/>
      <c r="B899" s="407" t="s">
        <v>1091</v>
      </c>
      <c r="C899" s="366">
        <f t="shared" si="78"/>
        <v>0</v>
      </c>
      <c r="D899" s="366"/>
      <c r="E899" s="305"/>
      <c r="F899" s="366"/>
      <c r="G899" s="366"/>
      <c r="H899" s="305"/>
      <c r="I899" s="366"/>
      <c r="J899" s="366"/>
      <c r="K899" s="309"/>
      <c r="L899" s="366"/>
      <c r="M899" s="366"/>
      <c r="N899" s="309"/>
      <c r="O899" s="366"/>
      <c r="P899" s="418"/>
      <c r="Q899" s="305"/>
      <c r="R899" s="410"/>
      <c r="S899" s="309">
        <v>10</v>
      </c>
    </row>
    <row r="900" spans="1:19" ht="15">
      <c r="A900" s="398"/>
      <c r="B900" s="413">
        <v>352375</v>
      </c>
      <c r="C900" s="366">
        <f t="shared" si="78"/>
        <v>0</v>
      </c>
      <c r="D900" s="366"/>
      <c r="E900" s="305"/>
      <c r="F900" s="366"/>
      <c r="G900" s="366"/>
      <c r="H900" s="305"/>
      <c r="I900" s="366"/>
      <c r="J900" s="366"/>
      <c r="K900" s="309"/>
      <c r="L900" s="366"/>
      <c r="M900" s="366"/>
      <c r="N900" s="309"/>
      <c r="O900" s="366"/>
      <c r="P900" s="418"/>
      <c r="Q900" s="305"/>
      <c r="R900" s="410"/>
      <c r="S900" s="309">
        <v>53</v>
      </c>
    </row>
    <row r="901" spans="1:19" ht="15">
      <c r="A901" s="398" t="s">
        <v>62</v>
      </c>
      <c r="B901" s="413">
        <v>352376</v>
      </c>
      <c r="C901" s="366">
        <f t="shared" si="78"/>
        <v>2619.17</v>
      </c>
      <c r="D901" s="366">
        <v>2619.17</v>
      </c>
      <c r="E901" s="305">
        <v>571.03</v>
      </c>
      <c r="F901" s="366">
        <v>131.03</v>
      </c>
      <c r="G901" s="366"/>
      <c r="H901" s="305"/>
      <c r="I901" s="366"/>
      <c r="J901" s="366"/>
      <c r="K901" s="309"/>
      <c r="L901" s="366"/>
      <c r="M901" s="366"/>
      <c r="N901" s="309"/>
      <c r="O901" s="366"/>
      <c r="P901" s="418"/>
      <c r="Q901" s="305"/>
      <c r="R901" s="410"/>
      <c r="S901" s="309">
        <v>63</v>
      </c>
    </row>
    <row r="902" spans="1:19" ht="15">
      <c r="A902" s="398" t="s">
        <v>390</v>
      </c>
      <c r="B902" s="413">
        <v>352377</v>
      </c>
      <c r="C902" s="366">
        <f t="shared" si="78"/>
        <v>4419.3</v>
      </c>
      <c r="D902" s="366">
        <v>4419.3</v>
      </c>
      <c r="E902" s="305">
        <v>996.08</v>
      </c>
      <c r="F902" s="366">
        <v>164.78</v>
      </c>
      <c r="G902" s="366"/>
      <c r="H902" s="305"/>
      <c r="I902" s="366"/>
      <c r="J902" s="366"/>
      <c r="K902" s="309"/>
      <c r="L902" s="366"/>
      <c r="M902" s="366"/>
      <c r="N902" s="309"/>
      <c r="O902" s="366"/>
      <c r="P902" s="418"/>
      <c r="Q902" s="305"/>
      <c r="R902" s="410"/>
      <c r="S902" s="309">
        <v>69</v>
      </c>
    </row>
    <row r="903" spans="1:19" ht="15">
      <c r="A903" s="398"/>
      <c r="B903" s="413">
        <v>359885</v>
      </c>
      <c r="C903" s="366">
        <f t="shared" si="78"/>
        <v>0</v>
      </c>
      <c r="D903" s="366"/>
      <c r="E903" s="305"/>
      <c r="F903" s="366"/>
      <c r="G903" s="366"/>
      <c r="H903" s="305"/>
      <c r="I903" s="366"/>
      <c r="J903" s="366"/>
      <c r="K903" s="309"/>
      <c r="L903" s="366"/>
      <c r="M903" s="366"/>
      <c r="N903" s="309"/>
      <c r="O903" s="366"/>
      <c r="P903" s="418"/>
      <c r="Q903" s="305"/>
      <c r="R903" s="410"/>
      <c r="S903" s="309">
        <v>97</v>
      </c>
    </row>
    <row r="904" spans="1:19" ht="15">
      <c r="A904" s="171" t="s">
        <v>393</v>
      </c>
      <c r="B904" s="413">
        <v>359886</v>
      </c>
      <c r="C904" s="366">
        <f t="shared" si="78"/>
        <v>2058.4899999999998</v>
      </c>
      <c r="D904" s="366">
        <v>2058.4899999999998</v>
      </c>
      <c r="E904" s="305">
        <v>479.08</v>
      </c>
      <c r="F904" s="366">
        <v>372.15</v>
      </c>
      <c r="G904" s="366"/>
      <c r="H904" s="305"/>
      <c r="I904" s="366"/>
      <c r="J904" s="366"/>
      <c r="K904" s="309"/>
      <c r="L904" s="366"/>
      <c r="M904" s="366"/>
      <c r="N904" s="309"/>
      <c r="O904" s="366"/>
      <c r="P904" s="418"/>
      <c r="Q904" s="305"/>
      <c r="R904" s="410"/>
      <c r="S904" s="309">
        <v>97</v>
      </c>
    </row>
    <row r="905" spans="1:19" ht="15">
      <c r="A905" s="398" t="s">
        <v>319</v>
      </c>
      <c r="B905" s="413">
        <v>465180</v>
      </c>
      <c r="C905" s="366">
        <f t="shared" si="78"/>
        <v>2684.62</v>
      </c>
      <c r="D905" s="366">
        <v>2684.62</v>
      </c>
      <c r="E905" s="305">
        <v>551.63</v>
      </c>
      <c r="F905" s="366">
        <v>550.5</v>
      </c>
      <c r="G905" s="366"/>
      <c r="H905" s="305"/>
      <c r="I905" s="366"/>
      <c r="J905" s="366"/>
      <c r="K905" s="309"/>
      <c r="L905" s="366"/>
      <c r="M905" s="366"/>
      <c r="N905" s="309"/>
      <c r="O905" s="366"/>
      <c r="P905" s="418"/>
      <c r="Q905" s="305"/>
      <c r="R905" s="410"/>
      <c r="S905" s="309">
        <v>100</v>
      </c>
    </row>
    <row r="906" spans="1:19" ht="15">
      <c r="A906" s="398" t="s">
        <v>322</v>
      </c>
      <c r="B906" s="413">
        <v>465181</v>
      </c>
      <c r="C906" s="366">
        <f t="shared" si="78"/>
        <v>2926.83</v>
      </c>
      <c r="D906" s="366">
        <v>2926.83</v>
      </c>
      <c r="E906" s="305">
        <v>620.71</v>
      </c>
      <c r="F906" s="366">
        <v>562.94000000000005</v>
      </c>
      <c r="G906" s="366"/>
      <c r="H906" s="305"/>
      <c r="I906" s="366"/>
      <c r="J906" s="366"/>
      <c r="K906" s="309"/>
      <c r="L906" s="366"/>
      <c r="M906" s="366"/>
      <c r="N906" s="309"/>
      <c r="O906" s="366"/>
      <c r="P906" s="418"/>
      <c r="Q906" s="305"/>
      <c r="R906" s="410"/>
      <c r="S906" s="309">
        <v>56</v>
      </c>
    </row>
    <row r="907" spans="1:19" ht="15">
      <c r="A907" s="398" t="s">
        <v>349</v>
      </c>
      <c r="B907" s="413">
        <v>465182</v>
      </c>
      <c r="C907" s="366">
        <f t="shared" si="78"/>
        <v>2900.88</v>
      </c>
      <c r="D907" s="366">
        <v>2900.88</v>
      </c>
      <c r="E907" s="305">
        <v>659.43</v>
      </c>
      <c r="F907" s="366">
        <v>34.07</v>
      </c>
      <c r="G907" s="366"/>
      <c r="H907" s="305"/>
      <c r="I907" s="366"/>
      <c r="J907" s="366"/>
      <c r="K907" s="309"/>
      <c r="L907" s="366"/>
      <c r="M907" s="366"/>
      <c r="N907" s="309"/>
      <c r="O907" s="366"/>
      <c r="P907" s="418"/>
      <c r="Q907" s="305"/>
      <c r="R907" s="410"/>
      <c r="S907" s="309">
        <v>42</v>
      </c>
    </row>
    <row r="908" spans="1:19" ht="15">
      <c r="A908" s="398" t="s">
        <v>88</v>
      </c>
      <c r="B908" s="413">
        <v>465183</v>
      </c>
      <c r="C908" s="366">
        <f t="shared" si="78"/>
        <v>2290.81</v>
      </c>
      <c r="D908" s="366">
        <v>2290.81</v>
      </c>
      <c r="E908" s="305">
        <v>511.34</v>
      </c>
      <c r="F908" s="366">
        <v>379.23</v>
      </c>
      <c r="G908" s="366"/>
      <c r="H908" s="305"/>
      <c r="I908" s="366"/>
      <c r="J908" s="366"/>
      <c r="K908" s="309"/>
      <c r="L908" s="366"/>
      <c r="M908" s="366"/>
      <c r="N908" s="309"/>
      <c r="O908" s="366"/>
      <c r="P908" s="418"/>
      <c r="Q908" s="305"/>
      <c r="R908" s="410"/>
      <c r="S908" s="309">
        <v>59</v>
      </c>
    </row>
    <row r="909" spans="1:19" ht="15">
      <c r="A909" s="347" t="s">
        <v>40</v>
      </c>
      <c r="B909" s="413">
        <v>465184</v>
      </c>
      <c r="C909" s="366">
        <f t="shared" si="78"/>
        <v>3413.02</v>
      </c>
      <c r="D909" s="366">
        <v>3413.02</v>
      </c>
      <c r="E909" s="305">
        <v>789.82</v>
      </c>
      <c r="F909" s="366">
        <v>63.73</v>
      </c>
      <c r="G909" s="366"/>
      <c r="H909" s="305"/>
      <c r="I909" s="366"/>
      <c r="J909" s="366"/>
      <c r="K909" s="309"/>
      <c r="L909" s="366"/>
      <c r="M909" s="366"/>
      <c r="N909" s="309"/>
      <c r="O909" s="366"/>
      <c r="P909" s="418"/>
      <c r="Q909" s="305"/>
      <c r="R909" s="410"/>
      <c r="S909" s="309">
        <v>39</v>
      </c>
    </row>
    <row r="910" spans="1:19" ht="15">
      <c r="A910" s="398" t="s">
        <v>75</v>
      </c>
      <c r="B910" s="413">
        <v>465185</v>
      </c>
      <c r="C910" s="366">
        <f t="shared" si="78"/>
        <v>0</v>
      </c>
      <c r="D910" s="366"/>
      <c r="E910" s="305"/>
      <c r="F910" s="366"/>
      <c r="G910" s="366"/>
      <c r="H910" s="305"/>
      <c r="I910" s="366"/>
      <c r="J910" s="366"/>
      <c r="K910" s="309"/>
      <c r="L910" s="366"/>
      <c r="M910" s="366"/>
      <c r="N910" s="309"/>
      <c r="O910" s="366"/>
      <c r="P910" s="418"/>
      <c r="Q910" s="305"/>
      <c r="R910" s="410"/>
      <c r="S910" s="309">
        <v>100</v>
      </c>
    </row>
    <row r="911" spans="1:19" ht="15">
      <c r="A911" s="398" t="s">
        <v>404</v>
      </c>
      <c r="B911" s="413">
        <v>465186</v>
      </c>
      <c r="C911" s="366">
        <f t="shared" si="78"/>
        <v>1779.37</v>
      </c>
      <c r="D911" s="366">
        <v>1779.37</v>
      </c>
      <c r="E911" s="305">
        <v>402.96</v>
      </c>
      <c r="F911" s="366">
        <v>27.45</v>
      </c>
      <c r="G911" s="366"/>
      <c r="H911" s="305"/>
      <c r="I911" s="366"/>
      <c r="J911" s="366"/>
      <c r="K911" s="309"/>
      <c r="L911" s="366"/>
      <c r="M911" s="366"/>
      <c r="N911" s="309"/>
      <c r="O911" s="366"/>
      <c r="P911" s="418"/>
      <c r="Q911" s="305"/>
      <c r="R911" s="410"/>
      <c r="S911" s="309">
        <v>41</v>
      </c>
    </row>
    <row r="912" spans="1:19" ht="15">
      <c r="A912" s="398" t="s">
        <v>192</v>
      </c>
      <c r="B912" s="413">
        <v>465187</v>
      </c>
      <c r="C912" s="366">
        <f t="shared" si="78"/>
        <v>1083.21</v>
      </c>
      <c r="D912" s="366">
        <v>1083.21</v>
      </c>
      <c r="E912" s="305">
        <v>238.3</v>
      </c>
      <c r="F912" s="366">
        <v>136.85</v>
      </c>
      <c r="G912" s="366"/>
      <c r="H912" s="305"/>
      <c r="I912" s="366"/>
      <c r="J912" s="366"/>
      <c r="K912" s="309"/>
      <c r="L912" s="366"/>
      <c r="M912" s="366"/>
      <c r="N912" s="309"/>
      <c r="O912" s="366"/>
      <c r="P912" s="418"/>
      <c r="Q912" s="305"/>
      <c r="R912" s="410"/>
      <c r="S912" s="309">
        <v>100</v>
      </c>
    </row>
    <row r="913" spans="1:19" ht="15">
      <c r="A913" s="400" t="s">
        <v>407</v>
      </c>
      <c r="B913" s="413">
        <v>465188</v>
      </c>
      <c r="C913" s="366">
        <f t="shared" si="78"/>
        <v>0</v>
      </c>
      <c r="D913" s="366"/>
      <c r="E913" s="305"/>
      <c r="F913" s="366"/>
      <c r="G913" s="366"/>
      <c r="H913" s="305"/>
      <c r="I913" s="366"/>
      <c r="J913" s="366"/>
      <c r="K913" s="309"/>
      <c r="L913" s="366"/>
      <c r="M913" s="366"/>
      <c r="N913" s="309"/>
      <c r="O913" s="366"/>
      <c r="P913" s="418"/>
      <c r="Q913" s="305"/>
      <c r="R913" s="410"/>
      <c r="S913" s="309">
        <v>50</v>
      </c>
    </row>
    <row r="914" spans="1:19" ht="15">
      <c r="A914" s="400" t="s">
        <v>407</v>
      </c>
      <c r="B914" s="413">
        <v>465189</v>
      </c>
      <c r="C914" s="366">
        <f t="shared" si="78"/>
        <v>926.74</v>
      </c>
      <c r="D914" s="366">
        <v>926.74</v>
      </c>
      <c r="E914" s="410" t="s">
        <v>1094</v>
      </c>
      <c r="F914" s="366">
        <v>41.13</v>
      </c>
      <c r="G914" s="366"/>
      <c r="H914" s="305"/>
      <c r="I914" s="366"/>
      <c r="J914" s="366"/>
      <c r="K914" s="309"/>
      <c r="L914" s="366"/>
      <c r="M914" s="366"/>
      <c r="N914" s="309"/>
      <c r="O914" s="366"/>
      <c r="P914" s="418"/>
      <c r="Q914" s="305"/>
      <c r="R914" s="410"/>
      <c r="S914" s="309">
        <v>56</v>
      </c>
    </row>
    <row r="915" spans="1:19" ht="15">
      <c r="A915" s="408" t="s">
        <v>408</v>
      </c>
      <c r="B915" s="413">
        <v>1122</v>
      </c>
      <c r="C915" s="366">
        <f t="shared" si="78"/>
        <v>693.87</v>
      </c>
      <c r="D915" s="366">
        <v>693.87</v>
      </c>
      <c r="E915" s="366">
        <v>194.96</v>
      </c>
      <c r="F915" s="366">
        <v>0</v>
      </c>
      <c r="G915" s="366"/>
      <c r="H915" s="305"/>
      <c r="I915" s="366"/>
      <c r="J915" s="366"/>
      <c r="K915" s="309"/>
      <c r="L915" s="366"/>
      <c r="M915" s="366"/>
      <c r="N915" s="309"/>
      <c r="O915" s="366"/>
      <c r="P915" s="426"/>
      <c r="Q915" s="305"/>
      <c r="R915" s="410"/>
      <c r="S915" s="309"/>
    </row>
    <row r="916" spans="1:19" ht="15">
      <c r="A916" s="408" t="s">
        <v>386</v>
      </c>
      <c r="B916" s="413">
        <v>218</v>
      </c>
      <c r="C916" s="366">
        <f t="shared" si="78"/>
        <v>2510.83</v>
      </c>
      <c r="D916" s="366">
        <v>2510.83</v>
      </c>
      <c r="E916" s="366">
        <v>617.5</v>
      </c>
      <c r="F916" s="366">
        <v>6.98</v>
      </c>
      <c r="G916" s="366"/>
      <c r="H916" s="305"/>
      <c r="I916" s="366"/>
      <c r="J916" s="366"/>
      <c r="K916" s="309"/>
      <c r="L916" s="366"/>
      <c r="M916" s="366"/>
      <c r="N916" s="309"/>
      <c r="O916" s="366"/>
      <c r="P916" s="426"/>
      <c r="Q916" s="305"/>
      <c r="R916" s="410"/>
      <c r="S916" s="309">
        <v>78</v>
      </c>
    </row>
    <row r="917" spans="1:19" ht="15">
      <c r="A917" s="408" t="s">
        <v>391</v>
      </c>
      <c r="B917" s="413">
        <v>86</v>
      </c>
      <c r="C917" s="366">
        <f t="shared" si="78"/>
        <v>0</v>
      </c>
      <c r="D917" s="366"/>
      <c r="E917" s="366"/>
      <c r="F917" s="366"/>
      <c r="G917" s="366"/>
      <c r="H917" s="305"/>
      <c r="I917" s="366"/>
      <c r="J917" s="366"/>
      <c r="K917" s="309"/>
      <c r="L917" s="366"/>
      <c r="M917" s="366"/>
      <c r="N917" s="309"/>
      <c r="O917" s="366"/>
      <c r="P917" s="409"/>
      <c r="Q917" s="305"/>
      <c r="R917" s="410"/>
      <c r="S917" s="309" t="s">
        <v>306</v>
      </c>
    </row>
    <row r="918" spans="1:19" ht="15">
      <c r="A918" s="408" t="s">
        <v>1067</v>
      </c>
      <c r="B918" s="407" t="s">
        <v>362</v>
      </c>
      <c r="C918" s="366">
        <f t="shared" si="78"/>
        <v>2755</v>
      </c>
      <c r="D918" s="366">
        <v>1695</v>
      </c>
      <c r="E918" s="366">
        <v>382.83</v>
      </c>
      <c r="F918" s="366">
        <v>160.72999999999999</v>
      </c>
      <c r="G918" s="366">
        <v>500</v>
      </c>
      <c r="H918" s="305">
        <v>86.486999999999995</v>
      </c>
      <c r="I918" s="366"/>
      <c r="J918" s="366"/>
      <c r="K918" s="309"/>
      <c r="L918" s="366"/>
      <c r="M918" s="366">
        <v>560</v>
      </c>
      <c r="N918" s="309">
        <v>147.41</v>
      </c>
      <c r="O918" s="366"/>
      <c r="P918" s="409"/>
      <c r="Q918" s="305"/>
      <c r="R918" s="410"/>
      <c r="S918" s="309">
        <v>21</v>
      </c>
    </row>
    <row r="919" spans="1:19" ht="15">
      <c r="A919" s="408" t="s">
        <v>1041</v>
      </c>
      <c r="B919" s="407" t="s">
        <v>1068</v>
      </c>
      <c r="C919" s="366">
        <f t="shared" si="78"/>
        <v>1295.01</v>
      </c>
      <c r="D919" s="366">
        <v>1295.01</v>
      </c>
      <c r="E919" s="305">
        <v>339.78</v>
      </c>
      <c r="F919" s="366">
        <v>0</v>
      </c>
      <c r="G919" s="411"/>
      <c r="H919" s="305"/>
      <c r="I919" s="366"/>
      <c r="J919" s="366"/>
      <c r="K919" s="305"/>
      <c r="L919" s="366"/>
      <c r="M919" s="366"/>
      <c r="N919" s="309"/>
      <c r="O919" s="366"/>
      <c r="P919" s="409"/>
      <c r="Q919" s="305"/>
      <c r="R919" s="410"/>
      <c r="S919" s="309" t="s">
        <v>306</v>
      </c>
    </row>
    <row r="920" spans="1:19" ht="15">
      <c r="A920" s="408" t="s">
        <v>1043</v>
      </c>
      <c r="B920" s="407" t="s">
        <v>1069</v>
      </c>
      <c r="C920" s="366">
        <f t="shared" si="78"/>
        <v>0</v>
      </c>
      <c r="D920" s="366"/>
      <c r="E920" s="305"/>
      <c r="F920" s="366"/>
      <c r="G920" s="411"/>
      <c r="H920" s="305"/>
      <c r="I920" s="366"/>
      <c r="J920" s="366"/>
      <c r="K920" s="305"/>
      <c r="L920" s="366"/>
      <c r="M920" s="366"/>
      <c r="N920" s="309"/>
      <c r="O920" s="366"/>
      <c r="P920" s="409"/>
      <c r="Q920" s="305"/>
      <c r="R920" s="410"/>
      <c r="S920" s="309">
        <v>66</v>
      </c>
    </row>
    <row r="921" spans="1:19" ht="15">
      <c r="A921" s="408" t="s">
        <v>359</v>
      </c>
      <c r="B921" s="407" t="s">
        <v>360</v>
      </c>
      <c r="C921" s="366">
        <f t="shared" si="78"/>
        <v>0</v>
      </c>
      <c r="D921" s="366"/>
      <c r="E921" s="305"/>
      <c r="F921" s="366"/>
      <c r="G921" s="411"/>
      <c r="H921" s="305"/>
      <c r="I921" s="366"/>
      <c r="J921" s="366"/>
      <c r="K921" s="305"/>
      <c r="L921" s="366"/>
      <c r="M921" s="366"/>
      <c r="N921" s="309"/>
      <c r="O921" s="366"/>
      <c r="P921" s="409"/>
      <c r="Q921" s="305"/>
      <c r="R921" s="410"/>
      <c r="S921" s="309">
        <v>53</v>
      </c>
    </row>
    <row r="922" spans="1:19" ht="15">
      <c r="A922" s="408" t="s">
        <v>370</v>
      </c>
      <c r="B922" s="407" t="s">
        <v>1070</v>
      </c>
      <c r="C922" s="366">
        <f t="shared" si="78"/>
        <v>0</v>
      </c>
      <c r="D922" s="366"/>
      <c r="E922" s="305"/>
      <c r="F922" s="366"/>
      <c r="G922" s="411"/>
      <c r="H922" s="305"/>
      <c r="I922" s="366"/>
      <c r="J922" s="366"/>
      <c r="K922" s="305"/>
      <c r="L922" s="366"/>
      <c r="M922" s="366"/>
      <c r="N922" s="309"/>
      <c r="O922" s="366"/>
      <c r="P922" s="409"/>
      <c r="Q922" s="305"/>
      <c r="R922" s="410"/>
      <c r="S922" s="309" t="s">
        <v>306</v>
      </c>
    </row>
    <row r="923" spans="1:19" ht="15">
      <c r="A923" s="408" t="s">
        <v>368</v>
      </c>
      <c r="B923" s="407" t="s">
        <v>362</v>
      </c>
      <c r="C923" s="366">
        <f t="shared" si="78"/>
        <v>1897.02</v>
      </c>
      <c r="D923" s="366">
        <v>1897.02</v>
      </c>
      <c r="E923" s="305">
        <v>409.72</v>
      </c>
      <c r="F923" s="366">
        <v>40.950000000000003</v>
      </c>
      <c r="G923" s="411"/>
      <c r="H923" s="305"/>
      <c r="I923" s="366"/>
      <c r="J923" s="366"/>
      <c r="K923" s="305"/>
      <c r="L923" s="366"/>
      <c r="M923" s="366"/>
      <c r="N923" s="309"/>
      <c r="O923" s="366"/>
      <c r="P923" s="409"/>
      <c r="Q923" s="305"/>
      <c r="R923" s="410"/>
      <c r="S923" s="309">
        <v>22</v>
      </c>
    </row>
    <row r="924" spans="1:19" ht="15">
      <c r="A924" s="408" t="s">
        <v>1082</v>
      </c>
      <c r="B924" s="407" t="s">
        <v>1045</v>
      </c>
      <c r="C924" s="366">
        <f t="shared" si="78"/>
        <v>0</v>
      </c>
      <c r="D924" s="366"/>
      <c r="E924" s="305"/>
      <c r="F924" s="366"/>
      <c r="G924" s="411"/>
      <c r="H924" s="305"/>
      <c r="I924" s="366"/>
      <c r="J924" s="366"/>
      <c r="K924" s="305"/>
      <c r="L924" s="366"/>
      <c r="M924" s="366"/>
      <c r="N924" s="309"/>
      <c r="O924" s="366"/>
      <c r="P924" s="409"/>
      <c r="Q924" s="305"/>
      <c r="R924" s="410"/>
      <c r="S924" s="309">
        <v>44</v>
      </c>
    </row>
    <row r="925" spans="1:19" ht="13">
      <c r="A925" s="470" t="s">
        <v>860</v>
      </c>
      <c r="B925" s="471"/>
      <c r="C925" s="422" t="s">
        <v>89</v>
      </c>
      <c r="D925" s="324" t="s">
        <v>676</v>
      </c>
      <c r="E925" s="325" t="s">
        <v>861</v>
      </c>
      <c r="F925" s="355" t="s">
        <v>862</v>
      </c>
      <c r="G925" s="324" t="s">
        <v>676</v>
      </c>
      <c r="H925" s="325" t="s">
        <v>861</v>
      </c>
      <c r="I925" s="355" t="s">
        <v>862</v>
      </c>
      <c r="J925" s="324" t="s">
        <v>676</v>
      </c>
      <c r="K925" s="325" t="s">
        <v>861</v>
      </c>
      <c r="L925" s="355" t="s">
        <v>862</v>
      </c>
      <c r="M925" s="324" t="s">
        <v>676</v>
      </c>
      <c r="N925" s="325" t="s">
        <v>861</v>
      </c>
      <c r="O925" s="355" t="s">
        <v>862</v>
      </c>
      <c r="P925" s="324" t="s">
        <v>881</v>
      </c>
      <c r="Q925" s="325" t="s">
        <v>861</v>
      </c>
      <c r="R925" s="325" t="s">
        <v>865</v>
      </c>
      <c r="S925" s="412" t="s">
        <v>1031</v>
      </c>
    </row>
    <row r="926" spans="1:19" ht="13">
      <c r="A926" s="470" t="s">
        <v>863</v>
      </c>
      <c r="B926" s="471"/>
      <c r="C926" s="326">
        <f>SUM(C895:C924)</f>
        <v>40343.21</v>
      </c>
      <c r="D926" s="326">
        <f>SUM(D895:D918)+SUM(G895:G918)+SUM(J895:J918)</f>
        <v>36591.18</v>
      </c>
      <c r="E926" s="327">
        <f>SUM(E895:E914)+SUM(H895:H914)+SUM(K895:K914)+SUM(N895:N914)</f>
        <v>6681.46</v>
      </c>
      <c r="F926" s="328">
        <f>SUM(F895:F914)</f>
        <v>3268.45</v>
      </c>
      <c r="G926" s="329"/>
      <c r="H926" s="329"/>
      <c r="I926" s="329"/>
      <c r="J926" s="329"/>
      <c r="K926" s="329"/>
      <c r="L926" s="329"/>
      <c r="M926" s="329"/>
      <c r="N926" s="329"/>
      <c r="O926" s="329"/>
      <c r="P926" s="329"/>
      <c r="Q926" s="329"/>
      <c r="R926" s="329"/>
    </row>
    <row r="927" spans="1:19" ht="13">
      <c r="A927" s="282"/>
      <c r="B927" s="282"/>
      <c r="C927" s="282"/>
      <c r="D927" s="282"/>
      <c r="E927" s="282"/>
      <c r="F927" s="282"/>
      <c r="G927" s="282"/>
      <c r="H927" s="282"/>
      <c r="I927" s="329"/>
      <c r="J927" s="329"/>
      <c r="K927" s="329"/>
      <c r="L927" s="329"/>
      <c r="M927" s="329"/>
      <c r="N927" s="329"/>
      <c r="O927" s="329"/>
      <c r="P927" s="329"/>
      <c r="Q927" s="329"/>
      <c r="R927" s="329"/>
    </row>
    <row r="928" spans="1:19" ht="13">
      <c r="A928" s="472" t="s">
        <v>1095</v>
      </c>
      <c r="B928" s="466"/>
      <c r="C928" s="466"/>
      <c r="D928" s="466"/>
      <c r="E928" s="466"/>
      <c r="F928" s="466"/>
      <c r="G928" s="466"/>
      <c r="H928" s="466"/>
      <c r="I928" s="466"/>
      <c r="J928" s="466"/>
      <c r="K928" s="466"/>
      <c r="L928" s="466"/>
      <c r="M928" s="466"/>
      <c r="N928" s="466"/>
      <c r="O928" s="466"/>
      <c r="P928" s="466"/>
      <c r="Q928" s="466"/>
      <c r="R928" s="466"/>
      <c r="S928" s="466"/>
    </row>
    <row r="929" spans="1:19" ht="13">
      <c r="A929" s="356" t="s">
        <v>849</v>
      </c>
      <c r="B929" s="356" t="s">
        <v>1</v>
      </c>
      <c r="C929" s="356" t="s">
        <v>89</v>
      </c>
      <c r="D929" s="473" t="s">
        <v>850</v>
      </c>
      <c r="E929" s="466"/>
      <c r="F929" s="467"/>
      <c r="G929" s="465" t="s">
        <v>852</v>
      </c>
      <c r="H929" s="466"/>
      <c r="I929" s="467"/>
      <c r="J929" s="465" t="s">
        <v>1013</v>
      </c>
      <c r="K929" s="466"/>
      <c r="L929" s="467"/>
      <c r="M929" s="465" t="s">
        <v>1093</v>
      </c>
      <c r="N929" s="466"/>
      <c r="O929" s="467"/>
      <c r="P929" s="465" t="s">
        <v>865</v>
      </c>
      <c r="Q929" s="466"/>
      <c r="R929" s="467"/>
      <c r="S929" s="356" t="s">
        <v>1028</v>
      </c>
    </row>
    <row r="930" spans="1:19" ht="15">
      <c r="A930" s="400" t="s">
        <v>347</v>
      </c>
      <c r="B930" s="413">
        <v>352368</v>
      </c>
      <c r="C930" s="366">
        <f t="shared" ref="C930:C959" si="79">D930+G930+J930+M930</f>
        <v>1706.9</v>
      </c>
      <c r="D930" s="366">
        <v>1706.9</v>
      </c>
      <c r="E930" s="305">
        <v>385.95</v>
      </c>
      <c r="F930" s="366">
        <v>179.21</v>
      </c>
      <c r="G930" s="366"/>
      <c r="H930" s="305"/>
      <c r="I930" s="366"/>
      <c r="J930" s="366"/>
      <c r="K930" s="305"/>
      <c r="L930" s="366"/>
      <c r="M930" s="366"/>
      <c r="N930" s="309"/>
      <c r="O930" s="366"/>
      <c r="P930" s="345"/>
      <c r="Q930" s="305"/>
      <c r="R930" s="410"/>
      <c r="S930" s="309">
        <v>76</v>
      </c>
    </row>
    <row r="931" spans="1:19" ht="15">
      <c r="A931" s="399" t="s">
        <v>355</v>
      </c>
      <c r="B931" s="413">
        <v>352371</v>
      </c>
      <c r="C931" s="366">
        <f t="shared" si="79"/>
        <v>2427.34</v>
      </c>
      <c r="D931" s="366">
        <v>2427.34</v>
      </c>
      <c r="E931" s="305">
        <v>569.79</v>
      </c>
      <c r="F931" s="366">
        <v>159.02000000000001</v>
      </c>
      <c r="G931" s="366"/>
      <c r="H931" s="305"/>
      <c r="I931" s="366"/>
      <c r="J931" s="366"/>
      <c r="K931" s="309"/>
      <c r="L931" s="366"/>
      <c r="M931" s="366"/>
      <c r="N931" s="309"/>
      <c r="O931" s="366"/>
      <c r="P931" s="418"/>
      <c r="Q931" s="305"/>
      <c r="R931" s="410"/>
      <c r="S931" s="309">
        <v>38</v>
      </c>
    </row>
    <row r="932" spans="1:19" ht="15">
      <c r="A932" s="398"/>
      <c r="B932" s="413">
        <v>352372</v>
      </c>
      <c r="C932" s="366">
        <f t="shared" si="79"/>
        <v>0</v>
      </c>
      <c r="D932" s="366"/>
      <c r="E932" s="305"/>
      <c r="F932" s="366"/>
      <c r="G932" s="366"/>
      <c r="H932" s="305"/>
      <c r="I932" s="366"/>
      <c r="J932" s="366"/>
      <c r="K932" s="309"/>
      <c r="L932" s="366"/>
      <c r="M932" s="366"/>
      <c r="N932" s="309"/>
      <c r="O932" s="366"/>
      <c r="P932" s="418"/>
      <c r="Q932" s="305"/>
      <c r="R932" s="410"/>
      <c r="S932" s="309" t="s">
        <v>306</v>
      </c>
    </row>
    <row r="933" spans="1:19" ht="15">
      <c r="A933" s="400" t="s">
        <v>1072</v>
      </c>
      <c r="B933" s="413">
        <v>352373</v>
      </c>
      <c r="C933" s="366">
        <f t="shared" si="79"/>
        <v>0</v>
      </c>
      <c r="D933" s="366"/>
      <c r="E933" s="410"/>
      <c r="F933" s="366"/>
      <c r="G933" s="366"/>
      <c r="H933" s="305"/>
      <c r="I933" s="366"/>
      <c r="J933" s="366"/>
      <c r="K933" s="309"/>
      <c r="L933" s="366"/>
      <c r="M933" s="366"/>
      <c r="N933" s="309"/>
      <c r="O933" s="366"/>
      <c r="P933" s="418"/>
      <c r="Q933" s="305"/>
      <c r="R933" s="410"/>
      <c r="S933" s="309">
        <v>22</v>
      </c>
    </row>
    <row r="934" spans="1:19" ht="15">
      <c r="A934" s="398"/>
      <c r="B934" s="407" t="s">
        <v>403</v>
      </c>
      <c r="C934" s="366">
        <f t="shared" si="79"/>
        <v>0</v>
      </c>
      <c r="D934" s="366"/>
      <c r="E934" s="305"/>
      <c r="F934" s="366"/>
      <c r="G934" s="366"/>
      <c r="H934" s="305"/>
      <c r="I934" s="366"/>
      <c r="J934" s="366"/>
      <c r="K934" s="309"/>
      <c r="L934" s="366"/>
      <c r="M934" s="366"/>
      <c r="N934" s="309"/>
      <c r="O934" s="366"/>
      <c r="P934" s="418"/>
      <c r="Q934" s="305"/>
      <c r="R934" s="410"/>
      <c r="S934" s="309">
        <v>86</v>
      </c>
    </row>
    <row r="935" spans="1:19" ht="15">
      <c r="A935" s="398"/>
      <c r="B935" s="413">
        <v>352375</v>
      </c>
      <c r="C935" s="366">
        <f t="shared" si="79"/>
        <v>0</v>
      </c>
      <c r="D935" s="366"/>
      <c r="E935" s="305"/>
      <c r="F935" s="366"/>
      <c r="G935" s="366"/>
      <c r="H935" s="305"/>
      <c r="I935" s="366"/>
      <c r="J935" s="366"/>
      <c r="K935" s="309"/>
      <c r="L935" s="366"/>
      <c r="M935" s="366"/>
      <c r="N935" s="309"/>
      <c r="O935" s="366"/>
      <c r="P935" s="418"/>
      <c r="Q935" s="305"/>
      <c r="R935" s="410"/>
      <c r="S935" s="309">
        <v>53</v>
      </c>
    </row>
    <row r="936" spans="1:19" ht="15">
      <c r="A936" s="398" t="s">
        <v>62</v>
      </c>
      <c r="B936" s="413">
        <v>352376</v>
      </c>
      <c r="C936" s="366">
        <f t="shared" si="79"/>
        <v>2135.3000000000002</v>
      </c>
      <c r="D936" s="366">
        <v>2135.3000000000002</v>
      </c>
      <c r="E936" s="305">
        <v>509.7</v>
      </c>
      <c r="F936" s="366">
        <v>77.45</v>
      </c>
      <c r="G936" s="366"/>
      <c r="H936" s="305"/>
      <c r="I936" s="366"/>
      <c r="J936" s="366"/>
      <c r="K936" s="309"/>
      <c r="L936" s="366"/>
      <c r="M936" s="366"/>
      <c r="N936" s="309"/>
      <c r="O936" s="366"/>
      <c r="P936" s="418"/>
      <c r="Q936" s="305"/>
      <c r="R936" s="410"/>
      <c r="S936" s="309">
        <v>37</v>
      </c>
    </row>
    <row r="937" spans="1:19" ht="15">
      <c r="A937" s="398" t="s">
        <v>390</v>
      </c>
      <c r="B937" s="413">
        <v>352377</v>
      </c>
      <c r="C937" s="366">
        <f t="shared" si="79"/>
        <v>3344.61</v>
      </c>
      <c r="D937" s="366">
        <v>3344.61</v>
      </c>
      <c r="E937" s="305">
        <v>752.68</v>
      </c>
      <c r="F937" s="366">
        <v>60.17</v>
      </c>
      <c r="G937" s="366"/>
      <c r="H937" s="305"/>
      <c r="I937" s="366"/>
      <c r="J937" s="366"/>
      <c r="K937" s="309"/>
      <c r="L937" s="366"/>
      <c r="M937" s="366"/>
      <c r="N937" s="309"/>
      <c r="O937" s="366"/>
      <c r="P937" s="418"/>
      <c r="Q937" s="305"/>
      <c r="R937" s="410"/>
      <c r="S937" s="309">
        <v>76</v>
      </c>
    </row>
    <row r="938" spans="1:19" ht="15">
      <c r="A938" s="398"/>
      <c r="B938" s="413">
        <v>359885</v>
      </c>
      <c r="C938" s="366">
        <f t="shared" si="79"/>
        <v>0</v>
      </c>
      <c r="D938" s="366"/>
      <c r="E938" s="305"/>
      <c r="F938" s="366"/>
      <c r="G938" s="366"/>
      <c r="H938" s="305"/>
      <c r="I938" s="366"/>
      <c r="J938" s="366"/>
      <c r="K938" s="309"/>
      <c r="L938" s="366"/>
      <c r="M938" s="366"/>
      <c r="N938" s="309"/>
      <c r="O938" s="366"/>
      <c r="P938" s="418"/>
      <c r="Q938" s="305"/>
      <c r="R938" s="410"/>
      <c r="S938" s="309" t="s">
        <v>306</v>
      </c>
    </row>
    <row r="939" spans="1:19" ht="15">
      <c r="A939" s="171" t="s">
        <v>393</v>
      </c>
      <c r="B939" s="413" t="s">
        <v>1096</v>
      </c>
      <c r="C939" s="366">
        <f t="shared" si="79"/>
        <v>3190.66</v>
      </c>
      <c r="D939" s="366">
        <v>2790.66</v>
      </c>
      <c r="E939" s="305">
        <v>621.13</v>
      </c>
      <c r="F939" s="366">
        <v>557.38</v>
      </c>
      <c r="G939" s="366">
        <v>400</v>
      </c>
      <c r="H939" s="305">
        <v>76.703000000000003</v>
      </c>
      <c r="I939" s="366"/>
      <c r="J939" s="366"/>
      <c r="K939" s="309"/>
      <c r="L939" s="366"/>
      <c r="M939" s="366"/>
      <c r="N939" s="309"/>
      <c r="O939" s="366"/>
      <c r="P939" s="418"/>
      <c r="Q939" s="305"/>
      <c r="R939" s="410"/>
      <c r="S939" s="309">
        <v>51</v>
      </c>
    </row>
    <row r="940" spans="1:19" ht="15">
      <c r="A940" s="398" t="s">
        <v>319</v>
      </c>
      <c r="B940" s="413">
        <v>465180</v>
      </c>
      <c r="C940" s="366">
        <f t="shared" si="79"/>
        <v>2426.5300000000002</v>
      </c>
      <c r="D940" s="366">
        <v>2426.5300000000002</v>
      </c>
      <c r="E940" s="305">
        <v>564.12</v>
      </c>
      <c r="F940" s="366">
        <v>351.06</v>
      </c>
      <c r="G940" s="366"/>
      <c r="H940" s="305"/>
      <c r="I940" s="366"/>
      <c r="J940" s="366"/>
      <c r="K940" s="309"/>
      <c r="L940" s="366"/>
      <c r="M940" s="366"/>
      <c r="N940" s="309"/>
      <c r="O940" s="366"/>
      <c r="P940" s="418"/>
      <c r="Q940" s="305"/>
      <c r="R940" s="410"/>
      <c r="S940" s="309">
        <v>62</v>
      </c>
    </row>
    <row r="941" spans="1:19" ht="15">
      <c r="A941" s="398" t="s">
        <v>322</v>
      </c>
      <c r="B941" s="413">
        <v>465181</v>
      </c>
      <c r="C941" s="366">
        <f t="shared" si="79"/>
        <v>2608.31</v>
      </c>
      <c r="D941" s="366">
        <v>2608.31</v>
      </c>
      <c r="E941" s="305">
        <v>588.9</v>
      </c>
      <c r="F941" s="366">
        <v>544.57000000000005</v>
      </c>
      <c r="G941" s="366"/>
      <c r="H941" s="305"/>
      <c r="I941" s="366"/>
      <c r="J941" s="366"/>
      <c r="K941" s="309"/>
      <c r="L941" s="366"/>
      <c r="M941" s="366"/>
      <c r="N941" s="309"/>
      <c r="O941" s="366"/>
      <c r="P941" s="418"/>
      <c r="Q941" s="305"/>
      <c r="R941" s="410"/>
      <c r="S941" s="309">
        <v>28</v>
      </c>
    </row>
    <row r="942" spans="1:19" ht="15">
      <c r="A942" s="398" t="s">
        <v>349</v>
      </c>
      <c r="B942" s="413">
        <v>465182</v>
      </c>
      <c r="C942" s="366">
        <f t="shared" si="79"/>
        <v>3212.52</v>
      </c>
      <c r="D942" s="366">
        <v>3212.52</v>
      </c>
      <c r="E942" s="305">
        <v>741.55</v>
      </c>
      <c r="F942" s="366">
        <v>71.510000000000005</v>
      </c>
      <c r="G942" s="366"/>
      <c r="H942" s="305"/>
      <c r="I942" s="366"/>
      <c r="J942" s="366"/>
      <c r="K942" s="309"/>
      <c r="L942" s="366"/>
      <c r="M942" s="366"/>
      <c r="N942" s="309"/>
      <c r="O942" s="366"/>
      <c r="P942" s="418"/>
      <c r="Q942" s="305"/>
      <c r="R942" s="410"/>
      <c r="S942" s="309">
        <v>41</v>
      </c>
    </row>
    <row r="943" spans="1:19" ht="15">
      <c r="A943" s="398" t="s">
        <v>88</v>
      </c>
      <c r="B943" s="413">
        <v>465183</v>
      </c>
      <c r="C943" s="366">
        <f t="shared" si="79"/>
        <v>2675.04</v>
      </c>
      <c r="D943" s="366">
        <v>2675.04</v>
      </c>
      <c r="E943" s="305">
        <v>591.62</v>
      </c>
      <c r="F943" s="366">
        <v>339.35</v>
      </c>
      <c r="G943" s="366"/>
      <c r="H943" s="305"/>
      <c r="I943" s="366"/>
      <c r="J943" s="366"/>
      <c r="K943" s="309"/>
      <c r="L943" s="366"/>
      <c r="M943" s="366"/>
      <c r="N943" s="309"/>
      <c r="O943" s="366"/>
      <c r="P943" s="418"/>
      <c r="Q943" s="305"/>
      <c r="R943" s="410"/>
      <c r="S943" s="309">
        <v>67</v>
      </c>
    </row>
    <row r="944" spans="1:19" ht="15">
      <c r="A944" s="347" t="s">
        <v>40</v>
      </c>
      <c r="B944" s="413">
        <v>465184</v>
      </c>
      <c r="C944" s="366">
        <f t="shared" si="79"/>
        <v>1730.01</v>
      </c>
      <c r="D944" s="366">
        <v>1730.01</v>
      </c>
      <c r="E944" s="305">
        <v>408.96</v>
      </c>
      <c r="F944" s="366">
        <v>39.36</v>
      </c>
      <c r="G944" s="366"/>
      <c r="H944" s="305"/>
      <c r="I944" s="366"/>
      <c r="J944" s="366"/>
      <c r="K944" s="309"/>
      <c r="L944" s="366"/>
      <c r="M944" s="366"/>
      <c r="N944" s="309"/>
      <c r="O944" s="366"/>
      <c r="P944" s="418"/>
      <c r="Q944" s="305"/>
      <c r="R944" s="410"/>
      <c r="S944" s="309">
        <v>61</v>
      </c>
    </row>
    <row r="945" spans="1:19" ht="15">
      <c r="A945" s="398" t="s">
        <v>75</v>
      </c>
      <c r="B945" s="413">
        <v>465185</v>
      </c>
      <c r="C945" s="366">
        <f t="shared" si="79"/>
        <v>0</v>
      </c>
      <c r="D945" s="366"/>
      <c r="E945" s="305"/>
      <c r="F945" s="366"/>
      <c r="G945" s="366"/>
      <c r="H945" s="305"/>
      <c r="I945" s="366"/>
      <c r="J945" s="366"/>
      <c r="K945" s="309"/>
      <c r="L945" s="366"/>
      <c r="M945" s="366"/>
      <c r="N945" s="309"/>
      <c r="O945" s="366"/>
      <c r="P945" s="418"/>
      <c r="Q945" s="305"/>
      <c r="R945" s="410"/>
      <c r="S945" s="309">
        <v>85</v>
      </c>
    </row>
    <row r="946" spans="1:19" ht="15">
      <c r="A946" s="398" t="s">
        <v>404</v>
      </c>
      <c r="B946" s="413">
        <v>465186</v>
      </c>
      <c r="C946" s="366">
        <f t="shared" si="79"/>
        <v>1316.55</v>
      </c>
      <c r="D946" s="366">
        <v>1316.55</v>
      </c>
      <c r="E946" s="305">
        <v>326.62</v>
      </c>
      <c r="F946" s="366">
        <v>31.04</v>
      </c>
      <c r="G946" s="366"/>
      <c r="H946" s="305"/>
      <c r="I946" s="366"/>
      <c r="J946" s="366"/>
      <c r="K946" s="309"/>
      <c r="L946" s="366"/>
      <c r="M946" s="366"/>
      <c r="N946" s="309"/>
      <c r="O946" s="366"/>
      <c r="P946" s="418"/>
      <c r="Q946" s="305"/>
      <c r="R946" s="410"/>
      <c r="S946" s="309">
        <v>68</v>
      </c>
    </row>
    <row r="947" spans="1:19" ht="15">
      <c r="A947" s="398" t="s">
        <v>192</v>
      </c>
      <c r="B947" s="413">
        <v>465187</v>
      </c>
      <c r="C947" s="366">
        <f t="shared" si="79"/>
        <v>3123.02</v>
      </c>
      <c r="D947" s="366">
        <v>3123.02</v>
      </c>
      <c r="E947" s="305">
        <v>724.68</v>
      </c>
      <c r="F947" s="366">
        <v>516.02</v>
      </c>
      <c r="G947" s="366"/>
      <c r="H947" s="305"/>
      <c r="I947" s="366"/>
      <c r="J947" s="366"/>
      <c r="K947" s="309"/>
      <c r="L947" s="366"/>
      <c r="M947" s="366"/>
      <c r="N947" s="309"/>
      <c r="O947" s="366"/>
      <c r="P947" s="418"/>
      <c r="Q947" s="305"/>
      <c r="R947" s="410"/>
      <c r="S947" s="309">
        <v>50</v>
      </c>
    </row>
    <row r="948" spans="1:19" ht="15">
      <c r="A948" s="400" t="s">
        <v>407</v>
      </c>
      <c r="B948" s="413">
        <v>465188</v>
      </c>
      <c r="C948" s="366">
        <f t="shared" si="79"/>
        <v>2413.88</v>
      </c>
      <c r="D948" s="366">
        <v>2413.88</v>
      </c>
      <c r="E948" s="305">
        <v>556.67999999999995</v>
      </c>
      <c r="F948" s="366">
        <v>54.33</v>
      </c>
      <c r="G948" s="366"/>
      <c r="H948" s="305"/>
      <c r="I948" s="366"/>
      <c r="J948" s="366"/>
      <c r="K948" s="309"/>
      <c r="L948" s="366"/>
      <c r="M948" s="366"/>
      <c r="N948" s="309"/>
      <c r="O948" s="366"/>
      <c r="P948" s="418"/>
      <c r="Q948" s="305"/>
      <c r="R948" s="410"/>
      <c r="S948" s="309">
        <v>21</v>
      </c>
    </row>
    <row r="949" spans="1:19" ht="15">
      <c r="A949" s="400" t="s">
        <v>407</v>
      </c>
      <c r="B949" s="413">
        <v>465189</v>
      </c>
      <c r="C949" s="366">
        <f t="shared" si="79"/>
        <v>0</v>
      </c>
      <c r="D949" s="366"/>
      <c r="E949" s="410"/>
      <c r="F949" s="366"/>
      <c r="G949" s="366"/>
      <c r="H949" s="305"/>
      <c r="I949" s="366"/>
      <c r="J949" s="366"/>
      <c r="K949" s="309"/>
      <c r="L949" s="366"/>
      <c r="M949" s="366"/>
      <c r="N949" s="309"/>
      <c r="O949" s="366"/>
      <c r="P949" s="418"/>
      <c r="Q949" s="305"/>
      <c r="R949" s="410"/>
      <c r="S949" s="309">
        <v>30</v>
      </c>
    </row>
    <row r="950" spans="1:19" ht="15">
      <c r="A950" s="408" t="s">
        <v>408</v>
      </c>
      <c r="B950" s="413">
        <v>1122</v>
      </c>
      <c r="C950" s="366">
        <f t="shared" si="79"/>
        <v>628.09</v>
      </c>
      <c r="D950" s="366">
        <v>628.09</v>
      </c>
      <c r="E950" s="366">
        <v>173.56</v>
      </c>
      <c r="F950" s="366">
        <v>20.76</v>
      </c>
      <c r="G950" s="366"/>
      <c r="H950" s="305"/>
      <c r="I950" s="366"/>
      <c r="J950" s="366"/>
      <c r="K950" s="309"/>
      <c r="L950" s="366"/>
      <c r="M950" s="366"/>
      <c r="N950" s="309"/>
      <c r="O950" s="366"/>
      <c r="P950" s="426"/>
      <c r="Q950" s="305"/>
      <c r="R950" s="410"/>
      <c r="S950" s="309" t="s">
        <v>306</v>
      </c>
    </row>
    <row r="951" spans="1:19" ht="15">
      <c r="A951" s="408" t="s">
        <v>386</v>
      </c>
      <c r="B951" s="413">
        <v>218</v>
      </c>
      <c r="C951" s="366">
        <f t="shared" si="79"/>
        <v>2297.25</v>
      </c>
      <c r="D951" s="366">
        <v>2297.25</v>
      </c>
      <c r="E951" s="366">
        <v>550.26</v>
      </c>
      <c r="F951" s="366">
        <v>235.75</v>
      </c>
      <c r="G951" s="366"/>
      <c r="H951" s="305"/>
      <c r="I951" s="366"/>
      <c r="J951" s="366"/>
      <c r="K951" s="309"/>
      <c r="L951" s="366"/>
      <c r="M951" s="366"/>
      <c r="N951" s="309"/>
      <c r="O951" s="366"/>
      <c r="P951" s="426"/>
      <c r="Q951" s="305"/>
      <c r="R951" s="410"/>
      <c r="S951" s="309">
        <v>91</v>
      </c>
    </row>
    <row r="952" spans="1:19" ht="15">
      <c r="A952" s="408" t="s">
        <v>391</v>
      </c>
      <c r="B952" s="413">
        <v>86</v>
      </c>
      <c r="C952" s="366">
        <f t="shared" si="79"/>
        <v>0</v>
      </c>
      <c r="D952" s="366"/>
      <c r="E952" s="366"/>
      <c r="F952" s="366"/>
      <c r="G952" s="366"/>
      <c r="H952" s="305"/>
      <c r="I952" s="366"/>
      <c r="J952" s="366"/>
      <c r="K952" s="309"/>
      <c r="L952" s="366"/>
      <c r="M952" s="366"/>
      <c r="N952" s="309"/>
      <c r="O952" s="366"/>
      <c r="P952" s="409"/>
      <c r="Q952" s="305"/>
      <c r="R952" s="410"/>
      <c r="S952" s="309"/>
    </row>
    <row r="953" spans="1:19" ht="15">
      <c r="A953" s="408" t="s">
        <v>1067</v>
      </c>
      <c r="B953" s="407" t="s">
        <v>362</v>
      </c>
      <c r="C953" s="366">
        <f t="shared" si="79"/>
        <v>2100.0100000000002</v>
      </c>
      <c r="D953" s="366">
        <v>2100.0100000000002</v>
      </c>
      <c r="E953" s="366">
        <v>519.37</v>
      </c>
      <c r="F953" s="366">
        <v>59.33</v>
      </c>
      <c r="G953" s="366"/>
      <c r="H953" s="305"/>
      <c r="I953" s="366"/>
      <c r="J953" s="366"/>
      <c r="K953" s="309"/>
      <c r="L953" s="366"/>
      <c r="M953" s="366"/>
      <c r="N953" s="309"/>
      <c r="O953" s="366"/>
      <c r="P953" s="409"/>
      <c r="Q953" s="305"/>
      <c r="R953" s="410"/>
      <c r="S953" s="309">
        <v>49</v>
      </c>
    </row>
    <row r="954" spans="1:19" ht="15">
      <c r="A954" s="408" t="s">
        <v>1041</v>
      </c>
      <c r="B954" s="407" t="s">
        <v>1068</v>
      </c>
      <c r="C954" s="366">
        <f t="shared" si="79"/>
        <v>0</v>
      </c>
      <c r="D954" s="366"/>
      <c r="E954" s="305"/>
      <c r="F954" s="366"/>
      <c r="G954" s="411"/>
      <c r="H954" s="305"/>
      <c r="I954" s="366"/>
      <c r="J954" s="366"/>
      <c r="K954" s="305"/>
      <c r="L954" s="366"/>
      <c r="M954" s="366"/>
      <c r="N954" s="309"/>
      <c r="O954" s="366"/>
      <c r="P954" s="409"/>
      <c r="Q954" s="305"/>
      <c r="R954" s="410"/>
      <c r="S954" s="309" t="s">
        <v>306</v>
      </c>
    </row>
    <row r="955" spans="1:19" ht="15">
      <c r="A955" s="408" t="s">
        <v>1043</v>
      </c>
      <c r="B955" s="407" t="s">
        <v>1069</v>
      </c>
      <c r="C955" s="366">
        <f t="shared" si="79"/>
        <v>2149.86</v>
      </c>
      <c r="D955" s="366">
        <v>2149.86</v>
      </c>
      <c r="E955" s="305">
        <v>534.65</v>
      </c>
      <c r="F955" s="366">
        <v>25.51</v>
      </c>
      <c r="G955" s="411"/>
      <c r="H955" s="305"/>
      <c r="I955" s="366"/>
      <c r="J955" s="366"/>
      <c r="K955" s="305"/>
      <c r="L955" s="366"/>
      <c r="M955" s="366"/>
      <c r="N955" s="309"/>
      <c r="O955" s="366"/>
      <c r="P955" s="409"/>
      <c r="Q955" s="305"/>
      <c r="R955" s="410"/>
      <c r="S955" s="309">
        <v>66</v>
      </c>
    </row>
    <row r="956" spans="1:19" ht="15">
      <c r="A956" s="408" t="s">
        <v>359</v>
      </c>
      <c r="B956" s="407" t="s">
        <v>360</v>
      </c>
      <c r="C956" s="366">
        <f t="shared" si="79"/>
        <v>0</v>
      </c>
      <c r="D956" s="366"/>
      <c r="E956" s="305"/>
      <c r="F956" s="366"/>
      <c r="G956" s="411"/>
      <c r="H956" s="305"/>
      <c r="I956" s="366"/>
      <c r="J956" s="366"/>
      <c r="K956" s="305"/>
      <c r="L956" s="366"/>
      <c r="M956" s="366"/>
      <c r="N956" s="309"/>
      <c r="O956" s="366"/>
      <c r="P956" s="409"/>
      <c r="Q956" s="305"/>
      <c r="R956" s="410"/>
      <c r="S956" s="309" t="s">
        <v>306</v>
      </c>
    </row>
    <row r="957" spans="1:19" ht="15">
      <c r="A957" s="408" t="s">
        <v>370</v>
      </c>
      <c r="B957" s="407" t="s">
        <v>1070</v>
      </c>
      <c r="C957" s="366">
        <f t="shared" si="79"/>
        <v>0</v>
      </c>
      <c r="D957" s="366"/>
      <c r="E957" s="305"/>
      <c r="F957" s="366"/>
      <c r="G957" s="411"/>
      <c r="H957" s="305"/>
      <c r="I957" s="366"/>
      <c r="J957" s="366"/>
      <c r="K957" s="305"/>
      <c r="L957" s="366"/>
      <c r="M957" s="366"/>
      <c r="N957" s="309"/>
      <c r="O957" s="366"/>
      <c r="P957" s="409"/>
      <c r="Q957" s="305"/>
      <c r="R957" s="410"/>
      <c r="S957" s="309"/>
    </row>
    <row r="958" spans="1:19" ht="15">
      <c r="A958" s="408" t="s">
        <v>368</v>
      </c>
      <c r="B958" s="407" t="s">
        <v>362</v>
      </c>
      <c r="C958" s="366">
        <f t="shared" si="79"/>
        <v>2307.46</v>
      </c>
      <c r="D958" s="366">
        <v>2307.46</v>
      </c>
      <c r="E958" s="305">
        <v>529.61</v>
      </c>
      <c r="F958" s="366">
        <v>164.51</v>
      </c>
      <c r="G958" s="411"/>
      <c r="H958" s="305"/>
      <c r="I958" s="366"/>
      <c r="J958" s="366"/>
      <c r="K958" s="305"/>
      <c r="L958" s="366"/>
      <c r="M958" s="366"/>
      <c r="N958" s="309"/>
      <c r="O958" s="366"/>
      <c r="P958" s="409"/>
      <c r="Q958" s="305"/>
      <c r="R958" s="410"/>
      <c r="S958" s="309">
        <v>41</v>
      </c>
    </row>
    <row r="959" spans="1:19" ht="15">
      <c r="A959" s="408" t="s">
        <v>1082</v>
      </c>
      <c r="B959" s="407" t="s">
        <v>1045</v>
      </c>
      <c r="C959" s="366">
        <f t="shared" si="79"/>
        <v>0</v>
      </c>
      <c r="D959" s="366"/>
      <c r="E959" s="305"/>
      <c r="F959" s="366"/>
      <c r="G959" s="411"/>
      <c r="H959" s="305"/>
      <c r="I959" s="366"/>
      <c r="J959" s="366"/>
      <c r="K959" s="305"/>
      <c r="L959" s="366"/>
      <c r="M959" s="366"/>
      <c r="N959" s="309"/>
      <c r="O959" s="366"/>
      <c r="P959" s="409"/>
      <c r="Q959" s="305"/>
      <c r="R959" s="410"/>
      <c r="S959" s="309" t="s">
        <v>306</v>
      </c>
    </row>
    <row r="960" spans="1:19" ht="13">
      <c r="A960" s="470" t="s">
        <v>860</v>
      </c>
      <c r="B960" s="471"/>
      <c r="C960" s="422" t="s">
        <v>89</v>
      </c>
      <c r="D960" s="324" t="s">
        <v>676</v>
      </c>
      <c r="E960" s="325" t="s">
        <v>861</v>
      </c>
      <c r="F960" s="355" t="s">
        <v>862</v>
      </c>
      <c r="G960" s="324" t="s">
        <v>676</v>
      </c>
      <c r="H960" s="325" t="s">
        <v>861</v>
      </c>
      <c r="I960" s="355" t="s">
        <v>862</v>
      </c>
      <c r="J960" s="324" t="s">
        <v>676</v>
      </c>
      <c r="K960" s="325" t="s">
        <v>861</v>
      </c>
      <c r="L960" s="355" t="s">
        <v>862</v>
      </c>
      <c r="M960" s="324" t="s">
        <v>676</v>
      </c>
      <c r="N960" s="325" t="s">
        <v>861</v>
      </c>
      <c r="O960" s="355" t="s">
        <v>862</v>
      </c>
      <c r="P960" s="324" t="s">
        <v>881</v>
      </c>
      <c r="Q960" s="325" t="s">
        <v>861</v>
      </c>
      <c r="R960" s="325" t="s">
        <v>865</v>
      </c>
      <c r="S960" s="412" t="s">
        <v>1031</v>
      </c>
    </row>
    <row r="961" spans="1:19" ht="13">
      <c r="A961" s="470" t="s">
        <v>863</v>
      </c>
      <c r="B961" s="471"/>
      <c r="C961" s="326">
        <f>SUM(C930:C959)</f>
        <v>41793.340000000004</v>
      </c>
      <c r="D961" s="326">
        <f>SUM(D930:D953)+SUM(G930:G953)+SUM(J930:J953)</f>
        <v>37336.020000000004</v>
      </c>
      <c r="E961" s="327">
        <f>SUM(E930:E949)+SUM(H930:H949)+SUM(K930:K949)+SUM(N930:N949)</f>
        <v>7419.0830000000005</v>
      </c>
      <c r="F961" s="328">
        <f>SUM(F930:F949)</f>
        <v>2980.4700000000003</v>
      </c>
      <c r="G961" s="329"/>
      <c r="H961" s="329"/>
      <c r="I961" s="329"/>
      <c r="J961" s="329"/>
      <c r="K961" s="329"/>
      <c r="L961" s="329"/>
      <c r="M961" s="329"/>
      <c r="N961" s="329"/>
      <c r="O961" s="329"/>
      <c r="P961" s="329"/>
      <c r="Q961" s="329"/>
      <c r="R961" s="329"/>
    </row>
    <row r="962" spans="1:19" ht="13">
      <c r="A962" s="282"/>
      <c r="B962" s="282"/>
      <c r="C962" s="282"/>
      <c r="D962" s="282"/>
      <c r="E962" s="282"/>
      <c r="F962" s="282"/>
      <c r="G962" s="282"/>
      <c r="H962" s="282"/>
      <c r="I962" s="329"/>
      <c r="J962" s="329"/>
      <c r="K962" s="329"/>
      <c r="L962" s="329"/>
      <c r="M962" s="329"/>
      <c r="N962" s="329"/>
      <c r="O962" s="329"/>
      <c r="P962" s="329"/>
      <c r="Q962" s="329"/>
      <c r="R962" s="329"/>
    </row>
    <row r="963" spans="1:19" ht="13">
      <c r="A963" s="472" t="s">
        <v>1097</v>
      </c>
      <c r="B963" s="466"/>
      <c r="C963" s="466"/>
      <c r="D963" s="466"/>
      <c r="E963" s="466"/>
      <c r="F963" s="466"/>
      <c r="G963" s="466"/>
      <c r="H963" s="466"/>
      <c r="I963" s="466"/>
      <c r="J963" s="466"/>
      <c r="K963" s="466"/>
      <c r="L963" s="466"/>
      <c r="M963" s="466"/>
      <c r="N963" s="466"/>
      <c r="O963" s="466"/>
      <c r="P963" s="466"/>
      <c r="Q963" s="466"/>
      <c r="R963" s="466"/>
      <c r="S963" s="466"/>
    </row>
    <row r="964" spans="1:19" ht="13">
      <c r="A964" s="356" t="s">
        <v>849</v>
      </c>
      <c r="B964" s="356" t="s">
        <v>1</v>
      </c>
      <c r="C964" s="356" t="s">
        <v>89</v>
      </c>
      <c r="D964" s="473" t="s">
        <v>850</v>
      </c>
      <c r="E964" s="466"/>
      <c r="F964" s="467"/>
      <c r="G964" s="465" t="s">
        <v>852</v>
      </c>
      <c r="H964" s="466"/>
      <c r="I964" s="467"/>
      <c r="J964" s="465" t="s">
        <v>1013</v>
      </c>
      <c r="K964" s="466"/>
      <c r="L964" s="467"/>
      <c r="M964" s="465" t="s">
        <v>1093</v>
      </c>
      <c r="N964" s="466"/>
      <c r="O964" s="467"/>
      <c r="P964" s="465" t="s">
        <v>865</v>
      </c>
      <c r="Q964" s="466"/>
      <c r="R964" s="467"/>
      <c r="S964" s="356" t="s">
        <v>1028</v>
      </c>
    </row>
    <row r="965" spans="1:19" ht="15">
      <c r="A965" s="400" t="s">
        <v>347</v>
      </c>
      <c r="B965" s="413">
        <v>352368</v>
      </c>
      <c r="C965" s="366">
        <f t="shared" ref="C965:C994" si="80">D965+G965+J965+M965</f>
        <v>0</v>
      </c>
      <c r="D965" s="366"/>
      <c r="E965" s="305"/>
      <c r="F965" s="366"/>
      <c r="G965" s="366"/>
      <c r="H965" s="305"/>
      <c r="I965" s="366"/>
      <c r="J965" s="366"/>
      <c r="K965" s="305"/>
      <c r="L965" s="366"/>
      <c r="M965" s="366"/>
      <c r="N965" s="309"/>
      <c r="O965" s="366"/>
      <c r="P965" s="345"/>
      <c r="Q965" s="305"/>
      <c r="R965" s="410"/>
      <c r="S965" s="309">
        <v>79</v>
      </c>
    </row>
    <row r="966" spans="1:19" ht="15">
      <c r="A966" s="399" t="s">
        <v>355</v>
      </c>
      <c r="B966" s="413">
        <v>352371</v>
      </c>
      <c r="C966" s="366">
        <f t="shared" si="80"/>
        <v>2837.69</v>
      </c>
      <c r="D966" s="366">
        <v>2837.69</v>
      </c>
      <c r="E966" s="305">
        <v>626.42999999999995</v>
      </c>
      <c r="F966" s="366">
        <v>247.31</v>
      </c>
      <c r="G966" s="366"/>
      <c r="H966" s="305"/>
      <c r="I966" s="366"/>
      <c r="J966" s="366"/>
      <c r="K966" s="309"/>
      <c r="L966" s="366"/>
      <c r="M966" s="366"/>
      <c r="N966" s="309"/>
      <c r="O966" s="366"/>
      <c r="P966" s="418"/>
      <c r="Q966" s="305"/>
      <c r="R966" s="410"/>
      <c r="S966" s="309">
        <v>48</v>
      </c>
    </row>
    <row r="967" spans="1:19" ht="15">
      <c r="A967" s="398"/>
      <c r="B967" s="413">
        <v>352372</v>
      </c>
      <c r="C967" s="366">
        <f t="shared" si="80"/>
        <v>0</v>
      </c>
      <c r="D967" s="366"/>
      <c r="E967" s="305"/>
      <c r="F967" s="366"/>
      <c r="G967" s="366"/>
      <c r="H967" s="305"/>
      <c r="I967" s="366"/>
      <c r="J967" s="366"/>
      <c r="K967" s="309"/>
      <c r="L967" s="366"/>
      <c r="M967" s="366"/>
      <c r="N967" s="309"/>
      <c r="O967" s="366"/>
      <c r="P967" s="418"/>
      <c r="Q967" s="305"/>
      <c r="R967" s="410"/>
      <c r="S967" s="309">
        <v>41</v>
      </c>
    </row>
    <row r="968" spans="1:19" ht="15">
      <c r="A968" s="171" t="s">
        <v>393</v>
      </c>
      <c r="B968" s="413">
        <v>352373</v>
      </c>
      <c r="C968" s="366">
        <f t="shared" si="80"/>
        <v>2761.35</v>
      </c>
      <c r="D968" s="366">
        <v>2761.35</v>
      </c>
      <c r="E968" s="410" t="s">
        <v>1098</v>
      </c>
      <c r="F968" s="366">
        <v>371.1</v>
      </c>
      <c r="G968" s="366"/>
      <c r="H968" s="305"/>
      <c r="I968" s="366"/>
      <c r="J968" s="366"/>
      <c r="K968" s="309"/>
      <c r="L968" s="366"/>
      <c r="M968" s="366"/>
      <c r="N968" s="309"/>
      <c r="O968" s="366"/>
      <c r="P968" s="418"/>
      <c r="Q968" s="305"/>
      <c r="R968" s="410"/>
      <c r="S968" s="309">
        <v>12</v>
      </c>
    </row>
    <row r="969" spans="1:19" ht="15">
      <c r="A969" s="398" t="s">
        <v>1072</v>
      </c>
      <c r="B969" s="407" t="s">
        <v>403</v>
      </c>
      <c r="C969" s="366">
        <f t="shared" si="80"/>
        <v>537.57000000000005</v>
      </c>
      <c r="D969" s="366">
        <v>537.57000000000005</v>
      </c>
      <c r="E969" s="305">
        <v>125.34</v>
      </c>
      <c r="F969" s="366">
        <v>114.04</v>
      </c>
      <c r="G969" s="366"/>
      <c r="H969" s="305"/>
      <c r="I969" s="366"/>
      <c r="J969" s="366"/>
      <c r="K969" s="309"/>
      <c r="L969" s="366"/>
      <c r="M969" s="366"/>
      <c r="N969" s="309"/>
      <c r="O969" s="366"/>
      <c r="P969" s="418"/>
      <c r="Q969" s="305"/>
      <c r="R969" s="410"/>
      <c r="S969" s="309">
        <v>86</v>
      </c>
    </row>
    <row r="970" spans="1:19" ht="15">
      <c r="A970" s="398"/>
      <c r="B970" s="413">
        <v>352375</v>
      </c>
      <c r="C970" s="366">
        <f t="shared" si="80"/>
        <v>0</v>
      </c>
      <c r="D970" s="366"/>
      <c r="E970" s="305"/>
      <c r="F970" s="366"/>
      <c r="G970" s="366"/>
      <c r="H970" s="305"/>
      <c r="I970" s="366"/>
      <c r="J970" s="366"/>
      <c r="K970" s="309"/>
      <c r="L970" s="366"/>
      <c r="M970" s="366"/>
      <c r="N970" s="309"/>
      <c r="O970" s="366"/>
      <c r="P970" s="418"/>
      <c r="Q970" s="305"/>
      <c r="R970" s="410"/>
      <c r="S970" s="309">
        <v>49</v>
      </c>
    </row>
    <row r="971" spans="1:19" ht="15">
      <c r="A971" s="398" t="s">
        <v>62</v>
      </c>
      <c r="B971" s="413">
        <v>352376</v>
      </c>
      <c r="C971" s="366">
        <f t="shared" si="80"/>
        <v>0</v>
      </c>
      <c r="D971" s="366"/>
      <c r="E971" s="305"/>
      <c r="F971" s="366"/>
      <c r="G971" s="366"/>
      <c r="H971" s="305"/>
      <c r="I971" s="366"/>
      <c r="J971" s="366"/>
      <c r="K971" s="309"/>
      <c r="L971" s="366"/>
      <c r="M971" s="366"/>
      <c r="N971" s="309"/>
      <c r="O971" s="366"/>
      <c r="P971" s="418"/>
      <c r="Q971" s="305"/>
      <c r="R971" s="410"/>
      <c r="S971" s="309">
        <v>55</v>
      </c>
    </row>
    <row r="972" spans="1:19" ht="15">
      <c r="A972" s="398" t="s">
        <v>390</v>
      </c>
      <c r="B972" s="413">
        <v>352377</v>
      </c>
      <c r="C972" s="366">
        <f t="shared" si="80"/>
        <v>3088.11</v>
      </c>
      <c r="D972" s="366">
        <v>3088.11</v>
      </c>
      <c r="E972" s="305">
        <v>699.34</v>
      </c>
      <c r="F972" s="366">
        <v>112.25</v>
      </c>
      <c r="G972" s="366"/>
      <c r="H972" s="305"/>
      <c r="I972" s="366"/>
      <c r="J972" s="366"/>
      <c r="K972" s="309"/>
      <c r="L972" s="366"/>
      <c r="M972" s="366"/>
      <c r="N972" s="309"/>
      <c r="O972" s="366"/>
      <c r="P972" s="418"/>
      <c r="Q972" s="305"/>
      <c r="R972" s="410"/>
      <c r="S972" s="309">
        <v>77</v>
      </c>
    </row>
    <row r="973" spans="1:19" ht="15">
      <c r="A973" s="398"/>
      <c r="B973" s="413">
        <v>359885</v>
      </c>
      <c r="C973" s="366">
        <f t="shared" si="80"/>
        <v>0</v>
      </c>
      <c r="D973" s="366"/>
      <c r="E973" s="305"/>
      <c r="F973" s="366"/>
      <c r="G973" s="366"/>
      <c r="H973" s="305"/>
      <c r="I973" s="366"/>
      <c r="J973" s="366"/>
      <c r="K973" s="309"/>
      <c r="L973" s="366"/>
      <c r="M973" s="366"/>
      <c r="N973" s="309"/>
      <c r="O973" s="366"/>
      <c r="P973" s="418"/>
      <c r="Q973" s="305"/>
      <c r="R973" s="410"/>
      <c r="S973" s="309">
        <v>97</v>
      </c>
    </row>
    <row r="974" spans="1:19" ht="15">
      <c r="A974" s="171"/>
      <c r="B974" s="413">
        <v>359886</v>
      </c>
      <c r="C974" s="366">
        <f t="shared" si="80"/>
        <v>0</v>
      </c>
      <c r="D974" s="366"/>
      <c r="E974" s="305"/>
      <c r="F974" s="366"/>
      <c r="G974" s="366"/>
      <c r="H974" s="305"/>
      <c r="I974" s="366"/>
      <c r="J974" s="366"/>
      <c r="K974" s="309"/>
      <c r="L974" s="366"/>
      <c r="M974" s="366"/>
      <c r="N974" s="309"/>
      <c r="O974" s="366"/>
      <c r="P974" s="418"/>
      <c r="Q974" s="305"/>
      <c r="R974" s="410"/>
      <c r="S974" s="309">
        <v>68</v>
      </c>
    </row>
    <row r="975" spans="1:19" ht="15">
      <c r="A975" s="398" t="s">
        <v>319</v>
      </c>
      <c r="B975" s="413">
        <v>465180</v>
      </c>
      <c r="C975" s="366">
        <f t="shared" si="80"/>
        <v>1933.28</v>
      </c>
      <c r="D975" s="366">
        <v>1933.28</v>
      </c>
      <c r="E975" s="305">
        <v>456.43</v>
      </c>
      <c r="F975" s="366">
        <v>272.26</v>
      </c>
      <c r="G975" s="366"/>
      <c r="H975" s="305"/>
      <c r="I975" s="366"/>
      <c r="J975" s="366"/>
      <c r="K975" s="309"/>
      <c r="L975" s="366"/>
      <c r="M975" s="366"/>
      <c r="N975" s="309"/>
      <c r="O975" s="366"/>
      <c r="P975" s="418"/>
      <c r="Q975" s="305"/>
      <c r="R975" s="410"/>
      <c r="S975" s="309">
        <v>100</v>
      </c>
    </row>
    <row r="976" spans="1:19" ht="15">
      <c r="A976" s="398" t="s">
        <v>322</v>
      </c>
      <c r="B976" s="413">
        <v>465181</v>
      </c>
      <c r="C976" s="366">
        <f t="shared" si="80"/>
        <v>990.19</v>
      </c>
      <c r="D976" s="366">
        <v>990.19</v>
      </c>
      <c r="E976" s="305">
        <v>235.41</v>
      </c>
      <c r="F976" s="366">
        <v>110.73</v>
      </c>
      <c r="G976" s="366"/>
      <c r="H976" s="305"/>
      <c r="I976" s="366"/>
      <c r="J976" s="366"/>
      <c r="K976" s="309"/>
      <c r="L976" s="366"/>
      <c r="M976" s="366"/>
      <c r="N976" s="309"/>
      <c r="O976" s="366"/>
      <c r="P976" s="418"/>
      <c r="Q976" s="305"/>
      <c r="R976" s="410"/>
      <c r="S976" s="309">
        <v>56</v>
      </c>
    </row>
    <row r="977" spans="1:19" ht="15">
      <c r="A977" s="398" t="s">
        <v>349</v>
      </c>
      <c r="B977" s="413">
        <v>465182</v>
      </c>
      <c r="C977" s="366">
        <f t="shared" si="80"/>
        <v>3533</v>
      </c>
      <c r="D977" s="366">
        <v>3533</v>
      </c>
      <c r="E977" s="305">
        <v>818.85</v>
      </c>
      <c r="F977" s="366">
        <v>216.28</v>
      </c>
      <c r="G977" s="366"/>
      <c r="H977" s="305"/>
      <c r="I977" s="366"/>
      <c r="J977" s="366"/>
      <c r="K977" s="309"/>
      <c r="L977" s="366"/>
      <c r="M977" s="366"/>
      <c r="N977" s="309"/>
      <c r="O977" s="366"/>
      <c r="P977" s="418"/>
      <c r="Q977" s="305"/>
      <c r="R977" s="410"/>
      <c r="S977" s="309">
        <v>21</v>
      </c>
    </row>
    <row r="978" spans="1:19" ht="15">
      <c r="A978" s="398" t="s">
        <v>88</v>
      </c>
      <c r="B978" s="413">
        <v>465183</v>
      </c>
      <c r="C978" s="366">
        <f t="shared" si="80"/>
        <v>2823.69</v>
      </c>
      <c r="D978" s="366">
        <v>2823.69</v>
      </c>
      <c r="E978" s="305">
        <v>587.02</v>
      </c>
      <c r="F978" s="366">
        <v>540.89</v>
      </c>
      <c r="G978" s="366"/>
      <c r="H978" s="305"/>
      <c r="I978" s="366"/>
      <c r="J978" s="366"/>
      <c r="K978" s="309"/>
      <c r="L978" s="366"/>
      <c r="M978" s="366"/>
      <c r="N978" s="309"/>
      <c r="O978" s="366"/>
      <c r="P978" s="418"/>
      <c r="Q978" s="305"/>
      <c r="R978" s="410"/>
      <c r="S978" s="309">
        <v>89</v>
      </c>
    </row>
    <row r="979" spans="1:19" ht="15">
      <c r="A979" s="347" t="s">
        <v>40</v>
      </c>
      <c r="B979" s="413">
        <v>465184</v>
      </c>
      <c r="C979" s="366">
        <f t="shared" si="80"/>
        <v>0</v>
      </c>
      <c r="D979" s="366"/>
      <c r="E979" s="305"/>
      <c r="F979" s="366"/>
      <c r="G979" s="366"/>
      <c r="H979" s="305"/>
      <c r="I979" s="366"/>
      <c r="J979" s="366"/>
      <c r="K979" s="309"/>
      <c r="L979" s="366"/>
      <c r="M979" s="366"/>
      <c r="N979" s="309"/>
      <c r="O979" s="366"/>
      <c r="P979" s="418"/>
      <c r="Q979" s="305"/>
      <c r="R979" s="410"/>
      <c r="S979" s="309">
        <v>26</v>
      </c>
    </row>
    <row r="980" spans="1:19" ht="15">
      <c r="A980" s="398" t="s">
        <v>75</v>
      </c>
      <c r="B980" s="413">
        <v>465185</v>
      </c>
      <c r="C980" s="366">
        <f t="shared" si="80"/>
        <v>0</v>
      </c>
      <c r="D980" s="366"/>
      <c r="E980" s="305"/>
      <c r="F980" s="366"/>
      <c r="G980" s="366"/>
      <c r="H980" s="305"/>
      <c r="I980" s="366"/>
      <c r="J980" s="366"/>
      <c r="K980" s="309"/>
      <c r="L980" s="366"/>
      <c r="M980" s="366"/>
      <c r="N980" s="309"/>
      <c r="O980" s="366"/>
      <c r="P980" s="418"/>
      <c r="Q980" s="305"/>
      <c r="R980" s="410"/>
      <c r="S980" s="309">
        <v>78</v>
      </c>
    </row>
    <row r="981" spans="1:19" ht="15">
      <c r="A981" s="398" t="s">
        <v>404</v>
      </c>
      <c r="B981" s="413">
        <v>465186</v>
      </c>
      <c r="C981" s="366">
        <f t="shared" si="80"/>
        <v>2644.3</v>
      </c>
      <c r="D981" s="366">
        <v>2644.3</v>
      </c>
      <c r="E981" s="305">
        <v>636.59</v>
      </c>
      <c r="F981" s="366">
        <v>61.43</v>
      </c>
      <c r="G981" s="366"/>
      <c r="H981" s="305"/>
      <c r="I981" s="366"/>
      <c r="J981" s="366"/>
      <c r="K981" s="309"/>
      <c r="L981" s="366"/>
      <c r="M981" s="366"/>
      <c r="N981" s="309"/>
      <c r="O981" s="366"/>
      <c r="P981" s="418"/>
      <c r="Q981" s="305"/>
      <c r="R981" s="410"/>
      <c r="S981" s="309">
        <v>50</v>
      </c>
    </row>
    <row r="982" spans="1:19" ht="15">
      <c r="A982" s="398" t="s">
        <v>192</v>
      </c>
      <c r="B982" s="413">
        <v>465187</v>
      </c>
      <c r="C982" s="366">
        <f t="shared" si="80"/>
        <v>4011.43</v>
      </c>
      <c r="D982" s="366">
        <v>4011.43</v>
      </c>
      <c r="E982" s="305">
        <v>938.07</v>
      </c>
      <c r="F982" s="366">
        <v>321.83</v>
      </c>
      <c r="G982" s="366"/>
      <c r="H982" s="305"/>
      <c r="I982" s="366"/>
      <c r="J982" s="366"/>
      <c r="K982" s="309"/>
      <c r="L982" s="366"/>
      <c r="M982" s="366"/>
      <c r="N982" s="309"/>
      <c r="O982" s="366"/>
      <c r="P982" s="418"/>
      <c r="Q982" s="305"/>
      <c r="R982" s="410"/>
      <c r="S982" s="309">
        <v>50</v>
      </c>
    </row>
    <row r="983" spans="1:19" ht="15">
      <c r="A983" s="400" t="s">
        <v>407</v>
      </c>
      <c r="B983" s="413">
        <v>465188</v>
      </c>
      <c r="C983" s="366">
        <f t="shared" si="80"/>
        <v>0</v>
      </c>
      <c r="D983" s="366"/>
      <c r="E983" s="305"/>
      <c r="F983" s="366"/>
      <c r="G983" s="366"/>
      <c r="H983" s="305"/>
      <c r="I983" s="366"/>
      <c r="J983" s="366"/>
      <c r="K983" s="309"/>
      <c r="L983" s="366"/>
      <c r="M983" s="366"/>
      <c r="N983" s="309"/>
      <c r="O983" s="366"/>
      <c r="P983" s="418"/>
      <c r="Q983" s="305"/>
      <c r="R983" s="410"/>
      <c r="S983" s="309">
        <v>82</v>
      </c>
    </row>
    <row r="984" spans="1:19" ht="15">
      <c r="A984" s="400" t="s">
        <v>407</v>
      </c>
      <c r="B984" s="413">
        <v>465189</v>
      </c>
      <c r="C984" s="366">
        <f t="shared" si="80"/>
        <v>0</v>
      </c>
      <c r="D984" s="366"/>
      <c r="E984" s="410"/>
      <c r="F984" s="366"/>
      <c r="G984" s="366"/>
      <c r="H984" s="305"/>
      <c r="I984" s="366"/>
      <c r="J984" s="366"/>
      <c r="K984" s="309"/>
      <c r="L984" s="366"/>
      <c r="M984" s="366"/>
      <c r="N984" s="309"/>
      <c r="O984" s="366"/>
      <c r="P984" s="418"/>
      <c r="Q984" s="305"/>
      <c r="R984" s="410"/>
      <c r="S984" s="309">
        <v>29</v>
      </c>
    </row>
    <row r="985" spans="1:19" ht="15">
      <c r="A985" s="408" t="s">
        <v>408</v>
      </c>
      <c r="B985" s="413">
        <v>1122</v>
      </c>
      <c r="C985" s="366">
        <f t="shared" si="80"/>
        <v>1547.59</v>
      </c>
      <c r="D985" s="366">
        <v>1547.59</v>
      </c>
      <c r="E985" s="366">
        <v>381.33</v>
      </c>
      <c r="F985" s="366">
        <v>97.39</v>
      </c>
      <c r="G985" s="366"/>
      <c r="H985" s="305"/>
      <c r="I985" s="366"/>
      <c r="J985" s="366"/>
      <c r="K985" s="309"/>
      <c r="L985" s="366"/>
      <c r="M985" s="366"/>
      <c r="N985" s="309"/>
      <c r="O985" s="366"/>
      <c r="P985" s="426"/>
      <c r="Q985" s="305"/>
      <c r="R985" s="410"/>
      <c r="S985" s="309" t="s">
        <v>306</v>
      </c>
    </row>
    <row r="986" spans="1:19" ht="15">
      <c r="A986" s="408" t="s">
        <v>386</v>
      </c>
      <c r="B986" s="413">
        <v>218</v>
      </c>
      <c r="C986" s="366">
        <f t="shared" si="80"/>
        <v>923.67</v>
      </c>
      <c r="D986" s="366">
        <v>923.67</v>
      </c>
      <c r="E986" s="366">
        <v>240.35</v>
      </c>
      <c r="F986" s="366">
        <v>48.22</v>
      </c>
      <c r="G986" s="366"/>
      <c r="H986" s="305"/>
      <c r="I986" s="366"/>
      <c r="J986" s="366"/>
      <c r="K986" s="309"/>
      <c r="L986" s="366"/>
      <c r="M986" s="366"/>
      <c r="N986" s="309"/>
      <c r="O986" s="366"/>
      <c r="P986" s="426"/>
      <c r="Q986" s="305"/>
      <c r="R986" s="410"/>
      <c r="S986" s="309">
        <v>100</v>
      </c>
    </row>
    <row r="987" spans="1:19" ht="15">
      <c r="A987" s="408" t="s">
        <v>391</v>
      </c>
      <c r="B987" s="413">
        <v>86</v>
      </c>
      <c r="C987" s="366">
        <f t="shared" si="80"/>
        <v>0</v>
      </c>
      <c r="D987" s="366"/>
      <c r="E987" s="366"/>
      <c r="F987" s="366"/>
      <c r="G987" s="366"/>
      <c r="H987" s="305"/>
      <c r="I987" s="366"/>
      <c r="J987" s="366"/>
      <c r="K987" s="309"/>
      <c r="L987" s="366"/>
      <c r="M987" s="366"/>
      <c r="N987" s="309"/>
      <c r="O987" s="366"/>
      <c r="P987" s="409"/>
      <c r="Q987" s="305"/>
      <c r="R987" s="410"/>
      <c r="S987" s="309"/>
    </row>
    <row r="988" spans="1:19" ht="15">
      <c r="A988" s="408" t="s">
        <v>1067</v>
      </c>
      <c r="B988" s="407" t="s">
        <v>362</v>
      </c>
      <c r="C988" s="366">
        <f t="shared" si="80"/>
        <v>1586</v>
      </c>
      <c r="D988" s="366">
        <v>1586</v>
      </c>
      <c r="E988" s="366">
        <v>382.45</v>
      </c>
      <c r="F988" s="366">
        <v>99.35</v>
      </c>
      <c r="G988" s="366"/>
      <c r="H988" s="305"/>
      <c r="I988" s="366"/>
      <c r="J988" s="366"/>
      <c r="K988" s="309"/>
      <c r="L988" s="366"/>
      <c r="M988" s="366"/>
      <c r="N988" s="309"/>
      <c r="O988" s="366"/>
      <c r="P988" s="409"/>
      <c r="Q988" s="305"/>
      <c r="R988" s="410"/>
      <c r="S988" s="309">
        <v>24</v>
      </c>
    </row>
    <row r="989" spans="1:19" ht="15">
      <c r="A989" s="408" t="s">
        <v>1041</v>
      </c>
      <c r="B989" s="407" t="s">
        <v>1068</v>
      </c>
      <c r="C989" s="366">
        <f t="shared" si="80"/>
        <v>2038.01</v>
      </c>
      <c r="D989" s="366">
        <v>2038.01</v>
      </c>
      <c r="E989" s="305">
        <v>564.94000000000005</v>
      </c>
      <c r="F989" s="366">
        <v>0</v>
      </c>
      <c r="G989" s="411"/>
      <c r="H989" s="305"/>
      <c r="I989" s="366"/>
      <c r="J989" s="366"/>
      <c r="K989" s="305"/>
      <c r="L989" s="366"/>
      <c r="M989" s="366"/>
      <c r="N989" s="309"/>
      <c r="O989" s="366"/>
      <c r="P989" s="409"/>
      <c r="Q989" s="305"/>
      <c r="R989" s="410"/>
      <c r="S989" s="309" t="s">
        <v>306</v>
      </c>
    </row>
    <row r="990" spans="1:19" ht="15">
      <c r="A990" s="408" t="s">
        <v>1043</v>
      </c>
      <c r="B990" s="407" t="s">
        <v>1069</v>
      </c>
      <c r="C990" s="366">
        <f t="shared" si="80"/>
        <v>2466.56</v>
      </c>
      <c r="D990" s="366">
        <v>2466.56</v>
      </c>
      <c r="E990" s="305">
        <v>620.34</v>
      </c>
      <c r="F990" s="366">
        <v>30.3</v>
      </c>
      <c r="G990" s="411"/>
      <c r="H990" s="305"/>
      <c r="I990" s="366"/>
      <c r="J990" s="366"/>
      <c r="K990" s="305"/>
      <c r="L990" s="366"/>
      <c r="M990" s="366"/>
      <c r="N990" s="309"/>
      <c r="O990" s="366"/>
      <c r="P990" s="409"/>
      <c r="Q990" s="305"/>
      <c r="R990" s="410"/>
      <c r="S990" s="309">
        <v>68</v>
      </c>
    </row>
    <row r="991" spans="1:19" ht="15">
      <c r="A991" s="408" t="s">
        <v>359</v>
      </c>
      <c r="B991" s="407" t="s">
        <v>360</v>
      </c>
      <c r="C991" s="366">
        <f t="shared" si="80"/>
        <v>0</v>
      </c>
      <c r="D991" s="366"/>
      <c r="E991" s="305"/>
      <c r="F991" s="366"/>
      <c r="G991" s="411"/>
      <c r="H991" s="305"/>
      <c r="I991" s="366"/>
      <c r="J991" s="366"/>
      <c r="K991" s="305"/>
      <c r="L991" s="366"/>
      <c r="M991" s="366"/>
      <c r="N991" s="309"/>
      <c r="O991" s="366"/>
      <c r="P991" s="409"/>
      <c r="Q991" s="305"/>
      <c r="R991" s="410"/>
      <c r="S991" s="309" t="s">
        <v>306</v>
      </c>
    </row>
    <row r="992" spans="1:19" ht="15">
      <c r="A992" s="408" t="s">
        <v>370</v>
      </c>
      <c r="B992" s="407" t="s">
        <v>1070</v>
      </c>
      <c r="C992" s="366">
        <f t="shared" si="80"/>
        <v>0</v>
      </c>
      <c r="D992" s="366"/>
      <c r="E992" s="305"/>
      <c r="F992" s="366"/>
      <c r="G992" s="411"/>
      <c r="H992" s="305"/>
      <c r="I992" s="366"/>
      <c r="J992" s="366"/>
      <c r="K992" s="305"/>
      <c r="L992" s="366"/>
      <c r="M992" s="366"/>
      <c r="N992" s="309"/>
      <c r="O992" s="366"/>
      <c r="P992" s="409"/>
      <c r="Q992" s="305"/>
      <c r="R992" s="410"/>
      <c r="S992" s="309"/>
    </row>
    <row r="993" spans="1:19" ht="15">
      <c r="A993" s="408" t="s">
        <v>368</v>
      </c>
      <c r="B993" s="407" t="s">
        <v>362</v>
      </c>
      <c r="C993" s="366">
        <f t="shared" si="80"/>
        <v>1410.09</v>
      </c>
      <c r="D993" s="366">
        <v>1410.09</v>
      </c>
      <c r="E993" s="305">
        <v>317.61</v>
      </c>
      <c r="F993" s="366">
        <v>31.75</v>
      </c>
      <c r="G993" s="411"/>
      <c r="H993" s="305"/>
      <c r="I993" s="366"/>
      <c r="J993" s="366"/>
      <c r="K993" s="305"/>
      <c r="L993" s="366"/>
      <c r="M993" s="366"/>
      <c r="N993" s="309"/>
      <c r="O993" s="366"/>
      <c r="P993" s="409"/>
      <c r="Q993" s="305"/>
      <c r="R993" s="410"/>
      <c r="S993" s="309">
        <v>68</v>
      </c>
    </row>
    <row r="994" spans="1:19" ht="15">
      <c r="A994" s="408" t="s">
        <v>1082</v>
      </c>
      <c r="B994" s="407" t="s">
        <v>1045</v>
      </c>
      <c r="C994" s="366">
        <f t="shared" si="80"/>
        <v>0</v>
      </c>
      <c r="D994" s="366"/>
      <c r="E994" s="305"/>
      <c r="F994" s="366"/>
      <c r="G994" s="411"/>
      <c r="H994" s="305"/>
      <c r="I994" s="366"/>
      <c r="J994" s="366"/>
      <c r="K994" s="305"/>
      <c r="L994" s="366"/>
      <c r="M994" s="366"/>
      <c r="N994" s="309"/>
      <c r="O994" s="366"/>
      <c r="P994" s="409"/>
      <c r="Q994" s="305"/>
      <c r="R994" s="410"/>
      <c r="S994" s="309">
        <v>100</v>
      </c>
    </row>
    <row r="995" spans="1:19" ht="13">
      <c r="A995" s="470" t="s">
        <v>860</v>
      </c>
      <c r="B995" s="471"/>
      <c r="C995" s="422" t="s">
        <v>89</v>
      </c>
      <c r="D995" s="324" t="s">
        <v>676</v>
      </c>
      <c r="E995" s="325" t="s">
        <v>861</v>
      </c>
      <c r="F995" s="355" t="s">
        <v>862</v>
      </c>
      <c r="G995" s="324" t="s">
        <v>676</v>
      </c>
      <c r="H995" s="325" t="s">
        <v>861</v>
      </c>
      <c r="I995" s="355" t="s">
        <v>862</v>
      </c>
      <c r="J995" s="324" t="s">
        <v>676</v>
      </c>
      <c r="K995" s="325" t="s">
        <v>861</v>
      </c>
      <c r="L995" s="355" t="s">
        <v>862</v>
      </c>
      <c r="M995" s="324" t="s">
        <v>676</v>
      </c>
      <c r="N995" s="325" t="s">
        <v>861</v>
      </c>
      <c r="O995" s="355" t="s">
        <v>862</v>
      </c>
      <c r="P995" s="324" t="s">
        <v>881</v>
      </c>
      <c r="Q995" s="325" t="s">
        <v>861</v>
      </c>
      <c r="R995" s="325" t="s">
        <v>865</v>
      </c>
      <c r="S995" s="412" t="s">
        <v>1031</v>
      </c>
    </row>
    <row r="996" spans="1:19" ht="13">
      <c r="A996" s="470" t="s">
        <v>863</v>
      </c>
      <c r="B996" s="471"/>
      <c r="C996" s="326">
        <f>SUM(C965:C994)</f>
        <v>35132.529999999992</v>
      </c>
      <c r="D996" s="326">
        <f>SUM(D965:D988)+SUM(G965:G988)+SUM(J965:J988)</f>
        <v>29217.87</v>
      </c>
      <c r="E996" s="327">
        <f>SUM(E965:E984)+SUM(H965:H984)+SUM(K965:K984)+SUM(N965:N984)</f>
        <v>5123.4799999999996</v>
      </c>
      <c r="F996" s="328">
        <f>SUM(F965:F984)</f>
        <v>2368.1200000000003</v>
      </c>
      <c r="G996" s="329"/>
      <c r="H996" s="329"/>
      <c r="I996" s="329"/>
      <c r="J996" s="329"/>
      <c r="K996" s="329"/>
      <c r="L996" s="329"/>
      <c r="M996" s="329"/>
      <c r="N996" s="329"/>
      <c r="O996" s="329"/>
      <c r="P996" s="329"/>
      <c r="Q996" s="329"/>
      <c r="R996" s="329"/>
    </row>
    <row r="997" spans="1:19" ht="13">
      <c r="A997" s="282"/>
      <c r="B997" s="282"/>
      <c r="C997" s="282"/>
      <c r="D997" s="282"/>
      <c r="E997" s="282"/>
      <c r="F997" s="282"/>
      <c r="G997" s="282"/>
      <c r="H997" s="282"/>
      <c r="I997" s="329"/>
      <c r="J997" s="329"/>
      <c r="K997" s="329"/>
      <c r="L997" s="329"/>
      <c r="M997" s="329"/>
      <c r="N997" s="329"/>
      <c r="O997" s="329"/>
      <c r="P997" s="329"/>
      <c r="Q997" s="329"/>
      <c r="R997" s="329"/>
    </row>
    <row r="998" spans="1:19" ht="13">
      <c r="A998" s="472" t="s">
        <v>1099</v>
      </c>
      <c r="B998" s="466"/>
      <c r="C998" s="466"/>
      <c r="D998" s="466"/>
      <c r="E998" s="466"/>
      <c r="F998" s="466"/>
      <c r="G998" s="466"/>
      <c r="H998" s="466"/>
      <c r="I998" s="466"/>
      <c r="J998" s="466"/>
      <c r="K998" s="466"/>
      <c r="L998" s="466"/>
      <c r="M998" s="466"/>
      <c r="N998" s="466"/>
      <c r="O998" s="466"/>
      <c r="P998" s="466"/>
      <c r="Q998" s="466"/>
      <c r="R998" s="466"/>
      <c r="S998" s="466"/>
    </row>
    <row r="999" spans="1:19" ht="13">
      <c r="A999" s="356" t="s">
        <v>849</v>
      </c>
      <c r="B999" s="356" t="s">
        <v>1</v>
      </c>
      <c r="C999" s="356" t="s">
        <v>89</v>
      </c>
      <c r="D999" s="473" t="s">
        <v>850</v>
      </c>
      <c r="E999" s="466"/>
      <c r="F999" s="467"/>
      <c r="G999" s="465" t="s">
        <v>852</v>
      </c>
      <c r="H999" s="466"/>
      <c r="I999" s="467"/>
      <c r="J999" s="465" t="s">
        <v>1013</v>
      </c>
      <c r="K999" s="466"/>
      <c r="L999" s="467"/>
      <c r="M999" s="465" t="s">
        <v>1093</v>
      </c>
      <c r="N999" s="466"/>
      <c r="O999" s="467"/>
      <c r="P999" s="465" t="s">
        <v>865</v>
      </c>
      <c r="Q999" s="466"/>
      <c r="R999" s="467"/>
      <c r="S999" s="356" t="s">
        <v>1028</v>
      </c>
    </row>
    <row r="1000" spans="1:19" ht="15">
      <c r="A1000" s="400" t="s">
        <v>347</v>
      </c>
      <c r="B1000" s="413">
        <v>352368</v>
      </c>
      <c r="C1000" s="366">
        <f t="shared" ref="C1000:C1029" si="81">D1000+G1000+J1000+M1000</f>
        <v>0</v>
      </c>
      <c r="D1000" s="366"/>
      <c r="E1000" s="305"/>
      <c r="F1000" s="366"/>
      <c r="G1000" s="366"/>
      <c r="H1000" s="305"/>
      <c r="I1000" s="366"/>
      <c r="J1000" s="366"/>
      <c r="K1000" s="305"/>
      <c r="L1000" s="366"/>
      <c r="M1000" s="366"/>
      <c r="N1000" s="309"/>
      <c r="O1000" s="366"/>
      <c r="P1000" s="345"/>
      <c r="Q1000" s="305"/>
      <c r="R1000" s="410"/>
      <c r="S1000" s="309">
        <v>77</v>
      </c>
    </row>
    <row r="1001" spans="1:19" ht="15">
      <c r="A1001" s="399" t="s">
        <v>355</v>
      </c>
      <c r="B1001" s="413">
        <v>352371</v>
      </c>
      <c r="C1001" s="366">
        <f t="shared" si="81"/>
        <v>2173.96</v>
      </c>
      <c r="D1001" s="366">
        <v>1973.96</v>
      </c>
      <c r="E1001" s="305">
        <v>458.26</v>
      </c>
      <c r="F1001" s="366">
        <v>199.64</v>
      </c>
      <c r="G1001" s="366">
        <f>200</f>
        <v>200</v>
      </c>
      <c r="H1001" s="410" t="s">
        <v>1100</v>
      </c>
      <c r="I1001" s="366"/>
      <c r="J1001" s="366"/>
      <c r="K1001" s="309"/>
      <c r="L1001" s="366"/>
      <c r="M1001" s="366"/>
      <c r="N1001" s="309"/>
      <c r="O1001" s="366"/>
      <c r="P1001" s="418"/>
      <c r="Q1001" s="305"/>
      <c r="R1001" s="410"/>
      <c r="S1001" s="309">
        <v>51</v>
      </c>
    </row>
    <row r="1002" spans="1:19" ht="15">
      <c r="A1002" s="398"/>
      <c r="B1002" s="413">
        <v>352372</v>
      </c>
      <c r="C1002" s="366">
        <f t="shared" si="81"/>
        <v>0</v>
      </c>
      <c r="D1002" s="366"/>
      <c r="E1002" s="305"/>
      <c r="F1002" s="366"/>
      <c r="G1002" s="366"/>
      <c r="H1002" s="305"/>
      <c r="I1002" s="366"/>
      <c r="J1002" s="366"/>
      <c r="K1002" s="309"/>
      <c r="L1002" s="366"/>
      <c r="M1002" s="366"/>
      <c r="N1002" s="309"/>
      <c r="O1002" s="366"/>
      <c r="P1002" s="418"/>
      <c r="Q1002" s="305"/>
      <c r="R1002" s="410"/>
      <c r="S1002" s="309"/>
    </row>
    <row r="1003" spans="1:19" ht="15">
      <c r="A1003" s="171" t="s">
        <v>393</v>
      </c>
      <c r="B1003" s="413">
        <v>352373</v>
      </c>
      <c r="C1003" s="366">
        <f t="shared" si="81"/>
        <v>3181.95</v>
      </c>
      <c r="D1003" s="366">
        <v>2881.95</v>
      </c>
      <c r="E1003" s="410" t="s">
        <v>1101</v>
      </c>
      <c r="F1003" s="366">
        <v>421.4</v>
      </c>
      <c r="G1003" s="366">
        <v>300</v>
      </c>
      <c r="H1003" s="305">
        <v>63.77</v>
      </c>
      <c r="I1003" s="366"/>
      <c r="J1003" s="366"/>
      <c r="K1003" s="309"/>
      <c r="L1003" s="366"/>
      <c r="M1003" s="366"/>
      <c r="N1003" s="309"/>
      <c r="O1003" s="366"/>
      <c r="P1003" s="418"/>
      <c r="Q1003" s="305"/>
      <c r="R1003" s="410"/>
      <c r="S1003" s="309">
        <v>75</v>
      </c>
    </row>
    <row r="1004" spans="1:19" ht="15">
      <c r="A1004" s="398" t="s">
        <v>1072</v>
      </c>
      <c r="B1004" s="407" t="s">
        <v>403</v>
      </c>
      <c r="C1004" s="366">
        <f t="shared" si="81"/>
        <v>0</v>
      </c>
      <c r="D1004" s="366"/>
      <c r="E1004" s="305"/>
      <c r="F1004" s="366"/>
      <c r="G1004" s="366"/>
      <c r="H1004" s="305"/>
      <c r="I1004" s="366"/>
      <c r="J1004" s="366"/>
      <c r="K1004" s="309"/>
      <c r="L1004" s="366"/>
      <c r="M1004" s="366"/>
      <c r="N1004" s="309"/>
      <c r="O1004" s="366"/>
      <c r="P1004" s="418"/>
      <c r="Q1004" s="305"/>
      <c r="R1004" s="410"/>
      <c r="S1004" s="309">
        <v>23</v>
      </c>
    </row>
    <row r="1005" spans="1:19" ht="15">
      <c r="A1005" s="398"/>
      <c r="B1005" s="413">
        <v>352375</v>
      </c>
      <c r="C1005" s="366">
        <f t="shared" si="81"/>
        <v>0</v>
      </c>
      <c r="D1005" s="366"/>
      <c r="E1005" s="305"/>
      <c r="F1005" s="366"/>
      <c r="G1005" s="366"/>
      <c r="H1005" s="305"/>
      <c r="I1005" s="366"/>
      <c r="J1005" s="366"/>
      <c r="K1005" s="309"/>
      <c r="L1005" s="366"/>
      <c r="M1005" s="366"/>
      <c r="N1005" s="309"/>
      <c r="O1005" s="366"/>
      <c r="P1005" s="418"/>
      <c r="Q1005" s="305"/>
      <c r="R1005" s="410"/>
      <c r="S1005" s="309"/>
    </row>
    <row r="1006" spans="1:19" ht="15">
      <c r="A1006" s="398" t="s">
        <v>62</v>
      </c>
      <c r="B1006" s="413">
        <v>352376</v>
      </c>
      <c r="C1006" s="366">
        <f t="shared" si="81"/>
        <v>2911.42</v>
      </c>
      <c r="D1006" s="366">
        <v>2911.42</v>
      </c>
      <c r="E1006" s="305">
        <v>718.33</v>
      </c>
      <c r="F1006" s="366">
        <v>139.78</v>
      </c>
      <c r="G1006" s="366"/>
      <c r="H1006" s="305"/>
      <c r="I1006" s="366"/>
      <c r="J1006" s="366"/>
      <c r="K1006" s="309"/>
      <c r="L1006" s="366"/>
      <c r="M1006" s="366"/>
      <c r="N1006" s="309"/>
      <c r="O1006" s="366"/>
      <c r="P1006" s="418"/>
      <c r="Q1006" s="305"/>
      <c r="R1006" s="410"/>
      <c r="S1006" s="309">
        <v>49</v>
      </c>
    </row>
    <row r="1007" spans="1:19" ht="15">
      <c r="A1007" s="398" t="s">
        <v>390</v>
      </c>
      <c r="B1007" s="413">
        <v>352377</v>
      </c>
      <c r="C1007" s="366">
        <f t="shared" si="81"/>
        <v>3204.64</v>
      </c>
      <c r="D1007" s="366">
        <v>3204.64</v>
      </c>
      <c r="E1007" s="305">
        <v>738.63</v>
      </c>
      <c r="F1007" s="366">
        <v>49.33</v>
      </c>
      <c r="G1007" s="366"/>
      <c r="H1007" s="305"/>
      <c r="I1007" s="366"/>
      <c r="J1007" s="366"/>
      <c r="K1007" s="309"/>
      <c r="L1007" s="366"/>
      <c r="M1007" s="366"/>
      <c r="N1007" s="309"/>
      <c r="O1007" s="366"/>
      <c r="P1007" s="418"/>
      <c r="Q1007" s="305"/>
      <c r="R1007" s="410"/>
      <c r="S1007" s="309">
        <v>84</v>
      </c>
    </row>
    <row r="1008" spans="1:19" ht="15">
      <c r="A1008" s="398"/>
      <c r="B1008" s="413">
        <v>359885</v>
      </c>
      <c r="C1008" s="366">
        <f t="shared" si="81"/>
        <v>0</v>
      </c>
      <c r="D1008" s="366"/>
      <c r="E1008" s="305"/>
      <c r="F1008" s="366"/>
      <c r="G1008" s="366"/>
      <c r="H1008" s="305"/>
      <c r="I1008" s="366"/>
      <c r="J1008" s="366"/>
      <c r="K1008" s="309"/>
      <c r="L1008" s="366"/>
      <c r="M1008" s="366"/>
      <c r="N1008" s="309"/>
      <c r="O1008" s="366"/>
      <c r="P1008" s="418"/>
      <c r="Q1008" s="305"/>
      <c r="R1008" s="410"/>
      <c r="S1008" s="309">
        <v>96</v>
      </c>
    </row>
    <row r="1009" spans="1:19" ht="15">
      <c r="A1009" s="171"/>
      <c r="B1009" s="413">
        <v>359886</v>
      </c>
      <c r="C1009" s="366">
        <f t="shared" si="81"/>
        <v>0</v>
      </c>
      <c r="D1009" s="366"/>
      <c r="E1009" s="305"/>
      <c r="F1009" s="366"/>
      <c r="G1009" s="366"/>
      <c r="H1009" s="305"/>
      <c r="I1009" s="366"/>
      <c r="J1009" s="366"/>
      <c r="K1009" s="309"/>
      <c r="L1009" s="366"/>
      <c r="M1009" s="366"/>
      <c r="N1009" s="309"/>
      <c r="O1009" s="366"/>
      <c r="P1009" s="418"/>
      <c r="Q1009" s="305"/>
      <c r="R1009" s="410"/>
      <c r="S1009" s="309"/>
    </row>
    <row r="1010" spans="1:19" ht="15">
      <c r="A1010" s="398" t="s">
        <v>319</v>
      </c>
      <c r="B1010" s="413">
        <v>465180</v>
      </c>
      <c r="C1010" s="366">
        <f t="shared" si="81"/>
        <v>335.89</v>
      </c>
      <c r="D1010" s="366">
        <v>335.89</v>
      </c>
      <c r="E1010" s="305">
        <v>86.37</v>
      </c>
      <c r="F1010" s="366">
        <v>36.979999999999997</v>
      </c>
      <c r="G1010" s="366"/>
      <c r="H1010" s="305"/>
      <c r="I1010" s="366"/>
      <c r="J1010" s="366"/>
      <c r="K1010" s="309"/>
      <c r="L1010" s="366"/>
      <c r="M1010" s="366"/>
      <c r="N1010" s="309"/>
      <c r="O1010" s="366"/>
      <c r="P1010" s="418"/>
      <c r="Q1010" s="305"/>
      <c r="R1010" s="410"/>
      <c r="S1010" s="309">
        <v>74</v>
      </c>
    </row>
    <row r="1011" spans="1:19" ht="15">
      <c r="A1011" s="398" t="s">
        <v>322</v>
      </c>
      <c r="B1011" s="413">
        <v>465181</v>
      </c>
      <c r="C1011" s="366">
        <f t="shared" si="81"/>
        <v>0</v>
      </c>
      <c r="D1011" s="366"/>
      <c r="E1011" s="305"/>
      <c r="F1011" s="366"/>
      <c r="G1011" s="366"/>
      <c r="H1011" s="305"/>
      <c r="I1011" s="366"/>
      <c r="J1011" s="366"/>
      <c r="K1011" s="309"/>
      <c r="L1011" s="366"/>
      <c r="M1011" s="366"/>
      <c r="N1011" s="309"/>
      <c r="O1011" s="366"/>
      <c r="P1011" s="418"/>
      <c r="Q1011" s="305"/>
      <c r="R1011" s="410"/>
      <c r="S1011" s="309">
        <v>100</v>
      </c>
    </row>
    <row r="1012" spans="1:19" ht="15">
      <c r="A1012" s="398" t="s">
        <v>349</v>
      </c>
      <c r="B1012" s="413">
        <v>465182</v>
      </c>
      <c r="C1012" s="366">
        <f t="shared" si="81"/>
        <v>2318.38</v>
      </c>
      <c r="D1012" s="366">
        <v>2318.38</v>
      </c>
      <c r="E1012" s="305">
        <v>555.57000000000005</v>
      </c>
      <c r="F1012" s="366">
        <v>43.78</v>
      </c>
      <c r="G1012" s="366"/>
      <c r="H1012" s="305"/>
      <c r="I1012" s="366"/>
      <c r="J1012" s="366"/>
      <c r="K1012" s="309"/>
      <c r="L1012" s="366"/>
      <c r="M1012" s="366"/>
      <c r="N1012" s="309"/>
      <c r="O1012" s="366"/>
      <c r="P1012" s="418"/>
      <c r="Q1012" s="305"/>
      <c r="R1012" s="410"/>
      <c r="S1012" s="309">
        <v>97</v>
      </c>
    </row>
    <row r="1013" spans="1:19" ht="15">
      <c r="A1013" s="398" t="s">
        <v>88</v>
      </c>
      <c r="B1013" s="413">
        <v>465183</v>
      </c>
      <c r="C1013" s="366">
        <f t="shared" si="81"/>
        <v>0</v>
      </c>
      <c r="D1013" s="366"/>
      <c r="E1013" s="305"/>
      <c r="F1013" s="366"/>
      <c r="G1013" s="366"/>
      <c r="H1013" s="305"/>
      <c r="I1013" s="366"/>
      <c r="J1013" s="366"/>
      <c r="K1013" s="309"/>
      <c r="L1013" s="366"/>
      <c r="M1013" s="366"/>
      <c r="N1013" s="309"/>
      <c r="O1013" s="366"/>
      <c r="P1013" s="418"/>
      <c r="Q1013" s="305"/>
      <c r="R1013" s="410"/>
      <c r="S1013" s="309">
        <v>68</v>
      </c>
    </row>
    <row r="1014" spans="1:19" ht="15">
      <c r="A1014" s="347" t="s">
        <v>40</v>
      </c>
      <c r="B1014" s="413">
        <v>465184</v>
      </c>
      <c r="C1014" s="366">
        <f t="shared" si="81"/>
        <v>2431.9899999999998</v>
      </c>
      <c r="D1014" s="366">
        <v>2431.9899999999998</v>
      </c>
      <c r="E1014" s="305">
        <v>560.58000000000004</v>
      </c>
      <c r="F1014" s="366">
        <v>53.53</v>
      </c>
      <c r="G1014" s="366"/>
      <c r="H1014" s="305"/>
      <c r="I1014" s="366"/>
      <c r="J1014" s="366"/>
      <c r="K1014" s="309"/>
      <c r="L1014" s="366"/>
      <c r="M1014" s="366"/>
      <c r="N1014" s="309"/>
      <c r="O1014" s="366"/>
      <c r="P1014" s="418"/>
      <c r="Q1014" s="305"/>
      <c r="R1014" s="410"/>
      <c r="S1014" s="309">
        <v>24</v>
      </c>
    </row>
    <row r="1015" spans="1:19" ht="15">
      <c r="A1015" s="398" t="s">
        <v>75</v>
      </c>
      <c r="B1015" s="413">
        <v>465185</v>
      </c>
      <c r="C1015" s="366">
        <f t="shared" si="81"/>
        <v>0</v>
      </c>
      <c r="D1015" s="366"/>
      <c r="E1015" s="305"/>
      <c r="F1015" s="366"/>
      <c r="G1015" s="366"/>
      <c r="H1015" s="305"/>
      <c r="I1015" s="366"/>
      <c r="J1015" s="366"/>
      <c r="K1015" s="309"/>
      <c r="L1015" s="366"/>
      <c r="M1015" s="366"/>
      <c r="N1015" s="309"/>
      <c r="O1015" s="366"/>
      <c r="P1015" s="418"/>
      <c r="Q1015" s="305"/>
      <c r="R1015" s="410"/>
      <c r="S1015" s="309">
        <v>69</v>
      </c>
    </row>
    <row r="1016" spans="1:19" ht="15">
      <c r="A1016" s="398" t="s">
        <v>404</v>
      </c>
      <c r="B1016" s="413">
        <v>465186</v>
      </c>
      <c r="C1016" s="366">
        <f t="shared" si="81"/>
        <v>3180.48</v>
      </c>
      <c r="D1016" s="366">
        <v>3180.48</v>
      </c>
      <c r="E1016" s="305">
        <v>746.37</v>
      </c>
      <c r="F1016" s="366">
        <v>197.58</v>
      </c>
      <c r="G1016" s="366"/>
      <c r="H1016" s="305"/>
      <c r="I1016" s="366"/>
      <c r="J1016" s="366"/>
      <c r="K1016" s="309"/>
      <c r="L1016" s="366"/>
      <c r="M1016" s="366"/>
      <c r="N1016" s="309"/>
      <c r="O1016" s="366"/>
      <c r="P1016" s="418"/>
      <c r="Q1016" s="305"/>
      <c r="R1016" s="410"/>
      <c r="S1016" s="309">
        <v>100</v>
      </c>
    </row>
    <row r="1017" spans="1:19" ht="15">
      <c r="A1017" s="398" t="s">
        <v>192</v>
      </c>
      <c r="B1017" s="413">
        <v>465187</v>
      </c>
      <c r="C1017" s="366">
        <f t="shared" si="81"/>
        <v>2982.86</v>
      </c>
      <c r="D1017" s="366">
        <v>2982.86</v>
      </c>
      <c r="E1017" s="305">
        <v>681.93</v>
      </c>
      <c r="F1017" s="366">
        <v>264.29000000000002</v>
      </c>
      <c r="G1017" s="366"/>
      <c r="H1017" s="305"/>
      <c r="I1017" s="366"/>
      <c r="J1017" s="366"/>
      <c r="K1017" s="309"/>
      <c r="L1017" s="366"/>
      <c r="M1017" s="366"/>
      <c r="N1017" s="309"/>
      <c r="O1017" s="366"/>
      <c r="P1017" s="418"/>
      <c r="Q1017" s="305"/>
      <c r="R1017" s="410"/>
      <c r="S1017" s="309">
        <v>100</v>
      </c>
    </row>
    <row r="1018" spans="1:19" ht="15">
      <c r="A1018" s="400"/>
      <c r="B1018" s="413">
        <v>465188</v>
      </c>
      <c r="C1018" s="366">
        <f t="shared" si="81"/>
        <v>0</v>
      </c>
      <c r="D1018" s="366"/>
      <c r="E1018" s="305"/>
      <c r="F1018" s="366"/>
      <c r="G1018" s="366"/>
      <c r="H1018" s="305"/>
      <c r="I1018" s="366"/>
      <c r="J1018" s="366"/>
      <c r="K1018" s="309"/>
      <c r="L1018" s="366"/>
      <c r="M1018" s="366"/>
      <c r="N1018" s="309"/>
      <c r="O1018" s="366"/>
      <c r="P1018" s="418"/>
      <c r="Q1018" s="305"/>
      <c r="R1018" s="410"/>
      <c r="S1018" s="309">
        <v>50</v>
      </c>
    </row>
    <row r="1019" spans="1:19" ht="15">
      <c r="A1019" s="400"/>
      <c r="B1019" s="413">
        <v>465189</v>
      </c>
      <c r="C1019" s="366">
        <f t="shared" si="81"/>
        <v>0</v>
      </c>
      <c r="D1019" s="366"/>
      <c r="E1019" s="410"/>
      <c r="F1019" s="366"/>
      <c r="G1019" s="366"/>
      <c r="H1019" s="305"/>
      <c r="I1019" s="366"/>
      <c r="J1019" s="366"/>
      <c r="K1019" s="309"/>
      <c r="L1019" s="366"/>
      <c r="M1019" s="366"/>
      <c r="N1019" s="309"/>
      <c r="O1019" s="366"/>
      <c r="P1019" s="418"/>
      <c r="Q1019" s="305"/>
      <c r="R1019" s="410"/>
      <c r="S1019" s="309">
        <v>22</v>
      </c>
    </row>
    <row r="1020" spans="1:19" ht="15">
      <c r="A1020" s="408" t="s">
        <v>408</v>
      </c>
      <c r="B1020" s="413">
        <v>1122</v>
      </c>
      <c r="C1020" s="366">
        <f t="shared" si="81"/>
        <v>1897.33</v>
      </c>
      <c r="D1020" s="366">
        <v>1897.33</v>
      </c>
      <c r="E1020" s="366">
        <v>501.11</v>
      </c>
      <c r="F1020" s="366">
        <v>109.39</v>
      </c>
      <c r="G1020" s="366"/>
      <c r="H1020" s="305"/>
      <c r="I1020" s="366"/>
      <c r="J1020" s="366"/>
      <c r="K1020" s="309"/>
      <c r="L1020" s="366"/>
      <c r="M1020" s="366"/>
      <c r="N1020" s="309"/>
      <c r="O1020" s="366"/>
      <c r="P1020" s="426"/>
      <c r="Q1020" s="305"/>
      <c r="R1020" s="410"/>
      <c r="S1020" s="309"/>
    </row>
    <row r="1021" spans="1:19" ht="15">
      <c r="A1021" s="408" t="s">
        <v>386</v>
      </c>
      <c r="B1021" s="413">
        <v>218</v>
      </c>
      <c r="C1021" s="366">
        <f t="shared" si="81"/>
        <v>961.62</v>
      </c>
      <c r="D1021" s="366">
        <v>961.62</v>
      </c>
      <c r="E1021" s="366">
        <v>251.8</v>
      </c>
      <c r="F1021" s="366">
        <v>23.97</v>
      </c>
      <c r="G1021" s="366"/>
      <c r="H1021" s="305"/>
      <c r="I1021" s="366"/>
      <c r="J1021" s="366"/>
      <c r="K1021" s="309"/>
      <c r="L1021" s="366"/>
      <c r="M1021" s="366"/>
      <c r="N1021" s="309"/>
      <c r="O1021" s="366"/>
      <c r="P1021" s="426"/>
      <c r="Q1021" s="305"/>
      <c r="R1021" s="410"/>
      <c r="S1021" s="309">
        <v>68</v>
      </c>
    </row>
    <row r="1022" spans="1:19" ht="15">
      <c r="A1022" s="408" t="s">
        <v>391</v>
      </c>
      <c r="B1022" s="413">
        <v>86</v>
      </c>
      <c r="C1022" s="366">
        <f t="shared" si="81"/>
        <v>0</v>
      </c>
      <c r="D1022" s="366"/>
      <c r="E1022" s="366"/>
      <c r="F1022" s="366"/>
      <c r="G1022" s="366"/>
      <c r="H1022" s="305"/>
      <c r="I1022" s="366"/>
      <c r="J1022" s="366"/>
      <c r="K1022" s="309"/>
      <c r="L1022" s="366"/>
      <c r="M1022" s="366"/>
      <c r="N1022" s="309"/>
      <c r="O1022" s="366"/>
      <c r="P1022" s="409"/>
      <c r="Q1022" s="305"/>
      <c r="R1022" s="410"/>
      <c r="S1022" s="309"/>
    </row>
    <row r="1023" spans="1:19" ht="15">
      <c r="A1023" s="408" t="s">
        <v>1067</v>
      </c>
      <c r="B1023" s="407" t="s">
        <v>362</v>
      </c>
      <c r="C1023" s="366">
        <f t="shared" si="81"/>
        <v>300</v>
      </c>
      <c r="D1023" s="366">
        <v>300</v>
      </c>
      <c r="E1023" s="410" t="s">
        <v>1102</v>
      </c>
      <c r="F1023" s="366">
        <v>16.52</v>
      </c>
      <c r="G1023" s="366"/>
      <c r="H1023" s="305"/>
      <c r="I1023" s="366"/>
      <c r="J1023" s="366"/>
      <c r="K1023" s="309"/>
      <c r="L1023" s="366"/>
      <c r="M1023" s="366"/>
      <c r="N1023" s="309"/>
      <c r="O1023" s="366"/>
      <c r="P1023" s="409"/>
      <c r="Q1023" s="305"/>
      <c r="R1023" s="410"/>
      <c r="S1023" s="309">
        <v>55</v>
      </c>
    </row>
    <row r="1024" spans="1:19" ht="15">
      <c r="A1024" s="408" t="s">
        <v>1041</v>
      </c>
      <c r="B1024" s="407" t="s">
        <v>1068</v>
      </c>
      <c r="C1024" s="366">
        <f t="shared" si="81"/>
        <v>400</v>
      </c>
      <c r="D1024" s="366">
        <v>400</v>
      </c>
      <c r="E1024" s="305">
        <v>108.14</v>
      </c>
      <c r="F1024" s="366">
        <v>0</v>
      </c>
      <c r="G1024" s="411"/>
      <c r="H1024" s="305"/>
      <c r="I1024" s="366"/>
      <c r="J1024" s="366"/>
      <c r="K1024" s="305"/>
      <c r="L1024" s="366"/>
      <c r="M1024" s="366"/>
      <c r="N1024" s="309"/>
      <c r="O1024" s="366"/>
      <c r="P1024" s="409"/>
      <c r="Q1024" s="305"/>
      <c r="R1024" s="410"/>
      <c r="S1024" s="309"/>
    </row>
    <row r="1025" spans="1:19" ht="15">
      <c r="A1025" s="408" t="s">
        <v>1043</v>
      </c>
      <c r="B1025" s="407" t="s">
        <v>1069</v>
      </c>
      <c r="C1025" s="366">
        <f t="shared" si="81"/>
        <v>750.62</v>
      </c>
      <c r="D1025" s="366">
        <v>750.62</v>
      </c>
      <c r="E1025" s="305">
        <v>192.56</v>
      </c>
      <c r="F1025" s="366">
        <v>6.67</v>
      </c>
      <c r="G1025" s="411"/>
      <c r="H1025" s="305"/>
      <c r="I1025" s="366"/>
      <c r="J1025" s="366"/>
      <c r="K1025" s="305"/>
      <c r="L1025" s="366"/>
      <c r="M1025" s="366"/>
      <c r="N1025" s="309"/>
      <c r="O1025" s="366"/>
      <c r="P1025" s="409"/>
      <c r="Q1025" s="305"/>
      <c r="R1025" s="410"/>
      <c r="S1025" s="309">
        <v>33</v>
      </c>
    </row>
    <row r="1026" spans="1:19" ht="15">
      <c r="A1026" s="408" t="s">
        <v>359</v>
      </c>
      <c r="B1026" s="407" t="s">
        <v>360</v>
      </c>
      <c r="C1026" s="366">
        <f t="shared" si="81"/>
        <v>0</v>
      </c>
      <c r="D1026" s="366"/>
      <c r="E1026" s="305"/>
      <c r="F1026" s="366"/>
      <c r="G1026" s="411"/>
      <c r="H1026" s="305"/>
      <c r="I1026" s="366"/>
      <c r="J1026" s="366"/>
      <c r="K1026" s="305"/>
      <c r="L1026" s="366"/>
      <c r="M1026" s="366"/>
      <c r="N1026" s="309"/>
      <c r="O1026" s="366"/>
      <c r="P1026" s="409"/>
      <c r="Q1026" s="305"/>
      <c r="R1026" s="410"/>
      <c r="S1026" s="309"/>
    </row>
    <row r="1027" spans="1:19" ht="15">
      <c r="A1027" s="408" t="s">
        <v>370</v>
      </c>
      <c r="B1027" s="407" t="s">
        <v>1070</v>
      </c>
      <c r="C1027" s="366">
        <f t="shared" si="81"/>
        <v>0</v>
      </c>
      <c r="D1027" s="366"/>
      <c r="E1027" s="305"/>
      <c r="F1027" s="366"/>
      <c r="G1027" s="411"/>
      <c r="H1027" s="305"/>
      <c r="I1027" s="366"/>
      <c r="J1027" s="366"/>
      <c r="K1027" s="305"/>
      <c r="L1027" s="366"/>
      <c r="M1027" s="366"/>
      <c r="N1027" s="309"/>
      <c r="O1027" s="366"/>
      <c r="P1027" s="409"/>
      <c r="Q1027" s="305"/>
      <c r="R1027" s="410"/>
      <c r="S1027" s="309"/>
    </row>
    <row r="1028" spans="1:19" ht="15">
      <c r="A1028" s="408" t="s">
        <v>368</v>
      </c>
      <c r="B1028" s="407" t="s">
        <v>362</v>
      </c>
      <c r="C1028" s="366">
        <f t="shared" si="81"/>
        <v>660.01</v>
      </c>
      <c r="D1028" s="366">
        <v>660.01</v>
      </c>
      <c r="E1028" s="305">
        <v>172.37</v>
      </c>
      <c r="F1028" s="366">
        <v>17.23</v>
      </c>
      <c r="G1028" s="411"/>
      <c r="H1028" s="305"/>
      <c r="I1028" s="366"/>
      <c r="J1028" s="366"/>
      <c r="K1028" s="305"/>
      <c r="L1028" s="366"/>
      <c r="M1028" s="366"/>
      <c r="N1028" s="309"/>
      <c r="O1028" s="366"/>
      <c r="P1028" s="409"/>
      <c r="Q1028" s="305"/>
      <c r="R1028" s="410"/>
      <c r="S1028" s="309">
        <v>12</v>
      </c>
    </row>
    <row r="1029" spans="1:19" ht="15">
      <c r="A1029" s="408" t="s">
        <v>1082</v>
      </c>
      <c r="B1029" s="407" t="s">
        <v>1045</v>
      </c>
      <c r="C1029" s="366">
        <f t="shared" si="81"/>
        <v>0</v>
      </c>
      <c r="D1029" s="366"/>
      <c r="E1029" s="305"/>
      <c r="F1029" s="366"/>
      <c r="G1029" s="411"/>
      <c r="H1029" s="305"/>
      <c r="I1029" s="366"/>
      <c r="J1029" s="366"/>
      <c r="K1029" s="305"/>
      <c r="L1029" s="366"/>
      <c r="M1029" s="366"/>
      <c r="N1029" s="309"/>
      <c r="O1029" s="366"/>
      <c r="P1029" s="409"/>
      <c r="Q1029" s="305"/>
      <c r="R1029" s="410"/>
      <c r="S1029" s="309"/>
    </row>
    <row r="1030" spans="1:19" ht="13">
      <c r="A1030" s="470" t="s">
        <v>860</v>
      </c>
      <c r="B1030" s="471"/>
      <c r="C1030" s="422" t="s">
        <v>89</v>
      </c>
      <c r="D1030" s="324" t="s">
        <v>676</v>
      </c>
      <c r="E1030" s="325" t="s">
        <v>861</v>
      </c>
      <c r="F1030" s="355" t="s">
        <v>862</v>
      </c>
      <c r="G1030" s="324" t="s">
        <v>676</v>
      </c>
      <c r="H1030" s="325" t="s">
        <v>861</v>
      </c>
      <c r="I1030" s="355" t="s">
        <v>862</v>
      </c>
      <c r="J1030" s="324" t="s">
        <v>676</v>
      </c>
      <c r="K1030" s="325" t="s">
        <v>861</v>
      </c>
      <c r="L1030" s="355" t="s">
        <v>862</v>
      </c>
      <c r="M1030" s="324" t="s">
        <v>676</v>
      </c>
      <c r="N1030" s="325" t="s">
        <v>861</v>
      </c>
      <c r="O1030" s="355" t="s">
        <v>862</v>
      </c>
      <c r="P1030" s="324" t="s">
        <v>881</v>
      </c>
      <c r="Q1030" s="325" t="s">
        <v>861</v>
      </c>
      <c r="R1030" s="325" t="s">
        <v>865</v>
      </c>
      <c r="S1030" s="412" t="s">
        <v>1031</v>
      </c>
    </row>
    <row r="1031" spans="1:19" ht="13">
      <c r="A1031" s="470" t="s">
        <v>863</v>
      </c>
      <c r="B1031" s="471"/>
      <c r="C1031" s="326">
        <f>SUM(C1000:C1029)</f>
        <v>27691.149999999991</v>
      </c>
      <c r="D1031" s="326">
        <f>SUM(D1000:D1023)+SUM(G1000:G1023)+SUM(J1000:J1023)</f>
        <v>25880.52</v>
      </c>
      <c r="E1031" s="327">
        <f>SUM(E1000:E1019)+SUM(H1000:H1019)+SUM(K1000:K1019)+SUM(N1000:N1019)</f>
        <v>4609.8100000000004</v>
      </c>
      <c r="F1031" s="328">
        <f>SUM(F1000:F1019)</f>
        <v>1406.31</v>
      </c>
      <c r="G1031" s="329"/>
      <c r="H1031" s="329"/>
      <c r="I1031" s="329"/>
      <c r="J1031" s="329"/>
      <c r="K1031" s="329"/>
      <c r="L1031" s="329"/>
      <c r="M1031" s="329"/>
      <c r="N1031" s="329"/>
      <c r="O1031" s="329"/>
      <c r="P1031" s="329"/>
      <c r="Q1031" s="329"/>
      <c r="R1031" s="329"/>
    </row>
    <row r="1032" spans="1:19" ht="13">
      <c r="A1032" s="282"/>
      <c r="B1032" s="282"/>
      <c r="C1032" s="282"/>
      <c r="D1032" s="282"/>
      <c r="E1032" s="282"/>
      <c r="F1032" s="282"/>
      <c r="G1032" s="282"/>
      <c r="H1032" s="282"/>
      <c r="I1032" s="329"/>
      <c r="J1032" s="329"/>
      <c r="K1032" s="329"/>
      <c r="L1032" s="329"/>
      <c r="M1032" s="329"/>
      <c r="N1032" s="329"/>
      <c r="O1032" s="329"/>
      <c r="P1032" s="329"/>
      <c r="Q1032" s="329"/>
      <c r="R1032" s="329"/>
    </row>
    <row r="1033" spans="1:19" ht="13">
      <c r="A1033" s="472" t="s">
        <v>1103</v>
      </c>
      <c r="B1033" s="466"/>
      <c r="C1033" s="466"/>
      <c r="D1033" s="466"/>
      <c r="E1033" s="466"/>
      <c r="F1033" s="466"/>
      <c r="G1033" s="466"/>
      <c r="H1033" s="466"/>
      <c r="I1033" s="466"/>
      <c r="J1033" s="466"/>
      <c r="K1033" s="466"/>
      <c r="L1033" s="466"/>
      <c r="M1033" s="466"/>
      <c r="N1033" s="466"/>
      <c r="O1033" s="466"/>
      <c r="P1033" s="466"/>
      <c r="Q1033" s="466"/>
      <c r="R1033" s="466"/>
      <c r="S1033" s="466"/>
    </row>
    <row r="1034" spans="1:19" ht="13">
      <c r="A1034" s="356" t="s">
        <v>849</v>
      </c>
      <c r="B1034" s="356" t="s">
        <v>1</v>
      </c>
      <c r="C1034" s="356" t="s">
        <v>89</v>
      </c>
      <c r="D1034" s="473" t="s">
        <v>850</v>
      </c>
      <c r="E1034" s="466"/>
      <c r="F1034" s="467"/>
      <c r="G1034" s="465" t="s">
        <v>852</v>
      </c>
      <c r="H1034" s="466"/>
      <c r="I1034" s="467"/>
      <c r="J1034" s="465" t="s">
        <v>1013</v>
      </c>
      <c r="K1034" s="466"/>
      <c r="L1034" s="467"/>
      <c r="M1034" s="465" t="s">
        <v>1093</v>
      </c>
      <c r="N1034" s="466"/>
      <c r="O1034" s="467"/>
      <c r="P1034" s="465" t="s">
        <v>865</v>
      </c>
      <c r="Q1034" s="466"/>
      <c r="R1034" s="467"/>
      <c r="S1034" s="356" t="s">
        <v>1028</v>
      </c>
    </row>
    <row r="1035" spans="1:19" ht="15">
      <c r="A1035" s="400"/>
      <c r="B1035" s="413">
        <v>352368</v>
      </c>
      <c r="C1035" s="366">
        <f t="shared" ref="C1035:C1064" si="82">D1035+G1035+J1035</f>
        <v>0</v>
      </c>
      <c r="D1035" s="366"/>
      <c r="E1035" s="305"/>
      <c r="F1035" s="366"/>
      <c r="G1035" s="366"/>
      <c r="H1035" s="305"/>
      <c r="I1035" s="366"/>
      <c r="J1035" s="366"/>
      <c r="K1035" s="305"/>
      <c r="L1035" s="366"/>
      <c r="M1035" s="366"/>
      <c r="N1035" s="309"/>
      <c r="O1035" s="366"/>
      <c r="P1035" s="345"/>
      <c r="Q1035" s="305"/>
      <c r="R1035" s="410"/>
      <c r="S1035" s="309">
        <v>83</v>
      </c>
    </row>
    <row r="1036" spans="1:19" ht="15">
      <c r="A1036" s="399" t="s">
        <v>355</v>
      </c>
      <c r="B1036" s="413">
        <v>352371</v>
      </c>
      <c r="C1036" s="366">
        <f t="shared" si="82"/>
        <v>2450</v>
      </c>
      <c r="D1036" s="366"/>
      <c r="E1036" s="305"/>
      <c r="F1036" s="366"/>
      <c r="G1036" s="366">
        <f>200+200+300+300+300+300+300</f>
        <v>1900</v>
      </c>
      <c r="H1036" s="305">
        <f>48.2+48.912+78.555+78.145+78.145+70.824+77.942+73.368</f>
        <v>554.09100000000001</v>
      </c>
      <c r="I1036" s="366"/>
      <c r="J1036" s="366">
        <f>300+250</f>
        <v>550</v>
      </c>
      <c r="K1036" s="309">
        <f>72.38+49.277</f>
        <v>121.657</v>
      </c>
      <c r="L1036" s="366"/>
      <c r="M1036" s="366"/>
      <c r="N1036" s="309"/>
      <c r="O1036" s="366"/>
      <c r="P1036" s="418"/>
      <c r="Q1036" s="305"/>
      <c r="R1036" s="410"/>
      <c r="S1036" s="309">
        <v>24</v>
      </c>
    </row>
    <row r="1037" spans="1:19" ht="15">
      <c r="A1037" s="398"/>
      <c r="B1037" s="413">
        <v>352372</v>
      </c>
      <c r="C1037" s="366">
        <f t="shared" si="82"/>
        <v>0</v>
      </c>
      <c r="D1037" s="366"/>
      <c r="E1037" s="305"/>
      <c r="F1037" s="366"/>
      <c r="G1037" s="366"/>
      <c r="H1037" s="305"/>
      <c r="I1037" s="366"/>
      <c r="J1037" s="366"/>
      <c r="K1037" s="309"/>
      <c r="L1037" s="366"/>
      <c r="M1037" s="366"/>
      <c r="N1037" s="309"/>
      <c r="O1037" s="366"/>
      <c r="P1037" s="418"/>
      <c r="Q1037" s="305"/>
      <c r="R1037" s="410"/>
      <c r="S1037" s="309">
        <v>43</v>
      </c>
    </row>
    <row r="1038" spans="1:19" ht="15">
      <c r="A1038" s="171" t="s">
        <v>393</v>
      </c>
      <c r="B1038" s="413" t="s">
        <v>450</v>
      </c>
      <c r="C1038" s="366">
        <f t="shared" si="82"/>
        <v>2123.52</v>
      </c>
      <c r="D1038" s="366">
        <v>2123.52</v>
      </c>
      <c r="E1038" s="410" t="s">
        <v>1104</v>
      </c>
      <c r="F1038" s="366">
        <v>349.69</v>
      </c>
      <c r="G1038" s="366"/>
      <c r="H1038" s="305"/>
      <c r="I1038" s="366"/>
      <c r="J1038" s="366"/>
      <c r="K1038" s="309"/>
      <c r="L1038" s="366"/>
      <c r="M1038" s="366"/>
      <c r="N1038" s="309"/>
      <c r="O1038" s="366"/>
      <c r="P1038" s="418"/>
      <c r="Q1038" s="305"/>
      <c r="R1038" s="410"/>
      <c r="S1038" s="309">
        <v>97</v>
      </c>
    </row>
    <row r="1039" spans="1:19" ht="15">
      <c r="A1039" s="398" t="s">
        <v>1072</v>
      </c>
      <c r="B1039" s="407" t="s">
        <v>1105</v>
      </c>
      <c r="C1039" s="366">
        <f t="shared" si="82"/>
        <v>418.39</v>
      </c>
      <c r="D1039" s="366">
        <f>376.8+41.59</f>
        <v>418.39</v>
      </c>
      <c r="E1039" s="305">
        <f>96.96+10.4</f>
        <v>107.36</v>
      </c>
      <c r="F1039" s="366">
        <v>0</v>
      </c>
      <c r="G1039" s="366"/>
      <c r="H1039" s="305"/>
      <c r="I1039" s="366"/>
      <c r="J1039" s="366"/>
      <c r="K1039" s="309"/>
      <c r="L1039" s="366"/>
      <c r="M1039" s="366"/>
      <c r="N1039" s="309"/>
      <c r="O1039" s="366"/>
      <c r="P1039" s="418"/>
      <c r="Q1039" s="305"/>
      <c r="R1039" s="410"/>
      <c r="S1039" s="309">
        <v>16</v>
      </c>
    </row>
    <row r="1040" spans="1:19" ht="15">
      <c r="A1040" s="398"/>
      <c r="B1040" s="413">
        <v>352375</v>
      </c>
      <c r="C1040" s="366">
        <f t="shared" si="82"/>
        <v>0</v>
      </c>
      <c r="D1040" s="366"/>
      <c r="E1040" s="305"/>
      <c r="F1040" s="366"/>
      <c r="G1040" s="366"/>
      <c r="H1040" s="305"/>
      <c r="I1040" s="366"/>
      <c r="J1040" s="366"/>
      <c r="K1040" s="309"/>
      <c r="L1040" s="366"/>
      <c r="M1040" s="366"/>
      <c r="N1040" s="309"/>
      <c r="O1040" s="366"/>
      <c r="P1040" s="418"/>
      <c r="Q1040" s="305"/>
      <c r="R1040" s="410"/>
      <c r="S1040" s="309"/>
    </row>
    <row r="1041" spans="1:19" ht="15">
      <c r="A1041" s="398" t="s">
        <v>62</v>
      </c>
      <c r="B1041" s="413" t="s">
        <v>1106</v>
      </c>
      <c r="C1041" s="366">
        <f t="shared" si="82"/>
        <v>1954.03</v>
      </c>
      <c r="D1041" s="366">
        <v>1954.03</v>
      </c>
      <c r="E1041" s="305">
        <v>494.04</v>
      </c>
      <c r="F1041" s="366">
        <v>159.91</v>
      </c>
      <c r="G1041" s="366"/>
      <c r="H1041" s="305"/>
      <c r="I1041" s="366"/>
      <c r="J1041" s="366"/>
      <c r="K1041" s="309"/>
      <c r="L1041" s="366"/>
      <c r="M1041" s="366"/>
      <c r="N1041" s="309"/>
      <c r="O1041" s="366"/>
      <c r="P1041" s="418"/>
      <c r="Q1041" s="305"/>
      <c r="R1041" s="410"/>
      <c r="S1041" s="309">
        <v>97</v>
      </c>
    </row>
    <row r="1042" spans="1:19" ht="15">
      <c r="A1042" s="398" t="s">
        <v>390</v>
      </c>
      <c r="B1042" s="413">
        <v>352377</v>
      </c>
      <c r="C1042" s="366">
        <f t="shared" si="82"/>
        <v>1724.25</v>
      </c>
      <c r="D1042" s="366">
        <v>1724.25</v>
      </c>
      <c r="E1042" s="305">
        <v>391.45</v>
      </c>
      <c r="F1042" s="366">
        <v>37.520000000000003</v>
      </c>
      <c r="G1042" s="366"/>
      <c r="H1042" s="305"/>
      <c r="I1042" s="366"/>
      <c r="J1042" s="366"/>
      <c r="K1042" s="309"/>
      <c r="L1042" s="366"/>
      <c r="M1042" s="366"/>
      <c r="N1042" s="309"/>
      <c r="O1042" s="366"/>
      <c r="P1042" s="418"/>
      <c r="Q1042" s="305"/>
      <c r="R1042" s="410"/>
      <c r="S1042" s="309">
        <v>50</v>
      </c>
    </row>
    <row r="1043" spans="1:19" ht="15">
      <c r="A1043" s="171"/>
      <c r="B1043" s="413">
        <v>359885</v>
      </c>
      <c r="C1043" s="366">
        <f t="shared" si="82"/>
        <v>0</v>
      </c>
      <c r="D1043" s="366"/>
      <c r="E1043" s="305"/>
      <c r="F1043" s="366"/>
      <c r="G1043" s="366"/>
      <c r="H1043" s="305"/>
      <c r="I1043" s="366"/>
      <c r="J1043" s="366"/>
      <c r="K1043" s="309"/>
      <c r="L1043" s="366"/>
      <c r="M1043" s="366"/>
      <c r="N1043" s="309"/>
      <c r="O1043" s="366"/>
      <c r="P1043" s="418"/>
      <c r="Q1043" s="305"/>
      <c r="R1043" s="410"/>
      <c r="S1043" s="309">
        <v>96</v>
      </c>
    </row>
    <row r="1044" spans="1:19" ht="15">
      <c r="A1044" s="171"/>
      <c r="B1044" s="413">
        <v>359886</v>
      </c>
      <c r="C1044" s="366">
        <f t="shared" si="82"/>
        <v>0</v>
      </c>
      <c r="D1044" s="366"/>
      <c r="E1044" s="305"/>
      <c r="F1044" s="366"/>
      <c r="G1044" s="366"/>
      <c r="H1044" s="305"/>
      <c r="I1044" s="366"/>
      <c r="J1044" s="366"/>
      <c r="K1044" s="309"/>
      <c r="L1044" s="366"/>
      <c r="M1044" s="366"/>
      <c r="N1044" s="309"/>
      <c r="O1044" s="366"/>
      <c r="P1044" s="418"/>
      <c r="Q1044" s="305"/>
      <c r="R1044" s="410"/>
      <c r="S1044" s="309">
        <v>31</v>
      </c>
    </row>
    <row r="1045" spans="1:19" ht="15">
      <c r="A1045" s="398" t="s">
        <v>319</v>
      </c>
      <c r="B1045" s="413">
        <v>465180</v>
      </c>
      <c r="C1045" s="366">
        <f t="shared" si="82"/>
        <v>1480.17</v>
      </c>
      <c r="D1045" s="366">
        <v>1480.17</v>
      </c>
      <c r="E1045" s="305">
        <v>365.52</v>
      </c>
      <c r="F1045" s="366">
        <v>288.29000000000002</v>
      </c>
      <c r="G1045" s="366"/>
      <c r="H1045" s="305"/>
      <c r="I1045" s="366"/>
      <c r="J1045" s="366"/>
      <c r="K1045" s="309"/>
      <c r="L1045" s="366"/>
      <c r="M1045" s="366"/>
      <c r="N1045" s="309"/>
      <c r="O1045" s="366"/>
      <c r="P1045" s="418"/>
      <c r="Q1045" s="305"/>
      <c r="R1045" s="410"/>
      <c r="S1045" s="309">
        <v>100</v>
      </c>
    </row>
    <row r="1046" spans="1:19" ht="15">
      <c r="A1046" s="398"/>
      <c r="B1046" s="413">
        <v>465181</v>
      </c>
      <c r="C1046" s="366">
        <f t="shared" si="82"/>
        <v>0</v>
      </c>
      <c r="D1046" s="366"/>
      <c r="E1046" s="305"/>
      <c r="F1046" s="366"/>
      <c r="G1046" s="366"/>
      <c r="H1046" s="305"/>
      <c r="I1046" s="366"/>
      <c r="J1046" s="366"/>
      <c r="K1046" s="309"/>
      <c r="L1046" s="366"/>
      <c r="M1046" s="366"/>
      <c r="N1046" s="309"/>
      <c r="O1046" s="366"/>
      <c r="P1046" s="418"/>
      <c r="Q1046" s="305"/>
      <c r="R1046" s="410"/>
      <c r="S1046" s="309">
        <v>59</v>
      </c>
    </row>
    <row r="1047" spans="1:19" ht="15">
      <c r="A1047" s="398" t="s">
        <v>349</v>
      </c>
      <c r="B1047" s="413">
        <v>465182</v>
      </c>
      <c r="C1047" s="366">
        <f t="shared" si="82"/>
        <v>2060.2199999999998</v>
      </c>
      <c r="D1047" s="366">
        <v>2060.2199999999998</v>
      </c>
      <c r="E1047" s="305">
        <v>472.22</v>
      </c>
      <c r="F1047" s="366">
        <v>30.61</v>
      </c>
      <c r="G1047" s="366"/>
      <c r="H1047" s="305"/>
      <c r="I1047" s="366"/>
      <c r="J1047" s="366"/>
      <c r="K1047" s="309"/>
      <c r="L1047" s="366"/>
      <c r="M1047" s="366"/>
      <c r="N1047" s="309"/>
      <c r="O1047" s="366"/>
      <c r="P1047" s="418"/>
      <c r="Q1047" s="305"/>
      <c r="R1047" s="410"/>
      <c r="S1047" s="309">
        <v>32</v>
      </c>
    </row>
    <row r="1048" spans="1:19" ht="15">
      <c r="A1048" s="398" t="s">
        <v>88</v>
      </c>
      <c r="B1048" s="413">
        <v>465183</v>
      </c>
      <c r="C1048" s="366">
        <f t="shared" si="82"/>
        <v>2261.35</v>
      </c>
      <c r="D1048" s="366">
        <v>2261.35</v>
      </c>
      <c r="E1048" s="305">
        <v>525.58000000000004</v>
      </c>
      <c r="F1048" s="366">
        <v>400.74</v>
      </c>
      <c r="G1048" s="366"/>
      <c r="H1048" s="305"/>
      <c r="I1048" s="366"/>
      <c r="J1048" s="366"/>
      <c r="K1048" s="309"/>
      <c r="L1048" s="366"/>
      <c r="M1048" s="366"/>
      <c r="N1048" s="309"/>
      <c r="O1048" s="366"/>
      <c r="P1048" s="418"/>
      <c r="Q1048" s="305"/>
      <c r="R1048" s="410"/>
      <c r="S1048" s="309">
        <v>66</v>
      </c>
    </row>
    <row r="1049" spans="1:19" ht="15">
      <c r="A1049" s="347" t="s">
        <v>40</v>
      </c>
      <c r="B1049" s="413">
        <v>465184</v>
      </c>
      <c r="C1049" s="366">
        <f t="shared" si="82"/>
        <v>2094.59</v>
      </c>
      <c r="D1049" s="366">
        <v>2094.59</v>
      </c>
      <c r="E1049" s="305">
        <v>519.99</v>
      </c>
      <c r="F1049" s="366">
        <v>50.61</v>
      </c>
      <c r="G1049" s="366"/>
      <c r="H1049" s="305"/>
      <c r="I1049" s="366"/>
      <c r="J1049" s="366"/>
      <c r="K1049" s="309"/>
      <c r="L1049" s="366"/>
      <c r="M1049" s="366"/>
      <c r="N1049" s="309"/>
      <c r="O1049" s="366"/>
      <c r="P1049" s="418"/>
      <c r="Q1049" s="305"/>
      <c r="R1049" s="410"/>
      <c r="S1049" s="309">
        <v>24</v>
      </c>
    </row>
    <row r="1050" spans="1:19" ht="15">
      <c r="A1050" s="398" t="s">
        <v>1107</v>
      </c>
      <c r="B1050" s="413">
        <v>465185</v>
      </c>
      <c r="C1050" s="366">
        <f t="shared" si="82"/>
        <v>1003.98</v>
      </c>
      <c r="D1050" s="366">
        <v>1003.98</v>
      </c>
      <c r="E1050" s="305">
        <v>235.75</v>
      </c>
      <c r="F1050" s="366">
        <v>202.56</v>
      </c>
      <c r="G1050" s="366"/>
      <c r="H1050" s="305"/>
      <c r="I1050" s="366"/>
      <c r="J1050" s="366"/>
      <c r="K1050" s="309"/>
      <c r="L1050" s="366"/>
      <c r="M1050" s="366"/>
      <c r="N1050" s="309"/>
      <c r="O1050" s="366"/>
      <c r="P1050" s="418"/>
      <c r="Q1050" s="305"/>
      <c r="R1050" s="410"/>
      <c r="S1050" s="309">
        <v>69</v>
      </c>
    </row>
    <row r="1051" spans="1:19" ht="15">
      <c r="A1051" s="398" t="s">
        <v>404</v>
      </c>
      <c r="B1051" s="413">
        <v>465186</v>
      </c>
      <c r="C1051" s="366">
        <f t="shared" si="82"/>
        <v>2835.75</v>
      </c>
      <c r="D1051" s="366">
        <v>2835.75</v>
      </c>
      <c r="E1051" s="305">
        <v>670.91</v>
      </c>
      <c r="F1051" s="366">
        <v>38.200000000000003</v>
      </c>
      <c r="G1051" s="366"/>
      <c r="H1051" s="305"/>
      <c r="I1051" s="366"/>
      <c r="J1051" s="366"/>
      <c r="K1051" s="309"/>
      <c r="L1051" s="366"/>
      <c r="M1051" s="366"/>
      <c r="N1051" s="309"/>
      <c r="O1051" s="366"/>
      <c r="P1051" s="418"/>
      <c r="Q1051" s="305"/>
      <c r="R1051" s="410"/>
      <c r="S1051" s="309">
        <v>67</v>
      </c>
    </row>
    <row r="1052" spans="1:19" ht="15">
      <c r="A1052" s="398" t="s">
        <v>192</v>
      </c>
      <c r="B1052" s="413">
        <v>465187</v>
      </c>
      <c r="C1052" s="366">
        <f t="shared" si="82"/>
        <v>1808.98</v>
      </c>
      <c r="D1052" s="366">
        <v>1808.98</v>
      </c>
      <c r="E1052" s="305">
        <v>420.31</v>
      </c>
      <c r="F1052" s="366">
        <v>121.74</v>
      </c>
      <c r="G1052" s="366"/>
      <c r="H1052" s="305"/>
      <c r="I1052" s="366"/>
      <c r="J1052" s="366"/>
      <c r="K1052" s="309"/>
      <c r="L1052" s="366"/>
      <c r="M1052" s="366"/>
      <c r="N1052" s="309"/>
      <c r="O1052" s="366"/>
      <c r="P1052" s="418"/>
      <c r="Q1052" s="305"/>
      <c r="R1052" s="410"/>
      <c r="S1052" s="309">
        <v>100</v>
      </c>
    </row>
    <row r="1053" spans="1:19" ht="15">
      <c r="A1053" s="398"/>
      <c r="B1053" s="413">
        <v>465188</v>
      </c>
      <c r="C1053" s="366">
        <f t="shared" si="82"/>
        <v>0</v>
      </c>
      <c r="D1053" s="366"/>
      <c r="E1053" s="305"/>
      <c r="F1053" s="366"/>
      <c r="G1053" s="366"/>
      <c r="H1053" s="305"/>
      <c r="I1053" s="366"/>
      <c r="J1053" s="366"/>
      <c r="K1053" s="309"/>
      <c r="L1053" s="366"/>
      <c r="M1053" s="366"/>
      <c r="N1053" s="309"/>
      <c r="O1053" s="366"/>
      <c r="P1053" s="418"/>
      <c r="Q1053" s="305"/>
      <c r="R1053" s="410"/>
      <c r="S1053" s="309">
        <v>49</v>
      </c>
    </row>
    <row r="1054" spans="1:19" ht="15">
      <c r="A1054" s="400"/>
      <c r="B1054" s="413">
        <v>465189</v>
      </c>
      <c r="C1054" s="366">
        <f t="shared" si="82"/>
        <v>0</v>
      </c>
      <c r="D1054" s="366"/>
      <c r="E1054" s="410"/>
      <c r="F1054" s="366"/>
      <c r="G1054" s="366"/>
      <c r="H1054" s="305"/>
      <c r="I1054" s="366"/>
      <c r="J1054" s="366"/>
      <c r="K1054" s="309"/>
      <c r="L1054" s="366"/>
      <c r="M1054" s="366"/>
      <c r="N1054" s="309"/>
      <c r="O1054" s="366"/>
      <c r="P1054" s="418"/>
      <c r="Q1054" s="305"/>
      <c r="R1054" s="410"/>
      <c r="S1054" s="309">
        <v>25</v>
      </c>
    </row>
    <row r="1055" spans="1:19" ht="15">
      <c r="A1055" s="408" t="s">
        <v>408</v>
      </c>
      <c r="B1055" s="413">
        <v>1122</v>
      </c>
      <c r="C1055" s="366">
        <f t="shared" si="82"/>
        <v>494.32</v>
      </c>
      <c r="D1055" s="366">
        <v>494.32</v>
      </c>
      <c r="E1055" s="366">
        <v>120.6</v>
      </c>
      <c r="F1055" s="366">
        <v>0</v>
      </c>
      <c r="G1055" s="366"/>
      <c r="H1055" s="305"/>
      <c r="I1055" s="366"/>
      <c r="J1055" s="366"/>
      <c r="K1055" s="309"/>
      <c r="L1055" s="366"/>
      <c r="M1055" s="366"/>
      <c r="N1055" s="309"/>
      <c r="O1055" s="366"/>
      <c r="P1055" s="426"/>
      <c r="Q1055" s="305"/>
      <c r="R1055" s="410"/>
      <c r="S1055" s="309"/>
    </row>
    <row r="1056" spans="1:19" ht="15">
      <c r="A1056" s="408" t="s">
        <v>386</v>
      </c>
      <c r="B1056" s="413">
        <v>218</v>
      </c>
      <c r="C1056" s="366">
        <f t="shared" si="82"/>
        <v>1780.53</v>
      </c>
      <c r="D1056" s="366">
        <v>1780.53</v>
      </c>
      <c r="E1056" s="366">
        <v>422.7</v>
      </c>
      <c r="F1056" s="366">
        <v>229.34</v>
      </c>
      <c r="G1056" s="366"/>
      <c r="H1056" s="305"/>
      <c r="I1056" s="366"/>
      <c r="J1056" s="366"/>
      <c r="K1056" s="309"/>
      <c r="L1056" s="366"/>
      <c r="M1056" s="366"/>
      <c r="N1056" s="309"/>
      <c r="O1056" s="366"/>
      <c r="P1056" s="426"/>
      <c r="Q1056" s="305"/>
      <c r="R1056" s="410"/>
      <c r="S1056" s="309">
        <v>62</v>
      </c>
    </row>
    <row r="1057" spans="1:19" ht="15">
      <c r="A1057" s="408" t="s">
        <v>391</v>
      </c>
      <c r="B1057" s="413">
        <v>86</v>
      </c>
      <c r="C1057" s="366">
        <f t="shared" si="82"/>
        <v>0</v>
      </c>
      <c r="D1057" s="366"/>
      <c r="E1057" s="366"/>
      <c r="F1057" s="366"/>
      <c r="G1057" s="366"/>
      <c r="H1057" s="305"/>
      <c r="I1057" s="366"/>
      <c r="J1057" s="366"/>
      <c r="K1057" s="309"/>
      <c r="L1057" s="366"/>
      <c r="M1057" s="366"/>
      <c r="N1057" s="309"/>
      <c r="O1057" s="366"/>
      <c r="P1057" s="409"/>
      <c r="Q1057" s="305"/>
      <c r="R1057" s="410"/>
      <c r="S1057" s="309"/>
    </row>
    <row r="1058" spans="1:19" ht="15">
      <c r="A1058" s="408" t="s">
        <v>1067</v>
      </c>
      <c r="B1058" s="407" t="s">
        <v>362</v>
      </c>
      <c r="C1058" s="366">
        <f t="shared" si="82"/>
        <v>2597.58</v>
      </c>
      <c r="D1058" s="366">
        <v>2597.58</v>
      </c>
      <c r="E1058" s="410" t="s">
        <v>1108</v>
      </c>
      <c r="F1058" s="366">
        <v>124.78</v>
      </c>
      <c r="G1058" s="366"/>
      <c r="H1058" s="305"/>
      <c r="I1058" s="366"/>
      <c r="J1058" s="366"/>
      <c r="K1058" s="309"/>
      <c r="L1058" s="366"/>
      <c r="M1058" s="366"/>
      <c r="N1058" s="309"/>
      <c r="O1058" s="366"/>
      <c r="P1058" s="409"/>
      <c r="Q1058" s="305"/>
      <c r="R1058" s="410"/>
      <c r="S1058" s="309">
        <v>24</v>
      </c>
    </row>
    <row r="1059" spans="1:19" ht="15">
      <c r="A1059" s="408" t="s">
        <v>1041</v>
      </c>
      <c r="B1059" s="407" t="s">
        <v>1068</v>
      </c>
      <c r="C1059" s="366">
        <f t="shared" si="82"/>
        <v>1512.04</v>
      </c>
      <c r="D1059" s="366">
        <v>1512.04</v>
      </c>
      <c r="E1059" s="305">
        <v>397.32</v>
      </c>
      <c r="F1059" s="366">
        <v>0</v>
      </c>
      <c r="G1059" s="411"/>
      <c r="H1059" s="305"/>
      <c r="I1059" s="366"/>
      <c r="J1059" s="366"/>
      <c r="K1059" s="305"/>
      <c r="L1059" s="366"/>
      <c r="M1059" s="366"/>
      <c r="N1059" s="309"/>
      <c r="O1059" s="366"/>
      <c r="P1059" s="409"/>
      <c r="Q1059" s="305"/>
      <c r="R1059" s="410"/>
      <c r="S1059" s="309"/>
    </row>
    <row r="1060" spans="1:19" ht="15">
      <c r="A1060" s="408" t="s">
        <v>1043</v>
      </c>
      <c r="B1060" s="407" t="s">
        <v>1069</v>
      </c>
      <c r="C1060" s="366">
        <f t="shared" si="82"/>
        <v>1803.07</v>
      </c>
      <c r="D1060" s="366">
        <v>1803.07</v>
      </c>
      <c r="E1060" s="305">
        <v>482.16</v>
      </c>
      <c r="F1060" s="366">
        <v>20.53</v>
      </c>
      <c r="G1060" s="411"/>
      <c r="H1060" s="305"/>
      <c r="I1060" s="366"/>
      <c r="J1060" s="366"/>
      <c r="K1060" s="305"/>
      <c r="L1060" s="366"/>
      <c r="M1060" s="366"/>
      <c r="N1060" s="309"/>
      <c r="O1060" s="366"/>
      <c r="P1060" s="409"/>
      <c r="Q1060" s="305"/>
      <c r="R1060" s="410"/>
      <c r="S1060" s="309">
        <v>38</v>
      </c>
    </row>
    <row r="1061" spans="1:19" ht="15">
      <c r="A1061" s="408" t="s">
        <v>359</v>
      </c>
      <c r="B1061" s="407" t="s">
        <v>360</v>
      </c>
      <c r="C1061" s="366">
        <f t="shared" si="82"/>
        <v>0</v>
      </c>
      <c r="D1061" s="366"/>
      <c r="E1061" s="305"/>
      <c r="F1061" s="366"/>
      <c r="G1061" s="411"/>
      <c r="H1061" s="305"/>
      <c r="I1061" s="366"/>
      <c r="J1061" s="366"/>
      <c r="K1061" s="305"/>
      <c r="L1061" s="366"/>
      <c r="M1061" s="366"/>
      <c r="N1061" s="309"/>
      <c r="O1061" s="366"/>
      <c r="P1061" s="409"/>
      <c r="Q1061" s="305"/>
      <c r="R1061" s="410"/>
      <c r="S1061" s="309">
        <v>64</v>
      </c>
    </row>
    <row r="1062" spans="1:19" ht="15">
      <c r="A1062" s="408" t="s">
        <v>370</v>
      </c>
      <c r="B1062" s="407" t="s">
        <v>1070</v>
      </c>
      <c r="C1062" s="366">
        <f t="shared" si="82"/>
        <v>0</v>
      </c>
      <c r="D1062" s="366"/>
      <c r="E1062" s="305"/>
      <c r="F1062" s="366"/>
      <c r="G1062" s="411"/>
      <c r="H1062" s="305"/>
      <c r="I1062" s="366"/>
      <c r="J1062" s="366"/>
      <c r="K1062" s="305"/>
      <c r="L1062" s="366"/>
      <c r="M1062" s="366"/>
      <c r="N1062" s="309"/>
      <c r="O1062" s="366"/>
      <c r="P1062" s="409"/>
      <c r="Q1062" s="305"/>
      <c r="R1062" s="410"/>
      <c r="S1062" s="309"/>
    </row>
    <row r="1063" spans="1:19" ht="15">
      <c r="A1063" s="408" t="s">
        <v>368</v>
      </c>
      <c r="B1063" s="407" t="s">
        <v>362</v>
      </c>
      <c r="C1063" s="366">
        <f t="shared" si="82"/>
        <v>0</v>
      </c>
      <c r="D1063" s="366"/>
      <c r="E1063" s="305"/>
      <c r="F1063" s="366"/>
      <c r="G1063" s="411"/>
      <c r="H1063" s="305"/>
      <c r="I1063" s="366"/>
      <c r="J1063" s="366"/>
      <c r="K1063" s="305"/>
      <c r="L1063" s="366"/>
      <c r="M1063" s="366"/>
      <c r="N1063" s="309"/>
      <c r="O1063" s="366"/>
      <c r="P1063" s="409"/>
      <c r="Q1063" s="305"/>
      <c r="R1063" s="410"/>
      <c r="S1063" s="309">
        <v>20</v>
      </c>
    </row>
    <row r="1064" spans="1:19" ht="15">
      <c r="A1064" s="408" t="s">
        <v>1082</v>
      </c>
      <c r="B1064" s="407" t="s">
        <v>1045</v>
      </c>
      <c r="C1064" s="366">
        <f t="shared" si="82"/>
        <v>0</v>
      </c>
      <c r="D1064" s="366"/>
      <c r="E1064" s="305"/>
      <c r="F1064" s="366"/>
      <c r="G1064" s="411"/>
      <c r="H1064" s="305"/>
      <c r="I1064" s="366"/>
      <c r="J1064" s="366"/>
      <c r="K1064" s="305"/>
      <c r="L1064" s="366"/>
      <c r="M1064" s="366"/>
      <c r="N1064" s="309"/>
      <c r="O1064" s="366"/>
      <c r="P1064" s="409"/>
      <c r="Q1064" s="305"/>
      <c r="R1064" s="410"/>
      <c r="S1064" s="309"/>
    </row>
    <row r="1065" spans="1:19" ht="13">
      <c r="A1065" s="470" t="s">
        <v>860</v>
      </c>
      <c r="B1065" s="471"/>
      <c r="C1065" s="422" t="s">
        <v>89</v>
      </c>
      <c r="D1065" s="324" t="s">
        <v>676</v>
      </c>
      <c r="E1065" s="325" t="s">
        <v>861</v>
      </c>
      <c r="F1065" s="355" t="s">
        <v>862</v>
      </c>
      <c r="G1065" s="324" t="s">
        <v>676</v>
      </c>
      <c r="H1065" s="325" t="s">
        <v>861</v>
      </c>
      <c r="I1065" s="355" t="s">
        <v>862</v>
      </c>
      <c r="J1065" s="324" t="s">
        <v>676</v>
      </c>
      <c r="K1065" s="325" t="s">
        <v>861</v>
      </c>
      <c r="L1065" s="355" t="s">
        <v>862</v>
      </c>
      <c r="M1065" s="324" t="s">
        <v>676</v>
      </c>
      <c r="N1065" s="325" t="s">
        <v>861</v>
      </c>
      <c r="O1065" s="355" t="s">
        <v>862</v>
      </c>
      <c r="P1065" s="324" t="s">
        <v>881</v>
      </c>
      <c r="Q1065" s="325" t="s">
        <v>861</v>
      </c>
      <c r="R1065" s="325" t="s">
        <v>865</v>
      </c>
      <c r="S1065" s="412" t="s">
        <v>1031</v>
      </c>
    </row>
    <row r="1066" spans="1:19" ht="13">
      <c r="A1066" s="470" t="s">
        <v>863</v>
      </c>
      <c r="B1066" s="471"/>
      <c r="C1066" s="326">
        <f>SUM(C1035:C1064)</f>
        <v>30402.769999999997</v>
      </c>
      <c r="D1066" s="326">
        <f>SUM(D1035:D1058)+SUM(G1035:G1058)+SUM(J1035:J1058)</f>
        <v>27087.659999999996</v>
      </c>
      <c r="E1066" s="327">
        <f>SUM(E1035:E1054)+SUM(H1035:H1054)+SUM(K1035:K1054)+SUM(N1035:N1054)</f>
        <v>4878.8780000000006</v>
      </c>
      <c r="F1066" s="328">
        <f>SUM(F1035:F1054)</f>
        <v>1679.8700000000001</v>
      </c>
      <c r="G1066" s="329"/>
      <c r="H1066" s="329"/>
      <c r="I1066" s="329"/>
      <c r="J1066" s="329"/>
      <c r="K1066" s="329"/>
      <c r="L1066" s="329"/>
      <c r="M1066" s="329"/>
      <c r="N1066" s="329"/>
      <c r="O1066" s="329"/>
      <c r="P1066" s="329"/>
      <c r="Q1066" s="329"/>
      <c r="R1066" s="329"/>
    </row>
    <row r="1067" spans="1:19" ht="13">
      <c r="A1067" s="282"/>
      <c r="B1067" s="282"/>
      <c r="C1067" s="282"/>
      <c r="D1067" s="282"/>
      <c r="E1067" s="282"/>
      <c r="F1067" s="282"/>
      <c r="G1067" s="282"/>
      <c r="H1067" s="282"/>
      <c r="I1067" s="329"/>
      <c r="J1067" s="329"/>
      <c r="K1067" s="329"/>
      <c r="L1067" s="329"/>
      <c r="M1067" s="329"/>
      <c r="N1067" s="329"/>
      <c r="O1067" s="329"/>
      <c r="P1067" s="329"/>
      <c r="Q1067" s="329"/>
      <c r="R1067" s="329"/>
    </row>
    <row r="1068" spans="1:19" ht="13">
      <c r="A1068" s="472" t="s">
        <v>1109</v>
      </c>
      <c r="B1068" s="466"/>
      <c r="C1068" s="466"/>
      <c r="D1068" s="466"/>
      <c r="E1068" s="466"/>
      <c r="F1068" s="466"/>
      <c r="G1068" s="466"/>
      <c r="H1068" s="466"/>
      <c r="I1068" s="466"/>
      <c r="J1068" s="466"/>
      <c r="K1068" s="466"/>
      <c r="L1068" s="466"/>
      <c r="M1068" s="466"/>
      <c r="N1068" s="466"/>
      <c r="O1068" s="466"/>
      <c r="P1068" s="466"/>
      <c r="Q1068" s="466"/>
      <c r="R1068" s="466"/>
      <c r="S1068" s="466"/>
    </row>
    <row r="1069" spans="1:19" ht="13">
      <c r="A1069" s="356" t="s">
        <v>849</v>
      </c>
      <c r="B1069" s="356" t="s">
        <v>1</v>
      </c>
      <c r="C1069" s="356" t="s">
        <v>89</v>
      </c>
      <c r="D1069" s="473" t="s">
        <v>850</v>
      </c>
      <c r="E1069" s="466"/>
      <c r="F1069" s="467"/>
      <c r="G1069" s="465" t="s">
        <v>852</v>
      </c>
      <c r="H1069" s="466"/>
      <c r="I1069" s="467"/>
      <c r="J1069" s="465" t="s">
        <v>1013</v>
      </c>
      <c r="K1069" s="466"/>
      <c r="L1069" s="467"/>
      <c r="M1069" s="465" t="s">
        <v>1093</v>
      </c>
      <c r="N1069" s="466"/>
      <c r="O1069" s="467"/>
      <c r="P1069" s="465" t="s">
        <v>865</v>
      </c>
      <c r="Q1069" s="466"/>
      <c r="R1069" s="467"/>
      <c r="S1069" s="356" t="s">
        <v>1028</v>
      </c>
    </row>
    <row r="1070" spans="1:19" ht="15">
      <c r="A1070" s="400"/>
      <c r="B1070" s="413">
        <v>352368</v>
      </c>
      <c r="C1070" s="366">
        <f t="shared" ref="C1070:C1099" si="83">D1070+G1070+J1070</f>
        <v>0</v>
      </c>
      <c r="D1070" s="366"/>
      <c r="E1070" s="305"/>
      <c r="F1070" s="366"/>
      <c r="G1070" s="366"/>
      <c r="H1070" s="305"/>
      <c r="I1070" s="366"/>
      <c r="J1070" s="366"/>
      <c r="K1070" s="305"/>
      <c r="L1070" s="366"/>
      <c r="M1070" s="366"/>
      <c r="N1070" s="309"/>
      <c r="O1070" s="366"/>
      <c r="P1070" s="345"/>
      <c r="Q1070" s="305"/>
      <c r="R1070" s="410"/>
      <c r="S1070" s="309">
        <v>30</v>
      </c>
    </row>
    <row r="1071" spans="1:19" ht="15">
      <c r="A1071" s="399" t="s">
        <v>1110</v>
      </c>
      <c r="B1071" s="413">
        <v>352371</v>
      </c>
      <c r="C1071" s="366">
        <f t="shared" si="83"/>
        <v>300</v>
      </c>
      <c r="D1071" s="366"/>
      <c r="E1071" s="305"/>
      <c r="F1071" s="366"/>
      <c r="G1071" s="366">
        <v>150</v>
      </c>
      <c r="H1071" s="305">
        <v>40.119999999999997</v>
      </c>
      <c r="I1071" s="366"/>
      <c r="J1071" s="366">
        <v>150</v>
      </c>
      <c r="K1071" s="309">
        <v>40.011000000000003</v>
      </c>
      <c r="L1071" s="366"/>
      <c r="M1071" s="366"/>
      <c r="N1071" s="309"/>
      <c r="O1071" s="366"/>
      <c r="P1071" s="418"/>
      <c r="Q1071" s="305"/>
      <c r="R1071" s="410"/>
      <c r="S1071" s="309">
        <v>18</v>
      </c>
    </row>
    <row r="1072" spans="1:19" ht="15">
      <c r="A1072" s="398"/>
      <c r="B1072" s="413">
        <v>352372</v>
      </c>
      <c r="C1072" s="366">
        <f t="shared" si="83"/>
        <v>0</v>
      </c>
      <c r="D1072" s="366"/>
      <c r="E1072" s="305"/>
      <c r="F1072" s="366"/>
      <c r="G1072" s="366"/>
      <c r="H1072" s="305"/>
      <c r="I1072" s="366"/>
      <c r="J1072" s="366"/>
      <c r="K1072" s="309"/>
      <c r="L1072" s="366"/>
      <c r="M1072" s="366"/>
      <c r="N1072" s="309"/>
      <c r="O1072" s="366"/>
      <c r="P1072" s="418"/>
      <c r="Q1072" s="305"/>
      <c r="R1072" s="410"/>
      <c r="S1072" s="309">
        <v>40</v>
      </c>
    </row>
    <row r="1073" spans="1:19" ht="15">
      <c r="A1073" s="171"/>
      <c r="B1073" s="413">
        <v>352373</v>
      </c>
      <c r="C1073" s="366">
        <f t="shared" si="83"/>
        <v>0</v>
      </c>
      <c r="D1073" s="366"/>
      <c r="E1073" s="410"/>
      <c r="F1073" s="366"/>
      <c r="G1073" s="366"/>
      <c r="H1073" s="305"/>
      <c r="I1073" s="366"/>
      <c r="J1073" s="366"/>
      <c r="K1073" s="309"/>
      <c r="L1073" s="366"/>
      <c r="M1073" s="366"/>
      <c r="N1073" s="309"/>
      <c r="O1073" s="366"/>
      <c r="P1073" s="418"/>
      <c r="Q1073" s="305"/>
      <c r="R1073" s="410"/>
      <c r="S1073" s="309">
        <v>37</v>
      </c>
    </row>
    <row r="1074" spans="1:19" ht="15">
      <c r="A1074" s="398" t="s">
        <v>1072</v>
      </c>
      <c r="B1074" s="407" t="s">
        <v>1111</v>
      </c>
      <c r="C1074" s="366">
        <f t="shared" si="83"/>
        <v>256.97000000000003</v>
      </c>
      <c r="D1074" s="366">
        <v>256.97000000000003</v>
      </c>
      <c r="E1074" s="305">
        <v>66.59</v>
      </c>
      <c r="F1074" s="366">
        <v>2.66</v>
      </c>
      <c r="G1074" s="366"/>
      <c r="H1074" s="305"/>
      <c r="I1074" s="366"/>
      <c r="J1074" s="366"/>
      <c r="K1074" s="309"/>
      <c r="L1074" s="366"/>
      <c r="M1074" s="366"/>
      <c r="N1074" s="309"/>
      <c r="O1074" s="366"/>
      <c r="P1074" s="418"/>
      <c r="Q1074" s="305"/>
      <c r="R1074" s="410"/>
      <c r="S1074" s="309">
        <v>16</v>
      </c>
    </row>
    <row r="1075" spans="1:19" ht="15">
      <c r="A1075" s="398"/>
      <c r="B1075" s="413">
        <v>352375</v>
      </c>
      <c r="C1075" s="366">
        <f t="shared" si="83"/>
        <v>0</v>
      </c>
      <c r="D1075" s="366"/>
      <c r="E1075" s="305"/>
      <c r="F1075" s="366"/>
      <c r="G1075" s="366"/>
      <c r="H1075" s="305"/>
      <c r="I1075" s="366"/>
      <c r="J1075" s="366"/>
      <c r="K1075" s="309"/>
      <c r="L1075" s="366"/>
      <c r="M1075" s="366"/>
      <c r="N1075" s="309"/>
      <c r="O1075" s="366"/>
      <c r="P1075" s="418"/>
      <c r="Q1075" s="305"/>
      <c r="R1075" s="410"/>
      <c r="S1075" s="309">
        <v>50</v>
      </c>
    </row>
    <row r="1076" spans="1:19" ht="15">
      <c r="A1076" s="398"/>
      <c r="B1076" s="413">
        <v>352376</v>
      </c>
      <c r="C1076" s="366">
        <f t="shared" si="83"/>
        <v>0</v>
      </c>
      <c r="D1076" s="366"/>
      <c r="E1076" s="305"/>
      <c r="F1076" s="366"/>
      <c r="G1076" s="366"/>
      <c r="H1076" s="305"/>
      <c r="I1076" s="366"/>
      <c r="J1076" s="366"/>
      <c r="K1076" s="309"/>
      <c r="L1076" s="366"/>
      <c r="M1076" s="366"/>
      <c r="N1076" s="309"/>
      <c r="O1076" s="366"/>
      <c r="P1076" s="418"/>
      <c r="Q1076" s="305"/>
      <c r="R1076" s="410"/>
      <c r="S1076" s="309">
        <v>50</v>
      </c>
    </row>
    <row r="1077" spans="1:19" ht="15">
      <c r="A1077" s="398" t="s">
        <v>390</v>
      </c>
      <c r="B1077" s="413" t="s">
        <v>1112</v>
      </c>
      <c r="C1077" s="366">
        <f t="shared" si="83"/>
        <v>1903.13</v>
      </c>
      <c r="D1077" s="366">
        <v>1903.13</v>
      </c>
      <c r="E1077" s="305">
        <v>447.42</v>
      </c>
      <c r="F1077" s="366">
        <v>43.29</v>
      </c>
      <c r="G1077" s="366"/>
      <c r="H1077" s="305"/>
      <c r="I1077" s="366"/>
      <c r="J1077" s="366"/>
      <c r="K1077" s="309"/>
      <c r="L1077" s="366"/>
      <c r="M1077" s="366"/>
      <c r="N1077" s="309"/>
      <c r="O1077" s="366"/>
      <c r="P1077" s="418"/>
      <c r="Q1077" s="305"/>
      <c r="R1077" s="410"/>
      <c r="S1077" s="309">
        <v>91</v>
      </c>
    </row>
    <row r="1078" spans="1:19" ht="15">
      <c r="A1078" s="171" t="s">
        <v>393</v>
      </c>
      <c r="B1078" s="413">
        <v>191276</v>
      </c>
      <c r="C1078" s="366">
        <f t="shared" si="83"/>
        <v>3326.14</v>
      </c>
      <c r="D1078" s="366">
        <v>3326.14</v>
      </c>
      <c r="E1078" s="305">
        <v>777.27</v>
      </c>
      <c r="F1078" s="366">
        <v>518.53</v>
      </c>
      <c r="G1078" s="366"/>
      <c r="H1078" s="305"/>
      <c r="I1078" s="366"/>
      <c r="J1078" s="366"/>
      <c r="K1078" s="309"/>
      <c r="L1078" s="366"/>
      <c r="M1078" s="366"/>
      <c r="N1078" s="309"/>
      <c r="O1078" s="366"/>
      <c r="P1078" s="418"/>
      <c r="Q1078" s="305"/>
      <c r="R1078" s="410"/>
      <c r="S1078" s="309">
        <v>69</v>
      </c>
    </row>
    <row r="1079" spans="1:19" ht="15">
      <c r="A1079" s="171"/>
      <c r="B1079" s="413">
        <v>359886</v>
      </c>
      <c r="C1079" s="366">
        <f t="shared" si="83"/>
        <v>0</v>
      </c>
      <c r="D1079" s="366"/>
      <c r="E1079" s="305"/>
      <c r="F1079" s="366"/>
      <c r="G1079" s="366"/>
      <c r="H1079" s="305"/>
      <c r="I1079" s="366"/>
      <c r="J1079" s="366"/>
      <c r="K1079" s="309"/>
      <c r="L1079" s="366"/>
      <c r="M1079" s="366"/>
      <c r="N1079" s="309"/>
      <c r="O1079" s="366"/>
      <c r="P1079" s="418"/>
      <c r="Q1079" s="305"/>
      <c r="R1079" s="410"/>
      <c r="S1079" s="309">
        <v>29</v>
      </c>
    </row>
    <row r="1080" spans="1:19" ht="15">
      <c r="A1080" s="398" t="s">
        <v>319</v>
      </c>
      <c r="B1080" s="413">
        <v>465180</v>
      </c>
      <c r="C1080" s="366">
        <f t="shared" si="83"/>
        <v>1934.72</v>
      </c>
      <c r="D1080" s="366">
        <v>1934.72</v>
      </c>
      <c r="E1080" s="305">
        <v>496.69</v>
      </c>
      <c r="F1080" s="366">
        <v>228.22</v>
      </c>
      <c r="G1080" s="366"/>
      <c r="H1080" s="305"/>
      <c r="I1080" s="366"/>
      <c r="J1080" s="366"/>
      <c r="K1080" s="309"/>
      <c r="L1080" s="366"/>
      <c r="M1080" s="366"/>
      <c r="N1080" s="309"/>
      <c r="O1080" s="366"/>
      <c r="P1080" s="418"/>
      <c r="Q1080" s="305"/>
      <c r="R1080" s="410"/>
      <c r="S1080" s="309">
        <v>68</v>
      </c>
    </row>
    <row r="1081" spans="1:19" ht="15">
      <c r="A1081" s="398"/>
      <c r="B1081" s="413">
        <v>465181</v>
      </c>
      <c r="C1081" s="366">
        <f t="shared" si="83"/>
        <v>0</v>
      </c>
      <c r="D1081" s="366"/>
      <c r="E1081" s="305"/>
      <c r="F1081" s="366"/>
      <c r="G1081" s="366"/>
      <c r="H1081" s="305"/>
      <c r="I1081" s="366"/>
      <c r="J1081" s="366"/>
      <c r="K1081" s="309"/>
      <c r="L1081" s="366"/>
      <c r="M1081" s="366"/>
      <c r="N1081" s="309"/>
      <c r="O1081" s="366"/>
      <c r="P1081" s="418"/>
      <c r="Q1081" s="305"/>
      <c r="R1081" s="410"/>
      <c r="S1081" s="309">
        <v>56</v>
      </c>
    </row>
    <row r="1082" spans="1:19" ht="15">
      <c r="A1082" s="398" t="s">
        <v>349</v>
      </c>
      <c r="B1082" s="413">
        <v>465182</v>
      </c>
      <c r="C1082" s="366">
        <f t="shared" si="83"/>
        <v>3906.12</v>
      </c>
      <c r="D1082" s="366">
        <v>3906.12</v>
      </c>
      <c r="E1082" s="305">
        <v>946.96</v>
      </c>
      <c r="F1082" s="366">
        <v>62.98</v>
      </c>
      <c r="G1082" s="366"/>
      <c r="H1082" s="305"/>
      <c r="I1082" s="366"/>
      <c r="J1082" s="366"/>
      <c r="K1082" s="309"/>
      <c r="L1082" s="366"/>
      <c r="M1082" s="366"/>
      <c r="N1082" s="309"/>
      <c r="O1082" s="366"/>
      <c r="P1082" s="418"/>
      <c r="Q1082" s="305"/>
      <c r="R1082" s="410"/>
      <c r="S1082" s="309">
        <v>31</v>
      </c>
    </row>
    <row r="1083" spans="1:19" ht="15">
      <c r="A1083" s="398" t="s">
        <v>88</v>
      </c>
      <c r="B1083" s="413">
        <v>465183</v>
      </c>
      <c r="C1083" s="366">
        <f t="shared" si="83"/>
        <v>2289.85</v>
      </c>
      <c r="D1083" s="366">
        <v>2289.85</v>
      </c>
      <c r="E1083" s="305">
        <v>567.51</v>
      </c>
      <c r="F1083" s="366">
        <v>277.77</v>
      </c>
      <c r="G1083" s="366"/>
      <c r="H1083" s="305"/>
      <c r="I1083" s="366"/>
      <c r="J1083" s="366"/>
      <c r="K1083" s="309"/>
      <c r="L1083" s="366"/>
      <c r="M1083" s="366"/>
      <c r="N1083" s="309"/>
      <c r="O1083" s="366"/>
      <c r="P1083" s="418"/>
      <c r="Q1083" s="305"/>
      <c r="R1083" s="410"/>
      <c r="S1083" s="309">
        <v>100</v>
      </c>
    </row>
    <row r="1084" spans="1:19" ht="15">
      <c r="A1084" s="347" t="s">
        <v>40</v>
      </c>
      <c r="B1084" s="413">
        <v>465184</v>
      </c>
      <c r="C1084" s="366">
        <f t="shared" si="83"/>
        <v>4054.84</v>
      </c>
      <c r="D1084" s="366">
        <v>4054.84</v>
      </c>
      <c r="E1084" s="305">
        <v>988.46</v>
      </c>
      <c r="F1084" s="366">
        <v>160.47</v>
      </c>
      <c r="G1084" s="366"/>
      <c r="H1084" s="305"/>
      <c r="I1084" s="366"/>
      <c r="J1084" s="366"/>
      <c r="K1084" s="309"/>
      <c r="L1084" s="366"/>
      <c r="M1084" s="366"/>
      <c r="N1084" s="309"/>
      <c r="O1084" s="366"/>
      <c r="P1084" s="418"/>
      <c r="Q1084" s="305"/>
      <c r="R1084" s="410"/>
      <c r="S1084" s="309">
        <v>82</v>
      </c>
    </row>
    <row r="1085" spans="1:19" ht="15">
      <c r="A1085" s="398" t="s">
        <v>1107</v>
      </c>
      <c r="B1085" s="413">
        <v>465185</v>
      </c>
      <c r="C1085" s="366">
        <f t="shared" si="83"/>
        <v>2929.73</v>
      </c>
      <c r="D1085" s="366">
        <v>2929.73</v>
      </c>
      <c r="E1085" s="305">
        <v>747.38</v>
      </c>
      <c r="F1085" s="366">
        <v>382.47</v>
      </c>
      <c r="G1085" s="366"/>
      <c r="H1085" s="305"/>
      <c r="I1085" s="366"/>
      <c r="J1085" s="366"/>
      <c r="K1085" s="309"/>
      <c r="L1085" s="366"/>
      <c r="M1085" s="366"/>
      <c r="N1085" s="309"/>
      <c r="O1085" s="366"/>
      <c r="P1085" s="418"/>
      <c r="Q1085" s="305"/>
      <c r="R1085" s="410"/>
      <c r="S1085" s="309">
        <v>36</v>
      </c>
    </row>
    <row r="1086" spans="1:19" ht="15">
      <c r="A1086" s="398" t="s">
        <v>404</v>
      </c>
      <c r="B1086" s="413">
        <v>465186</v>
      </c>
      <c r="C1086" s="366">
        <f t="shared" si="83"/>
        <v>3514.87</v>
      </c>
      <c r="D1086" s="366">
        <v>3514.87</v>
      </c>
      <c r="E1086" s="305">
        <v>759.72</v>
      </c>
      <c r="F1086" s="366">
        <v>67.63</v>
      </c>
      <c r="G1086" s="366"/>
      <c r="H1086" s="305"/>
      <c r="I1086" s="366"/>
      <c r="J1086" s="366"/>
      <c r="K1086" s="309"/>
      <c r="L1086" s="366"/>
      <c r="M1086" s="366"/>
      <c r="N1086" s="309"/>
      <c r="O1086" s="366"/>
      <c r="P1086" s="418"/>
      <c r="Q1086" s="305"/>
      <c r="R1086" s="410"/>
      <c r="S1086" s="309">
        <v>89</v>
      </c>
    </row>
    <row r="1087" spans="1:19" ht="15">
      <c r="A1087" s="398" t="s">
        <v>192</v>
      </c>
      <c r="B1087" s="413">
        <v>465187</v>
      </c>
      <c r="C1087" s="366">
        <f t="shared" si="83"/>
        <v>1621.21</v>
      </c>
      <c r="D1087" s="366">
        <v>1621.21</v>
      </c>
      <c r="E1087" s="305">
        <v>434.61</v>
      </c>
      <c r="F1087" s="366">
        <v>94.24</v>
      </c>
      <c r="G1087" s="366"/>
      <c r="H1087" s="305"/>
      <c r="I1087" s="366"/>
      <c r="J1087" s="366"/>
      <c r="K1087" s="309"/>
      <c r="L1087" s="366"/>
      <c r="M1087" s="366"/>
      <c r="N1087" s="309"/>
      <c r="O1087" s="366"/>
      <c r="P1087" s="418"/>
      <c r="Q1087" s="305"/>
      <c r="R1087" s="410"/>
      <c r="S1087" s="309">
        <v>62</v>
      </c>
    </row>
    <row r="1088" spans="1:19" ht="15">
      <c r="A1088" s="398" t="s">
        <v>62</v>
      </c>
      <c r="B1088" s="413">
        <v>465188</v>
      </c>
      <c r="C1088" s="366">
        <f t="shared" si="83"/>
        <v>699.07</v>
      </c>
      <c r="D1088" s="366">
        <v>699.07</v>
      </c>
      <c r="E1088" s="305">
        <v>171.57</v>
      </c>
      <c r="F1088" s="366">
        <v>71.5</v>
      </c>
      <c r="G1088" s="366"/>
      <c r="H1088" s="305"/>
      <c r="I1088" s="366"/>
      <c r="J1088" s="366"/>
      <c r="K1088" s="309"/>
      <c r="L1088" s="366"/>
      <c r="M1088" s="366"/>
      <c r="N1088" s="309"/>
      <c r="O1088" s="366"/>
      <c r="P1088" s="418"/>
      <c r="Q1088" s="305"/>
      <c r="R1088" s="410"/>
      <c r="S1088" s="309">
        <v>62</v>
      </c>
    </row>
    <row r="1089" spans="1:19" ht="15">
      <c r="A1089" s="400"/>
      <c r="B1089" s="413">
        <v>465189</v>
      </c>
      <c r="C1089" s="366">
        <f t="shared" si="83"/>
        <v>0</v>
      </c>
      <c r="D1089" s="366"/>
      <c r="E1089" s="410"/>
      <c r="F1089" s="366"/>
      <c r="G1089" s="366"/>
      <c r="H1089" s="305"/>
      <c r="I1089" s="366"/>
      <c r="J1089" s="366"/>
      <c r="K1089" s="309"/>
      <c r="L1089" s="366"/>
      <c r="M1089" s="366"/>
      <c r="N1089" s="309"/>
      <c r="O1089" s="366"/>
      <c r="P1089" s="418"/>
      <c r="Q1089" s="305"/>
      <c r="R1089" s="410"/>
      <c r="S1089" s="309">
        <v>25</v>
      </c>
    </row>
    <row r="1090" spans="1:19" ht="15">
      <c r="A1090" s="408" t="s">
        <v>408</v>
      </c>
      <c r="B1090" s="413">
        <v>1122</v>
      </c>
      <c r="C1090" s="366">
        <f t="shared" si="83"/>
        <v>1276.54</v>
      </c>
      <c r="D1090" s="366">
        <v>1276.54</v>
      </c>
      <c r="E1090" s="410" t="s">
        <v>1113</v>
      </c>
      <c r="F1090" s="366">
        <v>28.48</v>
      </c>
      <c r="G1090" s="366"/>
      <c r="H1090" s="305"/>
      <c r="I1090" s="366"/>
      <c r="J1090" s="366"/>
      <c r="K1090" s="309"/>
      <c r="L1090" s="366"/>
      <c r="M1090" s="366"/>
      <c r="N1090" s="309"/>
      <c r="O1090" s="366"/>
      <c r="P1090" s="426"/>
      <c r="Q1090" s="305"/>
      <c r="R1090" s="410"/>
      <c r="S1090" s="309" t="s">
        <v>306</v>
      </c>
    </row>
    <row r="1091" spans="1:19" ht="15">
      <c r="A1091" s="408" t="s">
        <v>386</v>
      </c>
      <c r="B1091" s="413">
        <v>218</v>
      </c>
      <c r="C1091" s="366">
        <f t="shared" si="83"/>
        <v>3101.08</v>
      </c>
      <c r="D1091" s="366">
        <v>3101.08</v>
      </c>
      <c r="E1091" s="410" t="s">
        <v>1114</v>
      </c>
      <c r="F1091" s="366">
        <v>514.88</v>
      </c>
      <c r="G1091" s="366"/>
      <c r="H1091" s="305"/>
      <c r="I1091" s="366"/>
      <c r="J1091" s="366"/>
      <c r="K1091" s="309"/>
      <c r="L1091" s="366"/>
      <c r="M1091" s="366"/>
      <c r="N1091" s="309"/>
      <c r="O1091" s="366"/>
      <c r="P1091" s="426"/>
      <c r="Q1091" s="305"/>
      <c r="R1091" s="410"/>
      <c r="S1091" s="309">
        <v>96</v>
      </c>
    </row>
    <row r="1092" spans="1:19" ht="15">
      <c r="A1092" s="408" t="s">
        <v>391</v>
      </c>
      <c r="B1092" s="413">
        <v>86</v>
      </c>
      <c r="C1092" s="366">
        <f t="shared" si="83"/>
        <v>0</v>
      </c>
      <c r="D1092" s="366"/>
      <c r="E1092" s="366"/>
      <c r="F1092" s="366"/>
      <c r="G1092" s="366"/>
      <c r="H1092" s="305"/>
      <c r="I1092" s="366"/>
      <c r="J1092" s="366"/>
      <c r="K1092" s="309"/>
      <c r="L1092" s="366"/>
      <c r="M1092" s="366"/>
      <c r="N1092" s="309"/>
      <c r="O1092" s="366"/>
      <c r="P1092" s="409"/>
      <c r="Q1092" s="305"/>
      <c r="R1092" s="410"/>
      <c r="S1092" s="309"/>
    </row>
    <row r="1093" spans="1:19" ht="15">
      <c r="A1093" s="408" t="s">
        <v>1067</v>
      </c>
      <c r="B1093" s="407" t="s">
        <v>362</v>
      </c>
      <c r="C1093" s="366">
        <f t="shared" si="83"/>
        <v>2270.02</v>
      </c>
      <c r="D1093" s="366">
        <v>2270.02</v>
      </c>
      <c r="E1093" s="410" t="s">
        <v>1115</v>
      </c>
      <c r="F1093" s="366">
        <v>89.78</v>
      </c>
      <c r="G1093" s="366"/>
      <c r="H1093" s="305"/>
      <c r="I1093" s="366"/>
      <c r="J1093" s="366"/>
      <c r="K1093" s="309"/>
      <c r="L1093" s="366"/>
      <c r="M1093" s="366"/>
      <c r="N1093" s="309"/>
      <c r="O1093" s="366"/>
      <c r="P1093" s="409"/>
      <c r="Q1093" s="305"/>
      <c r="R1093" s="410"/>
      <c r="S1093" s="309">
        <v>34</v>
      </c>
    </row>
    <row r="1094" spans="1:19" ht="15">
      <c r="A1094" s="408" t="s">
        <v>1041</v>
      </c>
      <c r="B1094" s="407" t="s">
        <v>1068</v>
      </c>
      <c r="C1094" s="366">
        <f t="shared" si="83"/>
        <v>1685.47</v>
      </c>
      <c r="D1094" s="366">
        <v>1685.47</v>
      </c>
      <c r="E1094" s="305">
        <v>481.82</v>
      </c>
      <c r="F1094" s="366">
        <v>0</v>
      </c>
      <c r="G1094" s="411"/>
      <c r="H1094" s="305"/>
      <c r="I1094" s="366"/>
      <c r="J1094" s="366"/>
      <c r="K1094" s="305"/>
      <c r="L1094" s="366"/>
      <c r="M1094" s="366"/>
      <c r="N1094" s="309"/>
      <c r="O1094" s="366"/>
      <c r="P1094" s="409"/>
      <c r="Q1094" s="305"/>
      <c r="R1094" s="410"/>
      <c r="S1094" s="309" t="s">
        <v>306</v>
      </c>
    </row>
    <row r="1095" spans="1:19" ht="15">
      <c r="A1095" s="408" t="s">
        <v>1043</v>
      </c>
      <c r="B1095" s="407" t="s">
        <v>1069</v>
      </c>
      <c r="C1095" s="366">
        <f t="shared" si="83"/>
        <v>2226.31</v>
      </c>
      <c r="D1095" s="366">
        <v>2226.31</v>
      </c>
      <c r="E1095" s="305">
        <v>595.48</v>
      </c>
      <c r="F1095" s="366">
        <v>37.11</v>
      </c>
      <c r="G1095" s="411"/>
      <c r="H1095" s="305"/>
      <c r="I1095" s="366"/>
      <c r="J1095" s="366"/>
      <c r="K1095" s="305"/>
      <c r="L1095" s="366"/>
      <c r="M1095" s="366"/>
      <c r="N1095" s="309"/>
      <c r="O1095" s="366"/>
      <c r="P1095" s="409"/>
      <c r="Q1095" s="305"/>
      <c r="R1095" s="410"/>
      <c r="S1095" s="309">
        <v>39</v>
      </c>
    </row>
    <row r="1096" spans="1:19" ht="15">
      <c r="A1096" s="408" t="s">
        <v>359</v>
      </c>
      <c r="B1096" s="407" t="s">
        <v>360</v>
      </c>
      <c r="C1096" s="366">
        <f t="shared" si="83"/>
        <v>0</v>
      </c>
      <c r="D1096" s="366"/>
      <c r="E1096" s="305"/>
      <c r="F1096" s="366"/>
      <c r="G1096" s="411"/>
      <c r="H1096" s="305"/>
      <c r="I1096" s="366"/>
      <c r="J1096" s="366"/>
      <c r="K1096" s="305"/>
      <c r="L1096" s="366"/>
      <c r="M1096" s="366"/>
      <c r="N1096" s="309"/>
      <c r="O1096" s="366"/>
      <c r="P1096" s="409"/>
      <c r="Q1096" s="305"/>
      <c r="R1096" s="410"/>
      <c r="S1096" s="309"/>
    </row>
    <row r="1097" spans="1:19" ht="15">
      <c r="A1097" s="408" t="s">
        <v>370</v>
      </c>
      <c r="B1097" s="407" t="s">
        <v>1070</v>
      </c>
      <c r="C1097" s="366">
        <f t="shared" si="83"/>
        <v>0</v>
      </c>
      <c r="D1097" s="366"/>
      <c r="E1097" s="305"/>
      <c r="F1097" s="366"/>
      <c r="G1097" s="411"/>
      <c r="H1097" s="305"/>
      <c r="I1097" s="366"/>
      <c r="J1097" s="366"/>
      <c r="K1097" s="305"/>
      <c r="L1097" s="366"/>
      <c r="M1097" s="366"/>
      <c r="N1097" s="309"/>
      <c r="O1097" s="366"/>
      <c r="P1097" s="409"/>
      <c r="Q1097" s="305"/>
      <c r="R1097" s="410"/>
      <c r="S1097" s="309"/>
    </row>
    <row r="1098" spans="1:19" ht="15">
      <c r="A1098" s="408" t="s">
        <v>368</v>
      </c>
      <c r="B1098" s="407" t="s">
        <v>362</v>
      </c>
      <c r="C1098" s="366">
        <f t="shared" si="83"/>
        <v>0</v>
      </c>
      <c r="D1098" s="366"/>
      <c r="E1098" s="305"/>
      <c r="F1098" s="366"/>
      <c r="G1098" s="411"/>
      <c r="H1098" s="305"/>
      <c r="I1098" s="366"/>
      <c r="J1098" s="366"/>
      <c r="K1098" s="305"/>
      <c r="L1098" s="366"/>
      <c r="M1098" s="366"/>
      <c r="N1098" s="309"/>
      <c r="O1098" s="366"/>
      <c r="P1098" s="409"/>
      <c r="Q1098" s="305"/>
      <c r="R1098" s="410"/>
      <c r="S1098" s="309">
        <v>20</v>
      </c>
    </row>
    <row r="1099" spans="1:19" ht="15">
      <c r="A1099" s="408" t="s">
        <v>1082</v>
      </c>
      <c r="B1099" s="407" t="s">
        <v>1045</v>
      </c>
      <c r="C1099" s="366">
        <f t="shared" si="83"/>
        <v>0</v>
      </c>
      <c r="D1099" s="366"/>
      <c r="E1099" s="305"/>
      <c r="F1099" s="366"/>
      <c r="G1099" s="411"/>
      <c r="H1099" s="305"/>
      <c r="I1099" s="366"/>
      <c r="J1099" s="366"/>
      <c r="K1099" s="305"/>
      <c r="L1099" s="366"/>
      <c r="M1099" s="366"/>
      <c r="N1099" s="309"/>
      <c r="O1099" s="366"/>
      <c r="P1099" s="409"/>
      <c r="Q1099" s="305"/>
      <c r="R1099" s="410"/>
      <c r="S1099" s="309"/>
    </row>
    <row r="1100" spans="1:19" ht="13">
      <c r="A1100" s="470" t="s">
        <v>860</v>
      </c>
      <c r="B1100" s="471"/>
      <c r="C1100" s="422" t="s">
        <v>89</v>
      </c>
      <c r="D1100" s="324" t="s">
        <v>676</v>
      </c>
      <c r="E1100" s="325" t="s">
        <v>861</v>
      </c>
      <c r="F1100" s="355" t="s">
        <v>862</v>
      </c>
      <c r="G1100" s="324" t="s">
        <v>676</v>
      </c>
      <c r="H1100" s="325" t="s">
        <v>861</v>
      </c>
      <c r="I1100" s="355" t="s">
        <v>862</v>
      </c>
      <c r="J1100" s="324" t="s">
        <v>676</v>
      </c>
      <c r="K1100" s="325" t="s">
        <v>861</v>
      </c>
      <c r="L1100" s="355" t="s">
        <v>862</v>
      </c>
      <c r="M1100" s="324" t="s">
        <v>676</v>
      </c>
      <c r="N1100" s="325" t="s">
        <v>861</v>
      </c>
      <c r="O1100" s="355" t="s">
        <v>862</v>
      </c>
      <c r="P1100" s="324" t="s">
        <v>881</v>
      </c>
      <c r="Q1100" s="325" t="s">
        <v>861</v>
      </c>
      <c r="R1100" s="325" t="s">
        <v>865</v>
      </c>
      <c r="S1100" s="412" t="s">
        <v>1031</v>
      </c>
    </row>
    <row r="1101" spans="1:19" ht="13">
      <c r="A1101" s="470" t="s">
        <v>863</v>
      </c>
      <c r="B1101" s="471"/>
      <c r="C1101" s="326">
        <f>SUM(C1070:C1099)</f>
        <v>37296.069999999992</v>
      </c>
      <c r="D1101" s="326">
        <f>SUM(D1070:D1093)+SUM(G1070:G1093)+SUM(J1070:J1093)</f>
        <v>33384.289999999994</v>
      </c>
      <c r="E1101" s="327">
        <f>SUM(E1070:E1089)+SUM(H1070:H1089)+SUM(K1070:K1089)+SUM(N1070:N1089)</f>
        <v>6484.3110000000006</v>
      </c>
      <c r="F1101" s="328">
        <f>SUM(F1070:F1089)</f>
        <v>1909.76</v>
      </c>
      <c r="G1101" s="329"/>
      <c r="H1101" s="329"/>
      <c r="I1101" s="329"/>
      <c r="J1101" s="329"/>
      <c r="K1101" s="329"/>
      <c r="L1101" s="329"/>
      <c r="M1101" s="329"/>
      <c r="N1101" s="329"/>
      <c r="O1101" s="329"/>
      <c r="P1101" s="329"/>
      <c r="Q1101" s="329"/>
      <c r="R1101" s="329"/>
    </row>
    <row r="1102" spans="1:19" ht="13">
      <c r="A1102" s="282"/>
      <c r="B1102" s="282"/>
      <c r="C1102" s="282"/>
      <c r="D1102" s="282"/>
      <c r="E1102" s="282"/>
      <c r="F1102" s="282"/>
      <c r="G1102" s="282"/>
      <c r="H1102" s="282"/>
      <c r="I1102" s="329"/>
      <c r="J1102" s="329"/>
      <c r="K1102" s="329"/>
      <c r="L1102" s="329"/>
      <c r="M1102" s="329"/>
      <c r="N1102" s="329"/>
      <c r="O1102" s="329"/>
      <c r="P1102" s="329"/>
      <c r="Q1102" s="329"/>
      <c r="R1102" s="329"/>
    </row>
    <row r="1103" spans="1:19" ht="13">
      <c r="A1103" s="472" t="s">
        <v>1116</v>
      </c>
      <c r="B1103" s="466"/>
      <c r="C1103" s="466"/>
      <c r="D1103" s="466"/>
      <c r="E1103" s="466"/>
      <c r="F1103" s="466"/>
      <c r="G1103" s="466"/>
      <c r="H1103" s="466"/>
      <c r="I1103" s="466"/>
      <c r="J1103" s="466"/>
      <c r="K1103" s="466"/>
      <c r="L1103" s="466"/>
      <c r="M1103" s="466"/>
      <c r="N1103" s="466"/>
      <c r="O1103" s="466"/>
      <c r="P1103" s="466"/>
      <c r="Q1103" s="466"/>
      <c r="R1103" s="466"/>
      <c r="S1103" s="466"/>
    </row>
    <row r="1104" spans="1:19" ht="13">
      <c r="A1104" s="356" t="s">
        <v>849</v>
      </c>
      <c r="B1104" s="356" t="s">
        <v>1</v>
      </c>
      <c r="C1104" s="356" t="s">
        <v>89</v>
      </c>
      <c r="D1104" s="473" t="s">
        <v>850</v>
      </c>
      <c r="E1104" s="466"/>
      <c r="F1104" s="467"/>
      <c r="G1104" s="465" t="s">
        <v>852</v>
      </c>
      <c r="H1104" s="466"/>
      <c r="I1104" s="467"/>
      <c r="J1104" s="465" t="s">
        <v>1013</v>
      </c>
      <c r="K1104" s="466"/>
      <c r="L1104" s="467"/>
      <c r="M1104" s="465" t="s">
        <v>1093</v>
      </c>
      <c r="N1104" s="466"/>
      <c r="O1104" s="467"/>
      <c r="P1104" s="465" t="s">
        <v>865</v>
      </c>
      <c r="Q1104" s="466"/>
      <c r="R1104" s="467"/>
      <c r="S1104" s="356" t="s">
        <v>1028</v>
      </c>
    </row>
    <row r="1105" spans="1:19" ht="15">
      <c r="A1105" s="400"/>
      <c r="B1105" s="413">
        <v>352368</v>
      </c>
      <c r="C1105" s="366">
        <f t="shared" ref="C1105:C1134" si="84">D1105+G1105+J1105</f>
        <v>0</v>
      </c>
      <c r="D1105" s="366"/>
      <c r="E1105" s="305"/>
      <c r="F1105" s="366"/>
      <c r="G1105" s="366"/>
      <c r="H1105" s="305"/>
      <c r="I1105" s="366"/>
      <c r="J1105" s="366"/>
      <c r="K1105" s="305"/>
      <c r="L1105" s="366"/>
      <c r="M1105" s="366"/>
      <c r="N1105" s="309"/>
      <c r="O1105" s="366"/>
      <c r="P1105" s="345"/>
      <c r="Q1105" s="305"/>
      <c r="R1105" s="410"/>
      <c r="S1105" s="309">
        <v>16</v>
      </c>
    </row>
    <row r="1106" spans="1:19" ht="15">
      <c r="A1106" s="399" t="s">
        <v>390</v>
      </c>
      <c r="B1106" s="413" t="s">
        <v>481</v>
      </c>
      <c r="C1106" s="366">
        <f t="shared" si="84"/>
        <v>556.03</v>
      </c>
      <c r="D1106" s="366">
        <v>556.03</v>
      </c>
      <c r="E1106" s="305">
        <v>128.44</v>
      </c>
      <c r="F1106" s="366">
        <v>12.84</v>
      </c>
      <c r="G1106" s="366"/>
      <c r="H1106" s="305"/>
      <c r="I1106" s="366"/>
      <c r="J1106" s="366"/>
      <c r="K1106" s="309"/>
      <c r="L1106" s="366"/>
      <c r="M1106" s="366"/>
      <c r="N1106" s="309"/>
      <c r="O1106" s="366"/>
      <c r="P1106" s="418"/>
      <c r="Q1106" s="305"/>
      <c r="R1106" s="410"/>
      <c r="S1106" s="309">
        <v>44</v>
      </c>
    </row>
    <row r="1107" spans="1:19" ht="15">
      <c r="A1107" s="398" t="s">
        <v>1072</v>
      </c>
      <c r="B1107" s="413" t="s">
        <v>483</v>
      </c>
      <c r="C1107" s="366">
        <f t="shared" si="84"/>
        <v>549.67999999999995</v>
      </c>
      <c r="D1107" s="366">
        <v>549.67999999999995</v>
      </c>
      <c r="E1107" s="305">
        <v>141.94</v>
      </c>
      <c r="F1107" s="366">
        <v>74.790000000000006</v>
      </c>
      <c r="G1107" s="366"/>
      <c r="H1107" s="305"/>
      <c r="I1107" s="366"/>
      <c r="J1107" s="366"/>
      <c r="K1107" s="309"/>
      <c r="L1107" s="366"/>
      <c r="M1107" s="366"/>
      <c r="N1107" s="309"/>
      <c r="O1107" s="366"/>
      <c r="P1107" s="418"/>
      <c r="Q1107" s="305"/>
      <c r="R1107" s="410"/>
      <c r="S1107" s="309">
        <v>39</v>
      </c>
    </row>
    <row r="1108" spans="1:19" ht="15">
      <c r="A1108" s="171" t="s">
        <v>1117</v>
      </c>
      <c r="B1108" s="413" t="s">
        <v>1118</v>
      </c>
      <c r="C1108" s="366">
        <f t="shared" si="84"/>
        <v>1611.26</v>
      </c>
      <c r="D1108" s="366">
        <v>1611.26</v>
      </c>
      <c r="E1108" s="410" t="s">
        <v>1119</v>
      </c>
      <c r="F1108" s="366">
        <v>37.79</v>
      </c>
      <c r="G1108" s="366"/>
      <c r="H1108" s="305"/>
      <c r="I1108" s="366"/>
      <c r="J1108" s="366"/>
      <c r="K1108" s="309"/>
      <c r="L1108" s="366"/>
      <c r="M1108" s="366"/>
      <c r="N1108" s="309"/>
      <c r="O1108" s="366"/>
      <c r="P1108" s="418"/>
      <c r="Q1108" s="305"/>
      <c r="R1108" s="410"/>
      <c r="S1108" s="309">
        <v>32</v>
      </c>
    </row>
    <row r="1109" spans="1:19" ht="15">
      <c r="A1109" s="398"/>
      <c r="B1109" s="407" t="s">
        <v>403</v>
      </c>
      <c r="C1109" s="366">
        <f t="shared" si="84"/>
        <v>0</v>
      </c>
      <c r="D1109" s="366"/>
      <c r="E1109" s="305"/>
      <c r="F1109" s="366"/>
      <c r="G1109" s="366"/>
      <c r="H1109" s="305"/>
      <c r="I1109" s="366"/>
      <c r="J1109" s="366"/>
      <c r="K1109" s="309"/>
      <c r="L1109" s="366"/>
      <c r="M1109" s="366"/>
      <c r="N1109" s="309"/>
      <c r="O1109" s="366"/>
      <c r="P1109" s="418"/>
      <c r="Q1109" s="305"/>
      <c r="R1109" s="410"/>
      <c r="S1109" s="309">
        <v>14</v>
      </c>
    </row>
    <row r="1110" spans="1:19" ht="15">
      <c r="A1110" s="398"/>
      <c r="B1110" s="413">
        <v>352375</v>
      </c>
      <c r="C1110" s="366">
        <f t="shared" si="84"/>
        <v>0</v>
      </c>
      <c r="D1110" s="366"/>
      <c r="E1110" s="305"/>
      <c r="F1110" s="366"/>
      <c r="G1110" s="366"/>
      <c r="H1110" s="305"/>
      <c r="I1110" s="366"/>
      <c r="J1110" s="366"/>
      <c r="K1110" s="309"/>
      <c r="L1110" s="366"/>
      <c r="M1110" s="366"/>
      <c r="N1110" s="309"/>
      <c r="O1110" s="366"/>
      <c r="P1110" s="418"/>
      <c r="Q1110" s="305"/>
      <c r="R1110" s="410"/>
      <c r="S1110" s="309">
        <v>47</v>
      </c>
    </row>
    <row r="1111" spans="1:19" ht="15">
      <c r="A1111" s="398"/>
      <c r="B1111" s="413">
        <v>352376</v>
      </c>
      <c r="C1111" s="366">
        <f t="shared" si="84"/>
        <v>0</v>
      </c>
      <c r="D1111" s="366"/>
      <c r="E1111" s="305"/>
      <c r="F1111" s="366"/>
      <c r="G1111" s="366"/>
      <c r="H1111" s="305"/>
      <c r="I1111" s="366"/>
      <c r="J1111" s="366"/>
      <c r="K1111" s="309"/>
      <c r="L1111" s="366"/>
      <c r="M1111" s="366"/>
      <c r="N1111" s="309"/>
      <c r="O1111" s="366"/>
      <c r="P1111" s="418"/>
      <c r="Q1111" s="305"/>
      <c r="R1111" s="410"/>
      <c r="S1111" s="309">
        <v>48</v>
      </c>
    </row>
    <row r="1112" spans="1:19" ht="15">
      <c r="A1112" s="398"/>
      <c r="B1112" s="413"/>
      <c r="C1112" s="366">
        <f t="shared" si="84"/>
        <v>0</v>
      </c>
      <c r="D1112" s="366"/>
      <c r="E1112" s="305"/>
      <c r="F1112" s="366"/>
      <c r="G1112" s="366"/>
      <c r="H1112" s="305"/>
      <c r="I1112" s="366"/>
      <c r="J1112" s="366"/>
      <c r="K1112" s="309"/>
      <c r="L1112" s="366"/>
      <c r="M1112" s="366"/>
      <c r="N1112" s="309"/>
      <c r="O1112" s="366"/>
      <c r="P1112" s="418"/>
      <c r="Q1112" s="305"/>
      <c r="R1112" s="410"/>
      <c r="S1112" s="309">
        <v>67</v>
      </c>
    </row>
    <row r="1113" spans="1:19" ht="15">
      <c r="A1113" s="171" t="s">
        <v>393</v>
      </c>
      <c r="B1113" s="413">
        <v>191276</v>
      </c>
      <c r="C1113" s="366">
        <f t="shared" si="84"/>
        <v>734.3</v>
      </c>
      <c r="D1113" s="366">
        <v>734.3</v>
      </c>
      <c r="E1113" s="305">
        <v>165.36</v>
      </c>
      <c r="F1113" s="366">
        <v>80.78</v>
      </c>
      <c r="G1113" s="366"/>
      <c r="H1113" s="305"/>
      <c r="I1113" s="366"/>
      <c r="J1113" s="366"/>
      <c r="K1113" s="309"/>
      <c r="L1113" s="366"/>
      <c r="M1113" s="366"/>
      <c r="N1113" s="309"/>
      <c r="O1113" s="366"/>
      <c r="P1113" s="418"/>
      <c r="Q1113" s="305"/>
      <c r="R1113" s="410"/>
      <c r="S1113" s="309" t="s">
        <v>306</v>
      </c>
    </row>
    <row r="1114" spans="1:19" ht="15">
      <c r="A1114" s="171" t="s">
        <v>634</v>
      </c>
      <c r="B1114" s="413" t="s">
        <v>1120</v>
      </c>
      <c r="C1114" s="366">
        <f t="shared" si="84"/>
        <v>0</v>
      </c>
      <c r="D1114" s="366"/>
      <c r="E1114" s="305"/>
      <c r="F1114" s="366"/>
      <c r="G1114" s="366"/>
      <c r="H1114" s="305"/>
      <c r="I1114" s="366"/>
      <c r="J1114" s="366"/>
      <c r="K1114" s="309"/>
      <c r="L1114" s="366"/>
      <c r="M1114" s="366"/>
      <c r="N1114" s="309"/>
      <c r="O1114" s="366"/>
      <c r="P1114" s="418"/>
      <c r="Q1114" s="305"/>
      <c r="R1114" s="410"/>
      <c r="S1114" s="309">
        <v>25</v>
      </c>
    </row>
    <row r="1115" spans="1:19" ht="15">
      <c r="A1115" s="398" t="s">
        <v>319</v>
      </c>
      <c r="B1115" s="413">
        <v>465180</v>
      </c>
      <c r="C1115" s="366">
        <f t="shared" si="84"/>
        <v>2243.56</v>
      </c>
      <c r="D1115" s="366">
        <v>2243.56</v>
      </c>
      <c r="E1115" s="305">
        <v>545.55999999999995</v>
      </c>
      <c r="F1115" s="366">
        <v>272.14</v>
      </c>
      <c r="G1115" s="366"/>
      <c r="H1115" s="305"/>
      <c r="I1115" s="366"/>
      <c r="J1115" s="366"/>
      <c r="K1115" s="309"/>
      <c r="L1115" s="366"/>
      <c r="M1115" s="366"/>
      <c r="N1115" s="309"/>
      <c r="O1115" s="366"/>
      <c r="P1115" s="418"/>
      <c r="Q1115" s="305"/>
      <c r="R1115" s="410"/>
      <c r="S1115" s="309">
        <v>88</v>
      </c>
    </row>
    <row r="1116" spans="1:19" ht="15">
      <c r="A1116" s="398" t="s">
        <v>1121</v>
      </c>
      <c r="B1116" s="413">
        <v>465181</v>
      </c>
      <c r="C1116" s="366">
        <f t="shared" si="84"/>
        <v>2907.49</v>
      </c>
      <c r="D1116" s="366">
        <v>2907.49</v>
      </c>
      <c r="E1116" s="305">
        <v>714.32</v>
      </c>
      <c r="F1116" s="366">
        <v>89.9</v>
      </c>
      <c r="G1116" s="366"/>
      <c r="H1116" s="305"/>
      <c r="I1116" s="366"/>
      <c r="J1116" s="366"/>
      <c r="K1116" s="309"/>
      <c r="L1116" s="366"/>
      <c r="M1116" s="366"/>
      <c r="N1116" s="309"/>
      <c r="O1116" s="366"/>
      <c r="P1116" s="418"/>
      <c r="Q1116" s="305"/>
      <c r="R1116" s="410"/>
      <c r="S1116" s="309">
        <v>68</v>
      </c>
    </row>
    <row r="1117" spans="1:19" ht="15">
      <c r="A1117" s="398" t="s">
        <v>349</v>
      </c>
      <c r="B1117" s="413">
        <v>465182</v>
      </c>
      <c r="C1117" s="366">
        <f t="shared" si="84"/>
        <v>0</v>
      </c>
      <c r="D1117" s="366"/>
      <c r="E1117" s="305"/>
      <c r="F1117" s="366"/>
      <c r="G1117" s="366"/>
      <c r="H1117" s="305"/>
      <c r="I1117" s="366"/>
      <c r="J1117" s="366"/>
      <c r="K1117" s="309"/>
      <c r="L1117" s="366"/>
      <c r="M1117" s="366"/>
      <c r="N1117" s="309"/>
      <c r="O1117" s="366"/>
      <c r="P1117" s="418"/>
      <c r="Q1117" s="305"/>
      <c r="R1117" s="410"/>
      <c r="S1117" s="309">
        <v>85</v>
      </c>
    </row>
    <row r="1118" spans="1:19" ht="15">
      <c r="A1118" s="398" t="s">
        <v>14</v>
      </c>
      <c r="B1118" s="413">
        <v>465183</v>
      </c>
      <c r="C1118" s="366">
        <f t="shared" si="84"/>
        <v>3560.16</v>
      </c>
      <c r="D1118" s="366">
        <v>3560.16</v>
      </c>
      <c r="E1118" s="305">
        <v>805.74</v>
      </c>
      <c r="F1118" s="366">
        <v>552.85</v>
      </c>
      <c r="G1118" s="366"/>
      <c r="H1118" s="305"/>
      <c r="I1118" s="366"/>
      <c r="J1118" s="366"/>
      <c r="K1118" s="309"/>
      <c r="L1118" s="366"/>
      <c r="M1118" s="366"/>
      <c r="N1118" s="309"/>
      <c r="O1118" s="366"/>
      <c r="P1118" s="418"/>
      <c r="Q1118" s="305"/>
      <c r="R1118" s="410"/>
      <c r="S1118" s="309">
        <v>49</v>
      </c>
    </row>
    <row r="1119" spans="1:19" ht="15">
      <c r="A1119" s="347" t="s">
        <v>40</v>
      </c>
      <c r="B1119" s="413">
        <v>465184</v>
      </c>
      <c r="C1119" s="366">
        <f t="shared" si="84"/>
        <v>729.04</v>
      </c>
      <c r="D1119" s="366">
        <v>729.04</v>
      </c>
      <c r="E1119" s="305">
        <v>196.32</v>
      </c>
      <c r="F1119" s="366">
        <v>18.920000000000002</v>
      </c>
      <c r="G1119" s="366"/>
      <c r="H1119" s="305"/>
      <c r="I1119" s="366"/>
      <c r="J1119" s="366"/>
      <c r="K1119" s="309"/>
      <c r="L1119" s="366"/>
      <c r="M1119" s="366"/>
      <c r="N1119" s="309"/>
      <c r="O1119" s="366"/>
      <c r="P1119" s="418"/>
      <c r="Q1119" s="305"/>
      <c r="R1119" s="410"/>
      <c r="S1119" s="309">
        <v>100</v>
      </c>
    </row>
    <row r="1120" spans="1:19" ht="15">
      <c r="A1120" s="398" t="s">
        <v>1107</v>
      </c>
      <c r="B1120" s="413">
        <v>465185</v>
      </c>
      <c r="C1120" s="366">
        <f t="shared" si="84"/>
        <v>3600.69</v>
      </c>
      <c r="D1120" s="366">
        <v>3600.69</v>
      </c>
      <c r="E1120" s="305">
        <v>863.29</v>
      </c>
      <c r="F1120" s="366">
        <v>621.25</v>
      </c>
      <c r="G1120" s="366"/>
      <c r="H1120" s="305"/>
      <c r="I1120" s="366"/>
      <c r="J1120" s="366"/>
      <c r="K1120" s="309"/>
      <c r="L1120" s="366"/>
      <c r="M1120" s="366"/>
      <c r="N1120" s="309"/>
      <c r="O1120" s="366"/>
      <c r="P1120" s="418"/>
      <c r="Q1120" s="305"/>
      <c r="R1120" s="410"/>
      <c r="S1120" s="309">
        <v>50</v>
      </c>
    </row>
    <row r="1121" spans="1:19" ht="15">
      <c r="A1121" s="398" t="s">
        <v>404</v>
      </c>
      <c r="B1121" s="413">
        <v>465186</v>
      </c>
      <c r="C1121" s="366">
        <f t="shared" si="84"/>
        <v>0</v>
      </c>
      <c r="D1121" s="366"/>
      <c r="E1121" s="305"/>
      <c r="F1121" s="366"/>
      <c r="G1121" s="366"/>
      <c r="H1121" s="305"/>
      <c r="I1121" s="366"/>
      <c r="J1121" s="366"/>
      <c r="K1121" s="309"/>
      <c r="L1121" s="366"/>
      <c r="M1121" s="366"/>
      <c r="N1121" s="309"/>
      <c r="O1121" s="366"/>
      <c r="P1121" s="418"/>
      <c r="Q1121" s="305"/>
      <c r="R1121" s="410"/>
      <c r="S1121" s="309">
        <v>76</v>
      </c>
    </row>
    <row r="1122" spans="1:19" ht="15">
      <c r="A1122" s="398" t="s">
        <v>192</v>
      </c>
      <c r="B1122" s="413">
        <v>465187</v>
      </c>
      <c r="C1122" s="366">
        <f t="shared" si="84"/>
        <v>3068.15</v>
      </c>
      <c r="D1122" s="366">
        <v>3068.15</v>
      </c>
      <c r="E1122" s="305">
        <v>734.09</v>
      </c>
      <c r="F1122" s="366">
        <v>497.03</v>
      </c>
      <c r="G1122" s="366"/>
      <c r="H1122" s="305"/>
      <c r="I1122" s="366"/>
      <c r="J1122" s="366"/>
      <c r="K1122" s="309"/>
      <c r="L1122" s="366"/>
      <c r="M1122" s="366"/>
      <c r="N1122" s="309"/>
      <c r="O1122" s="366"/>
      <c r="P1122" s="418"/>
      <c r="Q1122" s="305"/>
      <c r="R1122" s="410"/>
      <c r="S1122" s="309">
        <v>100</v>
      </c>
    </row>
    <row r="1123" spans="1:19" ht="15">
      <c r="A1123" s="398" t="s">
        <v>62</v>
      </c>
      <c r="B1123" s="413">
        <v>465188</v>
      </c>
      <c r="C1123" s="366">
        <f t="shared" si="84"/>
        <v>1768.21</v>
      </c>
      <c r="D1123" s="366">
        <v>1768.21</v>
      </c>
      <c r="E1123" s="305">
        <v>442.14</v>
      </c>
      <c r="F1123" s="366">
        <v>150.71</v>
      </c>
      <c r="G1123" s="366"/>
      <c r="H1123" s="305"/>
      <c r="I1123" s="366"/>
      <c r="J1123" s="366"/>
      <c r="K1123" s="309"/>
      <c r="L1123" s="366"/>
      <c r="M1123" s="366"/>
      <c r="N1123" s="309"/>
      <c r="O1123" s="366"/>
      <c r="P1123" s="418"/>
      <c r="Q1123" s="305"/>
      <c r="R1123" s="410"/>
      <c r="S1123" s="309">
        <v>64</v>
      </c>
    </row>
    <row r="1124" spans="1:19" ht="15">
      <c r="A1124" s="400"/>
      <c r="B1124" s="413">
        <v>465189</v>
      </c>
      <c r="C1124" s="366">
        <f t="shared" si="84"/>
        <v>0</v>
      </c>
      <c r="D1124" s="366"/>
      <c r="E1124" s="410"/>
      <c r="F1124" s="366"/>
      <c r="G1124" s="366"/>
      <c r="H1124" s="305"/>
      <c r="I1124" s="366"/>
      <c r="J1124" s="366"/>
      <c r="K1124" s="309"/>
      <c r="L1124" s="366"/>
      <c r="M1124" s="366"/>
      <c r="N1124" s="309"/>
      <c r="O1124" s="366"/>
      <c r="P1124" s="418"/>
      <c r="Q1124" s="305"/>
      <c r="R1124" s="410"/>
      <c r="S1124" s="309">
        <v>25</v>
      </c>
    </row>
    <row r="1125" spans="1:19" ht="15">
      <c r="A1125" s="408" t="s">
        <v>408</v>
      </c>
      <c r="B1125" s="413">
        <v>1122</v>
      </c>
      <c r="C1125" s="366">
        <f t="shared" si="84"/>
        <v>1807.89</v>
      </c>
      <c r="D1125" s="366">
        <v>1807.89</v>
      </c>
      <c r="E1125" s="366">
        <v>488.26</v>
      </c>
      <c r="F1125" s="366">
        <v>8.2799999999999994</v>
      </c>
      <c r="G1125" s="366"/>
      <c r="H1125" s="305"/>
      <c r="I1125" s="366"/>
      <c r="J1125" s="366"/>
      <c r="K1125" s="309"/>
      <c r="L1125" s="366"/>
      <c r="M1125" s="366"/>
      <c r="N1125" s="309"/>
      <c r="O1125" s="366"/>
      <c r="P1125" s="426"/>
      <c r="Q1125" s="305"/>
      <c r="R1125" s="410"/>
      <c r="S1125" s="309"/>
    </row>
    <row r="1126" spans="1:19" ht="15">
      <c r="A1126" s="408" t="s">
        <v>386</v>
      </c>
      <c r="B1126" s="413">
        <v>218</v>
      </c>
      <c r="C1126" s="366">
        <f t="shared" si="84"/>
        <v>1426.41</v>
      </c>
      <c r="D1126" s="366">
        <v>1426.41</v>
      </c>
      <c r="E1126" s="366">
        <v>350.58</v>
      </c>
      <c r="F1126" s="366">
        <v>116.99</v>
      </c>
      <c r="G1126" s="366"/>
      <c r="H1126" s="305"/>
      <c r="I1126" s="366"/>
      <c r="J1126" s="366"/>
      <c r="K1126" s="309"/>
      <c r="L1126" s="366"/>
      <c r="M1126" s="366"/>
      <c r="N1126" s="309"/>
      <c r="O1126" s="366"/>
      <c r="P1126" s="426"/>
      <c r="Q1126" s="305"/>
      <c r="R1126" s="410"/>
      <c r="S1126" s="309">
        <v>46</v>
      </c>
    </row>
    <row r="1127" spans="1:19" ht="15">
      <c r="A1127" s="408" t="s">
        <v>391</v>
      </c>
      <c r="B1127" s="413">
        <v>86</v>
      </c>
      <c r="C1127" s="366">
        <f t="shared" si="84"/>
        <v>0</v>
      </c>
      <c r="D1127" s="366"/>
      <c r="E1127" s="366"/>
      <c r="F1127" s="366"/>
      <c r="G1127" s="366"/>
      <c r="H1127" s="305"/>
      <c r="I1127" s="366"/>
      <c r="J1127" s="366"/>
      <c r="K1127" s="309"/>
      <c r="L1127" s="366"/>
      <c r="M1127" s="366"/>
      <c r="N1127" s="309"/>
      <c r="O1127" s="366"/>
      <c r="P1127" s="409"/>
      <c r="Q1127" s="305"/>
      <c r="R1127" s="410"/>
      <c r="S1127" s="309"/>
    </row>
    <row r="1128" spans="1:19" ht="15">
      <c r="A1128" s="408" t="s">
        <v>1067</v>
      </c>
      <c r="B1128" s="407" t="s">
        <v>362</v>
      </c>
      <c r="C1128" s="366">
        <f t="shared" si="84"/>
        <v>0</v>
      </c>
      <c r="D1128" s="366"/>
      <c r="E1128" s="410"/>
      <c r="F1128" s="366"/>
      <c r="G1128" s="366"/>
      <c r="H1128" s="305"/>
      <c r="I1128" s="366"/>
      <c r="J1128" s="366"/>
      <c r="K1128" s="309"/>
      <c r="L1128" s="366"/>
      <c r="M1128" s="366"/>
      <c r="N1128" s="309"/>
      <c r="O1128" s="366"/>
      <c r="P1128" s="409"/>
      <c r="Q1128" s="305"/>
      <c r="R1128" s="410"/>
      <c r="S1128" s="309">
        <v>90</v>
      </c>
    </row>
    <row r="1129" spans="1:19" ht="15">
      <c r="A1129" s="408" t="s">
        <v>1041</v>
      </c>
      <c r="B1129" s="407" t="s">
        <v>1068</v>
      </c>
      <c r="C1129" s="366">
        <f t="shared" si="84"/>
        <v>995.49</v>
      </c>
      <c r="D1129" s="366">
        <v>995.49</v>
      </c>
      <c r="E1129" s="305">
        <v>264.33999999999997</v>
      </c>
      <c r="F1129" s="366">
        <v>0</v>
      </c>
      <c r="G1129" s="411"/>
      <c r="H1129" s="305"/>
      <c r="I1129" s="366"/>
      <c r="J1129" s="366"/>
      <c r="K1129" s="305"/>
      <c r="L1129" s="366"/>
      <c r="M1129" s="366"/>
      <c r="N1129" s="309"/>
      <c r="O1129" s="366"/>
      <c r="P1129" s="409"/>
      <c r="Q1129" s="305"/>
      <c r="R1129" s="410"/>
      <c r="S1129" s="309"/>
    </row>
    <row r="1130" spans="1:19" ht="15">
      <c r="A1130" s="408" t="s">
        <v>1043</v>
      </c>
      <c r="B1130" s="407" t="s">
        <v>1069</v>
      </c>
      <c r="C1130" s="366">
        <f t="shared" si="84"/>
        <v>1971.92</v>
      </c>
      <c r="D1130" s="366">
        <v>1321.92</v>
      </c>
      <c r="E1130" s="305">
        <v>348.78</v>
      </c>
      <c r="F1130" s="366">
        <v>14.39</v>
      </c>
      <c r="G1130" s="411">
        <v>650</v>
      </c>
      <c r="H1130" s="305">
        <v>84.971999999999994</v>
      </c>
      <c r="I1130" s="366"/>
      <c r="J1130" s="366"/>
      <c r="K1130" s="305"/>
      <c r="L1130" s="366"/>
      <c r="M1130" s="366"/>
      <c r="N1130" s="309"/>
      <c r="O1130" s="366"/>
      <c r="P1130" s="409"/>
      <c r="Q1130" s="305"/>
      <c r="R1130" s="410"/>
      <c r="S1130" s="309">
        <v>13</v>
      </c>
    </row>
    <row r="1131" spans="1:19" ht="15">
      <c r="A1131" s="408" t="s">
        <v>359</v>
      </c>
      <c r="B1131" s="407" t="s">
        <v>360</v>
      </c>
      <c r="C1131" s="366">
        <f t="shared" si="84"/>
        <v>0</v>
      </c>
      <c r="D1131" s="366"/>
      <c r="E1131" s="305"/>
      <c r="F1131" s="366"/>
      <c r="G1131" s="411"/>
      <c r="H1131" s="305"/>
      <c r="I1131" s="366"/>
      <c r="J1131" s="366"/>
      <c r="K1131" s="305"/>
      <c r="L1131" s="366"/>
      <c r="M1131" s="366"/>
      <c r="N1131" s="309"/>
      <c r="O1131" s="366"/>
      <c r="P1131" s="409"/>
      <c r="Q1131" s="305"/>
      <c r="R1131" s="410"/>
      <c r="S1131" s="309"/>
    </row>
    <row r="1132" spans="1:19" ht="15">
      <c r="A1132" s="408" t="s">
        <v>370</v>
      </c>
      <c r="B1132" s="407" t="s">
        <v>1070</v>
      </c>
      <c r="C1132" s="366">
        <f t="shared" si="84"/>
        <v>0</v>
      </c>
      <c r="D1132" s="366"/>
      <c r="E1132" s="305"/>
      <c r="F1132" s="366"/>
      <c r="G1132" s="411"/>
      <c r="H1132" s="305"/>
      <c r="I1132" s="366"/>
      <c r="J1132" s="366"/>
      <c r="K1132" s="305"/>
      <c r="L1132" s="366"/>
      <c r="M1132" s="366"/>
      <c r="N1132" s="309"/>
      <c r="O1132" s="366"/>
      <c r="P1132" s="409"/>
      <c r="Q1132" s="305"/>
      <c r="R1132" s="410"/>
      <c r="S1132" s="309"/>
    </row>
    <row r="1133" spans="1:19" ht="15">
      <c r="A1133" s="408" t="s">
        <v>368</v>
      </c>
      <c r="B1133" s="407" t="s">
        <v>362</v>
      </c>
      <c r="C1133" s="366">
        <f t="shared" si="84"/>
        <v>0</v>
      </c>
      <c r="D1133" s="366"/>
      <c r="E1133" s="305"/>
      <c r="F1133" s="366"/>
      <c r="G1133" s="411"/>
      <c r="H1133" s="305"/>
      <c r="I1133" s="366"/>
      <c r="J1133" s="366"/>
      <c r="K1133" s="305"/>
      <c r="L1133" s="366"/>
      <c r="M1133" s="366"/>
      <c r="N1133" s="309"/>
      <c r="O1133" s="366"/>
      <c r="P1133" s="409"/>
      <c r="Q1133" s="305"/>
      <c r="R1133" s="410"/>
      <c r="S1133" s="309">
        <v>14</v>
      </c>
    </row>
    <row r="1134" spans="1:19" ht="15">
      <c r="A1134" s="408" t="s">
        <v>1082</v>
      </c>
      <c r="B1134" s="407" t="s">
        <v>1045</v>
      </c>
      <c r="C1134" s="366">
        <f t="shared" si="84"/>
        <v>0</v>
      </c>
      <c r="D1134" s="366"/>
      <c r="E1134" s="305"/>
      <c r="F1134" s="366"/>
      <c r="G1134" s="411"/>
      <c r="H1134" s="305"/>
      <c r="I1134" s="366"/>
      <c r="J1134" s="366"/>
      <c r="K1134" s="305"/>
      <c r="L1134" s="366"/>
      <c r="M1134" s="366"/>
      <c r="N1134" s="309"/>
      <c r="O1134" s="366"/>
      <c r="P1134" s="409"/>
      <c r="Q1134" s="305"/>
      <c r="R1134" s="410"/>
      <c r="S1134" s="309"/>
    </row>
    <row r="1135" spans="1:19" ht="13">
      <c r="A1135" s="470" t="s">
        <v>860</v>
      </c>
      <c r="B1135" s="471"/>
      <c r="C1135" s="422" t="s">
        <v>89</v>
      </c>
      <c r="D1135" s="324" t="s">
        <v>676</v>
      </c>
      <c r="E1135" s="325" t="s">
        <v>861</v>
      </c>
      <c r="F1135" s="355" t="s">
        <v>862</v>
      </c>
      <c r="G1135" s="324" t="s">
        <v>676</v>
      </c>
      <c r="H1135" s="325" t="s">
        <v>861</v>
      </c>
      <c r="I1135" s="355" t="s">
        <v>862</v>
      </c>
      <c r="J1135" s="324" t="s">
        <v>676</v>
      </c>
      <c r="K1135" s="325" t="s">
        <v>861</v>
      </c>
      <c r="L1135" s="355" t="s">
        <v>862</v>
      </c>
      <c r="M1135" s="324" t="s">
        <v>676</v>
      </c>
      <c r="N1135" s="325" t="s">
        <v>861</v>
      </c>
      <c r="O1135" s="355" t="s">
        <v>862</v>
      </c>
      <c r="P1135" s="324" t="s">
        <v>881</v>
      </c>
      <c r="Q1135" s="325" t="s">
        <v>861</v>
      </c>
      <c r="R1135" s="325" t="s">
        <v>865</v>
      </c>
      <c r="S1135" s="412" t="s">
        <v>1031</v>
      </c>
    </row>
    <row r="1136" spans="1:19" ht="13">
      <c r="A1136" s="470" t="s">
        <v>863</v>
      </c>
      <c r="B1136" s="471"/>
      <c r="C1136" s="326">
        <f>SUM(C1105:C1134)</f>
        <v>27530.28</v>
      </c>
      <c r="D1136" s="326">
        <f>SUM(D1105:D1128)+SUM(G1105:G1128)+SUM(J1105:J1128)</f>
        <v>24562.87</v>
      </c>
      <c r="E1136" s="327">
        <f>SUM(E1105:E1124)+SUM(H1105:H1124)+SUM(K1105:K1124)+SUM(N1105:N1124)</f>
        <v>4737.2</v>
      </c>
      <c r="F1136" s="328">
        <f>SUM(F1105:F1124)</f>
        <v>2409</v>
      </c>
      <c r="G1136" s="329"/>
      <c r="H1136" s="329"/>
      <c r="I1136" s="329"/>
      <c r="J1136" s="329"/>
      <c r="K1136" s="329"/>
      <c r="L1136" s="329"/>
      <c r="M1136" s="329"/>
      <c r="N1136" s="329"/>
      <c r="O1136" s="329"/>
      <c r="P1136" s="329"/>
      <c r="Q1136" s="329"/>
      <c r="R1136" s="329"/>
    </row>
    <row r="1137" spans="1:19" ht="13">
      <c r="A1137" s="282"/>
      <c r="B1137" s="282"/>
      <c r="C1137" s="282"/>
      <c r="D1137" s="282"/>
      <c r="E1137" s="282"/>
      <c r="F1137" s="282"/>
      <c r="G1137" s="282"/>
      <c r="H1137" s="282"/>
      <c r="I1137" s="329"/>
      <c r="J1137" s="329"/>
      <c r="K1137" s="329"/>
      <c r="L1137" s="329"/>
      <c r="M1137" s="329"/>
      <c r="N1137" s="329"/>
      <c r="O1137" s="329"/>
      <c r="P1137" s="329"/>
      <c r="Q1137" s="329"/>
      <c r="R1137" s="329"/>
    </row>
    <row r="1138" spans="1:19" ht="13">
      <c r="A1138" s="472" t="s">
        <v>1122</v>
      </c>
      <c r="B1138" s="466"/>
      <c r="C1138" s="466"/>
      <c r="D1138" s="466"/>
      <c r="E1138" s="466"/>
      <c r="F1138" s="466"/>
      <c r="G1138" s="466"/>
      <c r="H1138" s="466"/>
      <c r="I1138" s="466"/>
      <c r="J1138" s="466"/>
      <c r="K1138" s="466"/>
      <c r="L1138" s="466"/>
      <c r="M1138" s="466"/>
      <c r="N1138" s="466"/>
      <c r="O1138" s="466"/>
      <c r="P1138" s="466"/>
      <c r="Q1138" s="466"/>
      <c r="R1138" s="466"/>
      <c r="S1138" s="466"/>
    </row>
    <row r="1139" spans="1:19" ht="13">
      <c r="A1139" s="356" t="s">
        <v>849</v>
      </c>
      <c r="B1139" s="356" t="s">
        <v>1</v>
      </c>
      <c r="C1139" s="356" t="s">
        <v>89</v>
      </c>
      <c r="D1139" s="473" t="s">
        <v>850</v>
      </c>
      <c r="E1139" s="466"/>
      <c r="F1139" s="467"/>
      <c r="G1139" s="465" t="s">
        <v>852</v>
      </c>
      <c r="H1139" s="466"/>
      <c r="I1139" s="467"/>
      <c r="J1139" s="465" t="s">
        <v>1013</v>
      </c>
      <c r="K1139" s="466"/>
      <c r="L1139" s="467"/>
      <c r="M1139" s="465" t="s">
        <v>1093</v>
      </c>
      <c r="N1139" s="466"/>
      <c r="O1139" s="467"/>
      <c r="P1139" s="465" t="s">
        <v>865</v>
      </c>
      <c r="Q1139" s="466"/>
      <c r="R1139" s="467"/>
      <c r="S1139" s="356" t="s">
        <v>1028</v>
      </c>
    </row>
    <row r="1140" spans="1:19" ht="15">
      <c r="A1140" s="400"/>
      <c r="B1140" s="413">
        <v>352368</v>
      </c>
      <c r="C1140" s="366">
        <f t="shared" ref="C1140:C1164" si="85">D1140+G1140+J1140</f>
        <v>0</v>
      </c>
      <c r="D1140" s="366"/>
      <c r="E1140" s="305"/>
      <c r="F1140" s="366"/>
      <c r="G1140" s="366"/>
      <c r="H1140" s="305"/>
      <c r="I1140" s="366"/>
      <c r="J1140" s="366"/>
      <c r="K1140" s="305"/>
      <c r="L1140" s="366"/>
      <c r="M1140" s="366"/>
      <c r="N1140" s="309"/>
      <c r="O1140" s="366"/>
      <c r="P1140" s="345"/>
      <c r="Q1140" s="305"/>
      <c r="R1140" s="410"/>
      <c r="S1140" s="309"/>
    </row>
    <row r="1141" spans="1:19" ht="15">
      <c r="A1141" s="399" t="s">
        <v>390</v>
      </c>
      <c r="B1141" s="413">
        <v>191275</v>
      </c>
      <c r="C1141" s="366">
        <f t="shared" si="85"/>
        <v>1815.74</v>
      </c>
      <c r="D1141" s="366">
        <v>1815.74</v>
      </c>
      <c r="E1141" s="305">
        <v>443.1</v>
      </c>
      <c r="F1141" s="366">
        <v>34.4</v>
      </c>
      <c r="G1141" s="366"/>
      <c r="H1141" s="305"/>
      <c r="I1141" s="366"/>
      <c r="J1141" s="366"/>
      <c r="K1141" s="309"/>
      <c r="L1141" s="366"/>
      <c r="M1141" s="366"/>
      <c r="N1141" s="309"/>
      <c r="O1141" s="366"/>
      <c r="P1141" s="418"/>
      <c r="Q1141" s="305"/>
      <c r="R1141" s="410"/>
      <c r="S1141" s="309">
        <v>73</v>
      </c>
    </row>
    <row r="1142" spans="1:19" ht="15">
      <c r="A1142" s="398" t="s">
        <v>1072</v>
      </c>
      <c r="B1142" s="413" t="s">
        <v>502</v>
      </c>
      <c r="C1142" s="366">
        <f t="shared" si="85"/>
        <v>661.98</v>
      </c>
      <c r="D1142" s="366">
        <v>661.98</v>
      </c>
      <c r="E1142" s="305">
        <v>180.45</v>
      </c>
      <c r="F1142" s="366">
        <v>3.45</v>
      </c>
      <c r="G1142" s="366"/>
      <c r="H1142" s="305"/>
      <c r="I1142" s="366"/>
      <c r="J1142" s="366"/>
      <c r="K1142" s="309"/>
      <c r="L1142" s="366"/>
      <c r="M1142" s="366"/>
      <c r="N1142" s="309"/>
      <c r="O1142" s="366"/>
      <c r="P1142" s="418"/>
      <c r="Q1142" s="305"/>
      <c r="R1142" s="410"/>
      <c r="S1142" s="309">
        <v>24</v>
      </c>
    </row>
    <row r="1143" spans="1:19" ht="15">
      <c r="A1143" s="171" t="s">
        <v>1117</v>
      </c>
      <c r="B1143" s="413">
        <v>191277</v>
      </c>
      <c r="C1143" s="366">
        <f t="shared" si="85"/>
        <v>2844.73</v>
      </c>
      <c r="D1143" s="366">
        <v>2844.73</v>
      </c>
      <c r="E1143" s="410" t="s">
        <v>1123</v>
      </c>
      <c r="F1143" s="366">
        <v>310.08999999999997</v>
      </c>
      <c r="G1143" s="366"/>
      <c r="H1143" s="305"/>
      <c r="I1143" s="366"/>
      <c r="J1143" s="366"/>
      <c r="K1143" s="309"/>
      <c r="L1143" s="366"/>
      <c r="M1143" s="366"/>
      <c r="N1143" s="309"/>
      <c r="O1143" s="366"/>
      <c r="P1143" s="418"/>
      <c r="Q1143" s="305"/>
      <c r="R1143" s="410"/>
      <c r="S1143" s="309">
        <v>100</v>
      </c>
    </row>
    <row r="1144" spans="1:19" ht="15">
      <c r="A1144" s="398" t="s">
        <v>386</v>
      </c>
      <c r="B1144" s="407" t="s">
        <v>503</v>
      </c>
      <c r="C1144" s="366">
        <f t="shared" si="85"/>
        <v>1111.1199999999999</v>
      </c>
      <c r="D1144" s="366">
        <v>1111.1199999999999</v>
      </c>
      <c r="E1144" s="305">
        <v>295.60000000000002</v>
      </c>
      <c r="F1144" s="366">
        <v>32.22</v>
      </c>
      <c r="G1144" s="366"/>
      <c r="H1144" s="305"/>
      <c r="I1144" s="366"/>
      <c r="J1144" s="366"/>
      <c r="K1144" s="309"/>
      <c r="L1144" s="366"/>
      <c r="M1144" s="366"/>
      <c r="N1144" s="309"/>
      <c r="O1144" s="366"/>
      <c r="P1144" s="418"/>
      <c r="Q1144" s="305"/>
      <c r="R1144" s="410"/>
      <c r="S1144" s="309">
        <v>14</v>
      </c>
    </row>
    <row r="1145" spans="1:19" ht="15">
      <c r="A1145" s="398"/>
      <c r="B1145" s="413"/>
      <c r="C1145" s="366">
        <f t="shared" si="85"/>
        <v>0</v>
      </c>
      <c r="D1145" s="366"/>
      <c r="E1145" s="305"/>
      <c r="F1145" s="366"/>
      <c r="G1145" s="366"/>
      <c r="H1145" s="305"/>
      <c r="I1145" s="366"/>
      <c r="J1145" s="366"/>
      <c r="K1145" s="309"/>
      <c r="L1145" s="366"/>
      <c r="M1145" s="366"/>
      <c r="N1145" s="309"/>
      <c r="O1145" s="366"/>
      <c r="P1145" s="418"/>
      <c r="Q1145" s="305"/>
      <c r="R1145" s="410"/>
      <c r="S1145" s="309">
        <v>47</v>
      </c>
    </row>
    <row r="1146" spans="1:19" ht="15">
      <c r="A1146" s="398"/>
      <c r="B1146" s="413"/>
      <c r="C1146" s="366">
        <f t="shared" si="85"/>
        <v>0</v>
      </c>
      <c r="D1146" s="366"/>
      <c r="E1146" s="305"/>
      <c r="F1146" s="366"/>
      <c r="G1146" s="366"/>
      <c r="H1146" s="305"/>
      <c r="I1146" s="366"/>
      <c r="J1146" s="366"/>
      <c r="K1146" s="309"/>
      <c r="L1146" s="366"/>
      <c r="M1146" s="366"/>
      <c r="N1146" s="309"/>
      <c r="O1146" s="366"/>
      <c r="P1146" s="418"/>
      <c r="Q1146" s="305"/>
      <c r="R1146" s="410"/>
      <c r="S1146" s="309">
        <v>46</v>
      </c>
    </row>
    <row r="1147" spans="1:19" ht="15">
      <c r="A1147" s="171" t="s">
        <v>393</v>
      </c>
      <c r="B1147" s="413">
        <v>191276</v>
      </c>
      <c r="C1147" s="366">
        <f t="shared" si="85"/>
        <v>0</v>
      </c>
      <c r="D1147" s="366"/>
      <c r="E1147" s="305"/>
      <c r="F1147" s="366"/>
      <c r="G1147" s="366"/>
      <c r="H1147" s="305"/>
      <c r="I1147" s="366"/>
      <c r="J1147" s="366"/>
      <c r="K1147" s="309"/>
      <c r="L1147" s="366"/>
      <c r="M1147" s="366"/>
      <c r="N1147" s="309"/>
      <c r="O1147" s="366"/>
      <c r="P1147" s="418"/>
      <c r="Q1147" s="305"/>
      <c r="R1147" s="410"/>
      <c r="S1147" s="309"/>
    </row>
    <row r="1148" spans="1:19" ht="15">
      <c r="A1148" s="171" t="s">
        <v>634</v>
      </c>
      <c r="B1148" s="413">
        <v>191283</v>
      </c>
      <c r="C1148" s="366">
        <f t="shared" si="85"/>
        <v>1715.51</v>
      </c>
      <c r="D1148" s="366">
        <v>1715.51</v>
      </c>
      <c r="E1148" s="305">
        <v>423.27</v>
      </c>
      <c r="F1148" s="366">
        <v>205.97</v>
      </c>
      <c r="G1148" s="366"/>
      <c r="H1148" s="305"/>
      <c r="I1148" s="366"/>
      <c r="J1148" s="366"/>
      <c r="K1148" s="309"/>
      <c r="L1148" s="366"/>
      <c r="M1148" s="366"/>
      <c r="N1148" s="309"/>
      <c r="O1148" s="366"/>
      <c r="P1148" s="418"/>
      <c r="Q1148" s="305"/>
      <c r="R1148" s="410"/>
      <c r="S1148" s="309">
        <v>49</v>
      </c>
    </row>
    <row r="1149" spans="1:19" ht="15">
      <c r="A1149" s="398" t="s">
        <v>319</v>
      </c>
      <c r="B1149" s="413">
        <v>465180</v>
      </c>
      <c r="C1149" s="366">
        <f t="shared" si="85"/>
        <v>2042.03</v>
      </c>
      <c r="D1149" s="366">
        <v>2042.03</v>
      </c>
      <c r="E1149" s="305">
        <v>480.76</v>
      </c>
      <c r="F1149" s="366">
        <v>373.68</v>
      </c>
      <c r="G1149" s="366"/>
      <c r="H1149" s="305"/>
      <c r="I1149" s="366"/>
      <c r="J1149" s="366"/>
      <c r="K1149" s="309"/>
      <c r="L1149" s="366"/>
      <c r="M1149" s="366"/>
      <c r="N1149" s="309"/>
      <c r="O1149" s="366"/>
      <c r="P1149" s="418"/>
      <c r="Q1149" s="305"/>
      <c r="R1149" s="410"/>
      <c r="S1149" s="309">
        <v>100</v>
      </c>
    </row>
    <row r="1150" spans="1:19" ht="15">
      <c r="A1150" s="398" t="s">
        <v>1121</v>
      </c>
      <c r="B1150" s="413">
        <v>465181</v>
      </c>
      <c r="C1150" s="366">
        <f t="shared" si="85"/>
        <v>2342.66</v>
      </c>
      <c r="D1150" s="366">
        <v>2342.66</v>
      </c>
      <c r="E1150" s="305">
        <v>562.97</v>
      </c>
      <c r="F1150" s="366">
        <v>233.17</v>
      </c>
      <c r="G1150" s="366"/>
      <c r="H1150" s="305"/>
      <c r="I1150" s="366"/>
      <c r="J1150" s="366"/>
      <c r="K1150" s="309"/>
      <c r="L1150" s="366"/>
      <c r="M1150" s="366"/>
      <c r="N1150" s="309"/>
      <c r="O1150" s="366"/>
      <c r="P1150" s="418"/>
      <c r="Q1150" s="305"/>
      <c r="R1150" s="410"/>
      <c r="S1150" s="309">
        <v>100</v>
      </c>
    </row>
    <row r="1151" spans="1:19" ht="15">
      <c r="A1151" s="398" t="s">
        <v>349</v>
      </c>
      <c r="B1151" s="413">
        <v>465182</v>
      </c>
      <c r="C1151" s="366">
        <f t="shared" si="85"/>
        <v>2733.38</v>
      </c>
      <c r="D1151" s="366">
        <v>2733.38</v>
      </c>
      <c r="E1151" s="305">
        <v>698.3</v>
      </c>
      <c r="F1151" s="366">
        <v>59.79</v>
      </c>
      <c r="G1151" s="366"/>
      <c r="H1151" s="305"/>
      <c r="I1151" s="366"/>
      <c r="J1151" s="366"/>
      <c r="K1151" s="309"/>
      <c r="L1151" s="366"/>
      <c r="M1151" s="366"/>
      <c r="N1151" s="309"/>
      <c r="O1151" s="366"/>
      <c r="P1151" s="418"/>
      <c r="Q1151" s="305"/>
      <c r="R1151" s="410"/>
      <c r="S1151" s="309">
        <v>50</v>
      </c>
    </row>
    <row r="1152" spans="1:19" ht="15">
      <c r="A1152" s="398" t="s">
        <v>14</v>
      </c>
      <c r="B1152" s="413">
        <v>465183</v>
      </c>
      <c r="C1152" s="366">
        <f t="shared" si="85"/>
        <v>3079.74</v>
      </c>
      <c r="D1152" s="366">
        <v>3079.74</v>
      </c>
      <c r="E1152" s="305">
        <v>733.94</v>
      </c>
      <c r="F1152" s="366">
        <v>319.93</v>
      </c>
      <c r="G1152" s="366"/>
      <c r="H1152" s="305"/>
      <c r="I1152" s="366"/>
      <c r="J1152" s="366"/>
      <c r="K1152" s="309"/>
      <c r="L1152" s="366"/>
      <c r="M1152" s="366"/>
      <c r="N1152" s="309"/>
      <c r="O1152" s="366"/>
      <c r="P1152" s="418"/>
      <c r="Q1152" s="305"/>
      <c r="R1152" s="410"/>
      <c r="S1152" s="309">
        <v>100</v>
      </c>
    </row>
    <row r="1153" spans="1:19" ht="15">
      <c r="A1153" s="347" t="s">
        <v>40</v>
      </c>
      <c r="B1153" s="413">
        <v>465184</v>
      </c>
      <c r="C1153" s="366">
        <f t="shared" si="85"/>
        <v>3965.12</v>
      </c>
      <c r="D1153" s="366">
        <v>3965.12</v>
      </c>
      <c r="E1153" s="305">
        <v>946.2</v>
      </c>
      <c r="F1153" s="366">
        <v>267.22000000000003</v>
      </c>
      <c r="G1153" s="366"/>
      <c r="H1153" s="305"/>
      <c r="I1153" s="366"/>
      <c r="J1153" s="366"/>
      <c r="K1153" s="309"/>
      <c r="L1153" s="366"/>
      <c r="M1153" s="366"/>
      <c r="N1153" s="309"/>
      <c r="O1153" s="366"/>
      <c r="P1153" s="418"/>
      <c r="Q1153" s="305"/>
      <c r="R1153" s="410"/>
      <c r="S1153" s="309">
        <v>100</v>
      </c>
    </row>
    <row r="1154" spans="1:19" ht="15">
      <c r="A1154" s="398" t="s">
        <v>1107</v>
      </c>
      <c r="B1154" s="413">
        <v>465185</v>
      </c>
      <c r="C1154" s="366">
        <f t="shared" si="85"/>
        <v>2725.77</v>
      </c>
      <c r="D1154" s="366">
        <v>2725.77</v>
      </c>
      <c r="E1154" s="305">
        <v>666.01</v>
      </c>
      <c r="F1154" s="366">
        <v>455.22</v>
      </c>
      <c r="G1154" s="366"/>
      <c r="H1154" s="305"/>
      <c r="I1154" s="366"/>
      <c r="J1154" s="366"/>
      <c r="K1154" s="309"/>
      <c r="L1154" s="366"/>
      <c r="M1154" s="366"/>
      <c r="N1154" s="309"/>
      <c r="O1154" s="366"/>
      <c r="P1154" s="418"/>
      <c r="Q1154" s="305"/>
      <c r="R1154" s="410"/>
      <c r="S1154" s="309">
        <v>100</v>
      </c>
    </row>
    <row r="1155" spans="1:19" ht="15">
      <c r="A1155" s="398" t="s">
        <v>404</v>
      </c>
      <c r="B1155" s="413">
        <v>465186</v>
      </c>
      <c r="C1155" s="366">
        <f t="shared" si="85"/>
        <v>3400.19</v>
      </c>
      <c r="D1155" s="366">
        <v>3400.19</v>
      </c>
      <c r="E1155" s="305">
        <v>808.12</v>
      </c>
      <c r="F1155" s="366">
        <v>77.569999999999993</v>
      </c>
      <c r="G1155" s="366"/>
      <c r="H1155" s="305"/>
      <c r="I1155" s="366"/>
      <c r="J1155" s="366"/>
      <c r="K1155" s="309"/>
      <c r="L1155" s="366"/>
      <c r="M1155" s="366"/>
      <c r="N1155" s="309"/>
      <c r="O1155" s="366"/>
      <c r="P1155" s="418"/>
      <c r="Q1155" s="305"/>
      <c r="R1155" s="410"/>
      <c r="S1155" s="309">
        <v>44</v>
      </c>
    </row>
    <row r="1156" spans="1:19" ht="15">
      <c r="A1156" s="398" t="s">
        <v>192</v>
      </c>
      <c r="B1156" s="413">
        <v>465187</v>
      </c>
      <c r="C1156" s="366">
        <f t="shared" si="85"/>
        <v>2325.79</v>
      </c>
      <c r="D1156" s="366">
        <v>2325.79</v>
      </c>
      <c r="E1156" s="305">
        <v>559.77</v>
      </c>
      <c r="F1156" s="366">
        <v>280.06</v>
      </c>
      <c r="G1156" s="366"/>
      <c r="H1156" s="305"/>
      <c r="I1156" s="366"/>
      <c r="J1156" s="366"/>
      <c r="K1156" s="309"/>
      <c r="L1156" s="366"/>
      <c r="M1156" s="366"/>
      <c r="N1156" s="309"/>
      <c r="O1156" s="366"/>
      <c r="P1156" s="418"/>
      <c r="Q1156" s="305"/>
      <c r="R1156" s="410"/>
      <c r="S1156" s="309">
        <v>50</v>
      </c>
    </row>
    <row r="1157" spans="1:19" ht="15">
      <c r="A1157" s="398" t="s">
        <v>62</v>
      </c>
      <c r="B1157" s="413">
        <v>465188</v>
      </c>
      <c r="C1157" s="366">
        <f t="shared" si="85"/>
        <v>1966.34</v>
      </c>
      <c r="D1157" s="366">
        <v>1966.34</v>
      </c>
      <c r="E1157" s="305">
        <v>482.63</v>
      </c>
      <c r="F1157" s="366">
        <v>128.22</v>
      </c>
      <c r="G1157" s="366"/>
      <c r="H1157" s="305"/>
      <c r="I1157" s="366"/>
      <c r="J1157" s="366"/>
      <c r="K1157" s="309"/>
      <c r="L1157" s="366"/>
      <c r="M1157" s="366"/>
      <c r="N1157" s="309"/>
      <c r="O1157" s="366"/>
      <c r="P1157" s="418"/>
      <c r="Q1157" s="305"/>
      <c r="R1157" s="410"/>
      <c r="S1157" s="309">
        <v>50</v>
      </c>
    </row>
    <row r="1158" spans="1:19" ht="15">
      <c r="A1158" s="400" t="s">
        <v>1124</v>
      </c>
      <c r="B1158" s="413">
        <v>465189</v>
      </c>
      <c r="C1158" s="366">
        <f t="shared" si="85"/>
        <v>1908.12</v>
      </c>
      <c r="D1158" s="366">
        <v>1908.12</v>
      </c>
      <c r="E1158" s="410" t="s">
        <v>1125</v>
      </c>
      <c r="F1158" s="366">
        <v>114.76</v>
      </c>
      <c r="G1158" s="366"/>
      <c r="H1158" s="305"/>
      <c r="I1158" s="366"/>
      <c r="J1158" s="366"/>
      <c r="K1158" s="309"/>
      <c r="L1158" s="366"/>
      <c r="M1158" s="366"/>
      <c r="N1158" s="309"/>
      <c r="O1158" s="366"/>
      <c r="P1158" s="418"/>
      <c r="Q1158" s="305"/>
      <c r="R1158" s="410"/>
      <c r="S1158" s="309">
        <v>25</v>
      </c>
    </row>
    <row r="1159" spans="1:19" ht="15">
      <c r="A1159" s="408" t="s">
        <v>408</v>
      </c>
      <c r="B1159" s="413">
        <v>1122</v>
      </c>
      <c r="C1159" s="366">
        <f t="shared" si="85"/>
        <v>0</v>
      </c>
      <c r="D1159" s="366"/>
      <c r="E1159" s="366"/>
      <c r="F1159" s="366"/>
      <c r="G1159" s="366"/>
      <c r="H1159" s="305"/>
      <c r="I1159" s="366"/>
      <c r="J1159" s="366"/>
      <c r="K1159" s="309"/>
      <c r="L1159" s="366"/>
      <c r="M1159" s="366"/>
      <c r="N1159" s="309"/>
      <c r="O1159" s="366"/>
      <c r="P1159" s="426"/>
      <c r="Q1159" s="305"/>
      <c r="R1159" s="410"/>
      <c r="S1159" s="309"/>
    </row>
    <row r="1160" spans="1:19" ht="15">
      <c r="A1160" s="408" t="s">
        <v>386</v>
      </c>
      <c r="B1160" s="413">
        <v>218</v>
      </c>
      <c r="C1160" s="366">
        <f t="shared" si="85"/>
        <v>676.56</v>
      </c>
      <c r="D1160" s="366">
        <v>676.56</v>
      </c>
      <c r="E1160" s="410" t="s">
        <v>1126</v>
      </c>
      <c r="F1160" s="366">
        <v>73.39</v>
      </c>
      <c r="G1160" s="366"/>
      <c r="H1160" s="305"/>
      <c r="I1160" s="366"/>
      <c r="J1160" s="366"/>
      <c r="K1160" s="309"/>
      <c r="L1160" s="366"/>
      <c r="M1160" s="366"/>
      <c r="N1160" s="309"/>
      <c r="O1160" s="366"/>
      <c r="P1160" s="426"/>
      <c r="Q1160" s="305"/>
      <c r="R1160" s="410"/>
      <c r="S1160" s="309">
        <v>36</v>
      </c>
    </row>
    <row r="1161" spans="1:19" ht="15">
      <c r="A1161" s="408" t="s">
        <v>1067</v>
      </c>
      <c r="B1161" s="407" t="s">
        <v>362</v>
      </c>
      <c r="C1161" s="366">
        <f t="shared" si="85"/>
        <v>0</v>
      </c>
      <c r="D1161" s="366"/>
      <c r="E1161" s="410"/>
      <c r="F1161" s="366"/>
      <c r="G1161" s="366"/>
      <c r="H1161" s="305"/>
      <c r="I1161" s="366"/>
      <c r="J1161" s="366"/>
      <c r="K1161" s="309"/>
      <c r="L1161" s="366"/>
      <c r="M1161" s="366"/>
      <c r="N1161" s="309"/>
      <c r="O1161" s="366"/>
      <c r="P1161" s="409"/>
      <c r="Q1161" s="305"/>
      <c r="R1161" s="410"/>
      <c r="S1161" s="309"/>
    </row>
    <row r="1162" spans="1:19" ht="15">
      <c r="A1162" s="408" t="s">
        <v>1041</v>
      </c>
      <c r="B1162" s="407" t="s">
        <v>1068</v>
      </c>
      <c r="C1162" s="366">
        <f t="shared" si="85"/>
        <v>0</v>
      </c>
      <c r="D1162" s="366"/>
      <c r="E1162" s="305"/>
      <c r="F1162" s="366"/>
      <c r="G1162" s="411"/>
      <c r="H1162" s="305"/>
      <c r="I1162" s="366"/>
      <c r="J1162" s="366"/>
      <c r="K1162" s="305"/>
      <c r="L1162" s="366"/>
      <c r="M1162" s="366"/>
      <c r="N1162" s="309"/>
      <c r="O1162" s="366"/>
      <c r="P1162" s="409"/>
      <c r="Q1162" s="305"/>
      <c r="R1162" s="410"/>
      <c r="S1162" s="309"/>
    </row>
    <row r="1163" spans="1:19" ht="15">
      <c r="A1163" s="408" t="s">
        <v>1043</v>
      </c>
      <c r="B1163" s="407" t="s">
        <v>1069</v>
      </c>
      <c r="C1163" s="366">
        <f t="shared" si="85"/>
        <v>1997.55</v>
      </c>
      <c r="D1163" s="366">
        <v>1997.55</v>
      </c>
      <c r="E1163" s="305">
        <v>518.49</v>
      </c>
      <c r="F1163" s="366">
        <v>10.17</v>
      </c>
      <c r="G1163" s="411"/>
      <c r="H1163" s="305"/>
      <c r="I1163" s="366"/>
      <c r="J1163" s="366"/>
      <c r="K1163" s="305"/>
      <c r="L1163" s="366"/>
      <c r="M1163" s="366"/>
      <c r="N1163" s="309"/>
      <c r="O1163" s="366"/>
      <c r="P1163" s="409"/>
      <c r="Q1163" s="305"/>
      <c r="R1163" s="410"/>
      <c r="S1163" s="309">
        <v>20</v>
      </c>
    </row>
    <row r="1164" spans="1:19" ht="15">
      <c r="A1164" s="408" t="s">
        <v>368</v>
      </c>
      <c r="B1164" s="407" t="s">
        <v>362</v>
      </c>
      <c r="C1164" s="366">
        <f t="shared" si="85"/>
        <v>1903.24</v>
      </c>
      <c r="D1164" s="366">
        <v>1903.24</v>
      </c>
      <c r="E1164" s="305">
        <v>461.91</v>
      </c>
      <c r="F1164" s="366">
        <v>38.549999999999997</v>
      </c>
      <c r="G1164" s="411"/>
      <c r="H1164" s="305"/>
      <c r="I1164" s="366"/>
      <c r="J1164" s="366"/>
      <c r="K1164" s="305"/>
      <c r="L1164" s="366"/>
      <c r="M1164" s="366"/>
      <c r="N1164" s="309"/>
      <c r="O1164" s="366"/>
      <c r="P1164" s="409"/>
      <c r="Q1164" s="305"/>
      <c r="R1164" s="410"/>
      <c r="S1164" s="309">
        <v>14</v>
      </c>
    </row>
    <row r="1165" spans="1:19" ht="13">
      <c r="A1165" s="470" t="s">
        <v>860</v>
      </c>
      <c r="B1165" s="471"/>
      <c r="C1165" s="422" t="s">
        <v>89</v>
      </c>
      <c r="D1165" s="324" t="s">
        <v>676</v>
      </c>
      <c r="E1165" s="325" t="s">
        <v>861</v>
      </c>
      <c r="F1165" s="355" t="s">
        <v>862</v>
      </c>
      <c r="G1165" s="324" t="s">
        <v>676</v>
      </c>
      <c r="H1165" s="325" t="s">
        <v>861</v>
      </c>
      <c r="I1165" s="355" t="s">
        <v>862</v>
      </c>
      <c r="J1165" s="324" t="s">
        <v>676</v>
      </c>
      <c r="K1165" s="325" t="s">
        <v>861</v>
      </c>
      <c r="L1165" s="355" t="s">
        <v>862</v>
      </c>
      <c r="M1165" s="324" t="s">
        <v>676</v>
      </c>
      <c r="N1165" s="325" t="s">
        <v>861</v>
      </c>
      <c r="O1165" s="355" t="s">
        <v>862</v>
      </c>
      <c r="P1165" s="324" t="s">
        <v>881</v>
      </c>
      <c r="Q1165" s="325" t="s">
        <v>861</v>
      </c>
      <c r="R1165" s="325" t="s">
        <v>865</v>
      </c>
      <c r="S1165" s="412" t="s">
        <v>1031</v>
      </c>
    </row>
    <row r="1166" spans="1:19" ht="13">
      <c r="A1166" s="470" t="s">
        <v>863</v>
      </c>
      <c r="B1166" s="471"/>
      <c r="C1166" s="326">
        <f>SUM(C1140:C1164)</f>
        <v>39215.57</v>
      </c>
      <c r="D1166" s="326">
        <f>SUM(D1140:D1161)+SUM(G1140:G1161)+SUM(J1140:J1161)</f>
        <v>35314.78</v>
      </c>
      <c r="E1166" s="327">
        <f>SUM(E1140:E1158)+SUM(H1140:H1158)+SUM(K1140:K1158)+SUM(N1140:N1158)</f>
        <v>7281.12</v>
      </c>
      <c r="F1166" s="328">
        <f>SUM(F1140:F1158)</f>
        <v>2895.7500000000005</v>
      </c>
      <c r="G1166" s="329"/>
      <c r="H1166" s="329"/>
      <c r="I1166" s="329"/>
      <c r="J1166" s="329"/>
      <c r="K1166" s="329"/>
      <c r="L1166" s="329"/>
      <c r="M1166" s="329"/>
      <c r="N1166" s="329"/>
      <c r="O1166" s="329"/>
      <c r="P1166" s="329"/>
      <c r="Q1166" s="329"/>
      <c r="R1166" s="329"/>
    </row>
    <row r="1167" spans="1:19" ht="13">
      <c r="A1167" s="282"/>
      <c r="B1167" s="282"/>
      <c r="C1167" s="282"/>
      <c r="D1167" s="282"/>
      <c r="E1167" s="282"/>
      <c r="F1167" s="282"/>
      <c r="G1167" s="282"/>
      <c r="H1167" s="282"/>
      <c r="I1167" s="329"/>
      <c r="J1167" s="329"/>
      <c r="K1167" s="329"/>
      <c r="L1167" s="329"/>
      <c r="M1167" s="329"/>
      <c r="N1167" s="329"/>
      <c r="O1167" s="329"/>
      <c r="P1167" s="329"/>
      <c r="Q1167" s="329"/>
      <c r="R1167" s="329"/>
    </row>
    <row r="1168" spans="1:19" ht="13">
      <c r="A1168" s="472" t="s">
        <v>1127</v>
      </c>
      <c r="B1168" s="466"/>
      <c r="C1168" s="466"/>
      <c r="D1168" s="466"/>
      <c r="E1168" s="466"/>
      <c r="F1168" s="466"/>
      <c r="G1168" s="466"/>
      <c r="H1168" s="466"/>
      <c r="I1168" s="466"/>
      <c r="J1168" s="466"/>
      <c r="K1168" s="466"/>
      <c r="L1168" s="466"/>
      <c r="M1168" s="466"/>
      <c r="N1168" s="466"/>
      <c r="O1168" s="466"/>
      <c r="P1168" s="466"/>
      <c r="Q1168" s="466"/>
      <c r="R1168" s="466"/>
      <c r="S1168" s="466"/>
    </row>
    <row r="1169" spans="1:20" ht="13">
      <c r="A1169" s="356" t="s">
        <v>849</v>
      </c>
      <c r="B1169" s="356" t="s">
        <v>1</v>
      </c>
      <c r="C1169" s="356" t="s">
        <v>89</v>
      </c>
      <c r="D1169" s="473" t="s">
        <v>850</v>
      </c>
      <c r="E1169" s="466"/>
      <c r="F1169" s="467"/>
      <c r="G1169" s="465" t="s">
        <v>852</v>
      </c>
      <c r="H1169" s="466"/>
      <c r="I1169" s="467"/>
      <c r="J1169" s="465" t="s">
        <v>1013</v>
      </c>
      <c r="K1169" s="466"/>
      <c r="L1169" s="467"/>
      <c r="M1169" s="465" t="s">
        <v>1093</v>
      </c>
      <c r="N1169" s="466"/>
      <c r="O1169" s="467"/>
      <c r="P1169" s="465" t="s">
        <v>865</v>
      </c>
      <c r="Q1169" s="466"/>
      <c r="R1169" s="467"/>
      <c r="S1169" s="356" t="s">
        <v>1028</v>
      </c>
    </row>
    <row r="1170" spans="1:20" ht="15">
      <c r="A1170" s="400"/>
      <c r="B1170" s="413">
        <v>352368</v>
      </c>
      <c r="C1170" s="366"/>
      <c r="D1170" s="366"/>
      <c r="E1170" s="305"/>
      <c r="F1170" s="366"/>
      <c r="G1170" s="366"/>
      <c r="H1170" s="305"/>
      <c r="I1170" s="366"/>
      <c r="J1170" s="366"/>
      <c r="K1170" s="305"/>
      <c r="L1170" s="366"/>
      <c r="M1170" s="366"/>
      <c r="N1170" s="309"/>
      <c r="O1170" s="366"/>
      <c r="P1170" s="345"/>
      <c r="Q1170" s="305"/>
      <c r="R1170" s="410"/>
      <c r="S1170" s="309">
        <v>10</v>
      </c>
    </row>
    <row r="1171" spans="1:20" ht="15">
      <c r="A1171" s="399" t="s">
        <v>390</v>
      </c>
      <c r="B1171" s="413">
        <v>191275</v>
      </c>
      <c r="C1171" s="366"/>
      <c r="D1171" s="366">
        <v>4173.54</v>
      </c>
      <c r="E1171" s="305">
        <v>933.55</v>
      </c>
      <c r="F1171" s="366">
        <v>79.11</v>
      </c>
      <c r="G1171" s="366"/>
      <c r="H1171" s="305"/>
      <c r="I1171" s="366"/>
      <c r="J1171" s="366"/>
      <c r="K1171" s="309"/>
      <c r="L1171" s="366"/>
      <c r="M1171" s="366"/>
      <c r="N1171" s="309"/>
      <c r="O1171" s="366"/>
      <c r="P1171" s="418"/>
      <c r="Q1171" s="305"/>
      <c r="R1171" s="410"/>
      <c r="S1171" s="309">
        <v>62</v>
      </c>
    </row>
    <row r="1172" spans="1:20" ht="15">
      <c r="A1172" s="398" t="s">
        <v>1072</v>
      </c>
      <c r="B1172" s="413" t="s">
        <v>502</v>
      </c>
      <c r="C1172" s="366"/>
      <c r="D1172" s="366">
        <v>995.95</v>
      </c>
      <c r="E1172" s="305">
        <v>257.37</v>
      </c>
      <c r="F1172" s="366">
        <v>72.209999999999994</v>
      </c>
      <c r="G1172" s="366"/>
      <c r="H1172" s="305"/>
      <c r="I1172" s="366"/>
      <c r="J1172" s="366"/>
      <c r="K1172" s="309"/>
      <c r="L1172" s="366"/>
      <c r="M1172" s="366"/>
      <c r="N1172" s="309"/>
      <c r="O1172" s="366"/>
      <c r="P1172" s="418"/>
      <c r="Q1172" s="305"/>
      <c r="R1172" s="410"/>
      <c r="S1172" s="309">
        <v>9</v>
      </c>
      <c r="T1172" s="87">
        <v>191279</v>
      </c>
    </row>
    <row r="1173" spans="1:20" ht="15">
      <c r="A1173" s="171" t="s">
        <v>1117</v>
      </c>
      <c r="B1173" s="413">
        <v>191277</v>
      </c>
      <c r="C1173" s="366"/>
      <c r="D1173" s="366">
        <v>2334.2600000000002</v>
      </c>
      <c r="E1173" s="410" t="s">
        <v>1128</v>
      </c>
      <c r="F1173" s="366">
        <v>218.39</v>
      </c>
      <c r="G1173" s="366"/>
      <c r="H1173" s="305"/>
      <c r="I1173" s="366"/>
      <c r="J1173" s="366"/>
      <c r="K1173" s="309"/>
      <c r="L1173" s="366"/>
      <c r="M1173" s="366"/>
      <c r="N1173" s="309"/>
      <c r="O1173" s="366"/>
      <c r="P1173" s="418"/>
      <c r="Q1173" s="305"/>
      <c r="R1173" s="410"/>
      <c r="S1173" s="309" t="s">
        <v>306</v>
      </c>
    </row>
    <row r="1174" spans="1:20" ht="15">
      <c r="A1174" s="398" t="s">
        <v>386</v>
      </c>
      <c r="B1174" s="407" t="s">
        <v>503</v>
      </c>
      <c r="C1174" s="366"/>
      <c r="D1174" s="366"/>
      <c r="E1174" s="305"/>
      <c r="F1174" s="366"/>
      <c r="G1174" s="366"/>
      <c r="H1174" s="305"/>
      <c r="I1174" s="366"/>
      <c r="J1174" s="366"/>
      <c r="K1174" s="309"/>
      <c r="L1174" s="366"/>
      <c r="M1174" s="366"/>
      <c r="N1174" s="309"/>
      <c r="O1174" s="366"/>
      <c r="P1174" s="418"/>
      <c r="Q1174" s="305"/>
      <c r="R1174" s="410"/>
      <c r="S1174" s="309" t="s">
        <v>306</v>
      </c>
    </row>
    <row r="1175" spans="1:20" ht="15">
      <c r="A1175" s="398" t="s">
        <v>508</v>
      </c>
      <c r="B1175" s="413">
        <v>191274</v>
      </c>
      <c r="C1175" s="366"/>
      <c r="D1175" s="366">
        <v>1680</v>
      </c>
      <c r="E1175" s="305">
        <v>392.24</v>
      </c>
      <c r="F1175" s="366">
        <v>163.37</v>
      </c>
      <c r="G1175" s="366"/>
      <c r="H1175" s="305"/>
      <c r="I1175" s="366"/>
      <c r="J1175" s="366"/>
      <c r="K1175" s="309"/>
      <c r="L1175" s="366"/>
      <c r="M1175" s="366"/>
      <c r="N1175" s="309"/>
      <c r="O1175" s="366"/>
      <c r="P1175" s="418"/>
      <c r="Q1175" s="305"/>
      <c r="R1175" s="410"/>
      <c r="S1175" s="309"/>
    </row>
    <row r="1176" spans="1:20" ht="15">
      <c r="A1176" s="398"/>
      <c r="B1176" s="413"/>
      <c r="C1176" s="366"/>
      <c r="D1176" s="366"/>
      <c r="E1176" s="305"/>
      <c r="F1176" s="366"/>
      <c r="G1176" s="366"/>
      <c r="H1176" s="305"/>
      <c r="I1176" s="366"/>
      <c r="J1176" s="366"/>
      <c r="K1176" s="309"/>
      <c r="L1176" s="366"/>
      <c r="M1176" s="366"/>
      <c r="N1176" s="309"/>
      <c r="O1176" s="366"/>
      <c r="P1176" s="418"/>
      <c r="Q1176" s="305"/>
      <c r="R1176" s="410"/>
      <c r="S1176" s="309"/>
    </row>
    <row r="1177" spans="1:20" ht="15">
      <c r="A1177" s="171" t="s">
        <v>393</v>
      </c>
      <c r="B1177" s="413">
        <v>191276</v>
      </c>
      <c r="C1177" s="366"/>
      <c r="D1177" s="366">
        <v>3912.84</v>
      </c>
      <c r="E1177" s="305">
        <v>883.59</v>
      </c>
      <c r="F1177" s="366">
        <v>573.85</v>
      </c>
      <c r="G1177" s="366"/>
      <c r="H1177" s="305"/>
      <c r="I1177" s="366"/>
      <c r="J1177" s="366"/>
      <c r="K1177" s="309"/>
      <c r="L1177" s="366"/>
      <c r="M1177" s="366"/>
      <c r="N1177" s="309"/>
      <c r="O1177" s="366"/>
      <c r="P1177" s="418"/>
      <c r="Q1177" s="305"/>
      <c r="R1177" s="410"/>
      <c r="S1177" s="309">
        <v>73</v>
      </c>
    </row>
    <row r="1178" spans="1:20" ht="15">
      <c r="A1178" s="171" t="s">
        <v>509</v>
      </c>
      <c r="B1178" s="413">
        <v>191281</v>
      </c>
      <c r="C1178" s="366"/>
      <c r="D1178" s="366">
        <v>1680</v>
      </c>
      <c r="E1178" s="305">
        <v>176.8</v>
      </c>
      <c r="F1178" s="366">
        <v>163.37</v>
      </c>
      <c r="G1178" s="366"/>
      <c r="H1178" s="305"/>
      <c r="I1178" s="366"/>
      <c r="J1178" s="366"/>
      <c r="K1178" s="309"/>
      <c r="L1178" s="366"/>
      <c r="M1178" s="366"/>
      <c r="N1178" s="309"/>
      <c r="O1178" s="366"/>
      <c r="P1178" s="418"/>
      <c r="Q1178" s="305"/>
      <c r="R1178" s="410"/>
      <c r="S1178" s="309"/>
    </row>
    <row r="1179" spans="1:20" ht="15">
      <c r="A1179" s="171" t="s">
        <v>634</v>
      </c>
      <c r="B1179" s="413">
        <v>191283</v>
      </c>
      <c r="C1179" s="366"/>
      <c r="D1179" s="366">
        <v>2760.72</v>
      </c>
      <c r="E1179" s="305">
        <v>653.38</v>
      </c>
      <c r="F1179" s="366">
        <v>239.72</v>
      </c>
      <c r="G1179" s="366"/>
      <c r="H1179" s="305"/>
      <c r="I1179" s="366"/>
      <c r="J1179" s="366"/>
      <c r="K1179" s="309"/>
      <c r="L1179" s="366"/>
      <c r="M1179" s="366"/>
      <c r="N1179" s="309"/>
      <c r="O1179" s="366"/>
      <c r="P1179" s="418"/>
      <c r="Q1179" s="305"/>
      <c r="R1179" s="410"/>
      <c r="S1179" s="309">
        <v>80</v>
      </c>
    </row>
    <row r="1180" spans="1:20" ht="15">
      <c r="A1180" s="398" t="s">
        <v>319</v>
      </c>
      <c r="B1180" s="413">
        <v>465180</v>
      </c>
      <c r="C1180" s="366"/>
      <c r="D1180" s="366">
        <v>2098.86</v>
      </c>
      <c r="E1180" s="305">
        <v>521.44000000000005</v>
      </c>
      <c r="F1180" s="366">
        <v>252.77</v>
      </c>
      <c r="G1180" s="366"/>
      <c r="H1180" s="305"/>
      <c r="I1180" s="366"/>
      <c r="J1180" s="366"/>
      <c r="K1180" s="309"/>
      <c r="L1180" s="366"/>
      <c r="M1180" s="366"/>
      <c r="N1180" s="309"/>
      <c r="O1180" s="366"/>
      <c r="P1180" s="418"/>
      <c r="Q1180" s="305"/>
      <c r="R1180" s="410"/>
      <c r="S1180" s="309">
        <v>62</v>
      </c>
    </row>
    <row r="1181" spans="1:20" ht="15">
      <c r="A1181" s="398" t="s">
        <v>1121</v>
      </c>
      <c r="B1181" s="413">
        <v>465181</v>
      </c>
      <c r="C1181" s="366"/>
      <c r="D1181" s="366">
        <v>2444.33</v>
      </c>
      <c r="E1181" s="305">
        <v>621.57000000000005</v>
      </c>
      <c r="F1181" s="366">
        <v>179.03</v>
      </c>
      <c r="G1181" s="366"/>
      <c r="H1181" s="305"/>
      <c r="I1181" s="366"/>
      <c r="J1181" s="366"/>
      <c r="K1181" s="309"/>
      <c r="L1181" s="366"/>
      <c r="M1181" s="366"/>
      <c r="N1181" s="309"/>
      <c r="O1181" s="366"/>
      <c r="P1181" s="418"/>
      <c r="Q1181" s="305"/>
      <c r="R1181" s="410"/>
      <c r="S1181" s="309">
        <v>96</v>
      </c>
      <c r="T1181" s="87">
        <v>465181</v>
      </c>
    </row>
    <row r="1182" spans="1:20" ht="15">
      <c r="A1182" s="398" t="s">
        <v>349</v>
      </c>
      <c r="B1182" s="413">
        <v>465182</v>
      </c>
      <c r="C1182" s="366"/>
      <c r="D1182" s="366"/>
      <c r="E1182" s="305"/>
      <c r="F1182" s="366"/>
      <c r="G1182" s="366"/>
      <c r="H1182" s="305"/>
      <c r="I1182" s="366"/>
      <c r="J1182" s="366"/>
      <c r="K1182" s="309"/>
      <c r="L1182" s="366"/>
      <c r="M1182" s="366"/>
      <c r="N1182" s="309"/>
      <c r="O1182" s="366"/>
      <c r="P1182" s="418"/>
      <c r="Q1182" s="305"/>
      <c r="R1182" s="410"/>
      <c r="S1182" s="309"/>
    </row>
    <row r="1183" spans="1:20" ht="15">
      <c r="A1183" s="398" t="s">
        <v>14</v>
      </c>
      <c r="B1183" s="413">
        <v>465183</v>
      </c>
      <c r="C1183" s="366"/>
      <c r="D1183" s="366">
        <v>2317.39</v>
      </c>
      <c r="E1183" s="305">
        <v>559.02</v>
      </c>
      <c r="F1183" s="366">
        <v>267.23</v>
      </c>
      <c r="G1183" s="366"/>
      <c r="H1183" s="305"/>
      <c r="I1183" s="366"/>
      <c r="J1183" s="366"/>
      <c r="K1183" s="309"/>
      <c r="L1183" s="366"/>
      <c r="M1183" s="366"/>
      <c r="N1183" s="309"/>
      <c r="O1183" s="366"/>
      <c r="P1183" s="418"/>
      <c r="Q1183" s="305"/>
      <c r="R1183" s="410"/>
      <c r="S1183" s="309">
        <v>62</v>
      </c>
    </row>
    <row r="1184" spans="1:20" ht="15">
      <c r="A1184" s="347" t="s">
        <v>40</v>
      </c>
      <c r="B1184" s="413">
        <v>465184</v>
      </c>
      <c r="C1184" s="366"/>
      <c r="D1184" s="366">
        <v>2050.61</v>
      </c>
      <c r="E1184" s="305">
        <v>499.4</v>
      </c>
      <c r="F1184" s="366">
        <v>48.09</v>
      </c>
      <c r="G1184" s="366"/>
      <c r="H1184" s="305"/>
      <c r="I1184" s="366"/>
      <c r="J1184" s="366"/>
      <c r="K1184" s="309"/>
      <c r="L1184" s="366"/>
      <c r="M1184" s="366"/>
      <c r="N1184" s="309"/>
      <c r="O1184" s="366"/>
      <c r="P1184" s="418"/>
      <c r="Q1184" s="305"/>
      <c r="R1184" s="410"/>
      <c r="S1184" s="309">
        <v>46</v>
      </c>
    </row>
    <row r="1185" spans="1:19" ht="15">
      <c r="A1185" s="398" t="s">
        <v>1107</v>
      </c>
      <c r="B1185" s="413">
        <v>465185</v>
      </c>
      <c r="C1185" s="366"/>
      <c r="D1185" s="366">
        <v>647.35</v>
      </c>
      <c r="E1185" s="305">
        <v>134.97999999999999</v>
      </c>
      <c r="F1185" s="366">
        <v>150.82</v>
      </c>
      <c r="G1185" s="366"/>
      <c r="H1185" s="305"/>
      <c r="I1185" s="366"/>
      <c r="J1185" s="366"/>
      <c r="K1185" s="309"/>
      <c r="L1185" s="366"/>
      <c r="M1185" s="366"/>
      <c r="N1185" s="309"/>
      <c r="O1185" s="366"/>
      <c r="P1185" s="418"/>
      <c r="Q1185" s="305"/>
      <c r="R1185" s="410"/>
      <c r="S1185" s="309">
        <v>62</v>
      </c>
    </row>
    <row r="1186" spans="1:19" ht="15">
      <c r="A1186" s="398" t="s">
        <v>404</v>
      </c>
      <c r="B1186" s="413">
        <v>465186</v>
      </c>
      <c r="C1186" s="366"/>
      <c r="D1186" s="366">
        <v>1276.83</v>
      </c>
      <c r="E1186" s="305">
        <v>300.02</v>
      </c>
      <c r="F1186" s="366">
        <v>28.79</v>
      </c>
      <c r="G1186" s="366"/>
      <c r="H1186" s="305"/>
      <c r="I1186" s="366"/>
      <c r="J1186" s="366"/>
      <c r="K1186" s="309"/>
      <c r="L1186" s="366"/>
      <c r="M1186" s="366"/>
      <c r="N1186" s="309"/>
      <c r="O1186" s="366"/>
      <c r="P1186" s="418"/>
      <c r="Q1186" s="305"/>
      <c r="R1186" s="410"/>
      <c r="S1186" s="309">
        <v>25</v>
      </c>
    </row>
    <row r="1187" spans="1:19" ht="15">
      <c r="A1187" s="398" t="s">
        <v>192</v>
      </c>
      <c r="B1187" s="413">
        <v>465187</v>
      </c>
      <c r="C1187" s="366"/>
      <c r="D1187" s="366">
        <v>1304.93</v>
      </c>
      <c r="E1187" s="305">
        <v>336.96</v>
      </c>
      <c r="F1187" s="366">
        <v>33.9</v>
      </c>
      <c r="G1187" s="366"/>
      <c r="H1187" s="305"/>
      <c r="I1187" s="366"/>
      <c r="J1187" s="366"/>
      <c r="K1187" s="309"/>
      <c r="L1187" s="366"/>
      <c r="M1187" s="366"/>
      <c r="N1187" s="309"/>
      <c r="O1187" s="366"/>
      <c r="P1187" s="418"/>
      <c r="Q1187" s="305"/>
      <c r="R1187" s="410"/>
      <c r="S1187" s="309">
        <v>62</v>
      </c>
    </row>
    <row r="1188" spans="1:19" ht="15">
      <c r="A1188" s="398" t="s">
        <v>62</v>
      </c>
      <c r="B1188" s="413">
        <v>465188</v>
      </c>
      <c r="C1188" s="366"/>
      <c r="D1188" s="366">
        <v>790</v>
      </c>
      <c r="E1188" s="305">
        <v>189.18</v>
      </c>
      <c r="F1188" s="366">
        <v>52.16</v>
      </c>
      <c r="G1188" s="366"/>
      <c r="H1188" s="305"/>
      <c r="I1188" s="366"/>
      <c r="J1188" s="366"/>
      <c r="K1188" s="309"/>
      <c r="L1188" s="366"/>
      <c r="M1188" s="366"/>
      <c r="N1188" s="309"/>
      <c r="O1188" s="366"/>
      <c r="P1188" s="418"/>
      <c r="Q1188" s="305"/>
      <c r="R1188" s="410"/>
      <c r="S1188" s="309">
        <v>62</v>
      </c>
    </row>
    <row r="1189" spans="1:19" ht="15">
      <c r="A1189" s="400" t="s">
        <v>1124</v>
      </c>
      <c r="B1189" s="413">
        <v>465189</v>
      </c>
      <c r="C1189" s="366"/>
      <c r="D1189" s="366"/>
      <c r="E1189" s="410"/>
      <c r="F1189" s="366"/>
      <c r="G1189" s="366"/>
      <c r="H1189" s="305"/>
      <c r="I1189" s="366"/>
      <c r="J1189" s="366"/>
      <c r="K1189" s="309"/>
      <c r="L1189" s="366"/>
      <c r="M1189" s="366"/>
      <c r="N1189" s="309"/>
      <c r="O1189" s="366"/>
      <c r="P1189" s="418"/>
      <c r="Q1189" s="305"/>
      <c r="R1189" s="410"/>
      <c r="S1189" s="309">
        <v>58</v>
      </c>
    </row>
    <row r="1190" spans="1:19" ht="15">
      <c r="A1190" s="408" t="s">
        <v>408</v>
      </c>
      <c r="B1190" s="413">
        <v>1122</v>
      </c>
      <c r="C1190" s="366"/>
      <c r="D1190" s="366">
        <v>821.64</v>
      </c>
      <c r="E1190" s="366">
        <v>193.32</v>
      </c>
      <c r="F1190" s="366">
        <v>130.49</v>
      </c>
      <c r="G1190" s="366"/>
      <c r="H1190" s="305"/>
      <c r="I1190" s="366"/>
      <c r="J1190" s="366"/>
      <c r="K1190" s="309"/>
      <c r="L1190" s="366"/>
      <c r="M1190" s="366"/>
      <c r="N1190" s="309"/>
      <c r="O1190" s="366"/>
      <c r="P1190" s="426"/>
      <c r="Q1190" s="305"/>
      <c r="R1190" s="410"/>
      <c r="S1190" s="309" t="s">
        <v>306</v>
      </c>
    </row>
    <row r="1191" spans="1:19" ht="15">
      <c r="A1191" s="408" t="s">
        <v>386</v>
      </c>
      <c r="B1191" s="413">
        <v>218</v>
      </c>
      <c r="C1191" s="366"/>
      <c r="D1191" s="366">
        <v>801.29</v>
      </c>
      <c r="E1191" s="410" t="s">
        <v>1129</v>
      </c>
      <c r="F1191" s="366">
        <v>20.170000000000002</v>
      </c>
      <c r="G1191" s="366"/>
      <c r="H1191" s="305"/>
      <c r="I1191" s="366"/>
      <c r="J1191" s="366"/>
      <c r="K1191" s="309"/>
      <c r="L1191" s="366"/>
      <c r="M1191" s="366"/>
      <c r="N1191" s="309"/>
      <c r="O1191" s="366"/>
      <c r="P1191" s="426"/>
      <c r="Q1191" s="305"/>
      <c r="R1191" s="410"/>
      <c r="S1191" s="309"/>
    </row>
    <row r="1192" spans="1:19" ht="15">
      <c r="A1192" s="408" t="s">
        <v>1067</v>
      </c>
      <c r="B1192" s="407" t="s">
        <v>362</v>
      </c>
      <c r="C1192" s="366"/>
      <c r="D1192" s="366"/>
      <c r="E1192" s="410"/>
      <c r="F1192" s="366"/>
      <c r="G1192" s="366"/>
      <c r="H1192" s="305"/>
      <c r="I1192" s="366"/>
      <c r="J1192" s="366"/>
      <c r="K1192" s="309"/>
      <c r="L1192" s="366"/>
      <c r="M1192" s="366"/>
      <c r="N1192" s="309"/>
      <c r="O1192" s="366"/>
      <c r="P1192" s="409"/>
      <c r="Q1192" s="305"/>
      <c r="R1192" s="410"/>
      <c r="S1192" s="309"/>
    </row>
    <row r="1193" spans="1:19" ht="15">
      <c r="A1193" s="408" t="s">
        <v>1041</v>
      </c>
      <c r="B1193" s="407" t="s">
        <v>1068</v>
      </c>
      <c r="C1193" s="366"/>
      <c r="D1193" s="366"/>
      <c r="E1193" s="305"/>
      <c r="F1193" s="366"/>
      <c r="G1193" s="411"/>
      <c r="H1193" s="305"/>
      <c r="I1193" s="366"/>
      <c r="J1193" s="366"/>
      <c r="K1193" s="305"/>
      <c r="L1193" s="366"/>
      <c r="M1193" s="366"/>
      <c r="N1193" s="309"/>
      <c r="O1193" s="366"/>
      <c r="P1193" s="409"/>
      <c r="Q1193" s="305"/>
      <c r="R1193" s="410"/>
      <c r="S1193" s="309"/>
    </row>
    <row r="1194" spans="1:19" ht="15">
      <c r="A1194" s="408" t="s">
        <v>1043</v>
      </c>
      <c r="B1194" s="407" t="s">
        <v>1069</v>
      </c>
      <c r="C1194" s="366"/>
      <c r="D1194" s="366">
        <v>1387.75</v>
      </c>
      <c r="E1194" s="305">
        <v>385.25</v>
      </c>
      <c r="F1194" s="366">
        <v>25.04</v>
      </c>
      <c r="G1194" s="411"/>
      <c r="H1194" s="305"/>
      <c r="I1194" s="366"/>
      <c r="J1194" s="366"/>
      <c r="K1194" s="305"/>
      <c r="L1194" s="366"/>
      <c r="M1194" s="366"/>
      <c r="N1194" s="309"/>
      <c r="O1194" s="366"/>
      <c r="P1194" s="409"/>
      <c r="Q1194" s="305"/>
      <c r="R1194" s="410"/>
      <c r="S1194" s="309"/>
    </row>
    <row r="1195" spans="1:19" ht="15">
      <c r="A1195" s="408" t="s">
        <v>368</v>
      </c>
      <c r="B1195" s="407" t="s">
        <v>362</v>
      </c>
      <c r="C1195" s="366"/>
      <c r="D1195" s="366">
        <v>1766.03</v>
      </c>
      <c r="E1195" s="305">
        <v>429.57</v>
      </c>
      <c r="F1195" s="366">
        <v>65.53</v>
      </c>
      <c r="G1195" s="411"/>
      <c r="H1195" s="305"/>
      <c r="I1195" s="366"/>
      <c r="J1195" s="366"/>
      <c r="K1195" s="305"/>
      <c r="L1195" s="366"/>
      <c r="M1195" s="366"/>
      <c r="N1195" s="309"/>
      <c r="O1195" s="366"/>
      <c r="P1195" s="409"/>
      <c r="Q1195" s="305"/>
      <c r="R1195" s="410"/>
      <c r="S1195" s="309"/>
    </row>
    <row r="1196" spans="1:19" ht="13">
      <c r="A1196" s="470" t="s">
        <v>860</v>
      </c>
      <c r="B1196" s="471"/>
      <c r="C1196" s="422" t="s">
        <v>89</v>
      </c>
      <c r="D1196" s="324" t="s">
        <v>676</v>
      </c>
      <c r="E1196" s="325" t="s">
        <v>861</v>
      </c>
      <c r="F1196" s="355" t="s">
        <v>862</v>
      </c>
      <c r="G1196" s="324" t="s">
        <v>676</v>
      </c>
      <c r="H1196" s="325" t="s">
        <v>861</v>
      </c>
      <c r="I1196" s="355" t="s">
        <v>862</v>
      </c>
      <c r="J1196" s="324" t="s">
        <v>676</v>
      </c>
      <c r="K1196" s="325" t="s">
        <v>861</v>
      </c>
      <c r="L1196" s="355" t="s">
        <v>862</v>
      </c>
      <c r="M1196" s="324" t="s">
        <v>676</v>
      </c>
      <c r="N1196" s="325" t="s">
        <v>861</v>
      </c>
      <c r="O1196" s="355" t="s">
        <v>862</v>
      </c>
      <c r="P1196" s="324" t="s">
        <v>881</v>
      </c>
      <c r="Q1196" s="325" t="s">
        <v>861</v>
      </c>
      <c r="R1196" s="325" t="s">
        <v>865</v>
      </c>
      <c r="S1196" s="412" t="s">
        <v>1031</v>
      </c>
    </row>
    <row r="1197" spans="1:19" ht="13">
      <c r="A1197" s="470" t="s">
        <v>863</v>
      </c>
      <c r="B1197" s="471"/>
      <c r="C1197" s="326">
        <f>SUM(C1170:C1195)</f>
        <v>0</v>
      </c>
      <c r="D1197" s="326">
        <f>SUM(D1170:D1192)+SUM(G1170:G1192)+SUM(J1170:J1192)</f>
        <v>32090.54</v>
      </c>
      <c r="E1197" s="327">
        <f>SUM(E1170:E1189)+SUM(H1170:H1189)+SUM(K1170:K1189)+SUM(N1170:N1189)</f>
        <v>6459.5000000000009</v>
      </c>
      <c r="F1197" s="328">
        <f>SUM(F1170:F1189)</f>
        <v>2522.81</v>
      </c>
      <c r="G1197" s="329"/>
      <c r="H1197" s="329"/>
      <c r="I1197" s="329"/>
      <c r="J1197" s="329"/>
      <c r="K1197" s="329"/>
      <c r="L1197" s="329"/>
      <c r="M1197" s="329"/>
      <c r="N1197" s="329"/>
      <c r="O1197" s="329"/>
      <c r="P1197" s="329"/>
      <c r="Q1197" s="329"/>
      <c r="R1197" s="329"/>
    </row>
    <row r="1198" spans="1:19" ht="13">
      <c r="A1198" s="282"/>
      <c r="B1198" s="282"/>
      <c r="C1198" s="282"/>
      <c r="D1198" s="282"/>
      <c r="E1198" s="282"/>
      <c r="F1198" s="282"/>
      <c r="G1198" s="282"/>
      <c r="H1198" s="282"/>
      <c r="I1198" s="329"/>
      <c r="J1198" s="329"/>
      <c r="K1198" s="329"/>
      <c r="L1198" s="329"/>
      <c r="M1198" s="329"/>
      <c r="N1198" s="329"/>
      <c r="O1198" s="329"/>
      <c r="P1198" s="329"/>
      <c r="Q1198" s="329"/>
      <c r="R1198" s="329"/>
    </row>
    <row r="1199" spans="1:19" ht="13">
      <c r="A1199" s="472" t="s">
        <v>1130</v>
      </c>
      <c r="B1199" s="466"/>
      <c r="C1199" s="466"/>
      <c r="D1199" s="466"/>
      <c r="E1199" s="466"/>
      <c r="F1199" s="466"/>
      <c r="G1199" s="466"/>
      <c r="H1199" s="466"/>
      <c r="I1199" s="466"/>
      <c r="J1199" s="466"/>
      <c r="K1199" s="466"/>
      <c r="L1199" s="466"/>
      <c r="M1199" s="466"/>
      <c r="N1199" s="466"/>
      <c r="O1199" s="466"/>
      <c r="P1199" s="466"/>
      <c r="Q1199" s="466"/>
      <c r="R1199" s="466"/>
      <c r="S1199" s="466"/>
    </row>
    <row r="1200" spans="1:19" ht="13">
      <c r="A1200" s="356" t="s">
        <v>849</v>
      </c>
      <c r="B1200" s="356" t="s">
        <v>1</v>
      </c>
      <c r="C1200" s="356" t="s">
        <v>89</v>
      </c>
      <c r="D1200" s="473" t="s">
        <v>850</v>
      </c>
      <c r="E1200" s="466"/>
      <c r="F1200" s="467"/>
      <c r="G1200" s="465" t="s">
        <v>852</v>
      </c>
      <c r="H1200" s="466"/>
      <c r="I1200" s="467"/>
      <c r="J1200" s="465" t="s">
        <v>1013</v>
      </c>
      <c r="K1200" s="466"/>
      <c r="L1200" s="467"/>
      <c r="M1200" s="465" t="s">
        <v>1093</v>
      </c>
      <c r="N1200" s="466"/>
      <c r="O1200" s="467"/>
      <c r="P1200" s="465" t="s">
        <v>865</v>
      </c>
      <c r="Q1200" s="466"/>
      <c r="R1200" s="467"/>
      <c r="S1200" s="356" t="s">
        <v>1028</v>
      </c>
    </row>
    <row r="1201" spans="1:20" ht="15">
      <c r="A1201" s="400"/>
      <c r="B1201" s="413">
        <v>191279</v>
      </c>
      <c r="C1201" s="366">
        <f t="shared" ref="C1201:C1225" si="86">D1201+G1201</f>
        <v>0</v>
      </c>
      <c r="D1201" s="366"/>
      <c r="E1201" s="305"/>
      <c r="F1201" s="366"/>
      <c r="G1201" s="366"/>
      <c r="H1201" s="305"/>
      <c r="I1201" s="366"/>
      <c r="J1201" s="366"/>
      <c r="K1201" s="305"/>
      <c r="L1201" s="366"/>
      <c r="M1201" s="366"/>
      <c r="N1201" s="309"/>
      <c r="O1201" s="366"/>
      <c r="P1201" s="345"/>
      <c r="Q1201" s="305"/>
      <c r="R1201" s="410"/>
      <c r="S1201" s="309" t="s">
        <v>306</v>
      </c>
    </row>
    <row r="1202" spans="1:20" ht="15">
      <c r="A1202" s="399" t="s">
        <v>390</v>
      </c>
      <c r="B1202" s="413">
        <v>191275</v>
      </c>
      <c r="C1202" s="366">
        <f t="shared" si="86"/>
        <v>3234.61</v>
      </c>
      <c r="D1202" s="366">
        <v>3234.61</v>
      </c>
      <c r="E1202" s="305">
        <v>761.56</v>
      </c>
      <c r="F1202" s="366">
        <v>62.9</v>
      </c>
      <c r="G1202" s="366"/>
      <c r="H1202" s="305"/>
      <c r="I1202" s="366"/>
      <c r="J1202" s="366"/>
      <c r="K1202" s="309"/>
      <c r="L1202" s="366"/>
      <c r="M1202" s="366"/>
      <c r="N1202" s="309"/>
      <c r="O1202" s="366"/>
      <c r="P1202" s="418"/>
      <c r="Q1202" s="305"/>
      <c r="R1202" s="410"/>
      <c r="S1202" s="309">
        <v>57</v>
      </c>
    </row>
    <row r="1203" spans="1:20" ht="15">
      <c r="A1203" s="398" t="s">
        <v>1072</v>
      </c>
      <c r="B1203" s="413" t="s">
        <v>502</v>
      </c>
      <c r="C1203" s="366">
        <f t="shared" si="86"/>
        <v>0</v>
      </c>
      <c r="D1203" s="366"/>
      <c r="E1203" s="305"/>
      <c r="F1203" s="366"/>
      <c r="G1203" s="366"/>
      <c r="H1203" s="305"/>
      <c r="I1203" s="366"/>
      <c r="J1203" s="366"/>
      <c r="K1203" s="309"/>
      <c r="L1203" s="366"/>
      <c r="M1203" s="366"/>
      <c r="N1203" s="309"/>
      <c r="O1203" s="366"/>
      <c r="P1203" s="418"/>
      <c r="Q1203" s="305"/>
      <c r="R1203" s="410"/>
      <c r="S1203" s="309" t="s">
        <v>306</v>
      </c>
    </row>
    <row r="1204" spans="1:20" ht="15">
      <c r="A1204" s="171" t="s">
        <v>1117</v>
      </c>
      <c r="B1204" s="413">
        <v>191277</v>
      </c>
      <c r="C1204" s="366">
        <f t="shared" si="86"/>
        <v>582.1</v>
      </c>
      <c r="D1204" s="366">
        <v>582.1</v>
      </c>
      <c r="E1204" s="410" t="s">
        <v>1131</v>
      </c>
      <c r="F1204" s="366">
        <v>77.040000000000006</v>
      </c>
      <c r="G1204" s="366"/>
      <c r="H1204" s="305"/>
      <c r="I1204" s="366"/>
      <c r="J1204" s="366"/>
      <c r="K1204" s="309"/>
      <c r="L1204" s="366"/>
      <c r="M1204" s="366"/>
      <c r="N1204" s="309"/>
      <c r="O1204" s="366"/>
      <c r="P1204" s="418"/>
      <c r="Q1204" s="305"/>
      <c r="R1204" s="410"/>
      <c r="S1204" s="309">
        <v>45</v>
      </c>
    </row>
    <row r="1205" spans="1:20" ht="15">
      <c r="A1205" s="398"/>
      <c r="B1205" s="407" t="s">
        <v>507</v>
      </c>
      <c r="C1205" s="366">
        <f t="shared" si="86"/>
        <v>0</v>
      </c>
      <c r="D1205" s="366"/>
      <c r="E1205" s="305"/>
      <c r="F1205" s="366"/>
      <c r="G1205" s="366"/>
      <c r="H1205" s="305"/>
      <c r="I1205" s="366"/>
      <c r="J1205" s="366"/>
      <c r="K1205" s="309"/>
      <c r="L1205" s="366"/>
      <c r="M1205" s="366"/>
      <c r="N1205" s="309"/>
      <c r="O1205" s="366"/>
      <c r="P1205" s="418"/>
      <c r="Q1205" s="305"/>
      <c r="R1205" s="410"/>
      <c r="S1205" s="309" t="s">
        <v>306</v>
      </c>
    </row>
    <row r="1206" spans="1:20" ht="15">
      <c r="A1206" s="398" t="s">
        <v>1132</v>
      </c>
      <c r="B1206" s="413">
        <v>191274</v>
      </c>
      <c r="C1206" s="366">
        <f t="shared" si="86"/>
        <v>4127.41</v>
      </c>
      <c r="D1206" s="366">
        <v>4127.41</v>
      </c>
      <c r="E1206" s="305">
        <v>915.27</v>
      </c>
      <c r="F1206" s="366">
        <v>595.91</v>
      </c>
      <c r="G1206" s="366"/>
      <c r="H1206" s="305"/>
      <c r="I1206" s="366"/>
      <c r="J1206" s="366"/>
      <c r="K1206" s="309"/>
      <c r="L1206" s="366"/>
      <c r="M1206" s="366"/>
      <c r="N1206" s="309"/>
      <c r="O1206" s="366"/>
      <c r="P1206" s="418"/>
      <c r="Q1206" s="305"/>
      <c r="R1206" s="410"/>
      <c r="S1206" s="309"/>
    </row>
    <row r="1207" spans="1:20" ht="15">
      <c r="A1207" s="398"/>
      <c r="B1207" s="413">
        <v>191280</v>
      </c>
      <c r="C1207" s="366">
        <f t="shared" si="86"/>
        <v>0</v>
      </c>
      <c r="D1207" s="366"/>
      <c r="E1207" s="305"/>
      <c r="F1207" s="366"/>
      <c r="G1207" s="366"/>
      <c r="H1207" s="305"/>
      <c r="I1207" s="366"/>
      <c r="J1207" s="366"/>
      <c r="K1207" s="309"/>
      <c r="L1207" s="366"/>
      <c r="M1207" s="366"/>
      <c r="N1207" s="309"/>
      <c r="O1207" s="366"/>
      <c r="P1207" s="418"/>
      <c r="Q1207" s="305"/>
      <c r="R1207" s="410"/>
      <c r="S1207" s="309"/>
    </row>
    <row r="1208" spans="1:20" ht="15">
      <c r="A1208" s="430" t="s">
        <v>509</v>
      </c>
      <c r="B1208" s="413">
        <v>191281</v>
      </c>
      <c r="C1208" s="366">
        <f t="shared" si="86"/>
        <v>1921.75</v>
      </c>
      <c r="D1208" s="366">
        <v>1921.75</v>
      </c>
      <c r="E1208" s="305">
        <v>471.38</v>
      </c>
      <c r="F1208" s="366">
        <v>195.59</v>
      </c>
      <c r="G1208" s="366"/>
      <c r="H1208" s="305"/>
      <c r="I1208" s="366"/>
      <c r="J1208" s="366"/>
      <c r="K1208" s="309"/>
      <c r="L1208" s="366"/>
      <c r="M1208" s="366"/>
      <c r="N1208" s="309"/>
      <c r="O1208" s="366"/>
      <c r="P1208" s="418"/>
      <c r="Q1208" s="305"/>
      <c r="R1208" s="410"/>
      <c r="S1208" s="309"/>
    </row>
    <row r="1209" spans="1:20" ht="15">
      <c r="A1209" s="171" t="s">
        <v>393</v>
      </c>
      <c r="B1209" s="413">
        <v>191276</v>
      </c>
      <c r="C1209" s="366">
        <f t="shared" si="86"/>
        <v>2861.27</v>
      </c>
      <c r="D1209" s="366">
        <v>2861.27</v>
      </c>
      <c r="E1209" s="305">
        <v>661.72</v>
      </c>
      <c r="F1209" s="366">
        <v>358.91</v>
      </c>
      <c r="G1209" s="366"/>
      <c r="H1209" s="305"/>
      <c r="I1209" s="366"/>
      <c r="J1209" s="366"/>
      <c r="K1209" s="309"/>
      <c r="L1209" s="366"/>
      <c r="M1209" s="366"/>
      <c r="N1209" s="309"/>
      <c r="O1209" s="366"/>
      <c r="P1209" s="418"/>
      <c r="Q1209" s="305"/>
      <c r="R1209" s="410"/>
      <c r="S1209" s="309">
        <v>88</v>
      </c>
    </row>
    <row r="1210" spans="1:20" ht="15">
      <c r="A1210" s="171" t="s">
        <v>634</v>
      </c>
      <c r="B1210" s="413">
        <v>191283</v>
      </c>
      <c r="C1210" s="366">
        <f t="shared" si="86"/>
        <v>2293.31</v>
      </c>
      <c r="D1210" s="366">
        <v>2293.31</v>
      </c>
      <c r="E1210" s="305">
        <v>543.59</v>
      </c>
      <c r="F1210" s="366">
        <v>201.57</v>
      </c>
      <c r="G1210" s="366"/>
      <c r="H1210" s="305"/>
      <c r="I1210" s="366"/>
      <c r="J1210" s="366"/>
      <c r="K1210" s="309"/>
      <c r="L1210" s="366"/>
      <c r="M1210" s="366"/>
      <c r="N1210" s="309"/>
      <c r="O1210" s="366"/>
      <c r="P1210" s="418"/>
      <c r="Q1210" s="305"/>
      <c r="R1210" s="410"/>
      <c r="S1210" s="309">
        <v>73</v>
      </c>
    </row>
    <row r="1211" spans="1:20" ht="15">
      <c r="A1211" s="398" t="s">
        <v>319</v>
      </c>
      <c r="B1211" s="413">
        <v>465180</v>
      </c>
      <c r="C1211" s="366">
        <f t="shared" si="86"/>
        <v>689.4</v>
      </c>
      <c r="D1211" s="366">
        <v>689.4</v>
      </c>
      <c r="E1211" s="305">
        <v>184.14</v>
      </c>
      <c r="F1211" s="366">
        <v>81.41</v>
      </c>
      <c r="G1211" s="366"/>
      <c r="H1211" s="305"/>
      <c r="I1211" s="366"/>
      <c r="J1211" s="366"/>
      <c r="K1211" s="309"/>
      <c r="L1211" s="366"/>
      <c r="M1211" s="366"/>
      <c r="N1211" s="309"/>
      <c r="O1211" s="366"/>
      <c r="P1211" s="418"/>
      <c r="Q1211" s="305"/>
      <c r="R1211" s="410"/>
      <c r="S1211" s="309">
        <v>81</v>
      </c>
    </row>
    <row r="1212" spans="1:20" ht="15">
      <c r="A1212" s="398" t="s">
        <v>1121</v>
      </c>
      <c r="B1212" s="413">
        <v>465181</v>
      </c>
      <c r="C1212" s="366">
        <f t="shared" si="86"/>
        <v>2062.91</v>
      </c>
      <c r="D1212" s="366">
        <v>2062.91</v>
      </c>
      <c r="E1212" s="305">
        <v>481.72</v>
      </c>
      <c r="F1212" s="366">
        <v>37.18</v>
      </c>
      <c r="G1212" s="366"/>
      <c r="H1212" s="305"/>
      <c r="I1212" s="366"/>
      <c r="J1212" s="366"/>
      <c r="K1212" s="309"/>
      <c r="L1212" s="366"/>
      <c r="M1212" s="366"/>
      <c r="N1212" s="309"/>
      <c r="O1212" s="366"/>
      <c r="P1212" s="418"/>
      <c r="Q1212" s="305"/>
      <c r="R1212" s="410"/>
      <c r="S1212" s="309">
        <v>36</v>
      </c>
      <c r="T1212" s="87" t="s">
        <v>1133</v>
      </c>
    </row>
    <row r="1213" spans="1:20" ht="15">
      <c r="A1213" s="398" t="s">
        <v>349</v>
      </c>
      <c r="B1213" s="413">
        <v>465182</v>
      </c>
      <c r="C1213" s="366">
        <f t="shared" si="86"/>
        <v>3205.14</v>
      </c>
      <c r="D1213" s="366">
        <v>2805.14</v>
      </c>
      <c r="E1213" s="305">
        <v>658.78</v>
      </c>
      <c r="F1213" s="366">
        <v>63.56</v>
      </c>
      <c r="G1213" s="366">
        <f>300+100</f>
        <v>400</v>
      </c>
      <c r="H1213" s="305"/>
      <c r="I1213" s="366"/>
      <c r="J1213" s="366"/>
      <c r="K1213" s="309"/>
      <c r="L1213" s="366"/>
      <c r="M1213" s="366"/>
      <c r="N1213" s="309"/>
      <c r="O1213" s="366"/>
      <c r="P1213" s="418"/>
      <c r="Q1213" s="305"/>
      <c r="R1213" s="410"/>
      <c r="S1213" s="309"/>
    </row>
    <row r="1214" spans="1:20" ht="15">
      <c r="A1214" s="398" t="s">
        <v>14</v>
      </c>
      <c r="B1214" s="413">
        <v>465183</v>
      </c>
      <c r="C1214" s="366">
        <f t="shared" si="86"/>
        <v>1856.24</v>
      </c>
      <c r="D1214" s="366">
        <v>1856.24</v>
      </c>
      <c r="E1214" s="305">
        <v>432.51</v>
      </c>
      <c r="F1214" s="366">
        <v>352.88</v>
      </c>
      <c r="G1214" s="366"/>
      <c r="H1214" s="305"/>
      <c r="I1214" s="366"/>
      <c r="J1214" s="366"/>
      <c r="K1214" s="309"/>
      <c r="L1214" s="366"/>
      <c r="M1214" s="366"/>
      <c r="N1214" s="309"/>
      <c r="O1214" s="366"/>
      <c r="P1214" s="418"/>
      <c r="Q1214" s="305"/>
      <c r="R1214" s="410"/>
      <c r="S1214" s="309">
        <v>100</v>
      </c>
    </row>
    <row r="1215" spans="1:20" ht="15">
      <c r="A1215" s="347" t="s">
        <v>40</v>
      </c>
      <c r="B1215" s="413">
        <v>465184</v>
      </c>
      <c r="C1215" s="366">
        <f t="shared" si="86"/>
        <v>2765.01</v>
      </c>
      <c r="D1215" s="366">
        <v>2765.01</v>
      </c>
      <c r="E1215" s="305">
        <v>618.98</v>
      </c>
      <c r="F1215" s="366">
        <v>59.39</v>
      </c>
      <c r="G1215" s="366"/>
      <c r="H1215" s="305"/>
      <c r="I1215" s="366"/>
      <c r="J1215" s="366"/>
      <c r="K1215" s="309"/>
      <c r="L1215" s="366"/>
      <c r="M1215" s="366"/>
      <c r="N1215" s="309"/>
      <c r="O1215" s="366"/>
      <c r="P1215" s="418"/>
      <c r="Q1215" s="305"/>
      <c r="R1215" s="410"/>
      <c r="S1215" s="309">
        <v>100</v>
      </c>
    </row>
    <row r="1216" spans="1:20" ht="15">
      <c r="A1216" s="398" t="s">
        <v>1107</v>
      </c>
      <c r="B1216" s="413">
        <v>465185</v>
      </c>
      <c r="C1216" s="366">
        <f t="shared" si="86"/>
        <v>1768.27</v>
      </c>
      <c r="D1216" s="366">
        <v>1768.27</v>
      </c>
      <c r="E1216" s="305">
        <v>464.05</v>
      </c>
      <c r="F1216" s="366">
        <v>245.9</v>
      </c>
      <c r="G1216" s="366"/>
      <c r="H1216" s="305"/>
      <c r="I1216" s="366"/>
      <c r="J1216" s="366"/>
      <c r="K1216" s="309"/>
      <c r="L1216" s="366"/>
      <c r="M1216" s="366"/>
      <c r="N1216" s="309"/>
      <c r="O1216" s="366"/>
      <c r="P1216" s="418"/>
      <c r="Q1216" s="305"/>
      <c r="R1216" s="410"/>
      <c r="S1216" s="309" t="s">
        <v>306</v>
      </c>
    </row>
    <row r="1217" spans="1:19" ht="15">
      <c r="A1217" s="398" t="s">
        <v>404</v>
      </c>
      <c r="B1217" s="413">
        <v>465186</v>
      </c>
      <c r="C1217" s="366">
        <f t="shared" si="86"/>
        <v>2753.18</v>
      </c>
      <c r="D1217" s="366">
        <v>2753.18</v>
      </c>
      <c r="E1217" s="305">
        <v>644.91</v>
      </c>
      <c r="F1217" s="366">
        <v>61.82</v>
      </c>
      <c r="G1217" s="366"/>
      <c r="H1217" s="305"/>
      <c r="I1217" s="366"/>
      <c r="J1217" s="366"/>
      <c r="K1217" s="309"/>
      <c r="L1217" s="366"/>
      <c r="M1217" s="366"/>
      <c r="N1217" s="309"/>
      <c r="O1217" s="366"/>
      <c r="P1217" s="418"/>
      <c r="Q1217" s="305"/>
      <c r="R1217" s="410"/>
      <c r="S1217" s="309">
        <v>36</v>
      </c>
    </row>
    <row r="1218" spans="1:19" ht="15">
      <c r="A1218" s="398" t="s">
        <v>192</v>
      </c>
      <c r="B1218" s="413">
        <v>465187</v>
      </c>
      <c r="C1218" s="366">
        <f t="shared" si="86"/>
        <v>3676.46</v>
      </c>
      <c r="D1218" s="366">
        <v>3676.46</v>
      </c>
      <c r="E1218" s="305">
        <v>831.31</v>
      </c>
      <c r="F1218" s="366">
        <v>357.26</v>
      </c>
      <c r="G1218" s="366"/>
      <c r="H1218" s="305"/>
      <c r="I1218" s="366"/>
      <c r="J1218" s="366"/>
      <c r="K1218" s="309"/>
      <c r="L1218" s="366"/>
      <c r="M1218" s="366"/>
      <c r="N1218" s="309"/>
      <c r="O1218" s="366"/>
      <c r="P1218" s="418"/>
      <c r="Q1218" s="305"/>
      <c r="R1218" s="410"/>
      <c r="S1218" s="309">
        <v>46</v>
      </c>
    </row>
    <row r="1219" spans="1:19" ht="15">
      <c r="A1219" s="398" t="s">
        <v>62</v>
      </c>
      <c r="B1219" s="413">
        <v>465188</v>
      </c>
      <c r="C1219" s="366">
        <f t="shared" si="86"/>
        <v>2653.67</v>
      </c>
      <c r="D1219" s="366">
        <v>2653.67</v>
      </c>
      <c r="E1219" s="305">
        <v>641.21</v>
      </c>
      <c r="F1219" s="366">
        <v>298.77999999999997</v>
      </c>
      <c r="G1219" s="366"/>
      <c r="H1219" s="305"/>
      <c r="I1219" s="366"/>
      <c r="J1219" s="366"/>
      <c r="K1219" s="309"/>
      <c r="L1219" s="366"/>
      <c r="M1219" s="366"/>
      <c r="N1219" s="309"/>
      <c r="O1219" s="366"/>
      <c r="P1219" s="418"/>
      <c r="Q1219" s="305"/>
      <c r="R1219" s="410"/>
      <c r="S1219" s="309">
        <v>50</v>
      </c>
    </row>
    <row r="1220" spans="1:19" ht="15">
      <c r="A1220" s="400" t="s">
        <v>1124</v>
      </c>
      <c r="B1220" s="413">
        <v>465189</v>
      </c>
      <c r="C1220" s="366">
        <f t="shared" si="86"/>
        <v>2673.04</v>
      </c>
      <c r="D1220" s="366">
        <v>2673.04</v>
      </c>
      <c r="E1220" s="410" t="s">
        <v>1134</v>
      </c>
      <c r="F1220" s="366">
        <v>50.37</v>
      </c>
      <c r="G1220" s="366"/>
      <c r="H1220" s="305"/>
      <c r="I1220" s="366"/>
      <c r="J1220" s="366"/>
      <c r="K1220" s="309"/>
      <c r="L1220" s="366"/>
      <c r="M1220" s="366"/>
      <c r="N1220" s="309"/>
      <c r="O1220" s="366"/>
      <c r="P1220" s="418"/>
      <c r="Q1220" s="305"/>
      <c r="R1220" s="410"/>
      <c r="S1220" s="309">
        <v>82</v>
      </c>
    </row>
    <row r="1221" spans="1:19" ht="15">
      <c r="A1221" s="408" t="s">
        <v>408</v>
      </c>
      <c r="B1221" s="413">
        <v>1122</v>
      </c>
      <c r="C1221" s="366">
        <f t="shared" si="86"/>
        <v>1886.31</v>
      </c>
      <c r="D1221" s="366">
        <v>1886.31</v>
      </c>
      <c r="E1221" s="366">
        <v>562.4</v>
      </c>
      <c r="F1221" s="366">
        <v>0</v>
      </c>
      <c r="G1221" s="366"/>
      <c r="H1221" s="305"/>
      <c r="I1221" s="366"/>
      <c r="J1221" s="366"/>
      <c r="K1221" s="309"/>
      <c r="L1221" s="366"/>
      <c r="M1221" s="366"/>
      <c r="N1221" s="309"/>
      <c r="O1221" s="366"/>
      <c r="P1221" s="426"/>
      <c r="Q1221" s="305"/>
      <c r="R1221" s="410"/>
      <c r="S1221" s="309" t="s">
        <v>306</v>
      </c>
    </row>
    <row r="1222" spans="1:19" ht="15">
      <c r="A1222" s="408" t="s">
        <v>386</v>
      </c>
      <c r="B1222" s="413">
        <v>218</v>
      </c>
      <c r="C1222" s="366">
        <f t="shared" si="86"/>
        <v>627.79</v>
      </c>
      <c r="D1222" s="366">
        <v>627.79</v>
      </c>
      <c r="E1222" s="410" t="s">
        <v>1135</v>
      </c>
      <c r="F1222" s="366">
        <v>0</v>
      </c>
      <c r="G1222" s="366"/>
      <c r="H1222" s="305"/>
      <c r="I1222" s="366"/>
      <c r="J1222" s="366"/>
      <c r="K1222" s="309"/>
      <c r="L1222" s="366"/>
      <c r="M1222" s="366"/>
      <c r="N1222" s="309"/>
      <c r="O1222" s="366"/>
      <c r="P1222" s="426"/>
      <c r="Q1222" s="305"/>
      <c r="R1222" s="410"/>
      <c r="S1222" s="309"/>
    </row>
    <row r="1223" spans="1:19" ht="15">
      <c r="A1223" s="408" t="s">
        <v>1067</v>
      </c>
      <c r="B1223" s="407" t="s">
        <v>362</v>
      </c>
      <c r="C1223" s="366">
        <f t="shared" si="86"/>
        <v>456</v>
      </c>
      <c r="D1223" s="366">
        <v>456</v>
      </c>
      <c r="E1223" s="410" t="s">
        <v>1136</v>
      </c>
      <c r="F1223" s="366">
        <v>2.34</v>
      </c>
      <c r="G1223" s="366"/>
      <c r="H1223" s="305"/>
      <c r="I1223" s="366"/>
      <c r="J1223" s="366"/>
      <c r="K1223" s="309"/>
      <c r="L1223" s="366"/>
      <c r="M1223" s="366"/>
      <c r="N1223" s="309"/>
      <c r="O1223" s="366"/>
      <c r="P1223" s="409"/>
      <c r="Q1223" s="305"/>
      <c r="R1223" s="410"/>
      <c r="S1223" s="309"/>
    </row>
    <row r="1224" spans="1:19" ht="15">
      <c r="A1224" s="408" t="s">
        <v>1041</v>
      </c>
      <c r="B1224" s="407" t="s">
        <v>1068</v>
      </c>
      <c r="C1224" s="366">
        <f t="shared" si="86"/>
        <v>2445.0300000000002</v>
      </c>
      <c r="D1224" s="366">
        <v>2445.0300000000002</v>
      </c>
      <c r="E1224" s="305">
        <v>686.28</v>
      </c>
      <c r="F1224" s="366">
        <v>8.5399999999999991</v>
      </c>
      <c r="G1224" s="411"/>
      <c r="H1224" s="305"/>
      <c r="I1224" s="366"/>
      <c r="J1224" s="366"/>
      <c r="K1224" s="305"/>
      <c r="L1224" s="366"/>
      <c r="M1224" s="366"/>
      <c r="N1224" s="309"/>
      <c r="O1224" s="366"/>
      <c r="P1224" s="409"/>
      <c r="Q1224" s="305"/>
      <c r="R1224" s="410"/>
      <c r="S1224" s="309"/>
    </row>
    <row r="1225" spans="1:19" ht="15">
      <c r="A1225" s="408" t="s">
        <v>1043</v>
      </c>
      <c r="B1225" s="407" t="s">
        <v>1069</v>
      </c>
      <c r="C1225" s="366">
        <f t="shared" si="86"/>
        <v>951.62</v>
      </c>
      <c r="D1225" s="366">
        <v>951.62</v>
      </c>
      <c r="E1225" s="305">
        <v>233.23</v>
      </c>
      <c r="F1225" s="366">
        <v>105.5</v>
      </c>
      <c r="G1225" s="411"/>
      <c r="H1225" s="305"/>
      <c r="I1225" s="366"/>
      <c r="J1225" s="366"/>
      <c r="K1225" s="305"/>
      <c r="L1225" s="366"/>
      <c r="M1225" s="366"/>
      <c r="N1225" s="309"/>
      <c r="O1225" s="366"/>
      <c r="P1225" s="409"/>
      <c r="Q1225" s="305"/>
      <c r="R1225" s="410"/>
      <c r="S1225" s="309"/>
    </row>
    <row r="1226" spans="1:19" ht="13">
      <c r="A1226" s="470" t="s">
        <v>860</v>
      </c>
      <c r="B1226" s="471"/>
      <c r="C1226" s="422" t="s">
        <v>89</v>
      </c>
      <c r="D1226" s="324" t="s">
        <v>676</v>
      </c>
      <c r="E1226" s="325" t="s">
        <v>861</v>
      </c>
      <c r="F1226" s="355" t="s">
        <v>862</v>
      </c>
      <c r="G1226" s="324" t="s">
        <v>676</v>
      </c>
      <c r="H1226" s="325" t="s">
        <v>861</v>
      </c>
      <c r="I1226" s="355" t="s">
        <v>862</v>
      </c>
      <c r="J1226" s="324" t="s">
        <v>676</v>
      </c>
      <c r="K1226" s="325" t="s">
        <v>861</v>
      </c>
      <c r="L1226" s="355" t="s">
        <v>862</v>
      </c>
      <c r="M1226" s="324" t="s">
        <v>676</v>
      </c>
      <c r="N1226" s="325" t="s">
        <v>861</v>
      </c>
      <c r="O1226" s="355" t="s">
        <v>862</v>
      </c>
      <c r="P1226" s="324" t="s">
        <v>881</v>
      </c>
      <c r="Q1226" s="325" t="s">
        <v>861</v>
      </c>
      <c r="R1226" s="325" t="s">
        <v>865</v>
      </c>
      <c r="S1226" s="412" t="s">
        <v>1031</v>
      </c>
    </row>
    <row r="1227" spans="1:19" ht="13">
      <c r="A1227" s="470" t="s">
        <v>863</v>
      </c>
      <c r="B1227" s="471"/>
      <c r="C1227" s="326">
        <f>SUM(C1201:C1225)</f>
        <v>45490.520000000004</v>
      </c>
      <c r="D1227" s="326">
        <f>SUM(D1201:D1223)+SUM(G1201:G1223)+SUM(J1201:J1223)</f>
        <v>42093.87</v>
      </c>
      <c r="E1227" s="327">
        <f>SUM(E1201:E1220)+SUM(H1201:H1220)+SUM(K1201:K1220)+SUM(N1201:N1220)</f>
        <v>8311.130000000001</v>
      </c>
      <c r="F1227" s="328">
        <f>SUM(F1201:F1220)</f>
        <v>3100.4699999999993</v>
      </c>
      <c r="G1227" s="329"/>
      <c r="H1227" s="329"/>
      <c r="I1227" s="329"/>
      <c r="J1227" s="329"/>
      <c r="K1227" s="329"/>
      <c r="L1227" s="329"/>
      <c r="M1227" s="329"/>
      <c r="N1227" s="329"/>
      <c r="O1227" s="329"/>
      <c r="P1227" s="329"/>
      <c r="Q1227" s="329"/>
      <c r="R1227" s="329"/>
    </row>
    <row r="1228" spans="1:19" ht="13">
      <c r="A1228" s="282"/>
      <c r="B1228" s="282"/>
      <c r="C1228" s="282"/>
      <c r="D1228" s="282"/>
      <c r="E1228" s="282"/>
      <c r="F1228" s="282"/>
      <c r="G1228" s="282"/>
      <c r="H1228" s="282"/>
      <c r="I1228" s="329"/>
      <c r="J1228" s="329"/>
      <c r="K1228" s="329"/>
      <c r="L1228" s="329"/>
      <c r="M1228" s="329"/>
      <c r="N1228" s="329"/>
      <c r="O1228" s="329"/>
      <c r="P1228" s="329"/>
      <c r="Q1228" s="329"/>
      <c r="R1228" s="329"/>
    </row>
    <row r="1229" spans="1:19" ht="13">
      <c r="A1229" s="472" t="s">
        <v>1137</v>
      </c>
      <c r="B1229" s="466"/>
      <c r="C1229" s="466"/>
      <c r="D1229" s="466"/>
      <c r="E1229" s="466"/>
      <c r="F1229" s="466"/>
      <c r="G1229" s="466"/>
      <c r="H1229" s="466"/>
      <c r="I1229" s="466"/>
      <c r="J1229" s="466"/>
      <c r="K1229" s="466"/>
      <c r="L1229" s="466"/>
      <c r="M1229" s="466"/>
      <c r="N1229" s="466"/>
      <c r="O1229" s="466"/>
      <c r="P1229" s="466"/>
      <c r="Q1229" s="466"/>
      <c r="R1229" s="466"/>
      <c r="S1229" s="466"/>
    </row>
    <row r="1230" spans="1:19" ht="13">
      <c r="A1230" s="356" t="s">
        <v>849</v>
      </c>
      <c r="B1230" s="356" t="s">
        <v>1</v>
      </c>
      <c r="C1230" s="356" t="s">
        <v>89</v>
      </c>
      <c r="D1230" s="473" t="s">
        <v>850</v>
      </c>
      <c r="E1230" s="466"/>
      <c r="F1230" s="467"/>
      <c r="G1230" s="465" t="s">
        <v>852</v>
      </c>
      <c r="H1230" s="466"/>
      <c r="I1230" s="467"/>
      <c r="J1230" s="465" t="s">
        <v>1013</v>
      </c>
      <c r="K1230" s="466"/>
      <c r="L1230" s="467"/>
      <c r="M1230" s="465" t="s">
        <v>1093</v>
      </c>
      <c r="N1230" s="466"/>
      <c r="O1230" s="467"/>
      <c r="P1230" s="465" t="s">
        <v>865</v>
      </c>
      <c r="Q1230" s="466"/>
      <c r="R1230" s="467"/>
      <c r="S1230" s="356" t="s">
        <v>1028</v>
      </c>
    </row>
    <row r="1231" spans="1:19" ht="15">
      <c r="A1231" s="400"/>
      <c r="B1231" s="413">
        <v>191279</v>
      </c>
      <c r="C1231" s="366">
        <f t="shared" ref="C1231:C1256" si="87">D1231+G1231+J1231+M1231+P1231</f>
        <v>0</v>
      </c>
      <c r="D1231" s="366"/>
      <c r="E1231" s="305"/>
      <c r="F1231" s="366"/>
      <c r="G1231" s="366"/>
      <c r="H1231" s="305"/>
      <c r="I1231" s="366"/>
      <c r="J1231" s="366"/>
      <c r="K1231" s="305"/>
      <c r="L1231" s="366"/>
      <c r="M1231" s="366"/>
      <c r="N1231" s="309"/>
      <c r="O1231" s="366"/>
      <c r="P1231" s="345"/>
      <c r="Q1231" s="305"/>
      <c r="R1231" s="410"/>
      <c r="S1231" s="309">
        <v>32</v>
      </c>
    </row>
    <row r="1232" spans="1:19" ht="15">
      <c r="A1232" s="399" t="s">
        <v>390</v>
      </c>
      <c r="B1232" s="413">
        <v>191275</v>
      </c>
      <c r="C1232" s="366">
        <f t="shared" si="87"/>
        <v>900.08</v>
      </c>
      <c r="D1232" s="366">
        <v>900.08</v>
      </c>
      <c r="E1232" s="305">
        <v>206.94</v>
      </c>
      <c r="F1232" s="366">
        <v>20.68</v>
      </c>
      <c r="G1232" s="366"/>
      <c r="H1232" s="305"/>
      <c r="I1232" s="366"/>
      <c r="J1232" s="366"/>
      <c r="K1232" s="309"/>
      <c r="L1232" s="366"/>
      <c r="M1232" s="366"/>
      <c r="N1232" s="309"/>
      <c r="O1232" s="366"/>
      <c r="P1232" s="418"/>
      <c r="Q1232" s="305"/>
      <c r="R1232" s="410"/>
      <c r="S1232" s="309">
        <v>100</v>
      </c>
    </row>
    <row r="1233" spans="1:19" ht="15">
      <c r="A1233" s="398" t="s">
        <v>1072</v>
      </c>
      <c r="B1233" s="413" t="s">
        <v>502</v>
      </c>
      <c r="C1233" s="366">
        <f t="shared" si="87"/>
        <v>0</v>
      </c>
      <c r="D1233" s="366"/>
      <c r="E1233" s="305"/>
      <c r="F1233" s="366"/>
      <c r="G1233" s="366"/>
      <c r="H1233" s="305"/>
      <c r="I1233" s="366"/>
      <c r="J1233" s="366"/>
      <c r="K1233" s="309"/>
      <c r="L1233" s="366"/>
      <c r="M1233" s="366"/>
      <c r="N1233" s="309"/>
      <c r="O1233" s="366"/>
      <c r="P1233" s="418"/>
      <c r="Q1233" s="305"/>
      <c r="R1233" s="410"/>
      <c r="S1233" s="309" t="s">
        <v>306</v>
      </c>
    </row>
    <row r="1234" spans="1:19" ht="15">
      <c r="A1234" s="431" t="s">
        <v>75</v>
      </c>
      <c r="B1234" s="413">
        <v>191277</v>
      </c>
      <c r="C1234" s="366">
        <f t="shared" si="87"/>
        <v>1172.67</v>
      </c>
      <c r="D1234" s="366">
        <v>1172.67</v>
      </c>
      <c r="E1234" s="410" t="s">
        <v>1138</v>
      </c>
      <c r="F1234" s="366">
        <v>135.59</v>
      </c>
      <c r="G1234" s="366"/>
      <c r="H1234" s="305"/>
      <c r="I1234" s="366"/>
      <c r="J1234" s="366"/>
      <c r="K1234" s="309"/>
      <c r="L1234" s="366"/>
      <c r="M1234" s="366"/>
      <c r="N1234" s="309"/>
      <c r="O1234" s="366"/>
      <c r="P1234" s="418"/>
      <c r="Q1234" s="305"/>
      <c r="R1234" s="410"/>
      <c r="S1234" s="309">
        <v>30</v>
      </c>
    </row>
    <row r="1235" spans="1:19" ht="15">
      <c r="A1235" s="398"/>
      <c r="B1235" s="407" t="s">
        <v>507</v>
      </c>
      <c r="C1235" s="366">
        <f t="shared" si="87"/>
        <v>0</v>
      </c>
      <c r="D1235" s="366"/>
      <c r="E1235" s="305"/>
      <c r="F1235" s="366"/>
      <c r="G1235" s="366"/>
      <c r="H1235" s="305"/>
      <c r="I1235" s="366"/>
      <c r="J1235" s="366"/>
      <c r="K1235" s="309"/>
      <c r="L1235" s="366"/>
      <c r="M1235" s="366"/>
      <c r="N1235" s="309"/>
      <c r="O1235" s="366"/>
      <c r="P1235" s="418"/>
      <c r="Q1235" s="305"/>
      <c r="R1235" s="410"/>
      <c r="S1235" s="309">
        <v>19</v>
      </c>
    </row>
    <row r="1236" spans="1:19" ht="15">
      <c r="A1236" s="398" t="s">
        <v>1132</v>
      </c>
      <c r="B1236" s="413">
        <v>191274</v>
      </c>
      <c r="C1236" s="366">
        <f t="shared" si="87"/>
        <v>3698.94</v>
      </c>
      <c r="D1236" s="366">
        <v>3098.94</v>
      </c>
      <c r="E1236" s="305">
        <v>741.84</v>
      </c>
      <c r="F1236" s="366">
        <v>481.53</v>
      </c>
      <c r="G1236" s="366">
        <v>600</v>
      </c>
      <c r="H1236" s="305"/>
      <c r="I1236" s="366"/>
      <c r="J1236" s="366"/>
      <c r="K1236" s="309"/>
      <c r="L1236" s="366"/>
      <c r="M1236" s="366"/>
      <c r="N1236" s="309"/>
      <c r="O1236" s="366"/>
      <c r="P1236" s="418"/>
      <c r="Q1236" s="305"/>
      <c r="R1236" s="410"/>
      <c r="S1236" s="309">
        <v>40</v>
      </c>
    </row>
    <row r="1237" spans="1:19" ht="15">
      <c r="A1237" s="398" t="s">
        <v>1139</v>
      </c>
      <c r="B1237" s="413">
        <v>191280</v>
      </c>
      <c r="C1237" s="366">
        <f t="shared" si="87"/>
        <v>1069.68</v>
      </c>
      <c r="D1237" s="366">
        <v>1069.68</v>
      </c>
      <c r="E1237" s="305">
        <v>255.31</v>
      </c>
      <c r="F1237" s="366">
        <v>111.91</v>
      </c>
      <c r="G1237" s="366"/>
      <c r="H1237" s="305"/>
      <c r="I1237" s="366"/>
      <c r="J1237" s="366"/>
      <c r="K1237" s="309"/>
      <c r="L1237" s="366"/>
      <c r="M1237" s="366"/>
      <c r="N1237" s="309"/>
      <c r="O1237" s="366"/>
      <c r="P1237" s="418"/>
      <c r="Q1237" s="305"/>
      <c r="R1237" s="410"/>
      <c r="S1237" s="309">
        <v>100</v>
      </c>
    </row>
    <row r="1238" spans="1:19" ht="15">
      <c r="A1238" s="398" t="s">
        <v>509</v>
      </c>
      <c r="B1238" s="413">
        <v>191281</v>
      </c>
      <c r="C1238" s="366">
        <f t="shared" si="87"/>
        <v>2455.0500000000002</v>
      </c>
      <c r="D1238" s="366">
        <v>2455.0500000000002</v>
      </c>
      <c r="E1238" s="305">
        <v>638.64</v>
      </c>
      <c r="F1238" s="366">
        <v>336.62</v>
      </c>
      <c r="G1238" s="366"/>
      <c r="H1238" s="305"/>
      <c r="I1238" s="366"/>
      <c r="J1238" s="366"/>
      <c r="K1238" s="309"/>
      <c r="L1238" s="366"/>
      <c r="M1238" s="366"/>
      <c r="N1238" s="309"/>
      <c r="O1238" s="366"/>
      <c r="P1238" s="418"/>
      <c r="Q1238" s="305"/>
      <c r="R1238" s="410"/>
      <c r="S1238" s="309">
        <v>88</v>
      </c>
    </row>
    <row r="1239" spans="1:19" ht="15">
      <c r="A1239" s="431" t="s">
        <v>1140</v>
      </c>
      <c r="B1239" s="413">
        <v>191282</v>
      </c>
      <c r="C1239" s="366">
        <f t="shared" si="87"/>
        <v>0</v>
      </c>
      <c r="D1239" s="366"/>
      <c r="E1239" s="305"/>
      <c r="F1239" s="366"/>
      <c r="G1239" s="366"/>
      <c r="H1239" s="305"/>
      <c r="I1239" s="366"/>
      <c r="J1239" s="366"/>
      <c r="K1239" s="309"/>
      <c r="L1239" s="366"/>
      <c r="M1239" s="366"/>
      <c r="N1239" s="309"/>
      <c r="O1239" s="366"/>
      <c r="P1239" s="418"/>
      <c r="Q1239" s="305"/>
      <c r="R1239" s="410"/>
      <c r="S1239" s="309" t="s">
        <v>306</v>
      </c>
    </row>
    <row r="1240" spans="1:19" ht="15">
      <c r="A1240" s="431" t="s">
        <v>393</v>
      </c>
      <c r="B1240" s="413">
        <v>191276</v>
      </c>
      <c r="C1240" s="366">
        <f t="shared" si="87"/>
        <v>2510.4699999999998</v>
      </c>
      <c r="D1240" s="366">
        <v>2510.4699999999998</v>
      </c>
      <c r="E1240" s="305">
        <v>627.62</v>
      </c>
      <c r="F1240" s="366">
        <v>344.48</v>
      </c>
      <c r="G1240" s="366"/>
      <c r="H1240" s="305"/>
      <c r="I1240" s="366"/>
      <c r="J1240" s="366"/>
      <c r="K1240" s="309"/>
      <c r="L1240" s="366"/>
      <c r="M1240" s="366"/>
      <c r="N1240" s="309"/>
      <c r="O1240" s="366"/>
      <c r="P1240" s="418"/>
      <c r="Q1240" s="305"/>
      <c r="R1240" s="410"/>
      <c r="S1240" s="309">
        <v>80</v>
      </c>
    </row>
    <row r="1241" spans="1:19" ht="15">
      <c r="A1241" s="431" t="s">
        <v>634</v>
      </c>
      <c r="B1241" s="413">
        <v>191283</v>
      </c>
      <c r="C1241" s="366">
        <f t="shared" si="87"/>
        <v>2398.66</v>
      </c>
      <c r="D1241" s="366">
        <v>2398.66</v>
      </c>
      <c r="E1241" s="305">
        <v>555.07000000000005</v>
      </c>
      <c r="F1241" s="366">
        <v>279.43</v>
      </c>
      <c r="G1241" s="366"/>
      <c r="H1241" s="305"/>
      <c r="I1241" s="366"/>
      <c r="J1241" s="366"/>
      <c r="K1241" s="309"/>
      <c r="L1241" s="366"/>
      <c r="M1241" s="366"/>
      <c r="N1241" s="309"/>
      <c r="O1241" s="366"/>
      <c r="P1241" s="418"/>
      <c r="Q1241" s="305"/>
      <c r="R1241" s="410"/>
      <c r="S1241" s="309">
        <v>81</v>
      </c>
    </row>
    <row r="1242" spans="1:19" ht="15">
      <c r="A1242" s="398" t="s">
        <v>319</v>
      </c>
      <c r="B1242" s="413">
        <v>465180</v>
      </c>
      <c r="C1242" s="366">
        <f t="shared" si="87"/>
        <v>470.75</v>
      </c>
      <c r="D1242" s="366">
        <v>470.75</v>
      </c>
      <c r="E1242" s="305">
        <v>128.59</v>
      </c>
      <c r="F1242" s="366">
        <v>86.82</v>
      </c>
      <c r="G1242" s="366"/>
      <c r="H1242" s="305"/>
      <c r="I1242" s="366"/>
      <c r="J1242" s="366"/>
      <c r="K1242" s="309"/>
      <c r="L1242" s="366"/>
      <c r="M1242" s="366"/>
      <c r="N1242" s="309"/>
      <c r="O1242" s="366"/>
      <c r="P1242" s="418"/>
      <c r="Q1242" s="305"/>
      <c r="R1242" s="410"/>
      <c r="S1242" s="309" t="s">
        <v>306</v>
      </c>
    </row>
    <row r="1243" spans="1:19" ht="15">
      <c r="A1243" s="398" t="s">
        <v>1121</v>
      </c>
      <c r="B1243" s="413" t="s">
        <v>1141</v>
      </c>
      <c r="C1243" s="366">
        <f t="shared" si="87"/>
        <v>1381.45</v>
      </c>
      <c r="D1243" s="366">
        <v>1381.45</v>
      </c>
      <c r="E1243" s="305">
        <v>329.22</v>
      </c>
      <c r="F1243" s="366">
        <v>148.19</v>
      </c>
      <c r="G1243" s="366"/>
      <c r="H1243" s="305"/>
      <c r="I1243" s="366"/>
      <c r="J1243" s="366"/>
      <c r="K1243" s="309"/>
      <c r="L1243" s="366"/>
      <c r="M1243" s="366"/>
      <c r="N1243" s="309"/>
      <c r="O1243" s="366"/>
      <c r="P1243" s="418"/>
      <c r="Q1243" s="305"/>
      <c r="R1243" s="410"/>
      <c r="S1243" s="309">
        <v>88</v>
      </c>
    </row>
    <row r="1244" spans="1:19" ht="15">
      <c r="A1244" s="398" t="s">
        <v>349</v>
      </c>
      <c r="B1244" s="413">
        <v>465182</v>
      </c>
      <c r="C1244" s="366">
        <f t="shared" si="87"/>
        <v>1507.06</v>
      </c>
      <c r="D1244" s="366">
        <v>1507.06</v>
      </c>
      <c r="E1244" s="305">
        <v>371.48</v>
      </c>
      <c r="F1244" s="366">
        <v>36.200000000000003</v>
      </c>
      <c r="G1244" s="366"/>
      <c r="H1244" s="305"/>
      <c r="I1244" s="366"/>
      <c r="J1244" s="366"/>
      <c r="K1244" s="309"/>
      <c r="L1244" s="366"/>
      <c r="M1244" s="366"/>
      <c r="N1244" s="309"/>
      <c r="O1244" s="366"/>
      <c r="P1244" s="418"/>
      <c r="Q1244" s="305"/>
      <c r="R1244" s="410"/>
      <c r="S1244" s="309">
        <v>100</v>
      </c>
    </row>
    <row r="1245" spans="1:19" ht="15">
      <c r="A1245" s="398" t="s">
        <v>14</v>
      </c>
      <c r="B1245" s="413">
        <v>465183</v>
      </c>
      <c r="C1245" s="366">
        <f t="shared" si="87"/>
        <v>0</v>
      </c>
      <c r="D1245" s="366"/>
      <c r="E1245" s="305"/>
      <c r="F1245" s="366"/>
      <c r="G1245" s="366"/>
      <c r="H1245" s="305"/>
      <c r="I1245" s="366"/>
      <c r="J1245" s="366"/>
      <c r="K1245" s="309"/>
      <c r="L1245" s="366"/>
      <c r="M1245" s="366"/>
      <c r="N1245" s="309"/>
      <c r="O1245" s="366"/>
      <c r="P1245" s="418"/>
      <c r="Q1245" s="305"/>
      <c r="R1245" s="410"/>
      <c r="S1245" s="309">
        <v>100</v>
      </c>
    </row>
    <row r="1246" spans="1:19" ht="15">
      <c r="A1246" s="347" t="s">
        <v>40</v>
      </c>
      <c r="B1246" s="413">
        <v>465184</v>
      </c>
      <c r="C1246" s="366">
        <f t="shared" si="87"/>
        <v>3460.14</v>
      </c>
      <c r="D1246" s="366">
        <v>3460.14</v>
      </c>
      <c r="E1246" s="305">
        <v>813.6</v>
      </c>
      <c r="F1246" s="366">
        <v>323.20999999999998</v>
      </c>
      <c r="G1246" s="366"/>
      <c r="H1246" s="305"/>
      <c r="I1246" s="366"/>
      <c r="J1246" s="366"/>
      <c r="K1246" s="309"/>
      <c r="L1246" s="366"/>
      <c r="M1246" s="366"/>
      <c r="N1246" s="309"/>
      <c r="O1246" s="366"/>
      <c r="P1246" s="418"/>
      <c r="Q1246" s="305"/>
      <c r="R1246" s="410"/>
      <c r="S1246" s="309">
        <v>45</v>
      </c>
    </row>
    <row r="1247" spans="1:19" ht="15">
      <c r="A1247" s="398" t="s">
        <v>1107</v>
      </c>
      <c r="B1247" s="413">
        <v>465185</v>
      </c>
      <c r="C1247" s="366">
        <f t="shared" si="87"/>
        <v>2373.87</v>
      </c>
      <c r="D1247" s="366">
        <v>2373.87</v>
      </c>
      <c r="E1247" s="305">
        <v>626.05999999999995</v>
      </c>
      <c r="F1247" s="366">
        <v>320.89999999999998</v>
      </c>
      <c r="G1247" s="366"/>
      <c r="H1247" s="305"/>
      <c r="I1247" s="366"/>
      <c r="J1247" s="366"/>
      <c r="K1247" s="309"/>
      <c r="L1247" s="366"/>
      <c r="M1247" s="366"/>
      <c r="N1247" s="309"/>
      <c r="O1247" s="366"/>
      <c r="P1247" s="418"/>
      <c r="Q1247" s="305"/>
      <c r="R1247" s="410"/>
      <c r="S1247" s="309">
        <v>41</v>
      </c>
    </row>
    <row r="1248" spans="1:19" ht="15">
      <c r="A1248" s="398" t="s">
        <v>404</v>
      </c>
      <c r="B1248" s="413">
        <v>465186</v>
      </c>
      <c r="C1248" s="366">
        <f t="shared" si="87"/>
        <v>0</v>
      </c>
      <c r="D1248" s="366"/>
      <c r="E1248" s="305"/>
      <c r="F1248" s="366"/>
      <c r="G1248" s="366"/>
      <c r="H1248" s="305"/>
      <c r="I1248" s="366"/>
      <c r="J1248" s="366"/>
      <c r="K1248" s="309"/>
      <c r="L1248" s="366"/>
      <c r="M1248" s="366"/>
      <c r="N1248" s="309"/>
      <c r="O1248" s="366"/>
      <c r="P1248" s="418"/>
      <c r="Q1248" s="305"/>
      <c r="R1248" s="410"/>
      <c r="S1248" s="309">
        <v>45</v>
      </c>
    </row>
    <row r="1249" spans="1:19" ht="15">
      <c r="A1249" s="398" t="s">
        <v>192</v>
      </c>
      <c r="B1249" s="413">
        <v>465187</v>
      </c>
      <c r="C1249" s="366">
        <f t="shared" si="87"/>
        <v>758.26</v>
      </c>
      <c r="D1249" s="366">
        <v>758.26</v>
      </c>
      <c r="E1249" s="305">
        <v>193.75</v>
      </c>
      <c r="F1249" s="366">
        <v>18.66</v>
      </c>
      <c r="G1249" s="366"/>
      <c r="H1249" s="305"/>
      <c r="I1249" s="366"/>
      <c r="J1249" s="366"/>
      <c r="K1249" s="309"/>
      <c r="L1249" s="366"/>
      <c r="M1249" s="366"/>
      <c r="N1249" s="309"/>
      <c r="O1249" s="366"/>
      <c r="P1249" s="418"/>
      <c r="Q1249" s="305"/>
      <c r="R1249" s="410"/>
      <c r="S1249" s="309">
        <v>72</v>
      </c>
    </row>
    <row r="1250" spans="1:19" ht="15">
      <c r="A1250" s="398" t="s">
        <v>62</v>
      </c>
      <c r="B1250" s="413">
        <v>465188</v>
      </c>
      <c r="C1250" s="366">
        <f t="shared" si="87"/>
        <v>3126.28</v>
      </c>
      <c r="D1250" s="366">
        <v>3126.28</v>
      </c>
      <c r="E1250" s="305">
        <v>810.36</v>
      </c>
      <c r="F1250" s="366">
        <v>382.66</v>
      </c>
      <c r="G1250" s="366"/>
      <c r="H1250" s="305"/>
      <c r="I1250" s="366"/>
      <c r="J1250" s="366"/>
      <c r="K1250" s="309"/>
      <c r="L1250" s="366"/>
      <c r="M1250" s="366"/>
      <c r="N1250" s="309"/>
      <c r="O1250" s="366"/>
      <c r="P1250" s="418"/>
      <c r="Q1250" s="305"/>
      <c r="R1250" s="410"/>
      <c r="S1250" s="309">
        <v>86</v>
      </c>
    </row>
    <row r="1251" spans="1:19" ht="15">
      <c r="A1251" s="400" t="s">
        <v>1124</v>
      </c>
      <c r="B1251" s="413">
        <v>465189</v>
      </c>
      <c r="C1251" s="366">
        <f t="shared" si="87"/>
        <v>3780.31</v>
      </c>
      <c r="D1251" s="366">
        <v>3780.31</v>
      </c>
      <c r="E1251" s="410" t="s">
        <v>1142</v>
      </c>
      <c r="F1251" s="366">
        <v>233.4</v>
      </c>
      <c r="G1251" s="366"/>
      <c r="H1251" s="305"/>
      <c r="I1251" s="366"/>
      <c r="J1251" s="366"/>
      <c r="K1251" s="309"/>
      <c r="L1251" s="366"/>
      <c r="M1251" s="366"/>
      <c r="N1251" s="309"/>
      <c r="O1251" s="366"/>
      <c r="P1251" s="418"/>
      <c r="Q1251" s="305"/>
      <c r="R1251" s="410"/>
      <c r="S1251" s="309">
        <v>56</v>
      </c>
    </row>
    <row r="1252" spans="1:19" ht="15">
      <c r="A1252" s="408" t="s">
        <v>408</v>
      </c>
      <c r="B1252" s="413">
        <v>1122</v>
      </c>
      <c r="C1252" s="366">
        <f t="shared" si="87"/>
        <v>0</v>
      </c>
      <c r="D1252" s="366"/>
      <c r="E1252" s="366"/>
      <c r="F1252" s="366"/>
      <c r="G1252" s="366"/>
      <c r="H1252" s="305"/>
      <c r="I1252" s="366"/>
      <c r="J1252" s="366"/>
      <c r="K1252" s="309"/>
      <c r="L1252" s="366"/>
      <c r="M1252" s="366"/>
      <c r="N1252" s="309"/>
      <c r="O1252" s="366"/>
      <c r="P1252" s="426"/>
      <c r="Q1252" s="305"/>
      <c r="R1252" s="410"/>
      <c r="S1252" s="309" t="s">
        <v>306</v>
      </c>
    </row>
    <row r="1253" spans="1:19" ht="15">
      <c r="A1253" s="408" t="s">
        <v>386</v>
      </c>
      <c r="B1253" s="413">
        <v>218</v>
      </c>
      <c r="C1253" s="366">
        <f t="shared" si="87"/>
        <v>1642.75</v>
      </c>
      <c r="D1253" s="366">
        <v>1642.75</v>
      </c>
      <c r="E1253" s="410" t="s">
        <v>1143</v>
      </c>
      <c r="F1253" s="366">
        <v>148.87</v>
      </c>
      <c r="G1253" s="366"/>
      <c r="H1253" s="305"/>
      <c r="I1253" s="366"/>
      <c r="J1253" s="366"/>
      <c r="K1253" s="309"/>
      <c r="L1253" s="366"/>
      <c r="M1253" s="366"/>
      <c r="N1253" s="309"/>
      <c r="O1253" s="366"/>
      <c r="P1253" s="426"/>
      <c r="Q1253" s="305"/>
      <c r="R1253" s="410"/>
      <c r="S1253" s="309">
        <v>46</v>
      </c>
    </row>
    <row r="1254" spans="1:19" ht="15">
      <c r="A1254" s="408" t="s">
        <v>1042</v>
      </c>
      <c r="B1254" s="407" t="s">
        <v>362</v>
      </c>
      <c r="C1254" s="366">
        <f t="shared" si="87"/>
        <v>2560.83</v>
      </c>
      <c r="D1254" s="366">
        <v>2560.83</v>
      </c>
      <c r="E1254" s="410" t="s">
        <v>1144</v>
      </c>
      <c r="F1254" s="366">
        <v>127.34</v>
      </c>
      <c r="G1254" s="366"/>
      <c r="H1254" s="305"/>
      <c r="I1254" s="366"/>
      <c r="J1254" s="366"/>
      <c r="K1254" s="309"/>
      <c r="L1254" s="366"/>
      <c r="M1254" s="366"/>
      <c r="N1254" s="309"/>
      <c r="O1254" s="366"/>
      <c r="P1254" s="409"/>
      <c r="Q1254" s="305"/>
      <c r="R1254" s="410"/>
      <c r="S1254" s="309">
        <v>24</v>
      </c>
    </row>
    <row r="1255" spans="1:19" ht="15">
      <c r="A1255" s="408" t="s">
        <v>1041</v>
      </c>
      <c r="B1255" s="407" t="s">
        <v>1068</v>
      </c>
      <c r="C1255" s="366">
        <f t="shared" si="87"/>
        <v>1285</v>
      </c>
      <c r="D1255" s="366">
        <v>1285</v>
      </c>
      <c r="E1255" s="305">
        <v>381.87</v>
      </c>
      <c r="F1255" s="366">
        <v>0</v>
      </c>
      <c r="G1255" s="411"/>
      <c r="H1255" s="305"/>
      <c r="I1255" s="366"/>
      <c r="J1255" s="366"/>
      <c r="K1255" s="305"/>
      <c r="L1255" s="366"/>
      <c r="M1255" s="366"/>
      <c r="N1255" s="309"/>
      <c r="O1255" s="366"/>
      <c r="P1255" s="409"/>
      <c r="Q1255" s="305"/>
      <c r="R1255" s="410"/>
      <c r="S1255" s="309" t="s">
        <v>306</v>
      </c>
    </row>
    <row r="1256" spans="1:19" ht="15">
      <c r="A1256" s="408" t="s">
        <v>1043</v>
      </c>
      <c r="B1256" s="407" t="s">
        <v>1069</v>
      </c>
      <c r="C1256" s="366">
        <f t="shared" si="87"/>
        <v>2577.09</v>
      </c>
      <c r="D1256" s="366">
        <v>2327.09</v>
      </c>
      <c r="E1256" s="305">
        <v>557.22</v>
      </c>
      <c r="F1256" s="366">
        <v>152.36000000000001</v>
      </c>
      <c r="G1256" s="411">
        <v>250</v>
      </c>
      <c r="H1256" s="305"/>
      <c r="I1256" s="366"/>
      <c r="J1256" s="366"/>
      <c r="K1256" s="305"/>
      <c r="L1256" s="366"/>
      <c r="M1256" s="366"/>
      <c r="N1256" s="309"/>
      <c r="O1256" s="366"/>
      <c r="P1256" s="409"/>
      <c r="Q1256" s="305"/>
      <c r="R1256" s="410"/>
      <c r="S1256" s="309">
        <v>25</v>
      </c>
    </row>
    <row r="1257" spans="1:19" ht="13">
      <c r="A1257" s="470" t="s">
        <v>860</v>
      </c>
      <c r="B1257" s="471"/>
      <c r="C1257" s="422" t="s">
        <v>89</v>
      </c>
      <c r="D1257" s="324" t="s">
        <v>676</v>
      </c>
      <c r="E1257" s="325" t="s">
        <v>861</v>
      </c>
      <c r="F1257" s="355" t="s">
        <v>862</v>
      </c>
      <c r="G1257" s="324" t="s">
        <v>676</v>
      </c>
      <c r="H1257" s="325" t="s">
        <v>861</v>
      </c>
      <c r="I1257" s="355" t="s">
        <v>862</v>
      </c>
      <c r="J1257" s="324" t="s">
        <v>676</v>
      </c>
      <c r="K1257" s="325" t="s">
        <v>861</v>
      </c>
      <c r="L1257" s="355" t="s">
        <v>862</v>
      </c>
      <c r="M1257" s="324" t="s">
        <v>676</v>
      </c>
      <c r="N1257" s="325" t="s">
        <v>861</v>
      </c>
      <c r="O1257" s="355" t="s">
        <v>862</v>
      </c>
      <c r="P1257" s="324" t="s">
        <v>881</v>
      </c>
      <c r="Q1257" s="325" t="s">
        <v>861</v>
      </c>
      <c r="R1257" s="325" t="s">
        <v>865</v>
      </c>
      <c r="S1257" s="412" t="s">
        <v>1031</v>
      </c>
    </row>
    <row r="1258" spans="1:19" ht="13">
      <c r="A1258" s="470" t="s">
        <v>863</v>
      </c>
      <c r="B1258" s="471"/>
      <c r="C1258" s="326">
        <f>SUM(C1231:C1256)</f>
        <v>39129.339999999997</v>
      </c>
      <c r="D1258" s="326">
        <f>SUM(D1231:D1254)+SUM(G1231:G1254)+SUM(J1231:J1254)</f>
        <v>35267.25</v>
      </c>
      <c r="E1258" s="327">
        <f>SUM(E1231:E1251)+SUM(H1231:H1251)+SUM(K1231:K1251)+SUM(N1231:N1251)</f>
        <v>6298.4800000000005</v>
      </c>
      <c r="F1258" s="328">
        <f>SUM(F1231:F1251)</f>
        <v>3260.2799999999997</v>
      </c>
      <c r="G1258" s="329"/>
      <c r="H1258" s="329"/>
      <c r="I1258" s="329"/>
      <c r="J1258" s="329"/>
      <c r="K1258" s="329"/>
      <c r="L1258" s="329"/>
      <c r="M1258" s="329"/>
      <c r="N1258" s="329"/>
      <c r="O1258" s="329"/>
      <c r="P1258" s="329"/>
      <c r="Q1258" s="329"/>
      <c r="R1258" s="329"/>
    </row>
    <row r="1259" spans="1:19" ht="13">
      <c r="A1259" s="282"/>
      <c r="B1259" s="282"/>
      <c r="C1259" s="282"/>
      <c r="D1259" s="282"/>
      <c r="E1259" s="282"/>
      <c r="F1259" s="282"/>
      <c r="G1259" s="282"/>
      <c r="H1259" s="282"/>
      <c r="I1259" s="329"/>
      <c r="J1259" s="329"/>
      <c r="K1259" s="329"/>
      <c r="L1259" s="329"/>
      <c r="M1259" s="329"/>
      <c r="N1259" s="329"/>
      <c r="O1259" s="329"/>
      <c r="P1259" s="329"/>
      <c r="Q1259" s="329"/>
      <c r="R1259" s="329"/>
    </row>
    <row r="1260" spans="1:19" ht="13">
      <c r="A1260" s="472" t="s">
        <v>1145</v>
      </c>
      <c r="B1260" s="466"/>
      <c r="C1260" s="466"/>
      <c r="D1260" s="466"/>
      <c r="E1260" s="466"/>
      <c r="F1260" s="466"/>
      <c r="G1260" s="466"/>
      <c r="H1260" s="466"/>
      <c r="I1260" s="466"/>
      <c r="J1260" s="466"/>
      <c r="K1260" s="466"/>
      <c r="L1260" s="466"/>
      <c r="M1260" s="466"/>
      <c r="N1260" s="466"/>
      <c r="O1260" s="466"/>
      <c r="P1260" s="466"/>
      <c r="Q1260" s="466"/>
      <c r="R1260" s="466"/>
      <c r="S1260" s="466"/>
    </row>
    <row r="1261" spans="1:19" ht="13">
      <c r="A1261" s="356" t="s">
        <v>849</v>
      </c>
      <c r="B1261" s="356" t="s">
        <v>1</v>
      </c>
      <c r="C1261" s="356" t="s">
        <v>89</v>
      </c>
      <c r="D1261" s="473" t="s">
        <v>850</v>
      </c>
      <c r="E1261" s="466"/>
      <c r="F1261" s="467"/>
      <c r="G1261" s="465" t="s">
        <v>852</v>
      </c>
      <c r="H1261" s="466"/>
      <c r="I1261" s="467"/>
      <c r="J1261" s="465" t="s">
        <v>1013</v>
      </c>
      <c r="K1261" s="466"/>
      <c r="L1261" s="467"/>
      <c r="M1261" s="465" t="s">
        <v>1093</v>
      </c>
      <c r="N1261" s="466"/>
      <c r="O1261" s="467"/>
      <c r="P1261" s="465" t="s">
        <v>865</v>
      </c>
      <c r="Q1261" s="466"/>
      <c r="R1261" s="467"/>
      <c r="S1261" s="356" t="s">
        <v>1028</v>
      </c>
    </row>
    <row r="1262" spans="1:19" ht="15">
      <c r="A1262" s="400"/>
      <c r="B1262" s="413">
        <v>191279</v>
      </c>
      <c r="C1262" s="366"/>
      <c r="D1262" s="366"/>
      <c r="E1262" s="305"/>
      <c r="F1262" s="366"/>
      <c r="G1262" s="366"/>
      <c r="H1262" s="305"/>
      <c r="I1262" s="366"/>
      <c r="J1262" s="366"/>
      <c r="K1262" s="305"/>
      <c r="L1262" s="366"/>
      <c r="M1262" s="366"/>
      <c r="N1262" s="309"/>
      <c r="O1262" s="366"/>
      <c r="P1262" s="345"/>
      <c r="Q1262" s="305"/>
      <c r="R1262" s="410"/>
      <c r="S1262" s="309">
        <v>30</v>
      </c>
    </row>
    <row r="1263" spans="1:19" ht="15">
      <c r="A1263" s="399" t="s">
        <v>390</v>
      </c>
      <c r="B1263" s="413">
        <v>191275</v>
      </c>
      <c r="C1263" s="366"/>
      <c r="D1263" s="366">
        <v>3666.44</v>
      </c>
      <c r="E1263" s="305">
        <v>934.61</v>
      </c>
      <c r="F1263" s="366">
        <v>125.57</v>
      </c>
      <c r="G1263" s="366"/>
      <c r="H1263" s="305"/>
      <c r="I1263" s="366"/>
      <c r="J1263" s="366"/>
      <c r="K1263" s="309"/>
      <c r="L1263" s="366"/>
      <c r="M1263" s="366"/>
      <c r="N1263" s="309"/>
      <c r="O1263" s="366"/>
      <c r="P1263" s="418"/>
      <c r="Q1263" s="305"/>
      <c r="R1263" s="410"/>
      <c r="S1263" s="309">
        <v>68</v>
      </c>
    </row>
    <row r="1264" spans="1:19" ht="15">
      <c r="A1264" s="398" t="s">
        <v>1072</v>
      </c>
      <c r="B1264" s="413">
        <v>191280</v>
      </c>
      <c r="C1264" s="366"/>
      <c r="D1264" s="366">
        <v>745.38</v>
      </c>
      <c r="E1264" s="305">
        <v>158.63</v>
      </c>
      <c r="F1264" s="366">
        <v>169.58</v>
      </c>
      <c r="G1264" s="366"/>
      <c r="H1264" s="305"/>
      <c r="I1264" s="366"/>
      <c r="J1264" s="366"/>
      <c r="K1264" s="309"/>
      <c r="L1264" s="366"/>
      <c r="M1264" s="366"/>
      <c r="N1264" s="309"/>
      <c r="O1264" s="366"/>
      <c r="P1264" s="418"/>
      <c r="Q1264" s="305"/>
      <c r="R1264" s="410"/>
      <c r="S1264" s="309"/>
    </row>
    <row r="1265" spans="1:19" ht="15">
      <c r="A1265" s="431" t="s">
        <v>75</v>
      </c>
      <c r="B1265" s="413">
        <v>191277</v>
      </c>
      <c r="C1265" s="366"/>
      <c r="D1265" s="366">
        <v>2511.36</v>
      </c>
      <c r="E1265" s="410" t="s">
        <v>1146</v>
      </c>
      <c r="F1265" s="366">
        <v>203.72</v>
      </c>
      <c r="G1265" s="366"/>
      <c r="H1265" s="305"/>
      <c r="I1265" s="366"/>
      <c r="J1265" s="366"/>
      <c r="K1265" s="309"/>
      <c r="L1265" s="366"/>
      <c r="M1265" s="366"/>
      <c r="N1265" s="309"/>
      <c r="O1265" s="366"/>
      <c r="P1265" s="418"/>
      <c r="Q1265" s="305"/>
      <c r="R1265" s="410"/>
      <c r="S1265" s="309"/>
    </row>
    <row r="1266" spans="1:19" ht="15">
      <c r="A1266" s="398"/>
      <c r="B1266" s="407" t="s">
        <v>507</v>
      </c>
      <c r="C1266" s="366"/>
      <c r="D1266" s="366"/>
      <c r="E1266" s="305"/>
      <c r="F1266" s="366"/>
      <c r="G1266" s="366"/>
      <c r="H1266" s="305"/>
      <c r="I1266" s="366"/>
      <c r="J1266" s="366"/>
      <c r="K1266" s="309"/>
      <c r="L1266" s="366"/>
      <c r="M1266" s="366"/>
      <c r="N1266" s="309"/>
      <c r="O1266" s="366"/>
      <c r="P1266" s="418"/>
      <c r="Q1266" s="305"/>
      <c r="R1266" s="410"/>
      <c r="S1266" s="309"/>
    </row>
    <row r="1267" spans="1:19" ht="15">
      <c r="A1267" s="398" t="s">
        <v>1132</v>
      </c>
      <c r="B1267" s="413">
        <v>191274</v>
      </c>
      <c r="C1267" s="366"/>
      <c r="D1267" s="366">
        <v>4017.36</v>
      </c>
      <c r="E1267" s="305">
        <v>980.02</v>
      </c>
      <c r="F1267" s="366">
        <v>688.33</v>
      </c>
      <c r="G1267" s="366"/>
      <c r="H1267" s="305"/>
      <c r="I1267" s="366"/>
      <c r="J1267" s="366"/>
      <c r="K1267" s="309"/>
      <c r="L1267" s="366"/>
      <c r="M1267" s="366"/>
      <c r="N1267" s="309"/>
      <c r="O1267" s="366"/>
      <c r="P1267" s="418"/>
      <c r="Q1267" s="305"/>
      <c r="R1267" s="410"/>
      <c r="S1267" s="309"/>
    </row>
    <row r="1268" spans="1:19" ht="15">
      <c r="A1268" s="398" t="s">
        <v>1139</v>
      </c>
      <c r="B1268" s="413">
        <v>191280</v>
      </c>
      <c r="C1268" s="366"/>
      <c r="D1268" s="366">
        <v>415.59</v>
      </c>
      <c r="E1268" s="305">
        <v>95.72</v>
      </c>
      <c r="F1268" s="366">
        <v>85.61</v>
      </c>
      <c r="G1268" s="366"/>
      <c r="H1268" s="305"/>
      <c r="I1268" s="366"/>
      <c r="J1268" s="366"/>
      <c r="K1268" s="309"/>
      <c r="L1268" s="366"/>
      <c r="M1268" s="366"/>
      <c r="N1268" s="309"/>
      <c r="O1268" s="366"/>
      <c r="P1268" s="418"/>
      <c r="Q1268" s="305"/>
      <c r="R1268" s="410"/>
      <c r="S1268" s="309"/>
    </row>
    <row r="1269" spans="1:19" ht="15">
      <c r="A1269" s="398" t="s">
        <v>509</v>
      </c>
      <c r="B1269" s="413">
        <v>191281</v>
      </c>
      <c r="C1269" s="366"/>
      <c r="D1269" s="366">
        <v>2217.1799999999998</v>
      </c>
      <c r="E1269" s="305">
        <v>611.20000000000005</v>
      </c>
      <c r="F1269" s="366">
        <v>195.68</v>
      </c>
      <c r="G1269" s="366"/>
      <c r="H1269" s="305"/>
      <c r="I1269" s="366"/>
      <c r="J1269" s="366"/>
      <c r="K1269" s="309"/>
      <c r="L1269" s="366"/>
      <c r="M1269" s="366"/>
      <c r="N1269" s="309"/>
      <c r="O1269" s="366"/>
      <c r="P1269" s="418"/>
      <c r="Q1269" s="305"/>
      <c r="R1269" s="410"/>
      <c r="S1269" s="309"/>
    </row>
    <row r="1270" spans="1:19" ht="15">
      <c r="A1270" s="431" t="s">
        <v>1140</v>
      </c>
      <c r="B1270" s="413">
        <v>191282</v>
      </c>
      <c r="C1270" s="366"/>
      <c r="D1270" s="366"/>
      <c r="E1270" s="305"/>
      <c r="F1270" s="366"/>
      <c r="G1270" s="366"/>
      <c r="H1270" s="305"/>
      <c r="I1270" s="366"/>
      <c r="J1270" s="366"/>
      <c r="K1270" s="309"/>
      <c r="L1270" s="366"/>
      <c r="M1270" s="366"/>
      <c r="N1270" s="309"/>
      <c r="O1270" s="366"/>
      <c r="P1270" s="418"/>
      <c r="Q1270" s="305"/>
      <c r="R1270" s="410"/>
      <c r="S1270" s="309"/>
    </row>
    <row r="1271" spans="1:19" ht="15">
      <c r="A1271" s="431" t="s">
        <v>393</v>
      </c>
      <c r="B1271" s="413">
        <v>191276</v>
      </c>
      <c r="C1271" s="366"/>
      <c r="D1271" s="366">
        <v>3586.7</v>
      </c>
      <c r="E1271" s="305">
        <v>894.49</v>
      </c>
      <c r="F1271" s="366">
        <v>353.69</v>
      </c>
      <c r="G1271" s="366"/>
      <c r="H1271" s="305"/>
      <c r="I1271" s="366"/>
      <c r="J1271" s="366"/>
      <c r="K1271" s="309"/>
      <c r="L1271" s="366"/>
      <c r="M1271" s="366"/>
      <c r="N1271" s="309"/>
      <c r="O1271" s="366"/>
      <c r="P1271" s="418"/>
      <c r="Q1271" s="305"/>
      <c r="R1271" s="410"/>
      <c r="S1271" s="309"/>
    </row>
    <row r="1272" spans="1:19" ht="15">
      <c r="A1272" s="431" t="s">
        <v>634</v>
      </c>
      <c r="B1272" s="413">
        <v>191283</v>
      </c>
      <c r="C1272" s="366"/>
      <c r="D1272" s="366">
        <v>1554.74</v>
      </c>
      <c r="E1272" s="305">
        <v>398.73</v>
      </c>
      <c r="F1272" s="366">
        <v>270.25</v>
      </c>
      <c r="G1272" s="366"/>
      <c r="H1272" s="305"/>
      <c r="I1272" s="366"/>
      <c r="J1272" s="366"/>
      <c r="K1272" s="309"/>
      <c r="L1272" s="366"/>
      <c r="M1272" s="366"/>
      <c r="N1272" s="309"/>
      <c r="O1272" s="366"/>
      <c r="P1272" s="418"/>
      <c r="Q1272" s="305"/>
      <c r="R1272" s="410"/>
      <c r="S1272" s="309"/>
    </row>
    <row r="1273" spans="1:19" ht="15">
      <c r="A1273" s="398" t="s">
        <v>319</v>
      </c>
      <c r="B1273" s="413">
        <v>465180</v>
      </c>
      <c r="C1273" s="366"/>
      <c r="D1273" s="366">
        <v>1780.29</v>
      </c>
      <c r="E1273" s="305">
        <v>470.85</v>
      </c>
      <c r="F1273" s="366">
        <v>275.32</v>
      </c>
      <c r="G1273" s="366"/>
      <c r="H1273" s="305"/>
      <c r="I1273" s="366"/>
      <c r="J1273" s="366"/>
      <c r="K1273" s="309"/>
      <c r="L1273" s="366"/>
      <c r="M1273" s="366"/>
      <c r="N1273" s="309"/>
      <c r="O1273" s="366"/>
      <c r="P1273" s="418"/>
      <c r="Q1273" s="305"/>
      <c r="R1273" s="410"/>
      <c r="S1273" s="309"/>
    </row>
    <row r="1274" spans="1:19" ht="15">
      <c r="A1274" s="398" t="s">
        <v>1121</v>
      </c>
      <c r="B1274" s="413" t="s">
        <v>1141</v>
      </c>
      <c r="C1274" s="366"/>
      <c r="D1274" s="366">
        <v>1991.76</v>
      </c>
      <c r="E1274" s="305">
        <v>498.72</v>
      </c>
      <c r="F1274" s="366">
        <v>327.47000000000003</v>
      </c>
      <c r="G1274" s="366"/>
      <c r="H1274" s="305"/>
      <c r="I1274" s="366"/>
      <c r="J1274" s="366"/>
      <c r="K1274" s="309"/>
      <c r="L1274" s="366"/>
      <c r="M1274" s="366"/>
      <c r="N1274" s="309"/>
      <c r="O1274" s="366"/>
      <c r="P1274" s="418"/>
      <c r="Q1274" s="305"/>
      <c r="R1274" s="410"/>
      <c r="S1274" s="309"/>
    </row>
    <row r="1275" spans="1:19" ht="15">
      <c r="A1275" s="398" t="s">
        <v>349</v>
      </c>
      <c r="B1275" s="413">
        <v>465182</v>
      </c>
      <c r="C1275" s="366"/>
      <c r="D1275" s="366">
        <v>3149.16</v>
      </c>
      <c r="E1275" s="305">
        <v>835.8</v>
      </c>
      <c r="F1275" s="366">
        <v>215.11</v>
      </c>
      <c r="G1275" s="366"/>
      <c r="H1275" s="305"/>
      <c r="I1275" s="366"/>
      <c r="J1275" s="366"/>
      <c r="K1275" s="309"/>
      <c r="L1275" s="366"/>
      <c r="M1275" s="366"/>
      <c r="N1275" s="309"/>
      <c r="O1275" s="366"/>
      <c r="P1275" s="418"/>
      <c r="Q1275" s="305"/>
      <c r="R1275" s="410"/>
      <c r="S1275" s="309"/>
    </row>
    <row r="1276" spans="1:19" ht="15">
      <c r="A1276" s="398" t="s">
        <v>14</v>
      </c>
      <c r="B1276" s="413">
        <v>465183</v>
      </c>
      <c r="C1276" s="366"/>
      <c r="D1276" s="366">
        <v>2254.21</v>
      </c>
      <c r="E1276" s="305">
        <v>549.78</v>
      </c>
      <c r="F1276" s="366">
        <v>489.71</v>
      </c>
      <c r="G1276" s="366"/>
      <c r="H1276" s="305"/>
      <c r="I1276" s="366"/>
      <c r="J1276" s="366"/>
      <c r="K1276" s="309"/>
      <c r="L1276" s="366"/>
      <c r="M1276" s="366"/>
      <c r="N1276" s="309"/>
      <c r="O1276" s="366"/>
      <c r="P1276" s="418"/>
      <c r="Q1276" s="305"/>
      <c r="R1276" s="410"/>
      <c r="S1276" s="309"/>
    </row>
    <row r="1277" spans="1:19" ht="15">
      <c r="A1277" s="347" t="s">
        <v>40</v>
      </c>
      <c r="B1277" s="413">
        <v>465184</v>
      </c>
      <c r="C1277" s="366"/>
      <c r="D1277" s="366">
        <v>1834.91</v>
      </c>
      <c r="E1277" s="305">
        <v>445.18</v>
      </c>
      <c r="F1277" s="366">
        <v>258.10000000000002</v>
      </c>
      <c r="G1277" s="366"/>
      <c r="H1277" s="305"/>
      <c r="I1277" s="366"/>
      <c r="J1277" s="366"/>
      <c r="K1277" s="309"/>
      <c r="L1277" s="366"/>
      <c r="M1277" s="366"/>
      <c r="N1277" s="309"/>
      <c r="O1277" s="366"/>
      <c r="P1277" s="418"/>
      <c r="Q1277" s="305"/>
      <c r="R1277" s="410"/>
      <c r="S1277" s="309"/>
    </row>
    <row r="1278" spans="1:19" ht="15">
      <c r="A1278" s="398" t="s">
        <v>1107</v>
      </c>
      <c r="B1278" s="413">
        <v>465185</v>
      </c>
      <c r="C1278" s="366"/>
      <c r="D1278" s="366">
        <v>2710.08</v>
      </c>
      <c r="E1278" s="305">
        <v>654.27</v>
      </c>
      <c r="F1278" s="366">
        <v>635</v>
      </c>
      <c r="G1278" s="366"/>
      <c r="H1278" s="305"/>
      <c r="I1278" s="366"/>
      <c r="J1278" s="366"/>
      <c r="K1278" s="309"/>
      <c r="L1278" s="366"/>
      <c r="M1278" s="366"/>
      <c r="N1278" s="309"/>
      <c r="O1278" s="366"/>
      <c r="P1278" s="418"/>
      <c r="Q1278" s="305"/>
      <c r="R1278" s="410"/>
      <c r="S1278" s="309"/>
    </row>
    <row r="1279" spans="1:19" ht="15">
      <c r="A1279" s="398" t="s">
        <v>1147</v>
      </c>
      <c r="B1279" s="413">
        <v>465186</v>
      </c>
      <c r="C1279" s="366"/>
      <c r="D1279" s="366">
        <v>1064.47</v>
      </c>
      <c r="E1279" s="305">
        <v>274.95999999999998</v>
      </c>
      <c r="F1279" s="366">
        <v>26.6</v>
      </c>
      <c r="G1279" s="366"/>
      <c r="H1279" s="305"/>
      <c r="I1279" s="366"/>
      <c r="J1279" s="366"/>
      <c r="K1279" s="309"/>
      <c r="L1279" s="366"/>
      <c r="M1279" s="366"/>
      <c r="N1279" s="309"/>
      <c r="O1279" s="366"/>
      <c r="P1279" s="418"/>
      <c r="Q1279" s="305"/>
      <c r="R1279" s="410"/>
      <c r="S1279" s="309"/>
    </row>
    <row r="1280" spans="1:19" ht="15">
      <c r="A1280" s="398" t="s">
        <v>192</v>
      </c>
      <c r="B1280" s="413">
        <v>465187</v>
      </c>
      <c r="C1280" s="366"/>
      <c r="D1280" s="366">
        <v>741.21</v>
      </c>
      <c r="E1280" s="305">
        <v>188.89</v>
      </c>
      <c r="F1280" s="366">
        <v>135.84</v>
      </c>
      <c r="G1280" s="366"/>
      <c r="H1280" s="305"/>
      <c r="I1280" s="366"/>
      <c r="J1280" s="366"/>
      <c r="K1280" s="309"/>
      <c r="L1280" s="366"/>
      <c r="M1280" s="366"/>
      <c r="N1280" s="309"/>
      <c r="O1280" s="366"/>
      <c r="P1280" s="418"/>
      <c r="Q1280" s="305"/>
      <c r="R1280" s="410"/>
      <c r="S1280" s="309"/>
    </row>
    <row r="1281" spans="1:19" ht="15">
      <c r="A1281" s="398" t="s">
        <v>62</v>
      </c>
      <c r="B1281" s="413">
        <v>465188</v>
      </c>
      <c r="C1281" s="366"/>
      <c r="D1281" s="366">
        <v>1842.48</v>
      </c>
      <c r="E1281" s="305">
        <v>497.68</v>
      </c>
      <c r="F1281" s="366">
        <v>201.41</v>
      </c>
      <c r="G1281" s="366"/>
      <c r="H1281" s="305"/>
      <c r="I1281" s="366"/>
      <c r="J1281" s="366"/>
      <c r="K1281" s="309"/>
      <c r="L1281" s="366"/>
      <c r="M1281" s="366"/>
      <c r="N1281" s="309"/>
      <c r="O1281" s="366"/>
      <c r="P1281" s="418"/>
      <c r="Q1281" s="305"/>
      <c r="R1281" s="410"/>
      <c r="S1281" s="309"/>
    </row>
    <row r="1282" spans="1:19" ht="15">
      <c r="A1282" s="400" t="s">
        <v>1124</v>
      </c>
      <c r="B1282" s="413">
        <v>465189</v>
      </c>
      <c r="C1282" s="366"/>
      <c r="D1282" s="366">
        <v>2962.49</v>
      </c>
      <c r="E1282" s="410" t="s">
        <v>1148</v>
      </c>
      <c r="F1282" s="366">
        <v>64.19</v>
      </c>
      <c r="G1282" s="366"/>
      <c r="H1282" s="305"/>
      <c r="I1282" s="366"/>
      <c r="J1282" s="366"/>
      <c r="K1282" s="309"/>
      <c r="L1282" s="366"/>
      <c r="M1282" s="366"/>
      <c r="N1282" s="309"/>
      <c r="O1282" s="366"/>
      <c r="P1282" s="418"/>
      <c r="Q1282" s="305"/>
      <c r="R1282" s="410"/>
      <c r="S1282" s="309"/>
    </row>
    <row r="1283" spans="1:19" ht="15">
      <c r="A1283" s="408" t="s">
        <v>408</v>
      </c>
      <c r="B1283" s="413">
        <v>1122</v>
      </c>
      <c r="C1283" s="366"/>
      <c r="D1283" s="366">
        <v>1974.78</v>
      </c>
      <c r="E1283" s="410" t="s">
        <v>1149</v>
      </c>
      <c r="F1283" s="366">
        <v>150.15</v>
      </c>
      <c r="G1283" s="366"/>
      <c r="H1283" s="305"/>
      <c r="I1283" s="366"/>
      <c r="J1283" s="366"/>
      <c r="K1283" s="309"/>
      <c r="L1283" s="366"/>
      <c r="M1283" s="366"/>
      <c r="N1283" s="309"/>
      <c r="O1283" s="366"/>
      <c r="P1283" s="426"/>
      <c r="Q1283" s="305"/>
      <c r="R1283" s="410"/>
      <c r="S1283" s="309"/>
    </row>
    <row r="1284" spans="1:19" ht="15">
      <c r="A1284" s="408" t="s">
        <v>386</v>
      </c>
      <c r="B1284" s="413">
        <v>218</v>
      </c>
      <c r="C1284" s="366"/>
      <c r="D1284" s="366">
        <v>1240.46</v>
      </c>
      <c r="E1284" s="410" t="s">
        <v>1150</v>
      </c>
      <c r="F1284" s="366">
        <v>95.89</v>
      </c>
      <c r="G1284" s="366"/>
      <c r="H1284" s="305"/>
      <c r="I1284" s="366"/>
      <c r="J1284" s="366"/>
      <c r="K1284" s="309"/>
      <c r="L1284" s="366"/>
      <c r="M1284" s="366"/>
      <c r="N1284" s="309"/>
      <c r="O1284" s="366"/>
      <c r="P1284" s="426"/>
      <c r="Q1284" s="305"/>
      <c r="R1284" s="410"/>
      <c r="S1284" s="309"/>
    </row>
    <row r="1285" spans="1:19" ht="15">
      <c r="A1285" s="408" t="s">
        <v>1042</v>
      </c>
      <c r="B1285" s="407" t="s">
        <v>362</v>
      </c>
      <c r="C1285" s="366"/>
      <c r="D1285" s="366">
        <v>1581.77</v>
      </c>
      <c r="E1285" s="410" t="s">
        <v>1151</v>
      </c>
      <c r="F1285" s="366">
        <v>33.76</v>
      </c>
      <c r="G1285" s="366"/>
      <c r="H1285" s="305"/>
      <c r="I1285" s="366"/>
      <c r="J1285" s="366"/>
      <c r="K1285" s="309"/>
      <c r="L1285" s="366"/>
      <c r="M1285" s="366"/>
      <c r="N1285" s="309"/>
      <c r="O1285" s="366"/>
      <c r="P1285" s="409"/>
      <c r="Q1285" s="305"/>
      <c r="R1285" s="410"/>
      <c r="S1285" s="309"/>
    </row>
    <row r="1286" spans="1:19" ht="15">
      <c r="A1286" s="408" t="s">
        <v>1041</v>
      </c>
      <c r="B1286" s="407" t="s">
        <v>1068</v>
      </c>
      <c r="C1286" s="366"/>
      <c r="D1286" s="366">
        <v>1195</v>
      </c>
      <c r="E1286" s="305">
        <v>346.32</v>
      </c>
      <c r="F1286" s="366">
        <v>0</v>
      </c>
      <c r="G1286" s="411"/>
      <c r="H1286" s="305"/>
      <c r="I1286" s="366"/>
      <c r="J1286" s="366"/>
      <c r="K1286" s="305"/>
      <c r="L1286" s="366"/>
      <c r="M1286" s="366"/>
      <c r="N1286" s="309"/>
      <c r="O1286" s="366"/>
      <c r="P1286" s="409"/>
      <c r="Q1286" s="305"/>
      <c r="R1286" s="410"/>
      <c r="S1286" s="309"/>
    </row>
    <row r="1287" spans="1:19" ht="15">
      <c r="A1287" s="408" t="s">
        <v>1043</v>
      </c>
      <c r="B1287" s="407" t="s">
        <v>1069</v>
      </c>
      <c r="C1287" s="366"/>
      <c r="D1287" s="366"/>
      <c r="E1287" s="305"/>
      <c r="F1287" s="366"/>
      <c r="G1287" s="411"/>
      <c r="H1287" s="305"/>
      <c r="I1287" s="366"/>
      <c r="J1287" s="366"/>
      <c r="K1287" s="305"/>
      <c r="L1287" s="366"/>
      <c r="M1287" s="366"/>
      <c r="N1287" s="309"/>
      <c r="O1287" s="366"/>
      <c r="P1287" s="409"/>
      <c r="Q1287" s="305"/>
      <c r="R1287" s="410"/>
      <c r="S1287" s="309"/>
    </row>
    <row r="1288" spans="1:19" ht="15">
      <c r="A1288" s="408" t="s">
        <v>901</v>
      </c>
      <c r="B1288" s="407" t="s">
        <v>1152</v>
      </c>
      <c r="C1288" s="366"/>
      <c r="D1288" s="366">
        <v>1760.07</v>
      </c>
      <c r="E1288" s="305">
        <v>435.28</v>
      </c>
      <c r="F1288" s="366">
        <v>29.96</v>
      </c>
      <c r="G1288" s="411"/>
      <c r="H1288" s="305"/>
      <c r="I1288" s="366"/>
      <c r="J1288" s="366"/>
      <c r="K1288" s="305"/>
      <c r="L1288" s="366"/>
      <c r="M1288" s="366"/>
      <c r="N1288" s="309"/>
      <c r="O1288" s="366"/>
      <c r="P1288" s="409"/>
      <c r="Q1288" s="305"/>
      <c r="R1288" s="410"/>
      <c r="S1288" s="309"/>
    </row>
    <row r="1289" spans="1:19" ht="13">
      <c r="A1289" s="470" t="s">
        <v>860</v>
      </c>
      <c r="B1289" s="471"/>
      <c r="C1289" s="422" t="s">
        <v>89</v>
      </c>
      <c r="D1289" s="324" t="s">
        <v>676</v>
      </c>
      <c r="E1289" s="325" t="s">
        <v>861</v>
      </c>
      <c r="F1289" s="355" t="s">
        <v>862</v>
      </c>
      <c r="G1289" s="324" t="s">
        <v>676</v>
      </c>
      <c r="H1289" s="325" t="s">
        <v>861</v>
      </c>
      <c r="I1289" s="355" t="s">
        <v>862</v>
      </c>
      <c r="J1289" s="324" t="s">
        <v>676</v>
      </c>
      <c r="K1289" s="325" t="s">
        <v>861</v>
      </c>
      <c r="L1289" s="355" t="s">
        <v>862</v>
      </c>
      <c r="M1289" s="324" t="s">
        <v>676</v>
      </c>
      <c r="N1289" s="325" t="s">
        <v>861</v>
      </c>
      <c r="O1289" s="355" t="s">
        <v>862</v>
      </c>
      <c r="P1289" s="324" t="s">
        <v>881</v>
      </c>
      <c r="Q1289" s="325" t="s">
        <v>861</v>
      </c>
      <c r="R1289" s="325" t="s">
        <v>865</v>
      </c>
      <c r="S1289" s="412" t="s">
        <v>1031</v>
      </c>
    </row>
    <row r="1290" spans="1:19" ht="13">
      <c r="A1290" s="470" t="s">
        <v>863</v>
      </c>
      <c r="B1290" s="471"/>
      <c r="C1290" s="326">
        <f>SUM(C1262:C1287)</f>
        <v>0</v>
      </c>
      <c r="D1290" s="326">
        <f>SUM(D1262:D1285)+SUM(G1262:G1285)+SUM(J1262:J1285)</f>
        <v>43842.82</v>
      </c>
      <c r="E1290" s="327">
        <f>SUM(E1262:E1282)+SUM(H1262:H1282)+SUM(K1262:K1282)+SUM(N1262:N1282)</f>
        <v>8489.5300000000007</v>
      </c>
      <c r="F1290" s="328">
        <f>SUM(F1262:F1282)</f>
        <v>4721.18</v>
      </c>
      <c r="G1290" s="329"/>
      <c r="H1290" s="329"/>
      <c r="I1290" s="329"/>
      <c r="J1290" s="329"/>
      <c r="K1290" s="329"/>
      <c r="L1290" s="329"/>
      <c r="M1290" s="329"/>
      <c r="N1290" s="329"/>
      <c r="O1290" s="329"/>
      <c r="P1290" s="329"/>
      <c r="Q1290" s="329"/>
      <c r="R1290" s="329"/>
    </row>
    <row r="1291" spans="1:19" ht="13">
      <c r="A1291" s="282"/>
      <c r="B1291" s="282"/>
      <c r="C1291" s="282"/>
      <c r="D1291" s="282"/>
      <c r="E1291" s="282"/>
      <c r="F1291" s="282"/>
      <c r="G1291" s="282"/>
      <c r="H1291" s="282"/>
      <c r="I1291" s="329"/>
      <c r="J1291" s="329"/>
      <c r="K1291" s="329"/>
      <c r="L1291" s="329"/>
      <c r="M1291" s="329"/>
      <c r="N1291" s="329"/>
      <c r="O1291" s="329"/>
      <c r="P1291" s="329"/>
      <c r="Q1291" s="329"/>
      <c r="R1291" s="329"/>
    </row>
    <row r="1292" spans="1:19" ht="13">
      <c r="A1292" s="476" t="s">
        <v>1153</v>
      </c>
      <c r="B1292" s="466"/>
      <c r="C1292" s="466"/>
      <c r="D1292" s="466"/>
      <c r="E1292" s="466"/>
      <c r="F1292" s="466"/>
      <c r="G1292" s="466"/>
      <c r="H1292" s="466"/>
      <c r="I1292" s="466"/>
      <c r="J1292" s="466"/>
      <c r="K1292" s="466"/>
      <c r="L1292" s="466"/>
      <c r="M1292" s="466"/>
      <c r="N1292" s="466"/>
      <c r="O1292" s="466"/>
      <c r="P1292" s="466"/>
      <c r="Q1292" s="466"/>
      <c r="R1292" s="466"/>
      <c r="S1292" s="466"/>
    </row>
    <row r="1293" spans="1:19" ht="13">
      <c r="A1293" s="356" t="s">
        <v>849</v>
      </c>
      <c r="B1293" s="356" t="s">
        <v>1</v>
      </c>
      <c r="C1293" s="356" t="s">
        <v>89</v>
      </c>
      <c r="D1293" s="473" t="s">
        <v>850</v>
      </c>
      <c r="E1293" s="466"/>
      <c r="F1293" s="467"/>
      <c r="G1293" s="465" t="s">
        <v>852</v>
      </c>
      <c r="H1293" s="466"/>
      <c r="I1293" s="467"/>
      <c r="J1293" s="465" t="s">
        <v>1013</v>
      </c>
      <c r="K1293" s="466"/>
      <c r="L1293" s="467"/>
      <c r="M1293" s="465" t="s">
        <v>1093</v>
      </c>
      <c r="N1293" s="466"/>
      <c r="O1293" s="467"/>
      <c r="P1293" s="465" t="s">
        <v>865</v>
      </c>
      <c r="Q1293" s="466"/>
      <c r="R1293" s="467"/>
      <c r="S1293" s="356" t="s">
        <v>1028</v>
      </c>
    </row>
    <row r="1294" spans="1:19" ht="15">
      <c r="A1294" s="400"/>
      <c r="B1294" s="413">
        <v>191279</v>
      </c>
      <c r="C1294" s="366"/>
      <c r="D1294" s="366"/>
      <c r="E1294" s="305"/>
      <c r="F1294" s="366"/>
      <c r="G1294" s="366"/>
      <c r="H1294" s="305"/>
      <c r="I1294" s="366"/>
      <c r="J1294" s="366"/>
      <c r="K1294" s="305"/>
      <c r="L1294" s="366"/>
      <c r="M1294" s="366"/>
      <c r="N1294" s="309"/>
      <c r="O1294" s="366"/>
      <c r="P1294" s="345"/>
      <c r="Q1294" s="305"/>
      <c r="R1294" s="410"/>
      <c r="S1294" s="309">
        <v>30</v>
      </c>
    </row>
    <row r="1295" spans="1:19" ht="15">
      <c r="A1295" s="399" t="s">
        <v>390</v>
      </c>
      <c r="B1295" s="413">
        <v>191275</v>
      </c>
      <c r="C1295" s="366"/>
      <c r="D1295" s="432">
        <v>1592.96</v>
      </c>
      <c r="E1295" s="433" t="s">
        <v>1154</v>
      </c>
      <c r="F1295" s="434">
        <v>134.53</v>
      </c>
      <c r="G1295" s="366"/>
      <c r="H1295" s="305"/>
      <c r="I1295" s="366"/>
      <c r="J1295" s="366"/>
      <c r="K1295" s="309"/>
      <c r="L1295" s="366"/>
      <c r="M1295" s="366"/>
      <c r="N1295" s="309"/>
      <c r="O1295" s="366"/>
      <c r="P1295" s="418"/>
      <c r="Q1295" s="305"/>
      <c r="R1295" s="410"/>
      <c r="S1295" s="309">
        <v>68</v>
      </c>
    </row>
    <row r="1296" spans="1:19" ht="15">
      <c r="A1296" s="398" t="s">
        <v>1072</v>
      </c>
      <c r="B1296" s="413">
        <v>191280</v>
      </c>
      <c r="C1296" s="366"/>
      <c r="D1296" s="366"/>
      <c r="E1296" s="305"/>
      <c r="F1296" s="366"/>
      <c r="G1296" s="366"/>
      <c r="H1296" s="305"/>
      <c r="I1296" s="366"/>
      <c r="J1296" s="366"/>
      <c r="K1296" s="309"/>
      <c r="L1296" s="366"/>
      <c r="M1296" s="366"/>
      <c r="N1296" s="309"/>
      <c r="O1296" s="366"/>
      <c r="P1296" s="418"/>
      <c r="Q1296" s="305"/>
      <c r="R1296" s="410"/>
      <c r="S1296" s="309"/>
    </row>
    <row r="1297" spans="1:19" ht="15">
      <c r="A1297" s="431" t="s">
        <v>75</v>
      </c>
      <c r="B1297" s="413">
        <v>191277</v>
      </c>
      <c r="C1297" s="366"/>
      <c r="D1297" s="432">
        <v>2783.67</v>
      </c>
      <c r="E1297" s="433" t="s">
        <v>1155</v>
      </c>
      <c r="F1297" s="434">
        <v>438.48</v>
      </c>
      <c r="G1297" s="366"/>
      <c r="H1297" s="305"/>
      <c r="I1297" s="366"/>
      <c r="J1297" s="366"/>
      <c r="K1297" s="309"/>
      <c r="L1297" s="366"/>
      <c r="M1297" s="366"/>
      <c r="N1297" s="309"/>
      <c r="O1297" s="366"/>
      <c r="P1297" s="418"/>
      <c r="Q1297" s="305"/>
      <c r="R1297" s="410"/>
      <c r="S1297" s="309"/>
    </row>
    <row r="1298" spans="1:19" ht="15">
      <c r="A1298" s="398"/>
      <c r="B1298" s="407" t="s">
        <v>507</v>
      </c>
      <c r="C1298" s="366"/>
      <c r="D1298" s="366"/>
      <c r="E1298" s="305"/>
      <c r="F1298" s="366"/>
      <c r="G1298" s="366"/>
      <c r="H1298" s="305"/>
      <c r="I1298" s="366"/>
      <c r="J1298" s="366"/>
      <c r="K1298" s="309"/>
      <c r="L1298" s="366"/>
      <c r="M1298" s="366"/>
      <c r="N1298" s="309"/>
      <c r="O1298" s="366"/>
      <c r="P1298" s="418"/>
      <c r="Q1298" s="305"/>
      <c r="R1298" s="410"/>
      <c r="S1298" s="309"/>
    </row>
    <row r="1299" spans="1:19" ht="15">
      <c r="A1299" s="398" t="s">
        <v>1132</v>
      </c>
      <c r="B1299" s="413">
        <v>191274</v>
      </c>
      <c r="C1299" s="366"/>
      <c r="D1299" s="432">
        <v>2560.4</v>
      </c>
      <c r="E1299" s="433" t="s">
        <v>1156</v>
      </c>
      <c r="F1299" s="434">
        <v>497.89</v>
      </c>
      <c r="G1299" s="366"/>
      <c r="H1299" s="305"/>
      <c r="I1299" s="366"/>
      <c r="J1299" s="366"/>
      <c r="K1299" s="309"/>
      <c r="L1299" s="366"/>
      <c r="M1299" s="366"/>
      <c r="N1299" s="309"/>
      <c r="O1299" s="366"/>
      <c r="P1299" s="418"/>
      <c r="Q1299" s="305"/>
      <c r="R1299" s="410"/>
      <c r="S1299" s="309"/>
    </row>
    <row r="1300" spans="1:19" ht="15">
      <c r="A1300" s="398"/>
      <c r="B1300" s="413">
        <v>191280</v>
      </c>
      <c r="C1300" s="366"/>
      <c r="D1300" s="366"/>
      <c r="E1300" s="305"/>
      <c r="F1300" s="366"/>
      <c r="G1300" s="366"/>
      <c r="H1300" s="305"/>
      <c r="I1300" s="366"/>
      <c r="J1300" s="366"/>
      <c r="K1300" s="309"/>
      <c r="L1300" s="366"/>
      <c r="M1300" s="366"/>
      <c r="N1300" s="309"/>
      <c r="O1300" s="366"/>
      <c r="P1300" s="418"/>
      <c r="Q1300" s="305"/>
      <c r="R1300" s="410"/>
      <c r="S1300" s="309"/>
    </row>
    <row r="1301" spans="1:19" ht="15">
      <c r="A1301" s="398" t="s">
        <v>509</v>
      </c>
      <c r="B1301" s="413">
        <v>191281</v>
      </c>
      <c r="C1301" s="366"/>
      <c r="D1301" s="432">
        <v>1585.54</v>
      </c>
      <c r="E1301" s="433" t="s">
        <v>1157</v>
      </c>
      <c r="F1301" s="434">
        <v>148.25</v>
      </c>
      <c r="G1301" s="366"/>
      <c r="H1301" s="305"/>
      <c r="I1301" s="366"/>
      <c r="J1301" s="366"/>
      <c r="K1301" s="309"/>
      <c r="L1301" s="366"/>
      <c r="M1301" s="366"/>
      <c r="N1301" s="309"/>
      <c r="O1301" s="366"/>
      <c r="P1301" s="418"/>
      <c r="Q1301" s="305"/>
      <c r="R1301" s="410"/>
      <c r="S1301" s="309"/>
    </row>
    <row r="1302" spans="1:19" ht="15">
      <c r="A1302" s="431"/>
      <c r="B1302" s="413">
        <v>191282</v>
      </c>
      <c r="C1302" s="366"/>
      <c r="D1302" s="366"/>
      <c r="E1302" s="305"/>
      <c r="F1302" s="366"/>
      <c r="G1302" s="366"/>
      <c r="H1302" s="305"/>
      <c r="I1302" s="366"/>
      <c r="J1302" s="366"/>
      <c r="K1302" s="309"/>
      <c r="L1302" s="366"/>
      <c r="M1302" s="366"/>
      <c r="N1302" s="309"/>
      <c r="O1302" s="366"/>
      <c r="P1302" s="418"/>
      <c r="Q1302" s="305"/>
      <c r="R1302" s="410"/>
      <c r="S1302" s="309"/>
    </row>
    <row r="1303" spans="1:19" ht="15">
      <c r="A1303" s="431" t="s">
        <v>393</v>
      </c>
      <c r="B1303" s="413">
        <v>191276</v>
      </c>
      <c r="C1303" s="366"/>
      <c r="D1303" s="432">
        <v>566.51</v>
      </c>
      <c r="E1303" s="433" t="s">
        <v>1158</v>
      </c>
      <c r="F1303" s="434">
        <v>143.44999999999999</v>
      </c>
      <c r="G1303" s="366"/>
      <c r="H1303" s="305"/>
      <c r="I1303" s="366"/>
      <c r="J1303" s="366"/>
      <c r="K1303" s="309"/>
      <c r="L1303" s="366"/>
      <c r="M1303" s="366"/>
      <c r="N1303" s="309"/>
      <c r="O1303" s="366"/>
      <c r="P1303" s="418"/>
      <c r="Q1303" s="305"/>
      <c r="R1303" s="410"/>
      <c r="S1303" s="309"/>
    </row>
    <row r="1304" spans="1:19" ht="15">
      <c r="A1304" s="431" t="s">
        <v>634</v>
      </c>
      <c r="B1304" s="413">
        <v>191283</v>
      </c>
      <c r="C1304" s="366"/>
      <c r="D1304" s="432">
        <v>1805.28</v>
      </c>
      <c r="E1304" s="433" t="s">
        <v>1159</v>
      </c>
      <c r="F1304" s="434">
        <v>296.10000000000002</v>
      </c>
      <c r="G1304" s="366"/>
      <c r="H1304" s="305"/>
      <c r="I1304" s="366"/>
      <c r="J1304" s="366"/>
      <c r="K1304" s="309"/>
      <c r="L1304" s="366"/>
      <c r="M1304" s="366"/>
      <c r="N1304" s="309"/>
      <c r="O1304" s="366"/>
      <c r="P1304" s="418"/>
      <c r="Q1304" s="305"/>
      <c r="R1304" s="410"/>
      <c r="S1304" s="309"/>
    </row>
    <row r="1305" spans="1:19" ht="15">
      <c r="A1305" s="398" t="s">
        <v>319</v>
      </c>
      <c r="B1305" s="413">
        <v>465180</v>
      </c>
      <c r="C1305" s="366"/>
      <c r="D1305" s="432">
        <v>1645.14</v>
      </c>
      <c r="E1305" s="433" t="s">
        <v>1160</v>
      </c>
      <c r="F1305" s="434">
        <v>308.86</v>
      </c>
      <c r="G1305" s="366"/>
      <c r="H1305" s="305"/>
      <c r="I1305" s="366"/>
      <c r="J1305" s="366"/>
      <c r="K1305" s="309"/>
      <c r="L1305" s="366"/>
      <c r="M1305" s="366"/>
      <c r="N1305" s="309"/>
      <c r="O1305" s="366"/>
      <c r="P1305" s="418"/>
      <c r="Q1305" s="305"/>
      <c r="R1305" s="410"/>
      <c r="S1305" s="309"/>
    </row>
    <row r="1306" spans="1:19" ht="15">
      <c r="A1306" s="398" t="s">
        <v>1121</v>
      </c>
      <c r="B1306" s="413">
        <v>465181</v>
      </c>
      <c r="C1306" s="366"/>
      <c r="D1306" s="432">
        <v>2177</v>
      </c>
      <c r="E1306" s="433" t="s">
        <v>1161</v>
      </c>
      <c r="F1306" s="434">
        <v>294.58999999999997</v>
      </c>
      <c r="G1306" s="366"/>
      <c r="H1306" s="305"/>
      <c r="I1306" s="366"/>
      <c r="J1306" s="366"/>
      <c r="K1306" s="309"/>
      <c r="L1306" s="366"/>
      <c r="M1306" s="366"/>
      <c r="N1306" s="309"/>
      <c r="O1306" s="366"/>
      <c r="P1306" s="418"/>
      <c r="Q1306" s="305"/>
      <c r="R1306" s="410"/>
      <c r="S1306" s="309"/>
    </row>
    <row r="1307" spans="1:19" ht="15">
      <c r="A1307" s="429" t="s">
        <v>349</v>
      </c>
      <c r="B1307" s="413">
        <v>465182</v>
      </c>
      <c r="C1307" s="366"/>
      <c r="D1307" s="366">
        <v>1853.93</v>
      </c>
      <c r="E1307" s="305">
        <v>570.37</v>
      </c>
      <c r="F1307" s="366">
        <v>11.6</v>
      </c>
      <c r="G1307" s="366"/>
      <c r="H1307" s="305"/>
      <c r="I1307" s="366"/>
      <c r="J1307" s="366"/>
      <c r="K1307" s="309"/>
      <c r="L1307" s="366"/>
      <c r="M1307" s="366"/>
      <c r="N1307" s="309"/>
      <c r="O1307" s="366"/>
      <c r="P1307" s="418"/>
      <c r="Q1307" s="305"/>
      <c r="R1307" s="410"/>
      <c r="S1307" s="309"/>
    </row>
    <row r="1308" spans="1:19" ht="15">
      <c r="A1308" s="398" t="s">
        <v>14</v>
      </c>
      <c r="B1308" s="413">
        <v>465183</v>
      </c>
      <c r="C1308" s="366"/>
      <c r="D1308" s="432">
        <v>2849.18</v>
      </c>
      <c r="E1308" s="433" t="s">
        <v>1162</v>
      </c>
      <c r="F1308" s="434">
        <v>525.47</v>
      </c>
      <c r="G1308" s="366"/>
      <c r="H1308" s="305"/>
      <c r="I1308" s="366"/>
      <c r="J1308" s="366"/>
      <c r="K1308" s="309"/>
      <c r="L1308" s="366"/>
      <c r="M1308" s="366"/>
      <c r="N1308" s="309"/>
      <c r="O1308" s="366"/>
      <c r="P1308" s="418"/>
      <c r="Q1308" s="305"/>
      <c r="R1308" s="410"/>
      <c r="S1308" s="309"/>
    </row>
    <row r="1309" spans="1:19" ht="15">
      <c r="A1309" s="347" t="s">
        <v>40</v>
      </c>
      <c r="B1309" s="413">
        <v>465184</v>
      </c>
      <c r="C1309" s="366"/>
      <c r="D1309" s="432">
        <v>799</v>
      </c>
      <c r="E1309" s="433" t="s">
        <v>1163</v>
      </c>
      <c r="F1309" s="434">
        <v>20.76</v>
      </c>
      <c r="G1309" s="366"/>
      <c r="H1309" s="305"/>
      <c r="I1309" s="366"/>
      <c r="J1309" s="366"/>
      <c r="K1309" s="309"/>
      <c r="L1309" s="366"/>
      <c r="M1309" s="366"/>
      <c r="N1309" s="309"/>
      <c r="O1309" s="366"/>
      <c r="P1309" s="418"/>
      <c r="Q1309" s="305"/>
      <c r="R1309" s="410"/>
      <c r="S1309" s="309"/>
    </row>
    <row r="1310" spans="1:19" ht="15">
      <c r="A1310" s="398" t="s">
        <v>1107</v>
      </c>
      <c r="B1310" s="413">
        <v>465185</v>
      </c>
      <c r="C1310" s="366"/>
      <c r="D1310" s="432">
        <v>2388.85</v>
      </c>
      <c r="E1310" s="433" t="s">
        <v>1164</v>
      </c>
      <c r="F1310" s="434">
        <v>312.66000000000003</v>
      </c>
      <c r="G1310" s="366"/>
      <c r="H1310" s="305"/>
      <c r="I1310" s="366"/>
      <c r="J1310" s="366"/>
      <c r="K1310" s="309"/>
      <c r="L1310" s="366"/>
      <c r="M1310" s="366"/>
      <c r="N1310" s="309"/>
      <c r="O1310" s="366"/>
      <c r="P1310" s="418"/>
      <c r="Q1310" s="305"/>
      <c r="R1310" s="410"/>
      <c r="S1310" s="309"/>
    </row>
    <row r="1311" spans="1:19" ht="15">
      <c r="A1311" s="398" t="s">
        <v>1147</v>
      </c>
      <c r="B1311" s="413">
        <v>465186</v>
      </c>
      <c r="C1311" s="366"/>
      <c r="D1311" s="432">
        <v>2157.1799999999998</v>
      </c>
      <c r="E1311" s="433" t="s">
        <v>1165</v>
      </c>
      <c r="F1311" s="434">
        <v>51.81</v>
      </c>
      <c r="G1311" s="366"/>
      <c r="H1311" s="305"/>
      <c r="I1311" s="366"/>
      <c r="J1311" s="366"/>
      <c r="K1311" s="309"/>
      <c r="L1311" s="366"/>
      <c r="M1311" s="366"/>
      <c r="N1311" s="309"/>
      <c r="O1311" s="366"/>
      <c r="P1311" s="418"/>
      <c r="Q1311" s="305"/>
      <c r="R1311" s="410"/>
      <c r="S1311" s="309"/>
    </row>
    <row r="1312" spans="1:19" ht="15">
      <c r="A1312" s="398" t="s">
        <v>192</v>
      </c>
      <c r="B1312" s="413">
        <v>465187</v>
      </c>
      <c r="C1312" s="366"/>
      <c r="D1312" s="432">
        <v>2421.37</v>
      </c>
      <c r="E1312" s="433" t="s">
        <v>1166</v>
      </c>
      <c r="F1312" s="434">
        <v>94.93</v>
      </c>
      <c r="G1312" s="366"/>
      <c r="H1312" s="305"/>
      <c r="I1312" s="366"/>
      <c r="J1312" s="366"/>
      <c r="K1312" s="309"/>
      <c r="L1312" s="366"/>
      <c r="M1312" s="366"/>
      <c r="N1312" s="309"/>
      <c r="O1312" s="366"/>
      <c r="P1312" s="418"/>
      <c r="Q1312" s="305"/>
      <c r="R1312" s="410"/>
      <c r="S1312" s="309"/>
    </row>
    <row r="1313" spans="1:19" ht="15">
      <c r="A1313" s="398" t="s">
        <v>62</v>
      </c>
      <c r="B1313" s="413">
        <v>465188</v>
      </c>
      <c r="C1313" s="366"/>
      <c r="D1313" s="432">
        <v>1075.26</v>
      </c>
      <c r="E1313" s="433" t="s">
        <v>1167</v>
      </c>
      <c r="F1313" s="434">
        <v>176.72</v>
      </c>
      <c r="G1313" s="366"/>
      <c r="H1313" s="305"/>
      <c r="I1313" s="366"/>
      <c r="J1313" s="366"/>
      <c r="K1313" s="309"/>
      <c r="L1313" s="366"/>
      <c r="M1313" s="366"/>
      <c r="N1313" s="309"/>
      <c r="O1313" s="366"/>
      <c r="P1313" s="418"/>
      <c r="Q1313" s="305"/>
      <c r="R1313" s="410"/>
      <c r="S1313" s="309"/>
    </row>
    <row r="1314" spans="1:19" ht="15">
      <c r="A1314" s="400" t="s">
        <v>1124</v>
      </c>
      <c r="B1314" s="413">
        <v>465189</v>
      </c>
      <c r="C1314" s="366"/>
      <c r="D1314" s="432">
        <v>1832.64</v>
      </c>
      <c r="E1314" s="433" t="s">
        <v>1168</v>
      </c>
      <c r="F1314" s="434">
        <v>42.48</v>
      </c>
      <c r="G1314" s="366"/>
      <c r="H1314" s="305"/>
      <c r="I1314" s="366"/>
      <c r="J1314" s="366"/>
      <c r="K1314" s="309"/>
      <c r="L1314" s="366"/>
      <c r="M1314" s="366"/>
      <c r="N1314" s="309"/>
      <c r="O1314" s="366"/>
      <c r="P1314" s="418"/>
      <c r="Q1314" s="305"/>
      <c r="R1314" s="410"/>
      <c r="S1314" s="309"/>
    </row>
    <row r="1315" spans="1:19" ht="15">
      <c r="A1315" s="408" t="s">
        <v>408</v>
      </c>
      <c r="B1315" s="413">
        <v>1122</v>
      </c>
      <c r="C1315" s="366"/>
      <c r="D1315" s="366">
        <v>1314.11</v>
      </c>
      <c r="E1315" s="410" t="s">
        <v>1159</v>
      </c>
      <c r="F1315" s="366">
        <v>3.84</v>
      </c>
      <c r="G1315" s="366"/>
      <c r="H1315" s="305"/>
      <c r="I1315" s="366"/>
      <c r="J1315" s="366"/>
      <c r="K1315" s="309"/>
      <c r="L1315" s="366"/>
      <c r="M1315" s="366"/>
      <c r="N1315" s="309"/>
      <c r="O1315" s="366"/>
      <c r="P1315" s="426"/>
      <c r="Q1315" s="305"/>
      <c r="R1315" s="410"/>
      <c r="S1315" s="309"/>
    </row>
    <row r="1316" spans="1:19" ht="15">
      <c r="A1316" s="408" t="s">
        <v>386</v>
      </c>
      <c r="B1316" s="413">
        <v>218</v>
      </c>
      <c r="C1316" s="366"/>
      <c r="D1316" s="366">
        <v>2164.69</v>
      </c>
      <c r="E1316" s="410" t="s">
        <v>1169</v>
      </c>
      <c r="F1316" s="366">
        <v>100.44</v>
      </c>
      <c r="G1316" s="366"/>
      <c r="H1316" s="305"/>
      <c r="I1316" s="366"/>
      <c r="J1316" s="366"/>
      <c r="K1316" s="309"/>
      <c r="L1316" s="366"/>
      <c r="M1316" s="366"/>
      <c r="N1316" s="309"/>
      <c r="O1316" s="366"/>
      <c r="P1316" s="426"/>
      <c r="Q1316" s="305"/>
      <c r="R1316" s="410"/>
      <c r="S1316" s="309"/>
    </row>
    <row r="1317" spans="1:19" ht="15">
      <c r="A1317" s="408" t="s">
        <v>1042</v>
      </c>
      <c r="B1317" s="407" t="s">
        <v>362</v>
      </c>
      <c r="C1317" s="366"/>
      <c r="D1317" s="366">
        <v>1847.91</v>
      </c>
      <c r="E1317" s="410" t="s">
        <v>1170</v>
      </c>
      <c r="F1317" s="366">
        <v>25.26</v>
      </c>
      <c r="G1317" s="366"/>
      <c r="H1317" s="305"/>
      <c r="I1317" s="366"/>
      <c r="J1317" s="366"/>
      <c r="K1317" s="309"/>
      <c r="L1317" s="366"/>
      <c r="M1317" s="366"/>
      <c r="N1317" s="309"/>
      <c r="O1317" s="366"/>
      <c r="P1317" s="409"/>
      <c r="Q1317" s="305"/>
      <c r="R1317" s="410"/>
      <c r="S1317" s="309"/>
    </row>
    <row r="1318" spans="1:19" ht="15">
      <c r="A1318" s="408" t="s">
        <v>1041</v>
      </c>
      <c r="B1318" s="407" t="s">
        <v>1068</v>
      </c>
      <c r="C1318" s="366"/>
      <c r="D1318" s="366">
        <v>1211.9100000000001</v>
      </c>
      <c r="E1318" s="305">
        <v>360.58</v>
      </c>
      <c r="F1318" s="366">
        <v>0</v>
      </c>
      <c r="G1318" s="411"/>
      <c r="H1318" s="305"/>
      <c r="I1318" s="366"/>
      <c r="J1318" s="366"/>
      <c r="K1318" s="305"/>
      <c r="L1318" s="366"/>
      <c r="M1318" s="366"/>
      <c r="N1318" s="309"/>
      <c r="O1318" s="366"/>
      <c r="P1318" s="409"/>
      <c r="Q1318" s="305"/>
      <c r="R1318" s="410"/>
      <c r="S1318" s="309"/>
    </row>
    <row r="1319" spans="1:19" ht="15">
      <c r="A1319" s="435" t="s">
        <v>1043</v>
      </c>
      <c r="B1319" s="407" t="s">
        <v>1069</v>
      </c>
      <c r="C1319" s="366"/>
      <c r="D1319" s="366">
        <v>2403.25</v>
      </c>
      <c r="E1319" s="305">
        <v>632.72</v>
      </c>
      <c r="F1319" s="366">
        <v>34.33</v>
      </c>
      <c r="G1319" s="411"/>
      <c r="H1319" s="305"/>
      <c r="I1319" s="366"/>
      <c r="J1319" s="366"/>
      <c r="K1319" s="305"/>
      <c r="L1319" s="366"/>
      <c r="M1319" s="366"/>
      <c r="N1319" s="309"/>
      <c r="O1319" s="366"/>
      <c r="P1319" s="409"/>
      <c r="Q1319" s="305"/>
      <c r="R1319" s="410"/>
      <c r="S1319" s="309"/>
    </row>
    <row r="1320" spans="1:19" ht="15">
      <c r="A1320" s="408" t="s">
        <v>901</v>
      </c>
      <c r="B1320" s="407" t="s">
        <v>1152</v>
      </c>
      <c r="C1320" s="366"/>
      <c r="D1320" s="366">
        <v>1313.99</v>
      </c>
      <c r="E1320" s="305">
        <v>294.69</v>
      </c>
      <c r="F1320" s="366">
        <v>169.28</v>
      </c>
      <c r="G1320" s="411"/>
      <c r="H1320" s="305"/>
      <c r="I1320" s="366"/>
      <c r="J1320" s="366"/>
      <c r="K1320" s="305"/>
      <c r="L1320" s="366"/>
      <c r="M1320" s="366"/>
      <c r="N1320" s="309"/>
      <c r="O1320" s="366"/>
      <c r="P1320" s="409"/>
      <c r="Q1320" s="305"/>
      <c r="R1320" s="410"/>
      <c r="S1320" s="309"/>
    </row>
    <row r="1321" spans="1:19" ht="13">
      <c r="A1321" s="470" t="s">
        <v>860</v>
      </c>
      <c r="B1321" s="471"/>
      <c r="C1321" s="422" t="s">
        <v>89</v>
      </c>
      <c r="D1321" s="324" t="s">
        <v>676</v>
      </c>
      <c r="E1321" s="325" t="s">
        <v>861</v>
      </c>
      <c r="F1321" s="355" t="s">
        <v>862</v>
      </c>
      <c r="G1321" s="324" t="s">
        <v>676</v>
      </c>
      <c r="H1321" s="325" t="s">
        <v>861</v>
      </c>
      <c r="I1321" s="355" t="s">
        <v>862</v>
      </c>
      <c r="J1321" s="324" t="s">
        <v>676</v>
      </c>
      <c r="K1321" s="325" t="s">
        <v>861</v>
      </c>
      <c r="L1321" s="355" t="s">
        <v>862</v>
      </c>
      <c r="M1321" s="324" t="s">
        <v>676</v>
      </c>
      <c r="N1321" s="325" t="s">
        <v>861</v>
      </c>
      <c r="O1321" s="355" t="s">
        <v>862</v>
      </c>
      <c r="P1321" s="324" t="s">
        <v>881</v>
      </c>
      <c r="Q1321" s="325" t="s">
        <v>861</v>
      </c>
      <c r="R1321" s="325" t="s">
        <v>865</v>
      </c>
      <c r="S1321" s="412" t="s">
        <v>1031</v>
      </c>
    </row>
    <row r="1322" spans="1:19" ht="13">
      <c r="A1322" s="470" t="s">
        <v>863</v>
      </c>
      <c r="B1322" s="471"/>
      <c r="C1322" s="326">
        <f>SUM(C1294:C1319)</f>
        <v>0</v>
      </c>
      <c r="D1322" s="326">
        <f>SUM(D1294:D1317)+SUM(G1294:G1317)+SUM(J1294:J1317)</f>
        <v>35420.620000000003</v>
      </c>
      <c r="E1322" s="327">
        <f>SUM(E1294:E1314)+SUM(H1294:H1314)+SUM(K1294:K1314)+SUM(N1294:N1314)</f>
        <v>570.37</v>
      </c>
      <c r="F1322" s="328">
        <f>SUM(F1294:F1314)</f>
        <v>3498.58</v>
      </c>
      <c r="G1322" s="329"/>
      <c r="H1322" s="329"/>
      <c r="I1322" s="329"/>
      <c r="J1322" s="329"/>
      <c r="K1322" s="329"/>
      <c r="L1322" s="329"/>
      <c r="M1322" s="329"/>
      <c r="N1322" s="329"/>
      <c r="O1322" s="329"/>
      <c r="P1322" s="329"/>
      <c r="Q1322" s="329"/>
      <c r="R1322" s="329"/>
    </row>
    <row r="1323" spans="1:19" ht="13">
      <c r="A1323" s="282"/>
      <c r="B1323" s="282"/>
      <c r="C1323" s="282"/>
      <c r="D1323" s="282"/>
      <c r="E1323" s="282"/>
      <c r="F1323" s="282"/>
      <c r="G1323" s="282"/>
      <c r="H1323" s="282"/>
      <c r="I1323" s="329"/>
      <c r="J1323" s="329"/>
      <c r="K1323" s="329"/>
      <c r="L1323" s="329"/>
      <c r="M1323" s="329"/>
      <c r="N1323" s="329"/>
      <c r="O1323" s="329"/>
      <c r="P1323" s="329"/>
      <c r="Q1323" s="329"/>
      <c r="R1323" s="329"/>
    </row>
    <row r="1324" spans="1:19" ht="13">
      <c r="A1324" s="476" t="s">
        <v>1171</v>
      </c>
      <c r="B1324" s="466"/>
      <c r="C1324" s="466"/>
      <c r="D1324" s="466"/>
      <c r="E1324" s="466"/>
      <c r="F1324" s="466"/>
      <c r="G1324" s="466"/>
      <c r="H1324" s="466"/>
      <c r="I1324" s="466"/>
      <c r="J1324" s="466"/>
      <c r="K1324" s="466"/>
      <c r="L1324" s="466"/>
      <c r="M1324" s="466"/>
      <c r="N1324" s="466"/>
      <c r="O1324" s="466"/>
      <c r="P1324" s="466"/>
      <c r="Q1324" s="466"/>
      <c r="R1324" s="466"/>
      <c r="S1324" s="466"/>
    </row>
    <row r="1325" spans="1:19" ht="13">
      <c r="A1325" s="356" t="s">
        <v>849</v>
      </c>
      <c r="B1325" s="356" t="s">
        <v>1</v>
      </c>
      <c r="C1325" s="356" t="s">
        <v>89</v>
      </c>
      <c r="D1325" s="473" t="s">
        <v>850</v>
      </c>
      <c r="E1325" s="466"/>
      <c r="F1325" s="467"/>
      <c r="G1325" s="465" t="s">
        <v>852</v>
      </c>
      <c r="H1325" s="466"/>
      <c r="I1325" s="467"/>
      <c r="J1325" s="465" t="s">
        <v>1013</v>
      </c>
      <c r="K1325" s="466"/>
      <c r="L1325" s="467"/>
      <c r="M1325" s="465" t="s">
        <v>1093</v>
      </c>
      <c r="N1325" s="466"/>
      <c r="O1325" s="467"/>
      <c r="P1325" s="465" t="s">
        <v>865</v>
      </c>
      <c r="Q1325" s="466"/>
      <c r="R1325" s="467"/>
      <c r="S1325" s="356" t="s">
        <v>1028</v>
      </c>
    </row>
    <row r="1326" spans="1:19" ht="15">
      <c r="A1326" s="398" t="s">
        <v>1132</v>
      </c>
      <c r="B1326" s="413">
        <v>191274</v>
      </c>
      <c r="C1326" s="366">
        <f t="shared" ref="C1326:C1351" si="88">D1326+G1326+J1326</f>
        <v>0</v>
      </c>
      <c r="D1326" s="432"/>
      <c r="E1326" s="433"/>
      <c r="F1326" s="434"/>
      <c r="G1326" s="366"/>
      <c r="H1326" s="305"/>
      <c r="I1326" s="366"/>
      <c r="J1326" s="366"/>
      <c r="K1326" s="309"/>
      <c r="L1326" s="366"/>
      <c r="M1326" s="366"/>
      <c r="N1326" s="309"/>
      <c r="O1326" s="366"/>
      <c r="P1326" s="418"/>
      <c r="Q1326" s="305"/>
      <c r="R1326" s="410"/>
      <c r="S1326" s="309">
        <v>94</v>
      </c>
    </row>
    <row r="1327" spans="1:19" ht="15">
      <c r="A1327" s="399" t="s">
        <v>390</v>
      </c>
      <c r="B1327" s="413">
        <v>191275</v>
      </c>
      <c r="C1327" s="366">
        <f t="shared" si="88"/>
        <v>2706.88</v>
      </c>
      <c r="D1327" s="432">
        <v>2706.88</v>
      </c>
      <c r="E1327" s="433" t="s">
        <v>1172</v>
      </c>
      <c r="F1327" s="434">
        <v>38.93</v>
      </c>
      <c r="G1327" s="366"/>
      <c r="H1327" s="305"/>
      <c r="I1327" s="366"/>
      <c r="J1327" s="366"/>
      <c r="K1327" s="309"/>
      <c r="L1327" s="366"/>
      <c r="M1327" s="366"/>
      <c r="N1327" s="309"/>
      <c r="O1327" s="366"/>
      <c r="P1327" s="418"/>
      <c r="Q1327" s="305"/>
      <c r="R1327" s="410"/>
      <c r="S1327" s="309">
        <v>50</v>
      </c>
    </row>
    <row r="1328" spans="1:19" ht="15">
      <c r="A1328" s="431" t="s">
        <v>393</v>
      </c>
      <c r="B1328" s="413">
        <v>191276</v>
      </c>
      <c r="C1328" s="366">
        <f t="shared" si="88"/>
        <v>0</v>
      </c>
      <c r="D1328" s="366"/>
      <c r="E1328" s="305"/>
      <c r="F1328" s="366"/>
      <c r="G1328" s="366"/>
      <c r="H1328" s="305"/>
      <c r="I1328" s="366"/>
      <c r="J1328" s="366"/>
      <c r="K1328" s="309"/>
      <c r="L1328" s="366"/>
      <c r="M1328" s="366"/>
      <c r="N1328" s="309"/>
      <c r="O1328" s="366"/>
      <c r="P1328" s="418"/>
      <c r="Q1328" s="305"/>
      <c r="R1328" s="410"/>
      <c r="S1328" s="309">
        <v>36</v>
      </c>
    </row>
    <row r="1329" spans="1:19" ht="15">
      <c r="A1329" s="431" t="s">
        <v>75</v>
      </c>
      <c r="B1329" s="413">
        <v>191277</v>
      </c>
      <c r="C1329" s="366">
        <f t="shared" si="88"/>
        <v>600.44000000000005</v>
      </c>
      <c r="D1329" s="432">
        <v>600.44000000000005</v>
      </c>
      <c r="E1329" s="433" t="s">
        <v>1173</v>
      </c>
      <c r="F1329" s="434">
        <v>99.24</v>
      </c>
      <c r="G1329" s="366"/>
      <c r="H1329" s="305"/>
      <c r="I1329" s="366"/>
      <c r="J1329" s="366"/>
      <c r="K1329" s="309"/>
      <c r="L1329" s="366"/>
      <c r="M1329" s="366"/>
      <c r="N1329" s="309"/>
      <c r="O1329" s="366"/>
      <c r="P1329" s="418"/>
      <c r="Q1329" s="305"/>
      <c r="R1329" s="410"/>
      <c r="S1329" s="309">
        <v>100</v>
      </c>
    </row>
    <row r="1330" spans="1:19" ht="15">
      <c r="A1330" s="398"/>
      <c r="B1330" s="407" t="s">
        <v>507</v>
      </c>
      <c r="C1330" s="366">
        <f t="shared" si="88"/>
        <v>0</v>
      </c>
      <c r="D1330" s="366"/>
      <c r="E1330" s="305"/>
      <c r="F1330" s="366"/>
      <c r="G1330" s="366"/>
      <c r="H1330" s="305"/>
      <c r="I1330" s="366"/>
      <c r="J1330" s="366"/>
      <c r="K1330" s="309"/>
      <c r="L1330" s="366"/>
      <c r="M1330" s="366"/>
      <c r="N1330" s="309"/>
      <c r="O1330" s="366"/>
      <c r="P1330" s="418"/>
      <c r="Q1330" s="305"/>
      <c r="R1330" s="410"/>
      <c r="S1330" s="309">
        <v>17</v>
      </c>
    </row>
    <row r="1331" spans="1:19" ht="15">
      <c r="A1331" s="400" t="s">
        <v>1174</v>
      </c>
      <c r="B1331" s="413">
        <v>191279</v>
      </c>
      <c r="C1331" s="366">
        <f t="shared" si="88"/>
        <v>3038.95</v>
      </c>
      <c r="D1331" s="436">
        <v>3038.95</v>
      </c>
      <c r="E1331" s="437" t="s">
        <v>1175</v>
      </c>
      <c r="F1331" s="438">
        <v>471.99</v>
      </c>
      <c r="G1331" s="366"/>
      <c r="H1331" s="305"/>
      <c r="I1331" s="366"/>
      <c r="J1331" s="366"/>
      <c r="K1331" s="305"/>
      <c r="L1331" s="366"/>
      <c r="M1331" s="366"/>
      <c r="N1331" s="309"/>
      <c r="O1331" s="366"/>
      <c r="P1331" s="345"/>
      <c r="Q1331" s="305"/>
      <c r="R1331" s="410"/>
      <c r="S1331" s="309">
        <v>30</v>
      </c>
    </row>
    <row r="1332" spans="1:19" ht="15">
      <c r="A1332" s="398" t="s">
        <v>1176</v>
      </c>
      <c r="B1332" s="413">
        <v>191280</v>
      </c>
      <c r="C1332" s="366">
        <f t="shared" si="88"/>
        <v>2071.54</v>
      </c>
      <c r="D1332" s="432">
        <v>2071.54</v>
      </c>
      <c r="E1332" s="433" t="s">
        <v>1177</v>
      </c>
      <c r="F1332" s="434">
        <v>262.41000000000003</v>
      </c>
      <c r="G1332" s="366"/>
      <c r="H1332" s="305"/>
      <c r="I1332" s="366"/>
      <c r="J1332" s="366"/>
      <c r="K1332" s="309"/>
      <c r="L1332" s="366"/>
      <c r="M1332" s="366"/>
      <c r="N1332" s="309"/>
      <c r="O1332" s="366"/>
      <c r="P1332" s="418"/>
      <c r="Q1332" s="305"/>
      <c r="R1332" s="410"/>
      <c r="S1332" s="309">
        <v>18</v>
      </c>
    </row>
    <row r="1333" spans="1:19" ht="15">
      <c r="A1333" s="398" t="s">
        <v>509</v>
      </c>
      <c r="B1333" s="413">
        <v>191281</v>
      </c>
      <c r="C1333" s="366">
        <f t="shared" si="88"/>
        <v>1296.19</v>
      </c>
      <c r="D1333" s="432">
        <v>1296.19</v>
      </c>
      <c r="E1333" s="433" t="s">
        <v>1178</v>
      </c>
      <c r="F1333" s="434">
        <v>248.44</v>
      </c>
      <c r="G1333" s="366"/>
      <c r="H1333" s="305"/>
      <c r="I1333" s="366"/>
      <c r="J1333" s="366"/>
      <c r="K1333" s="309"/>
      <c r="L1333" s="366"/>
      <c r="M1333" s="366"/>
      <c r="N1333" s="309"/>
      <c r="O1333" s="366"/>
      <c r="P1333" s="418"/>
      <c r="Q1333" s="305"/>
      <c r="R1333" s="410"/>
      <c r="S1333" s="309">
        <v>46</v>
      </c>
    </row>
    <row r="1334" spans="1:19" ht="15">
      <c r="A1334" s="431" t="s">
        <v>634</v>
      </c>
      <c r="B1334" s="413">
        <v>191283</v>
      </c>
      <c r="C1334" s="366">
        <f t="shared" si="88"/>
        <v>0</v>
      </c>
      <c r="D1334" s="366"/>
      <c r="E1334" s="305"/>
      <c r="F1334" s="366"/>
      <c r="G1334" s="366"/>
      <c r="H1334" s="305"/>
      <c r="I1334" s="366"/>
      <c r="J1334" s="366"/>
      <c r="K1334" s="309"/>
      <c r="L1334" s="366"/>
      <c r="M1334" s="366"/>
      <c r="N1334" s="309"/>
      <c r="O1334" s="366"/>
      <c r="P1334" s="418"/>
      <c r="Q1334" s="305"/>
      <c r="R1334" s="410"/>
      <c r="S1334" s="309">
        <v>100</v>
      </c>
    </row>
    <row r="1335" spans="1:19" ht="15">
      <c r="A1335" s="398" t="s">
        <v>319</v>
      </c>
      <c r="B1335" s="413">
        <v>465180</v>
      </c>
      <c r="C1335" s="366">
        <f t="shared" si="88"/>
        <v>617.21</v>
      </c>
      <c r="D1335" s="432">
        <v>617.21</v>
      </c>
      <c r="E1335" s="433" t="s">
        <v>1179</v>
      </c>
      <c r="F1335" s="434">
        <v>63.57</v>
      </c>
      <c r="G1335" s="366"/>
      <c r="H1335" s="305"/>
      <c r="I1335" s="366"/>
      <c r="J1335" s="366"/>
      <c r="K1335" s="309"/>
      <c r="L1335" s="366"/>
      <c r="M1335" s="366"/>
      <c r="N1335" s="309"/>
      <c r="O1335" s="366"/>
      <c r="P1335" s="418"/>
      <c r="Q1335" s="305"/>
      <c r="R1335" s="410"/>
      <c r="S1335" s="309">
        <v>100</v>
      </c>
    </row>
    <row r="1336" spans="1:19" ht="15">
      <c r="A1336" s="398" t="s">
        <v>1121</v>
      </c>
      <c r="B1336" s="413">
        <v>465181</v>
      </c>
      <c r="C1336" s="366">
        <f t="shared" si="88"/>
        <v>2555.86</v>
      </c>
      <c r="D1336" s="432">
        <v>2555.86</v>
      </c>
      <c r="E1336" s="433" t="s">
        <v>1180</v>
      </c>
      <c r="F1336" s="434">
        <v>276.27999999999997</v>
      </c>
      <c r="G1336" s="366"/>
      <c r="H1336" s="305"/>
      <c r="I1336" s="366"/>
      <c r="J1336" s="366"/>
      <c r="K1336" s="309"/>
      <c r="L1336" s="366"/>
      <c r="M1336" s="366"/>
      <c r="N1336" s="309"/>
      <c r="O1336" s="366"/>
      <c r="P1336" s="418"/>
      <c r="Q1336" s="305"/>
      <c r="R1336" s="410"/>
      <c r="S1336" s="309">
        <v>100</v>
      </c>
    </row>
    <row r="1337" spans="1:19" ht="15">
      <c r="A1337" s="398" t="s">
        <v>14</v>
      </c>
      <c r="B1337" s="413">
        <v>465183</v>
      </c>
      <c r="C1337" s="366">
        <f t="shared" si="88"/>
        <v>2232.4699999999998</v>
      </c>
      <c r="D1337" s="432">
        <v>2232.4699999999998</v>
      </c>
      <c r="E1337" s="433" t="s">
        <v>1181</v>
      </c>
      <c r="F1337" s="434">
        <v>364.63</v>
      </c>
      <c r="G1337" s="366"/>
      <c r="H1337" s="305"/>
      <c r="I1337" s="366"/>
      <c r="J1337" s="366"/>
      <c r="K1337" s="309"/>
      <c r="L1337" s="366"/>
      <c r="M1337" s="366"/>
      <c r="N1337" s="309"/>
      <c r="O1337" s="366"/>
      <c r="P1337" s="418"/>
      <c r="Q1337" s="305"/>
      <c r="R1337" s="410"/>
      <c r="S1337" s="309">
        <v>100</v>
      </c>
    </row>
    <row r="1338" spans="1:19" ht="15">
      <c r="A1338" s="398" t="s">
        <v>40</v>
      </c>
      <c r="B1338" s="413">
        <v>465184</v>
      </c>
      <c r="C1338" s="366">
        <f t="shared" si="88"/>
        <v>735.81</v>
      </c>
      <c r="D1338" s="432">
        <v>735.81</v>
      </c>
      <c r="E1338" s="433" t="s">
        <v>1182</v>
      </c>
      <c r="F1338" s="434">
        <v>191.28</v>
      </c>
      <c r="G1338" s="366"/>
      <c r="H1338" s="305"/>
      <c r="I1338" s="366"/>
      <c r="J1338" s="366"/>
      <c r="K1338" s="309"/>
      <c r="L1338" s="366"/>
      <c r="M1338" s="366"/>
      <c r="N1338" s="309"/>
      <c r="O1338" s="366"/>
      <c r="P1338" s="418"/>
      <c r="Q1338" s="305"/>
      <c r="R1338" s="410"/>
      <c r="S1338" s="309"/>
    </row>
    <row r="1339" spans="1:19" ht="15">
      <c r="A1339" s="398" t="s">
        <v>1107</v>
      </c>
      <c r="B1339" s="413">
        <v>465185</v>
      </c>
      <c r="C1339" s="366">
        <f t="shared" si="88"/>
        <v>649.84</v>
      </c>
      <c r="D1339" s="432">
        <v>649.84</v>
      </c>
      <c r="E1339" s="433" t="s">
        <v>1183</v>
      </c>
      <c r="F1339" s="434">
        <v>106.29</v>
      </c>
      <c r="G1339" s="366"/>
      <c r="H1339" s="305"/>
      <c r="I1339" s="366"/>
      <c r="J1339" s="366"/>
      <c r="K1339" s="309"/>
      <c r="L1339" s="366"/>
      <c r="M1339" s="366"/>
      <c r="N1339" s="309"/>
      <c r="O1339" s="366"/>
      <c r="P1339" s="418"/>
      <c r="Q1339" s="305"/>
      <c r="R1339" s="410"/>
      <c r="S1339" s="309">
        <v>56</v>
      </c>
    </row>
    <row r="1340" spans="1:19" ht="15">
      <c r="A1340" s="398" t="s">
        <v>1147</v>
      </c>
      <c r="B1340" s="413">
        <v>465186</v>
      </c>
      <c r="C1340" s="366">
        <f t="shared" si="88"/>
        <v>1828.32</v>
      </c>
      <c r="D1340" s="432">
        <v>1828.32</v>
      </c>
      <c r="E1340" s="433" t="s">
        <v>1184</v>
      </c>
      <c r="F1340" s="434">
        <v>33.44</v>
      </c>
      <c r="G1340" s="366"/>
      <c r="H1340" s="305"/>
      <c r="I1340" s="366"/>
      <c r="J1340" s="366"/>
      <c r="K1340" s="309"/>
      <c r="L1340" s="366"/>
      <c r="M1340" s="366"/>
      <c r="N1340" s="309"/>
      <c r="O1340" s="366"/>
      <c r="P1340" s="418"/>
      <c r="Q1340" s="305"/>
      <c r="R1340" s="410"/>
      <c r="S1340" s="309">
        <v>45</v>
      </c>
    </row>
    <row r="1341" spans="1:19" ht="15">
      <c r="A1341" s="398" t="s">
        <v>192</v>
      </c>
      <c r="B1341" s="413">
        <v>465187</v>
      </c>
      <c r="C1341" s="366">
        <f t="shared" si="88"/>
        <v>3072.69</v>
      </c>
      <c r="D1341" s="432">
        <v>3072.69</v>
      </c>
      <c r="E1341" s="433" t="s">
        <v>1185</v>
      </c>
      <c r="F1341" s="434">
        <v>257.24</v>
      </c>
      <c r="G1341" s="366"/>
      <c r="H1341" s="305"/>
      <c r="I1341" s="366"/>
      <c r="J1341" s="366"/>
      <c r="K1341" s="309"/>
      <c r="L1341" s="366"/>
      <c r="M1341" s="366"/>
      <c r="N1341" s="309"/>
      <c r="O1341" s="366"/>
      <c r="P1341" s="418"/>
      <c r="Q1341" s="305"/>
      <c r="R1341" s="410"/>
      <c r="S1341" s="309">
        <v>56</v>
      </c>
    </row>
    <row r="1342" spans="1:19" ht="15">
      <c r="A1342" s="398" t="s">
        <v>62</v>
      </c>
      <c r="B1342" s="413">
        <v>465188</v>
      </c>
      <c r="C1342" s="366">
        <f t="shared" si="88"/>
        <v>0</v>
      </c>
      <c r="D1342" s="366"/>
      <c r="E1342" s="305"/>
      <c r="F1342" s="366"/>
      <c r="G1342" s="366"/>
      <c r="H1342" s="305"/>
      <c r="I1342" s="366"/>
      <c r="J1342" s="366"/>
      <c r="K1342" s="309"/>
      <c r="L1342" s="366"/>
      <c r="M1342" s="366"/>
      <c r="N1342" s="309"/>
      <c r="O1342" s="366"/>
      <c r="P1342" s="418"/>
      <c r="Q1342" s="305"/>
      <c r="R1342" s="410"/>
      <c r="S1342" s="309">
        <v>68</v>
      </c>
    </row>
    <row r="1343" spans="1:19" ht="15">
      <c r="A1343" s="400" t="s">
        <v>1124</v>
      </c>
      <c r="B1343" s="413">
        <v>465189</v>
      </c>
      <c r="C1343" s="366">
        <f t="shared" si="88"/>
        <v>981.97</v>
      </c>
      <c r="D1343" s="432">
        <v>981.97</v>
      </c>
      <c r="E1343" s="433" t="s">
        <v>1186</v>
      </c>
      <c r="F1343" s="434">
        <v>149.22</v>
      </c>
      <c r="G1343" s="366"/>
      <c r="H1343" s="305"/>
      <c r="I1343" s="366"/>
      <c r="J1343" s="366"/>
      <c r="K1343" s="309"/>
      <c r="L1343" s="366"/>
      <c r="M1343" s="366"/>
      <c r="N1343" s="309"/>
      <c r="O1343" s="366"/>
      <c r="P1343" s="418"/>
      <c r="Q1343" s="305"/>
      <c r="R1343" s="410"/>
      <c r="S1343" s="309">
        <v>26</v>
      </c>
    </row>
    <row r="1344" spans="1:19" ht="15">
      <c r="A1344" s="439" t="s">
        <v>40</v>
      </c>
      <c r="B1344" s="413">
        <v>191282</v>
      </c>
      <c r="C1344" s="366">
        <f t="shared" si="88"/>
        <v>2131.7199999999998</v>
      </c>
      <c r="D1344" s="366">
        <v>2131.7199999999998</v>
      </c>
      <c r="E1344" s="305">
        <v>505.09</v>
      </c>
      <c r="F1344" s="366">
        <v>100.32</v>
      </c>
      <c r="G1344" s="366"/>
      <c r="H1344" s="305"/>
      <c r="I1344" s="366"/>
      <c r="J1344" s="366"/>
      <c r="K1344" s="309"/>
      <c r="L1344" s="366"/>
      <c r="M1344" s="366"/>
      <c r="N1344" s="309"/>
      <c r="O1344" s="366"/>
      <c r="P1344" s="418"/>
      <c r="Q1344" s="305"/>
      <c r="R1344" s="410"/>
      <c r="S1344" s="309">
        <v>16</v>
      </c>
    </row>
    <row r="1345" spans="1:19" ht="15">
      <c r="A1345" s="429" t="s">
        <v>349</v>
      </c>
      <c r="B1345" s="413">
        <v>465182</v>
      </c>
      <c r="C1345" s="366">
        <f t="shared" si="88"/>
        <v>2316.4899999999998</v>
      </c>
      <c r="D1345" s="366">
        <v>2316.4899999999998</v>
      </c>
      <c r="E1345" s="305">
        <v>699.5</v>
      </c>
      <c r="F1345" s="366">
        <v>69.88</v>
      </c>
      <c r="G1345" s="366"/>
      <c r="H1345" s="305"/>
      <c r="I1345" s="366"/>
      <c r="J1345" s="366"/>
      <c r="K1345" s="309"/>
      <c r="L1345" s="366"/>
      <c r="M1345" s="366"/>
      <c r="N1345" s="309"/>
      <c r="O1345" s="366"/>
      <c r="P1345" s="418"/>
      <c r="Q1345" s="305"/>
      <c r="R1345" s="410"/>
      <c r="S1345" s="309">
        <v>20</v>
      </c>
    </row>
    <row r="1346" spans="1:19" ht="15">
      <c r="A1346" s="408" t="s">
        <v>408</v>
      </c>
      <c r="B1346" s="413">
        <v>1122</v>
      </c>
      <c r="C1346" s="366">
        <f t="shared" si="88"/>
        <v>1119.6400000000001</v>
      </c>
      <c r="D1346" s="366">
        <v>1119.6400000000001</v>
      </c>
      <c r="E1346" s="410" t="s">
        <v>1187</v>
      </c>
      <c r="F1346" s="366">
        <v>0</v>
      </c>
      <c r="G1346" s="366"/>
      <c r="H1346" s="305"/>
      <c r="I1346" s="366"/>
      <c r="J1346" s="366"/>
      <c r="K1346" s="309"/>
      <c r="L1346" s="366"/>
      <c r="M1346" s="366"/>
      <c r="N1346" s="309"/>
      <c r="O1346" s="366"/>
      <c r="P1346" s="426"/>
      <c r="Q1346" s="305"/>
      <c r="R1346" s="410"/>
      <c r="S1346" s="309" t="s">
        <v>306</v>
      </c>
    </row>
    <row r="1347" spans="1:19" ht="15">
      <c r="A1347" s="408" t="s">
        <v>386</v>
      </c>
      <c r="B1347" s="413">
        <v>218</v>
      </c>
      <c r="C1347" s="366">
        <f t="shared" si="88"/>
        <v>1767.27</v>
      </c>
      <c r="D1347" s="366">
        <v>1767.27</v>
      </c>
      <c r="E1347" s="410" t="s">
        <v>1188</v>
      </c>
      <c r="F1347" s="366">
        <v>0</v>
      </c>
      <c r="G1347" s="366"/>
      <c r="H1347" s="305"/>
      <c r="I1347" s="366"/>
      <c r="J1347" s="366"/>
      <c r="K1347" s="309"/>
      <c r="L1347" s="366"/>
      <c r="M1347" s="366"/>
      <c r="N1347" s="309"/>
      <c r="O1347" s="366"/>
      <c r="P1347" s="426"/>
      <c r="Q1347" s="305"/>
      <c r="R1347" s="410"/>
      <c r="S1347" s="309">
        <v>60</v>
      </c>
    </row>
    <row r="1348" spans="1:19" ht="15">
      <c r="A1348" s="408" t="s">
        <v>1042</v>
      </c>
      <c r="B1348" s="407" t="s">
        <v>362</v>
      </c>
      <c r="C1348" s="366">
        <f t="shared" si="88"/>
        <v>0</v>
      </c>
      <c r="D1348" s="366"/>
      <c r="E1348" s="410"/>
      <c r="F1348" s="366"/>
      <c r="G1348" s="366"/>
      <c r="H1348" s="305"/>
      <c r="I1348" s="366"/>
      <c r="J1348" s="366"/>
      <c r="K1348" s="309"/>
      <c r="L1348" s="366"/>
      <c r="M1348" s="366"/>
      <c r="N1348" s="309"/>
      <c r="O1348" s="366"/>
      <c r="P1348" s="409"/>
      <c r="Q1348" s="305"/>
      <c r="R1348" s="410"/>
      <c r="S1348" s="309">
        <v>35</v>
      </c>
    </row>
    <row r="1349" spans="1:19" ht="15">
      <c r="A1349" s="408" t="s">
        <v>1041</v>
      </c>
      <c r="B1349" s="407" t="s">
        <v>1068</v>
      </c>
      <c r="C1349" s="366">
        <f t="shared" si="88"/>
        <v>580</v>
      </c>
      <c r="D1349" s="366">
        <v>580</v>
      </c>
      <c r="E1349" s="305">
        <v>170.02</v>
      </c>
      <c r="F1349" s="366">
        <v>0</v>
      </c>
      <c r="G1349" s="411"/>
      <c r="H1349" s="305"/>
      <c r="I1349" s="366"/>
      <c r="J1349" s="366"/>
      <c r="K1349" s="305"/>
      <c r="L1349" s="366"/>
      <c r="M1349" s="366"/>
      <c r="N1349" s="309"/>
      <c r="O1349" s="366"/>
      <c r="P1349" s="409"/>
      <c r="Q1349" s="305"/>
      <c r="R1349" s="410"/>
      <c r="S1349" s="309" t="s">
        <v>306</v>
      </c>
    </row>
    <row r="1350" spans="1:19" ht="15">
      <c r="A1350" s="408" t="s">
        <v>1043</v>
      </c>
      <c r="B1350" s="407" t="s">
        <v>1069</v>
      </c>
      <c r="C1350" s="366">
        <f t="shared" si="88"/>
        <v>0</v>
      </c>
      <c r="D1350" s="366"/>
      <c r="E1350" s="305"/>
      <c r="F1350" s="366"/>
      <c r="G1350" s="411"/>
      <c r="H1350" s="305"/>
      <c r="I1350" s="366"/>
      <c r="J1350" s="366"/>
      <c r="K1350" s="305"/>
      <c r="L1350" s="366"/>
      <c r="M1350" s="366"/>
      <c r="N1350" s="309"/>
      <c r="O1350" s="366"/>
      <c r="P1350" s="409"/>
      <c r="Q1350" s="305"/>
      <c r="R1350" s="410"/>
      <c r="S1350" s="309">
        <v>49</v>
      </c>
    </row>
    <row r="1351" spans="1:19" ht="15">
      <c r="A1351" s="408" t="s">
        <v>901</v>
      </c>
      <c r="B1351" s="407" t="s">
        <v>1152</v>
      </c>
      <c r="C1351" s="366">
        <f t="shared" si="88"/>
        <v>1143.54</v>
      </c>
      <c r="D1351" s="366">
        <v>1143.54</v>
      </c>
      <c r="E1351" s="305">
        <v>298.58999999999997</v>
      </c>
      <c r="F1351" s="366">
        <v>92.63</v>
      </c>
      <c r="G1351" s="411"/>
      <c r="H1351" s="305"/>
      <c r="I1351" s="366"/>
      <c r="J1351" s="366"/>
      <c r="K1351" s="305"/>
      <c r="L1351" s="366"/>
      <c r="M1351" s="366"/>
      <c r="N1351" s="309"/>
      <c r="O1351" s="366"/>
      <c r="P1351" s="409"/>
      <c r="Q1351" s="305"/>
      <c r="R1351" s="410"/>
      <c r="S1351" s="309">
        <v>52</v>
      </c>
    </row>
    <row r="1352" spans="1:19" ht="13">
      <c r="A1352" s="470" t="s">
        <v>860</v>
      </c>
      <c r="B1352" s="471"/>
      <c r="C1352" s="422" t="s">
        <v>89</v>
      </c>
      <c r="D1352" s="324" t="s">
        <v>676</v>
      </c>
      <c r="E1352" s="325" t="s">
        <v>861</v>
      </c>
      <c r="F1352" s="355" t="s">
        <v>862</v>
      </c>
      <c r="G1352" s="324" t="s">
        <v>676</v>
      </c>
      <c r="H1352" s="325" t="s">
        <v>861</v>
      </c>
      <c r="I1352" s="355" t="s">
        <v>862</v>
      </c>
      <c r="J1352" s="324" t="s">
        <v>676</v>
      </c>
      <c r="K1352" s="325" t="s">
        <v>861</v>
      </c>
      <c r="L1352" s="355" t="s">
        <v>862</v>
      </c>
      <c r="M1352" s="324" t="s">
        <v>676</v>
      </c>
      <c r="N1352" s="325" t="s">
        <v>861</v>
      </c>
      <c r="O1352" s="355" t="s">
        <v>862</v>
      </c>
      <c r="P1352" s="324" t="s">
        <v>881</v>
      </c>
      <c r="Q1352" s="325" t="s">
        <v>861</v>
      </c>
      <c r="R1352" s="325" t="s">
        <v>865</v>
      </c>
      <c r="S1352" s="412" t="s">
        <v>1031</v>
      </c>
    </row>
    <row r="1353" spans="1:19" ht="13">
      <c r="A1353" s="470" t="s">
        <v>863</v>
      </c>
      <c r="B1353" s="471"/>
      <c r="C1353" s="326">
        <f>SUM(C1335:C1350)</f>
        <v>20589.289999999997</v>
      </c>
      <c r="D1353" s="326">
        <f>SUM(D1335:D1343)+SUM(G1335:G1348)+SUM(J1335:J1348)</f>
        <v>12674.17</v>
      </c>
      <c r="E1353" s="440">
        <f>SUM(E1335:E1343)+SUM(H1335:H1343)+SUM(K1335:K1343)+SUM(N1335:N1343)</f>
        <v>0</v>
      </c>
      <c r="F1353" s="328">
        <f>SUM(F1335:F1343)</f>
        <v>1441.95</v>
      </c>
      <c r="G1353" s="329"/>
      <c r="H1353" s="329"/>
      <c r="I1353" s="329"/>
      <c r="J1353" s="329"/>
      <c r="K1353" s="329"/>
      <c r="L1353" s="329"/>
      <c r="M1353" s="329"/>
      <c r="N1353" s="329"/>
      <c r="O1353" s="329"/>
      <c r="P1353" s="329"/>
      <c r="Q1353" s="329"/>
      <c r="R1353" s="329"/>
    </row>
    <row r="1355" spans="1:19" ht="13">
      <c r="A1355" s="476" t="s">
        <v>1189</v>
      </c>
      <c r="B1355" s="466"/>
      <c r="C1355" s="466"/>
      <c r="D1355" s="466"/>
      <c r="E1355" s="466"/>
      <c r="F1355" s="466"/>
      <c r="G1355" s="466"/>
      <c r="H1355" s="466"/>
      <c r="I1355" s="466"/>
      <c r="J1355" s="466"/>
      <c r="K1355" s="466"/>
      <c r="L1355" s="466"/>
      <c r="M1355" s="466"/>
      <c r="N1355" s="466"/>
      <c r="O1355" s="466"/>
      <c r="P1355" s="466"/>
      <c r="Q1355" s="466"/>
      <c r="R1355" s="466"/>
      <c r="S1355" s="466"/>
    </row>
    <row r="1356" spans="1:19" ht="13">
      <c r="A1356" s="356" t="s">
        <v>849</v>
      </c>
      <c r="B1356" s="356" t="s">
        <v>1</v>
      </c>
      <c r="C1356" s="356" t="s">
        <v>89</v>
      </c>
      <c r="D1356" s="473" t="s">
        <v>850</v>
      </c>
      <c r="E1356" s="466"/>
      <c r="F1356" s="467"/>
      <c r="G1356" s="465" t="s">
        <v>852</v>
      </c>
      <c r="H1356" s="466"/>
      <c r="I1356" s="467"/>
      <c r="J1356" s="465" t="s">
        <v>1013</v>
      </c>
      <c r="K1356" s="466"/>
      <c r="L1356" s="467"/>
      <c r="M1356" s="465" t="s">
        <v>1093</v>
      </c>
      <c r="N1356" s="466"/>
      <c r="O1356" s="467"/>
      <c r="P1356" s="465" t="s">
        <v>865</v>
      </c>
      <c r="Q1356" s="466"/>
      <c r="R1356" s="467"/>
      <c r="S1356" s="356" t="s">
        <v>1028</v>
      </c>
    </row>
    <row r="1357" spans="1:19" ht="15">
      <c r="A1357" s="398" t="s">
        <v>1190</v>
      </c>
      <c r="B1357" s="413">
        <v>465189</v>
      </c>
      <c r="C1357" s="366">
        <f t="shared" ref="C1357:C1382" si="89">D1357+G1357+J1357</f>
        <v>1771.33</v>
      </c>
      <c r="D1357" s="432">
        <v>1771.33</v>
      </c>
      <c r="E1357" s="433" t="s">
        <v>1191</v>
      </c>
      <c r="F1357" s="434">
        <v>203.07</v>
      </c>
      <c r="G1357" s="366"/>
      <c r="H1357" s="305"/>
      <c r="I1357" s="366"/>
      <c r="J1357" s="366"/>
      <c r="K1357" s="309"/>
      <c r="L1357" s="366"/>
      <c r="M1357" s="366"/>
      <c r="N1357" s="309"/>
      <c r="O1357" s="366"/>
      <c r="P1357" s="418"/>
      <c r="Q1357" s="305"/>
      <c r="R1357" s="410"/>
      <c r="S1357" s="309">
        <v>41</v>
      </c>
    </row>
    <row r="1358" spans="1:19" ht="15">
      <c r="A1358" s="400" t="s">
        <v>1124</v>
      </c>
      <c r="B1358" s="413">
        <v>191274</v>
      </c>
      <c r="C1358" s="366">
        <f t="shared" si="89"/>
        <v>3990.15</v>
      </c>
      <c r="D1358" s="432">
        <v>3490.15</v>
      </c>
      <c r="E1358" s="433">
        <f>781.22+K1358</f>
        <v>920.72</v>
      </c>
      <c r="F1358" s="434">
        <v>551.79999999999995</v>
      </c>
      <c r="G1358" s="366"/>
      <c r="H1358" s="305"/>
      <c r="I1358" s="366"/>
      <c r="J1358" s="366">
        <v>500</v>
      </c>
      <c r="K1358" s="309">
        <v>139.5</v>
      </c>
      <c r="L1358" s="366"/>
      <c r="M1358" s="366"/>
      <c r="N1358" s="309"/>
      <c r="O1358" s="366"/>
      <c r="P1358" s="418"/>
      <c r="Q1358" s="305"/>
      <c r="R1358" s="410"/>
      <c r="S1358" s="309">
        <v>26</v>
      </c>
    </row>
    <row r="1359" spans="1:19" ht="15">
      <c r="A1359" s="431"/>
      <c r="B1359" s="413">
        <v>191276</v>
      </c>
      <c r="C1359" s="366">
        <f t="shared" si="89"/>
        <v>0</v>
      </c>
      <c r="D1359" s="366"/>
      <c r="E1359" s="305"/>
      <c r="F1359" s="366"/>
      <c r="G1359" s="366"/>
      <c r="H1359" s="305"/>
      <c r="I1359" s="366"/>
      <c r="J1359" s="366"/>
      <c r="K1359" s="433"/>
      <c r="L1359" s="366"/>
      <c r="M1359" s="366"/>
      <c r="N1359" s="309"/>
      <c r="O1359" s="366"/>
      <c r="P1359" s="418"/>
      <c r="Q1359" s="305"/>
      <c r="R1359" s="410"/>
      <c r="S1359" s="309">
        <v>33</v>
      </c>
    </row>
    <row r="1360" spans="1:19" ht="15">
      <c r="A1360" s="431" t="s">
        <v>75</v>
      </c>
      <c r="B1360" s="413">
        <v>191277</v>
      </c>
      <c r="C1360" s="366">
        <f t="shared" si="89"/>
        <v>3490.15</v>
      </c>
      <c r="D1360" s="366">
        <v>3490.15</v>
      </c>
      <c r="E1360" s="410" t="s">
        <v>1192</v>
      </c>
      <c r="F1360" s="366">
        <v>551.79999999999995</v>
      </c>
      <c r="G1360" s="366"/>
      <c r="H1360" s="305"/>
      <c r="I1360" s="366"/>
      <c r="J1360" s="366"/>
      <c r="K1360" s="309"/>
      <c r="L1360" s="366"/>
      <c r="M1360" s="366"/>
      <c r="N1360" s="309"/>
      <c r="O1360" s="366"/>
      <c r="P1360" s="418"/>
      <c r="Q1360" s="305"/>
      <c r="R1360" s="410"/>
      <c r="S1360" s="309">
        <v>42</v>
      </c>
    </row>
    <row r="1361" spans="1:19" ht="15">
      <c r="A1361" s="398"/>
      <c r="B1361" s="407" t="s">
        <v>507</v>
      </c>
      <c r="C1361" s="366">
        <f t="shared" si="89"/>
        <v>0</v>
      </c>
      <c r="D1361" s="366"/>
      <c r="E1361" s="305"/>
      <c r="F1361" s="366"/>
      <c r="G1361" s="366"/>
      <c r="H1361" s="305"/>
      <c r="I1361" s="366"/>
      <c r="J1361" s="366"/>
      <c r="K1361" s="309"/>
      <c r="L1361" s="366"/>
      <c r="M1361" s="366"/>
      <c r="N1361" s="309"/>
      <c r="O1361" s="366"/>
      <c r="P1361" s="418"/>
      <c r="Q1361" s="305"/>
      <c r="R1361" s="410"/>
      <c r="S1361" s="309">
        <v>20</v>
      </c>
    </row>
    <row r="1362" spans="1:19" ht="15">
      <c r="A1362" s="400" t="s">
        <v>1174</v>
      </c>
      <c r="B1362" s="413">
        <v>191279</v>
      </c>
      <c r="C1362" s="366">
        <f t="shared" si="89"/>
        <v>2607.0100000000002</v>
      </c>
      <c r="D1362" s="432">
        <v>2607.0100000000002</v>
      </c>
      <c r="E1362" s="433" t="s">
        <v>1193</v>
      </c>
      <c r="F1362" s="434">
        <v>355.58</v>
      </c>
      <c r="G1362" s="366"/>
      <c r="H1362" s="305"/>
      <c r="I1362" s="366"/>
      <c r="J1362" s="366"/>
      <c r="K1362" s="305"/>
      <c r="L1362" s="366"/>
      <c r="M1362" s="366"/>
      <c r="N1362" s="309"/>
      <c r="O1362" s="366"/>
      <c r="P1362" s="345"/>
      <c r="Q1362" s="305"/>
      <c r="R1362" s="410"/>
      <c r="S1362" s="309">
        <v>46</v>
      </c>
    </row>
    <row r="1363" spans="1:19" ht="15">
      <c r="A1363" s="398" t="s">
        <v>1176</v>
      </c>
      <c r="B1363" s="413">
        <v>191280</v>
      </c>
      <c r="C1363" s="366">
        <f t="shared" si="89"/>
        <v>2228.48</v>
      </c>
      <c r="D1363" s="432">
        <v>2228.48</v>
      </c>
      <c r="E1363" s="433" t="s">
        <v>1194</v>
      </c>
      <c r="F1363" s="434">
        <v>460.23</v>
      </c>
      <c r="G1363" s="366"/>
      <c r="H1363" s="305"/>
      <c r="I1363" s="366"/>
      <c r="J1363" s="366"/>
      <c r="K1363" s="309"/>
      <c r="L1363" s="366"/>
      <c r="M1363" s="366"/>
      <c r="N1363" s="309"/>
      <c r="O1363" s="366"/>
      <c r="P1363" s="418"/>
      <c r="Q1363" s="305"/>
      <c r="R1363" s="410"/>
      <c r="S1363" s="309">
        <v>68</v>
      </c>
    </row>
    <row r="1364" spans="1:19" ht="15">
      <c r="A1364" s="398"/>
      <c r="B1364" s="413">
        <v>191281</v>
      </c>
      <c r="C1364" s="366">
        <f t="shared" si="89"/>
        <v>0</v>
      </c>
      <c r="D1364" s="366"/>
      <c r="E1364" s="305"/>
      <c r="F1364" s="366"/>
      <c r="G1364" s="366"/>
      <c r="H1364" s="305"/>
      <c r="I1364" s="366"/>
      <c r="J1364" s="366"/>
      <c r="K1364" s="309"/>
      <c r="L1364" s="366"/>
      <c r="M1364" s="366"/>
      <c r="N1364" s="309"/>
      <c r="O1364" s="366"/>
      <c r="P1364" s="418"/>
      <c r="Q1364" s="305"/>
      <c r="R1364" s="410"/>
      <c r="S1364" s="309">
        <v>46</v>
      </c>
    </row>
    <row r="1365" spans="1:19" ht="15">
      <c r="A1365" s="431" t="s">
        <v>634</v>
      </c>
      <c r="B1365" s="413">
        <v>191283</v>
      </c>
      <c r="C1365" s="366">
        <f t="shared" si="89"/>
        <v>1949.77</v>
      </c>
      <c r="D1365" s="432">
        <v>1949.77</v>
      </c>
      <c r="E1365" s="433" t="s">
        <v>1195</v>
      </c>
      <c r="F1365" s="434">
        <v>282.73</v>
      </c>
      <c r="G1365" s="366"/>
      <c r="H1365" s="305"/>
      <c r="I1365" s="366"/>
      <c r="J1365" s="366"/>
      <c r="K1365" s="309"/>
      <c r="L1365" s="366"/>
      <c r="M1365" s="366"/>
      <c r="N1365" s="309"/>
      <c r="O1365" s="366"/>
      <c r="P1365" s="418"/>
      <c r="Q1365" s="305"/>
      <c r="R1365" s="410"/>
      <c r="S1365" s="309">
        <v>88</v>
      </c>
    </row>
    <row r="1366" spans="1:19" ht="15">
      <c r="A1366" s="398"/>
      <c r="B1366" s="413">
        <v>465180</v>
      </c>
      <c r="C1366" s="366">
        <f t="shared" si="89"/>
        <v>0</v>
      </c>
      <c r="D1366" s="366"/>
      <c r="E1366" s="305"/>
      <c r="F1366" s="366"/>
      <c r="G1366" s="366"/>
      <c r="H1366" s="305"/>
      <c r="I1366" s="366"/>
      <c r="J1366" s="366"/>
      <c r="K1366" s="309"/>
      <c r="L1366" s="366"/>
      <c r="M1366" s="366"/>
      <c r="N1366" s="309"/>
      <c r="O1366" s="366"/>
      <c r="P1366" s="418"/>
      <c r="Q1366" s="305"/>
      <c r="R1366" s="410"/>
      <c r="S1366" s="309">
        <v>96</v>
      </c>
    </row>
    <row r="1367" spans="1:19" ht="15">
      <c r="A1367" s="398" t="s">
        <v>1121</v>
      </c>
      <c r="B1367" s="413">
        <v>465181</v>
      </c>
      <c r="C1367" s="366">
        <f t="shared" si="89"/>
        <v>1634.91</v>
      </c>
      <c r="D1367" s="432">
        <v>1634.91</v>
      </c>
      <c r="E1367" s="433" t="s">
        <v>1196</v>
      </c>
      <c r="F1367" s="434">
        <v>223.73</v>
      </c>
      <c r="G1367" s="366"/>
      <c r="H1367" s="305"/>
      <c r="I1367" s="366"/>
      <c r="J1367" s="366"/>
      <c r="K1367" s="309"/>
      <c r="L1367" s="366"/>
      <c r="M1367" s="366"/>
      <c r="N1367" s="309"/>
      <c r="O1367" s="366"/>
      <c r="P1367" s="418"/>
      <c r="Q1367" s="305"/>
      <c r="R1367" s="410"/>
      <c r="S1367" s="309">
        <v>100</v>
      </c>
    </row>
    <row r="1368" spans="1:19" ht="15">
      <c r="A1368" s="398" t="s">
        <v>14</v>
      </c>
      <c r="B1368" s="413">
        <v>465183</v>
      </c>
      <c r="C1368" s="366">
        <f t="shared" si="89"/>
        <v>1971.61</v>
      </c>
      <c r="D1368" s="432">
        <v>1971.61</v>
      </c>
      <c r="E1368" s="433" t="s">
        <v>1197</v>
      </c>
      <c r="F1368" s="434">
        <v>344.49</v>
      </c>
      <c r="G1368" s="366"/>
      <c r="H1368" s="305"/>
      <c r="I1368" s="366"/>
      <c r="J1368" s="366"/>
      <c r="K1368" s="309"/>
      <c r="L1368" s="366"/>
      <c r="M1368" s="366"/>
      <c r="N1368" s="309"/>
      <c r="O1368" s="366"/>
      <c r="P1368" s="418"/>
      <c r="Q1368" s="305"/>
      <c r="R1368" s="410"/>
      <c r="S1368" s="309">
        <v>81</v>
      </c>
    </row>
    <row r="1369" spans="1:19" ht="15">
      <c r="A1369" s="398"/>
      <c r="B1369" s="413">
        <v>465184</v>
      </c>
      <c r="C1369" s="366">
        <f t="shared" si="89"/>
        <v>0</v>
      </c>
      <c r="D1369" s="366"/>
      <c r="E1369" s="305"/>
      <c r="F1369" s="366"/>
      <c r="G1369" s="366"/>
      <c r="H1369" s="305"/>
      <c r="I1369" s="366"/>
      <c r="J1369" s="366"/>
      <c r="K1369" s="309"/>
      <c r="L1369" s="366"/>
      <c r="M1369" s="366"/>
      <c r="N1369" s="309"/>
      <c r="O1369" s="366"/>
      <c r="P1369" s="418"/>
      <c r="Q1369" s="305"/>
      <c r="R1369" s="410"/>
      <c r="S1369" s="309"/>
    </row>
    <row r="1370" spans="1:19" ht="15">
      <c r="A1370" s="398"/>
      <c r="B1370" s="413">
        <v>465185</v>
      </c>
      <c r="C1370" s="366">
        <f t="shared" si="89"/>
        <v>0</v>
      </c>
      <c r="D1370" s="366"/>
      <c r="E1370" s="305"/>
      <c r="F1370" s="366"/>
      <c r="G1370" s="366"/>
      <c r="H1370" s="305"/>
      <c r="I1370" s="366"/>
      <c r="J1370" s="366"/>
      <c r="K1370" s="309"/>
      <c r="L1370" s="366"/>
      <c r="M1370" s="366"/>
      <c r="N1370" s="309"/>
      <c r="O1370" s="366"/>
      <c r="P1370" s="418"/>
      <c r="Q1370" s="305"/>
      <c r="R1370" s="410"/>
      <c r="S1370" s="309">
        <v>66</v>
      </c>
    </row>
    <row r="1371" spans="1:19" ht="15">
      <c r="A1371" s="398" t="s">
        <v>1147</v>
      </c>
      <c r="B1371" s="413">
        <v>465186</v>
      </c>
      <c r="C1371" s="366">
        <f t="shared" si="89"/>
        <v>1628.96</v>
      </c>
      <c r="D1371" s="432">
        <v>1628.96</v>
      </c>
      <c r="E1371" s="433" t="s">
        <v>1198</v>
      </c>
      <c r="F1371" s="434">
        <v>118.92</v>
      </c>
      <c r="G1371" s="366"/>
      <c r="H1371" s="305"/>
      <c r="I1371" s="366"/>
      <c r="J1371" s="366"/>
      <c r="K1371" s="309"/>
      <c r="L1371" s="366"/>
      <c r="M1371" s="366"/>
      <c r="N1371" s="309"/>
      <c r="O1371" s="366"/>
      <c r="P1371" s="418"/>
      <c r="Q1371" s="305"/>
      <c r="R1371" s="410"/>
      <c r="S1371" s="309">
        <v>100</v>
      </c>
    </row>
    <row r="1372" spans="1:19" ht="15">
      <c r="A1372" s="398" t="s">
        <v>192</v>
      </c>
      <c r="B1372" s="413">
        <v>465187</v>
      </c>
      <c r="C1372" s="366">
        <f t="shared" si="89"/>
        <v>1288.75</v>
      </c>
      <c r="D1372" s="432">
        <v>1288.75</v>
      </c>
      <c r="E1372" s="433" t="s">
        <v>1199</v>
      </c>
      <c r="F1372" s="434">
        <v>86.7</v>
      </c>
      <c r="G1372" s="366"/>
      <c r="H1372" s="305"/>
      <c r="I1372" s="366"/>
      <c r="J1372" s="366"/>
      <c r="K1372" s="309"/>
      <c r="L1372" s="366"/>
      <c r="M1372" s="366"/>
      <c r="N1372" s="309"/>
      <c r="O1372" s="366"/>
      <c r="P1372" s="418"/>
      <c r="Q1372" s="305"/>
      <c r="R1372" s="410"/>
      <c r="S1372" s="309">
        <v>100</v>
      </c>
    </row>
    <row r="1373" spans="1:19" ht="15">
      <c r="A1373" s="398" t="s">
        <v>62</v>
      </c>
      <c r="B1373" s="413">
        <v>465188</v>
      </c>
      <c r="C1373" s="366">
        <f t="shared" si="89"/>
        <v>1721.08</v>
      </c>
      <c r="D1373" s="432">
        <v>1721.08</v>
      </c>
      <c r="E1373" s="433" t="s">
        <v>1200</v>
      </c>
      <c r="F1373" s="434">
        <v>273.22000000000003</v>
      </c>
      <c r="G1373" s="366"/>
      <c r="H1373" s="305"/>
      <c r="I1373" s="366"/>
      <c r="J1373" s="366"/>
      <c r="K1373" s="309"/>
      <c r="L1373" s="366"/>
      <c r="M1373" s="366"/>
      <c r="N1373" s="309"/>
      <c r="O1373" s="366"/>
      <c r="P1373" s="418"/>
      <c r="Q1373" s="305"/>
      <c r="R1373" s="410"/>
      <c r="S1373" s="309">
        <v>64</v>
      </c>
    </row>
    <row r="1374" spans="1:19" ht="15">
      <c r="A1374" s="441" t="s">
        <v>411</v>
      </c>
      <c r="B1374" s="413">
        <v>191275</v>
      </c>
      <c r="C1374" s="366">
        <f t="shared" si="89"/>
        <v>804.79</v>
      </c>
      <c r="D1374" s="366">
        <v>804.79</v>
      </c>
      <c r="E1374" s="305">
        <v>227.19</v>
      </c>
      <c r="F1374" s="366">
        <v>0</v>
      </c>
      <c r="G1374" s="366"/>
      <c r="H1374" s="305"/>
      <c r="I1374" s="366"/>
      <c r="J1374" s="366"/>
      <c r="K1374" s="309"/>
      <c r="L1374" s="366"/>
      <c r="M1374" s="366"/>
      <c r="N1374" s="309"/>
      <c r="O1374" s="366"/>
      <c r="P1374" s="418"/>
      <c r="Q1374" s="305"/>
      <c r="R1374" s="410"/>
      <c r="S1374" s="309">
        <v>100</v>
      </c>
    </row>
    <row r="1375" spans="1:19" ht="15">
      <c r="A1375" s="439" t="s">
        <v>40</v>
      </c>
      <c r="B1375" s="413">
        <v>191282</v>
      </c>
      <c r="C1375" s="366">
        <f t="shared" si="89"/>
        <v>2132.17</v>
      </c>
      <c r="D1375" s="366">
        <v>2132.17</v>
      </c>
      <c r="E1375" s="305">
        <v>561.98</v>
      </c>
      <c r="F1375" s="366">
        <v>87.77</v>
      </c>
      <c r="G1375" s="366"/>
      <c r="H1375" s="305"/>
      <c r="I1375" s="366"/>
      <c r="J1375" s="366"/>
      <c r="K1375" s="309"/>
      <c r="L1375" s="366"/>
      <c r="M1375" s="366"/>
      <c r="N1375" s="309"/>
      <c r="O1375" s="366"/>
      <c r="P1375" s="418"/>
      <c r="Q1375" s="305"/>
      <c r="R1375" s="410"/>
      <c r="S1375" s="309" t="s">
        <v>1201</v>
      </c>
    </row>
    <row r="1376" spans="1:19" ht="15">
      <c r="A1376" s="429" t="s">
        <v>349</v>
      </c>
      <c r="B1376" s="413">
        <v>465182</v>
      </c>
      <c r="C1376" s="366">
        <f t="shared" si="89"/>
        <v>1919.72</v>
      </c>
      <c r="D1376" s="366">
        <v>1919.72</v>
      </c>
      <c r="E1376" s="305">
        <v>559.38</v>
      </c>
      <c r="F1376" s="366">
        <v>59.42</v>
      </c>
      <c r="G1376" s="366"/>
      <c r="H1376" s="305"/>
      <c r="I1376" s="366"/>
      <c r="J1376" s="366"/>
      <c r="K1376" s="309"/>
      <c r="L1376" s="366"/>
      <c r="M1376" s="366"/>
      <c r="N1376" s="309"/>
      <c r="O1376" s="366"/>
      <c r="P1376" s="418"/>
      <c r="Q1376" s="305"/>
      <c r="R1376" s="410"/>
      <c r="S1376" s="309">
        <v>89</v>
      </c>
    </row>
    <row r="1377" spans="1:19" ht="15">
      <c r="A1377" s="408" t="s">
        <v>408</v>
      </c>
      <c r="B1377" s="413">
        <v>1122</v>
      </c>
      <c r="C1377" s="366">
        <f t="shared" si="89"/>
        <v>0</v>
      </c>
      <c r="D1377" s="366"/>
      <c r="E1377" s="305"/>
      <c r="F1377" s="366"/>
      <c r="G1377" s="366"/>
      <c r="H1377" s="305"/>
      <c r="I1377" s="366"/>
      <c r="J1377" s="366"/>
      <c r="K1377" s="309"/>
      <c r="L1377" s="366"/>
      <c r="M1377" s="366"/>
      <c r="N1377" s="309"/>
      <c r="O1377" s="366"/>
      <c r="P1377" s="426"/>
      <c r="Q1377" s="305"/>
      <c r="R1377" s="410"/>
      <c r="S1377" s="309"/>
    </row>
    <row r="1378" spans="1:19" ht="15">
      <c r="A1378" s="408" t="s">
        <v>386</v>
      </c>
      <c r="B1378" s="413">
        <v>218</v>
      </c>
      <c r="C1378" s="366">
        <f t="shared" si="89"/>
        <v>1431.98</v>
      </c>
      <c r="D1378" s="366">
        <v>1431.98</v>
      </c>
      <c r="E1378" s="305">
        <v>406.24</v>
      </c>
      <c r="F1378" s="366">
        <v>73.45</v>
      </c>
      <c r="G1378" s="366"/>
      <c r="H1378" s="305"/>
      <c r="I1378" s="366"/>
      <c r="J1378" s="366"/>
      <c r="K1378" s="309"/>
      <c r="L1378" s="366"/>
      <c r="M1378" s="366"/>
      <c r="N1378" s="309"/>
      <c r="O1378" s="366"/>
      <c r="P1378" s="426"/>
      <c r="Q1378" s="305"/>
      <c r="R1378" s="410"/>
      <c r="S1378" s="309">
        <v>100</v>
      </c>
    </row>
    <row r="1379" spans="1:19" ht="15">
      <c r="A1379" s="408" t="s">
        <v>1042</v>
      </c>
      <c r="B1379" s="407" t="s">
        <v>362</v>
      </c>
      <c r="C1379" s="366">
        <f t="shared" si="89"/>
        <v>0</v>
      </c>
      <c r="D1379" s="366"/>
      <c r="E1379" s="305"/>
      <c r="F1379" s="366"/>
      <c r="G1379" s="366"/>
      <c r="H1379" s="305"/>
      <c r="I1379" s="366"/>
      <c r="J1379" s="366"/>
      <c r="K1379" s="309"/>
      <c r="L1379" s="366"/>
      <c r="M1379" s="366"/>
      <c r="N1379" s="309"/>
      <c r="O1379" s="366"/>
      <c r="P1379" s="409"/>
      <c r="Q1379" s="305"/>
      <c r="R1379" s="410"/>
      <c r="S1379" s="309">
        <v>24</v>
      </c>
    </row>
    <row r="1380" spans="1:19" ht="15">
      <c r="A1380" s="408" t="s">
        <v>1041</v>
      </c>
      <c r="B1380" s="407" t="s">
        <v>1068</v>
      </c>
      <c r="C1380" s="366">
        <f t="shared" si="89"/>
        <v>1285</v>
      </c>
      <c r="D1380" s="411">
        <v>1285</v>
      </c>
      <c r="E1380" s="305">
        <v>386.99</v>
      </c>
      <c r="F1380" s="366">
        <v>0</v>
      </c>
      <c r="G1380" s="411"/>
      <c r="H1380" s="305"/>
      <c r="I1380" s="366"/>
      <c r="J1380" s="366"/>
      <c r="K1380" s="305"/>
      <c r="L1380" s="366"/>
      <c r="M1380" s="366"/>
      <c r="N1380" s="309"/>
      <c r="O1380" s="366"/>
      <c r="P1380" s="409"/>
      <c r="Q1380" s="305"/>
      <c r="R1380" s="410"/>
      <c r="S1380" s="309"/>
    </row>
    <row r="1381" spans="1:19" ht="15">
      <c r="A1381" s="408" t="s">
        <v>1043</v>
      </c>
      <c r="B1381" s="407" t="s">
        <v>1069</v>
      </c>
      <c r="C1381" s="366">
        <f t="shared" si="89"/>
        <v>0</v>
      </c>
      <c r="D1381" s="411"/>
      <c r="E1381" s="305"/>
      <c r="F1381" s="366"/>
      <c r="G1381" s="411"/>
      <c r="H1381" s="305"/>
      <c r="I1381" s="366"/>
      <c r="J1381" s="366"/>
      <c r="K1381" s="305"/>
      <c r="L1381" s="366"/>
      <c r="M1381" s="366"/>
      <c r="N1381" s="309"/>
      <c r="O1381" s="366"/>
      <c r="P1381" s="409"/>
      <c r="Q1381" s="305"/>
      <c r="R1381" s="410"/>
      <c r="S1381" s="309">
        <v>24</v>
      </c>
    </row>
    <row r="1382" spans="1:19" ht="15">
      <c r="A1382" s="408" t="s">
        <v>901</v>
      </c>
      <c r="B1382" s="407" t="s">
        <v>1152</v>
      </c>
      <c r="C1382" s="366">
        <f t="shared" si="89"/>
        <v>739.07</v>
      </c>
      <c r="D1382" s="411">
        <v>739.07</v>
      </c>
      <c r="E1382" s="305">
        <v>184.17</v>
      </c>
      <c r="F1382" s="366">
        <v>103.33</v>
      </c>
      <c r="G1382" s="411"/>
      <c r="H1382" s="305"/>
      <c r="I1382" s="366"/>
      <c r="J1382" s="366"/>
      <c r="K1382" s="305"/>
      <c r="L1382" s="366"/>
      <c r="M1382" s="366"/>
      <c r="N1382" s="309"/>
      <c r="O1382" s="366"/>
      <c r="P1382" s="409"/>
      <c r="Q1382" s="305"/>
      <c r="R1382" s="410"/>
      <c r="S1382" s="309">
        <v>22</v>
      </c>
    </row>
    <row r="1383" spans="1:19" ht="13">
      <c r="A1383" s="470" t="s">
        <v>860</v>
      </c>
      <c r="B1383" s="471"/>
      <c r="C1383" s="422" t="s">
        <v>89</v>
      </c>
      <c r="D1383" s="324" t="s">
        <v>676</v>
      </c>
      <c r="E1383" s="325" t="s">
        <v>861</v>
      </c>
      <c r="F1383" s="355" t="s">
        <v>862</v>
      </c>
      <c r="G1383" s="324" t="s">
        <v>676</v>
      </c>
      <c r="H1383" s="325" t="s">
        <v>861</v>
      </c>
      <c r="I1383" s="355" t="s">
        <v>862</v>
      </c>
      <c r="J1383" s="324" t="s">
        <v>676</v>
      </c>
      <c r="K1383" s="325" t="s">
        <v>861</v>
      </c>
      <c r="L1383" s="355" t="s">
        <v>862</v>
      </c>
      <c r="M1383" s="324" t="s">
        <v>676</v>
      </c>
      <c r="N1383" s="325" t="s">
        <v>861</v>
      </c>
      <c r="O1383" s="355" t="s">
        <v>862</v>
      </c>
      <c r="P1383" s="324" t="s">
        <v>881</v>
      </c>
      <c r="Q1383" s="325" t="s">
        <v>861</v>
      </c>
      <c r="R1383" s="325" t="s">
        <v>865</v>
      </c>
      <c r="S1383" s="412" t="s">
        <v>1031</v>
      </c>
    </row>
    <row r="1384" spans="1:19" ht="13">
      <c r="A1384" s="470" t="s">
        <v>863</v>
      </c>
      <c r="B1384" s="471"/>
      <c r="C1384" s="326">
        <f>SUM(C1366:C1381)</f>
        <v>15818.969999999998</v>
      </c>
      <c r="D1384" s="326">
        <f>SUM(D1366:D1373)+SUM(G1366:G1379)+SUM(J1366:J1379)</f>
        <v>8245.31</v>
      </c>
      <c r="E1384" s="327">
        <f>SUM(E1366:E1373)+SUM(H1366:H1373)+SUM(K1366:K1373)+SUM(N1366:N1373)</f>
        <v>0</v>
      </c>
      <c r="F1384" s="328">
        <f>SUM(F1366:F1373)</f>
        <v>1047.06</v>
      </c>
      <c r="G1384" s="329"/>
      <c r="H1384" s="329"/>
      <c r="I1384" s="329"/>
      <c r="J1384" s="329"/>
      <c r="K1384" s="329"/>
      <c r="L1384" s="329"/>
      <c r="M1384" s="329"/>
      <c r="N1384" s="329"/>
      <c r="O1384" s="329"/>
      <c r="P1384" s="329"/>
      <c r="Q1384" s="329"/>
      <c r="R1384" s="329"/>
    </row>
    <row r="1386" spans="1:19" ht="13">
      <c r="A1386" s="476" t="s">
        <v>1202</v>
      </c>
      <c r="B1386" s="466"/>
      <c r="C1386" s="466"/>
      <c r="D1386" s="466"/>
      <c r="E1386" s="466"/>
      <c r="F1386" s="466"/>
      <c r="G1386" s="466"/>
      <c r="H1386" s="466"/>
      <c r="I1386" s="466"/>
      <c r="J1386" s="466"/>
      <c r="K1386" s="466"/>
      <c r="L1386" s="466"/>
      <c r="M1386" s="466"/>
      <c r="N1386" s="466"/>
      <c r="O1386" s="466"/>
      <c r="P1386" s="466"/>
      <c r="Q1386" s="466"/>
      <c r="R1386" s="466"/>
      <c r="S1386" s="466"/>
    </row>
    <row r="1387" spans="1:19" ht="13">
      <c r="A1387" s="356" t="s">
        <v>849</v>
      </c>
      <c r="B1387" s="356" t="s">
        <v>1</v>
      </c>
      <c r="C1387" s="356" t="s">
        <v>89</v>
      </c>
      <c r="D1387" s="473" t="s">
        <v>850</v>
      </c>
      <c r="E1387" s="466"/>
      <c r="F1387" s="467"/>
      <c r="G1387" s="465" t="s">
        <v>852</v>
      </c>
      <c r="H1387" s="466"/>
      <c r="I1387" s="467"/>
      <c r="J1387" s="465" t="s">
        <v>1013</v>
      </c>
      <c r="K1387" s="466"/>
      <c r="L1387" s="467"/>
      <c r="M1387" s="465" t="s">
        <v>1093</v>
      </c>
      <c r="N1387" s="466"/>
      <c r="O1387" s="467"/>
      <c r="P1387" s="465" t="s">
        <v>865</v>
      </c>
      <c r="Q1387" s="466"/>
      <c r="R1387" s="467"/>
      <c r="S1387" s="356" t="s">
        <v>1028</v>
      </c>
    </row>
    <row r="1388" spans="1:19" ht="15">
      <c r="A1388" s="398" t="s">
        <v>1124</v>
      </c>
      <c r="B1388" s="413">
        <v>191274</v>
      </c>
      <c r="C1388" s="366">
        <f t="shared" ref="C1388:C1413" si="90">D1388+G1388+J1388</f>
        <v>2236.83</v>
      </c>
      <c r="D1388" s="432">
        <v>2236.83</v>
      </c>
      <c r="E1388" s="433" t="s">
        <v>1203</v>
      </c>
      <c r="F1388" s="434">
        <v>188.78</v>
      </c>
      <c r="G1388" s="366"/>
      <c r="H1388" s="305"/>
      <c r="I1388" s="366"/>
      <c r="J1388" s="366"/>
      <c r="K1388" s="309"/>
      <c r="L1388" s="366"/>
      <c r="M1388" s="366"/>
      <c r="N1388" s="309"/>
      <c r="O1388" s="366"/>
      <c r="P1388" s="418"/>
      <c r="Q1388" s="305"/>
      <c r="R1388" s="410"/>
      <c r="S1388" s="309">
        <v>34</v>
      </c>
    </row>
    <row r="1389" spans="1:19" ht="15">
      <c r="A1389" s="400" t="s">
        <v>1190</v>
      </c>
      <c r="B1389" s="413">
        <v>465189</v>
      </c>
      <c r="C1389" s="366">
        <f t="shared" si="90"/>
        <v>1935.7</v>
      </c>
      <c r="D1389" s="432">
        <v>1935.7</v>
      </c>
      <c r="E1389" s="433" t="s">
        <v>1204</v>
      </c>
      <c r="F1389" s="434">
        <v>48.93</v>
      </c>
      <c r="G1389" s="366"/>
      <c r="H1389" s="305"/>
      <c r="I1389" s="366"/>
      <c r="J1389" s="366"/>
      <c r="K1389" s="309"/>
      <c r="L1389" s="366"/>
      <c r="M1389" s="366"/>
      <c r="N1389" s="309"/>
      <c r="O1389" s="366"/>
      <c r="P1389" s="418"/>
      <c r="Q1389" s="305"/>
      <c r="R1389" s="410"/>
      <c r="S1389" s="309">
        <v>31</v>
      </c>
    </row>
    <row r="1390" spans="1:19" ht="15">
      <c r="A1390" s="431" t="s">
        <v>393</v>
      </c>
      <c r="B1390" s="413">
        <v>191276</v>
      </c>
      <c r="C1390" s="366">
        <f t="shared" si="90"/>
        <v>0</v>
      </c>
      <c r="D1390" s="366"/>
      <c r="E1390" s="305"/>
      <c r="F1390" s="366"/>
      <c r="G1390" s="366"/>
      <c r="H1390" s="305"/>
      <c r="I1390" s="366"/>
      <c r="J1390" s="366"/>
      <c r="K1390" s="309"/>
      <c r="L1390" s="366"/>
      <c r="M1390" s="366"/>
      <c r="N1390" s="309"/>
      <c r="O1390" s="366"/>
      <c r="P1390" s="418"/>
      <c r="Q1390" s="305"/>
      <c r="R1390" s="410"/>
      <c r="S1390" s="309">
        <v>33</v>
      </c>
    </row>
    <row r="1391" spans="1:19" ht="15">
      <c r="A1391" s="431" t="s">
        <v>75</v>
      </c>
      <c r="B1391" s="413">
        <v>191277</v>
      </c>
      <c r="C1391" s="366">
        <f t="shared" si="90"/>
        <v>1799.48</v>
      </c>
      <c r="D1391" s="432">
        <v>1799.48</v>
      </c>
      <c r="E1391" s="433" t="s">
        <v>1205</v>
      </c>
      <c r="F1391" s="434">
        <v>338.32</v>
      </c>
      <c r="G1391" s="366"/>
      <c r="H1391" s="305"/>
      <c r="I1391" s="366"/>
      <c r="J1391" s="366"/>
      <c r="K1391" s="309"/>
      <c r="L1391" s="366"/>
      <c r="M1391" s="366"/>
      <c r="N1391" s="309"/>
      <c r="O1391" s="366"/>
      <c r="P1391" s="418"/>
      <c r="Q1391" s="305"/>
      <c r="R1391" s="410"/>
      <c r="S1391" s="309">
        <v>73</v>
      </c>
    </row>
    <row r="1392" spans="1:19" ht="15">
      <c r="A1392" s="398"/>
      <c r="B1392" s="407" t="s">
        <v>507</v>
      </c>
      <c r="C1392" s="366">
        <f t="shared" si="90"/>
        <v>0</v>
      </c>
      <c r="D1392" s="366"/>
      <c r="E1392" s="305"/>
      <c r="F1392" s="366"/>
      <c r="G1392" s="366"/>
      <c r="H1392" s="305"/>
      <c r="I1392" s="366"/>
      <c r="J1392" s="366"/>
      <c r="K1392" s="309"/>
      <c r="L1392" s="366"/>
      <c r="M1392" s="366"/>
      <c r="N1392" s="309"/>
      <c r="O1392" s="366"/>
      <c r="P1392" s="418"/>
      <c r="Q1392" s="305"/>
      <c r="R1392" s="410"/>
      <c r="S1392" s="309">
        <v>21</v>
      </c>
    </row>
    <row r="1393" spans="1:19" ht="15">
      <c r="A1393" s="400" t="s">
        <v>1174</v>
      </c>
      <c r="B1393" s="413">
        <v>191279</v>
      </c>
      <c r="C1393" s="366">
        <f t="shared" si="90"/>
        <v>909.95</v>
      </c>
      <c r="D1393" s="432">
        <v>909.95</v>
      </c>
      <c r="E1393" s="433" t="s">
        <v>1206</v>
      </c>
      <c r="F1393" s="434">
        <v>127.8</v>
      </c>
      <c r="G1393" s="366"/>
      <c r="H1393" s="305"/>
      <c r="I1393" s="366"/>
      <c r="J1393" s="366"/>
      <c r="K1393" s="305"/>
      <c r="L1393" s="366"/>
      <c r="M1393" s="366"/>
      <c r="N1393" s="309"/>
      <c r="O1393" s="366"/>
      <c r="P1393" s="345"/>
      <c r="Q1393" s="305"/>
      <c r="R1393" s="410"/>
      <c r="S1393" s="309">
        <v>100</v>
      </c>
    </row>
    <row r="1394" spans="1:19" ht="15">
      <c r="A1394" s="398" t="s">
        <v>1176</v>
      </c>
      <c r="B1394" s="413">
        <v>191280</v>
      </c>
      <c r="C1394" s="366">
        <f t="shared" si="90"/>
        <v>1708.16</v>
      </c>
      <c r="D1394" s="432">
        <v>1708.16</v>
      </c>
      <c r="E1394" s="433" t="s">
        <v>1207</v>
      </c>
      <c r="F1394" s="434">
        <v>261.56</v>
      </c>
      <c r="G1394" s="366"/>
      <c r="H1394" s="305"/>
      <c r="I1394" s="366"/>
      <c r="J1394" s="366"/>
      <c r="K1394" s="309"/>
      <c r="L1394" s="366"/>
      <c r="M1394" s="366"/>
      <c r="N1394" s="309"/>
      <c r="O1394" s="366"/>
      <c r="P1394" s="418"/>
      <c r="Q1394" s="305"/>
      <c r="R1394" s="410"/>
      <c r="S1394" s="309">
        <v>62</v>
      </c>
    </row>
    <row r="1395" spans="1:19" ht="15">
      <c r="A1395" s="398"/>
      <c r="B1395" s="413">
        <v>191281</v>
      </c>
      <c r="C1395" s="366">
        <f t="shared" si="90"/>
        <v>0</v>
      </c>
      <c r="D1395" s="366"/>
      <c r="E1395" s="305"/>
      <c r="F1395" s="366"/>
      <c r="G1395" s="366"/>
      <c r="H1395" s="305"/>
      <c r="I1395" s="366"/>
      <c r="J1395" s="366"/>
      <c r="K1395" s="309"/>
      <c r="L1395" s="366"/>
      <c r="M1395" s="366"/>
      <c r="N1395" s="309"/>
      <c r="O1395" s="366"/>
      <c r="P1395" s="418"/>
      <c r="Q1395" s="305"/>
      <c r="R1395" s="410"/>
      <c r="S1395" s="309">
        <v>38</v>
      </c>
    </row>
    <row r="1396" spans="1:19" ht="15">
      <c r="A1396" s="431"/>
      <c r="B1396" s="413">
        <v>191282</v>
      </c>
      <c r="C1396" s="366">
        <f t="shared" si="90"/>
        <v>0</v>
      </c>
      <c r="D1396" s="366"/>
      <c r="E1396" s="305"/>
      <c r="F1396" s="366"/>
      <c r="G1396" s="366"/>
      <c r="H1396" s="305"/>
      <c r="I1396" s="366"/>
      <c r="J1396" s="366"/>
      <c r="K1396" s="309"/>
      <c r="L1396" s="366"/>
      <c r="M1396" s="366"/>
      <c r="N1396" s="309"/>
      <c r="O1396" s="366"/>
      <c r="P1396" s="418"/>
      <c r="Q1396" s="305"/>
      <c r="R1396" s="410"/>
      <c r="S1396" s="309"/>
    </row>
    <row r="1397" spans="1:19" ht="15">
      <c r="A1397" s="431" t="s">
        <v>634</v>
      </c>
      <c r="B1397" s="413">
        <v>191283</v>
      </c>
      <c r="C1397" s="366">
        <f t="shared" si="90"/>
        <v>1999.48</v>
      </c>
      <c r="D1397" s="432">
        <v>1999.48</v>
      </c>
      <c r="E1397" s="433" t="s">
        <v>1208</v>
      </c>
      <c r="F1397" s="434">
        <v>371.36</v>
      </c>
      <c r="G1397" s="366"/>
      <c r="H1397" s="305"/>
      <c r="I1397" s="366"/>
      <c r="J1397" s="366"/>
      <c r="K1397" s="309"/>
      <c r="L1397" s="366"/>
      <c r="M1397" s="366"/>
      <c r="N1397" s="309"/>
      <c r="O1397" s="366"/>
      <c r="P1397" s="418"/>
      <c r="Q1397" s="305"/>
      <c r="R1397" s="410"/>
      <c r="S1397" s="309">
        <v>93</v>
      </c>
    </row>
    <row r="1398" spans="1:19" ht="15">
      <c r="A1398" s="398" t="s">
        <v>319</v>
      </c>
      <c r="B1398" s="413">
        <v>465180</v>
      </c>
      <c r="C1398" s="366">
        <f t="shared" si="90"/>
        <v>0</v>
      </c>
      <c r="D1398" s="366"/>
      <c r="E1398" s="305"/>
      <c r="F1398" s="366"/>
      <c r="G1398" s="366"/>
      <c r="H1398" s="305"/>
      <c r="I1398" s="366"/>
      <c r="J1398" s="366"/>
      <c r="K1398" s="309"/>
      <c r="L1398" s="366"/>
      <c r="M1398" s="366"/>
      <c r="N1398" s="309"/>
      <c r="O1398" s="366"/>
      <c r="P1398" s="418"/>
      <c r="Q1398" s="305"/>
      <c r="R1398" s="410"/>
      <c r="S1398" s="309">
        <v>88</v>
      </c>
    </row>
    <row r="1399" spans="1:19" ht="15">
      <c r="A1399" s="398" t="s">
        <v>1121</v>
      </c>
      <c r="B1399" s="413">
        <v>465181</v>
      </c>
      <c r="C1399" s="366">
        <f t="shared" si="90"/>
        <v>2560.08</v>
      </c>
      <c r="D1399" s="432">
        <v>2560.08</v>
      </c>
      <c r="E1399" s="433" t="s">
        <v>1209</v>
      </c>
      <c r="F1399" s="434">
        <v>277.3</v>
      </c>
      <c r="G1399" s="366"/>
      <c r="H1399" s="305"/>
      <c r="I1399" s="366"/>
      <c r="J1399" s="366"/>
      <c r="K1399" s="309"/>
      <c r="L1399" s="366"/>
      <c r="M1399" s="366"/>
      <c r="N1399" s="309"/>
      <c r="O1399" s="366"/>
      <c r="P1399" s="418"/>
      <c r="Q1399" s="305"/>
      <c r="R1399" s="410"/>
      <c r="S1399" s="309">
        <v>100</v>
      </c>
    </row>
    <row r="1400" spans="1:19" ht="15">
      <c r="A1400" s="398" t="s">
        <v>14</v>
      </c>
      <c r="B1400" s="413">
        <v>465183</v>
      </c>
      <c r="C1400" s="366">
        <f t="shared" si="90"/>
        <v>584.62</v>
      </c>
      <c r="D1400" s="432">
        <v>584.62</v>
      </c>
      <c r="E1400" s="433" t="s">
        <v>1210</v>
      </c>
      <c r="F1400" s="434">
        <v>79.59</v>
      </c>
      <c r="G1400" s="366"/>
      <c r="H1400" s="305"/>
      <c r="I1400" s="366"/>
      <c r="J1400" s="366"/>
      <c r="K1400" s="309"/>
      <c r="L1400" s="366"/>
      <c r="M1400" s="366"/>
      <c r="N1400" s="309"/>
      <c r="O1400" s="366"/>
      <c r="P1400" s="418"/>
      <c r="Q1400" s="305"/>
      <c r="R1400" s="410"/>
      <c r="S1400" s="309">
        <v>73</v>
      </c>
    </row>
    <row r="1401" spans="1:19" ht="15">
      <c r="A1401" s="398"/>
      <c r="B1401" s="413">
        <v>465184</v>
      </c>
      <c r="C1401" s="366">
        <f t="shared" si="90"/>
        <v>0</v>
      </c>
      <c r="D1401" s="366"/>
      <c r="E1401" s="305"/>
      <c r="F1401" s="366"/>
      <c r="G1401" s="366"/>
      <c r="H1401" s="305"/>
      <c r="I1401" s="366"/>
      <c r="J1401" s="366"/>
      <c r="K1401" s="309"/>
      <c r="L1401" s="366"/>
      <c r="M1401" s="366"/>
      <c r="N1401" s="309"/>
      <c r="O1401" s="366"/>
      <c r="P1401" s="418"/>
      <c r="Q1401" s="305"/>
      <c r="R1401" s="410"/>
      <c r="S1401" s="309">
        <v>24</v>
      </c>
    </row>
    <row r="1402" spans="1:19" ht="15">
      <c r="A1402" s="398" t="s">
        <v>1107</v>
      </c>
      <c r="B1402" s="413">
        <v>465185</v>
      </c>
      <c r="C1402" s="366">
        <f t="shared" si="90"/>
        <v>0</v>
      </c>
      <c r="D1402" s="366"/>
      <c r="E1402" s="305"/>
      <c r="F1402" s="366"/>
      <c r="G1402" s="366"/>
      <c r="H1402" s="305"/>
      <c r="I1402" s="366"/>
      <c r="J1402" s="366"/>
      <c r="K1402" s="309"/>
      <c r="L1402" s="366"/>
      <c r="M1402" s="366"/>
      <c r="N1402" s="309"/>
      <c r="O1402" s="366"/>
      <c r="P1402" s="418"/>
      <c r="Q1402" s="305"/>
      <c r="R1402" s="410"/>
      <c r="S1402" s="309">
        <v>63</v>
      </c>
    </row>
    <row r="1403" spans="1:19" ht="15">
      <c r="A1403" s="398" t="s">
        <v>1147</v>
      </c>
      <c r="B1403" s="413">
        <v>465186</v>
      </c>
      <c r="C1403" s="366">
        <f t="shared" si="90"/>
        <v>558.14</v>
      </c>
      <c r="D1403" s="432">
        <v>558.14</v>
      </c>
      <c r="E1403" s="433" t="s">
        <v>1211</v>
      </c>
      <c r="F1403" s="434">
        <v>84.05</v>
      </c>
      <c r="G1403" s="366"/>
      <c r="H1403" s="305"/>
      <c r="I1403" s="366"/>
      <c r="J1403" s="366"/>
      <c r="K1403" s="309"/>
      <c r="L1403" s="366"/>
      <c r="M1403" s="366"/>
      <c r="N1403" s="309"/>
      <c r="O1403" s="366"/>
      <c r="P1403" s="418"/>
      <c r="Q1403" s="305"/>
      <c r="R1403" s="410"/>
      <c r="S1403" s="309">
        <v>54</v>
      </c>
    </row>
    <row r="1404" spans="1:19" ht="15">
      <c r="A1404" s="398" t="s">
        <v>192</v>
      </c>
      <c r="B1404" s="413">
        <v>465187</v>
      </c>
      <c r="C1404" s="366">
        <f t="shared" si="90"/>
        <v>782.01</v>
      </c>
      <c r="D1404" s="432">
        <v>782.01</v>
      </c>
      <c r="E1404" s="433" t="s">
        <v>1212</v>
      </c>
      <c r="F1404" s="434">
        <v>162.47</v>
      </c>
      <c r="G1404" s="366"/>
      <c r="H1404" s="305"/>
      <c r="I1404" s="366"/>
      <c r="J1404" s="366"/>
      <c r="K1404" s="309"/>
      <c r="L1404" s="366"/>
      <c r="M1404" s="366"/>
      <c r="N1404" s="309"/>
      <c r="O1404" s="366"/>
      <c r="P1404" s="418"/>
      <c r="Q1404" s="305"/>
      <c r="R1404" s="410"/>
      <c r="S1404" s="410" t="s">
        <v>1213</v>
      </c>
    </row>
    <row r="1405" spans="1:19" ht="15">
      <c r="A1405" s="398" t="s">
        <v>62</v>
      </c>
      <c r="B1405" s="413">
        <v>465188</v>
      </c>
      <c r="C1405" s="366">
        <f t="shared" si="90"/>
        <v>1610.67</v>
      </c>
      <c r="D1405" s="432">
        <v>1610.67</v>
      </c>
      <c r="E1405" s="433" t="s">
        <v>1214</v>
      </c>
      <c r="F1405" s="434">
        <v>211.04</v>
      </c>
      <c r="G1405" s="366"/>
      <c r="H1405" s="305"/>
      <c r="I1405" s="366"/>
      <c r="J1405" s="366"/>
      <c r="K1405" s="309"/>
      <c r="L1405" s="366"/>
      <c r="M1405" s="366"/>
      <c r="N1405" s="309"/>
      <c r="O1405" s="366"/>
      <c r="P1405" s="418"/>
      <c r="Q1405" s="305"/>
      <c r="R1405" s="410"/>
      <c r="S1405" s="309">
        <v>43</v>
      </c>
    </row>
    <row r="1406" spans="1:19" ht="15">
      <c r="A1406" s="441" t="s">
        <v>411</v>
      </c>
      <c r="B1406" s="413">
        <v>191275</v>
      </c>
      <c r="C1406" s="366">
        <f t="shared" si="90"/>
        <v>1679.47</v>
      </c>
      <c r="D1406" s="366">
        <v>1679.47</v>
      </c>
      <c r="E1406" s="305">
        <v>503.89</v>
      </c>
      <c r="F1406" s="366">
        <v>0</v>
      </c>
      <c r="G1406" s="366"/>
      <c r="H1406" s="305"/>
      <c r="I1406" s="366"/>
      <c r="J1406" s="366"/>
      <c r="K1406" s="309"/>
      <c r="L1406" s="366"/>
      <c r="M1406" s="366"/>
      <c r="N1406" s="309"/>
      <c r="O1406" s="366"/>
      <c r="P1406" s="418"/>
      <c r="Q1406" s="305"/>
      <c r="R1406" s="410"/>
      <c r="S1406" s="309">
        <v>25</v>
      </c>
    </row>
    <row r="1407" spans="1:19" ht="15">
      <c r="A1407" s="439" t="s">
        <v>40</v>
      </c>
      <c r="B1407" s="413">
        <v>191282</v>
      </c>
      <c r="C1407" s="366">
        <f t="shared" si="90"/>
        <v>2712.13</v>
      </c>
      <c r="D1407" s="366">
        <v>2712.13</v>
      </c>
      <c r="E1407" s="305">
        <v>718.35</v>
      </c>
      <c r="F1407" s="366">
        <v>96.61</v>
      </c>
      <c r="G1407" s="366"/>
      <c r="H1407" s="305"/>
      <c r="I1407" s="366"/>
      <c r="J1407" s="366"/>
      <c r="K1407" s="309"/>
      <c r="L1407" s="366"/>
      <c r="M1407" s="366"/>
      <c r="N1407" s="309"/>
      <c r="O1407" s="366"/>
      <c r="P1407" s="418"/>
      <c r="Q1407" s="305"/>
      <c r="R1407" s="410"/>
      <c r="S1407" s="309">
        <v>46</v>
      </c>
    </row>
    <row r="1408" spans="1:19" ht="15">
      <c r="A1408" s="429" t="s">
        <v>349</v>
      </c>
      <c r="B1408" s="413">
        <v>465182</v>
      </c>
      <c r="C1408" s="366">
        <f t="shared" si="90"/>
        <v>2689.74</v>
      </c>
      <c r="D1408" s="366">
        <v>2689.74</v>
      </c>
      <c r="E1408" s="305">
        <v>772.15</v>
      </c>
      <c r="F1408" s="366">
        <v>10.09</v>
      </c>
      <c r="G1408" s="366"/>
      <c r="H1408" s="305"/>
      <c r="I1408" s="366"/>
      <c r="J1408" s="366"/>
      <c r="K1408" s="309"/>
      <c r="L1408" s="366"/>
      <c r="M1408" s="366"/>
      <c r="N1408" s="309"/>
      <c r="O1408" s="366"/>
      <c r="P1408" s="418"/>
      <c r="Q1408" s="305"/>
      <c r="R1408" s="410"/>
      <c r="S1408" s="309">
        <v>40</v>
      </c>
    </row>
    <row r="1409" spans="1:19" ht="15">
      <c r="A1409" s="408" t="s">
        <v>408</v>
      </c>
      <c r="B1409" s="413">
        <v>1122</v>
      </c>
      <c r="C1409" s="366">
        <f t="shared" si="90"/>
        <v>808.32</v>
      </c>
      <c r="D1409" s="366">
        <v>808.32</v>
      </c>
      <c r="E1409" s="410" t="s">
        <v>1215</v>
      </c>
      <c r="F1409" s="366">
        <v>97.67</v>
      </c>
      <c r="G1409" s="366"/>
      <c r="H1409" s="305"/>
      <c r="I1409" s="366"/>
      <c r="J1409" s="366"/>
      <c r="K1409" s="309"/>
      <c r="L1409" s="366"/>
      <c r="M1409" s="366"/>
      <c r="N1409" s="309"/>
      <c r="O1409" s="366"/>
      <c r="P1409" s="426"/>
      <c r="Q1409" s="305"/>
      <c r="R1409" s="410"/>
      <c r="S1409" s="309"/>
    </row>
    <row r="1410" spans="1:19" ht="15">
      <c r="A1410" s="408" t="s">
        <v>386</v>
      </c>
      <c r="B1410" s="413">
        <v>218</v>
      </c>
      <c r="C1410" s="366">
        <f t="shared" si="90"/>
        <v>1355.11</v>
      </c>
      <c r="D1410" s="366">
        <v>1355.11</v>
      </c>
      <c r="E1410" s="410" t="s">
        <v>1216</v>
      </c>
      <c r="F1410" s="366">
        <v>43.72</v>
      </c>
      <c r="G1410" s="366"/>
      <c r="H1410" s="305"/>
      <c r="I1410" s="366"/>
      <c r="J1410" s="366"/>
      <c r="K1410" s="309"/>
      <c r="L1410" s="366"/>
      <c r="M1410" s="366"/>
      <c r="N1410" s="309"/>
      <c r="O1410" s="366"/>
      <c r="P1410" s="426"/>
      <c r="Q1410" s="305"/>
      <c r="R1410" s="410"/>
      <c r="S1410" s="309">
        <v>70</v>
      </c>
    </row>
    <row r="1411" spans="1:19" ht="15">
      <c r="A1411" s="408" t="s">
        <v>1041</v>
      </c>
      <c r="B1411" s="407" t="s">
        <v>1068</v>
      </c>
      <c r="C1411" s="366">
        <f t="shared" si="90"/>
        <v>548.01</v>
      </c>
      <c r="D1411" s="366">
        <v>548.01</v>
      </c>
      <c r="E1411" s="305">
        <v>164.7</v>
      </c>
      <c r="F1411" s="366">
        <v>0</v>
      </c>
      <c r="G1411" s="411"/>
      <c r="H1411" s="305"/>
      <c r="I1411" s="366"/>
      <c r="J1411" s="366"/>
      <c r="K1411" s="305"/>
      <c r="L1411" s="366"/>
      <c r="M1411" s="366"/>
      <c r="N1411" s="309"/>
      <c r="O1411" s="366"/>
      <c r="P1411" s="409"/>
      <c r="Q1411" s="305"/>
      <c r="R1411" s="410"/>
      <c r="S1411" s="309"/>
    </row>
    <row r="1412" spans="1:19" ht="15">
      <c r="A1412" s="408" t="s">
        <v>1043</v>
      </c>
      <c r="B1412" s="407" t="s">
        <v>1069</v>
      </c>
      <c r="C1412" s="366">
        <f t="shared" si="90"/>
        <v>0</v>
      </c>
      <c r="D1412" s="366"/>
      <c r="E1412" s="305"/>
      <c r="F1412" s="366"/>
      <c r="G1412" s="411"/>
      <c r="H1412" s="305"/>
      <c r="I1412" s="366"/>
      <c r="J1412" s="366"/>
      <c r="K1412" s="305"/>
      <c r="L1412" s="366"/>
      <c r="M1412" s="366"/>
      <c r="N1412" s="309"/>
      <c r="O1412" s="366"/>
      <c r="P1412" s="409"/>
      <c r="Q1412" s="305"/>
      <c r="R1412" s="410"/>
      <c r="S1412" s="309">
        <v>15</v>
      </c>
    </row>
    <row r="1413" spans="1:19" ht="15">
      <c r="A1413" s="408" t="s">
        <v>901</v>
      </c>
      <c r="B1413" s="407" t="s">
        <v>1152</v>
      </c>
      <c r="C1413" s="366">
        <f t="shared" si="90"/>
        <v>761.18</v>
      </c>
      <c r="D1413" s="366">
        <v>761.18</v>
      </c>
      <c r="E1413" s="410" t="s">
        <v>1217</v>
      </c>
      <c r="F1413" s="366">
        <v>19.420000000000002</v>
      </c>
      <c r="G1413" s="411"/>
      <c r="H1413" s="305"/>
      <c r="I1413" s="366"/>
      <c r="J1413" s="366"/>
      <c r="K1413" s="305"/>
      <c r="L1413" s="366"/>
      <c r="M1413" s="366"/>
      <c r="N1413" s="309"/>
      <c r="O1413" s="366"/>
      <c r="P1413" s="409"/>
      <c r="Q1413" s="305"/>
      <c r="R1413" s="410"/>
      <c r="S1413" s="309">
        <v>33</v>
      </c>
    </row>
    <row r="1414" spans="1:19" ht="13">
      <c r="A1414" s="470" t="s">
        <v>860</v>
      </c>
      <c r="B1414" s="471"/>
      <c r="C1414" s="422" t="s">
        <v>89</v>
      </c>
      <c r="D1414" s="324" t="s">
        <v>676</v>
      </c>
      <c r="E1414" s="325" t="s">
        <v>861</v>
      </c>
      <c r="F1414" s="355" t="s">
        <v>862</v>
      </c>
      <c r="G1414" s="324" t="s">
        <v>676</v>
      </c>
      <c r="H1414" s="325" t="s">
        <v>861</v>
      </c>
      <c r="I1414" s="355" t="s">
        <v>862</v>
      </c>
      <c r="J1414" s="324" t="s">
        <v>676</v>
      </c>
      <c r="K1414" s="325" t="s">
        <v>861</v>
      </c>
      <c r="L1414" s="355" t="s">
        <v>862</v>
      </c>
      <c r="M1414" s="324" t="s">
        <v>676</v>
      </c>
      <c r="N1414" s="325" t="s">
        <v>861</v>
      </c>
      <c r="O1414" s="355" t="s">
        <v>862</v>
      </c>
      <c r="P1414" s="324" t="s">
        <v>881</v>
      </c>
      <c r="Q1414" s="325" t="s">
        <v>861</v>
      </c>
      <c r="R1414" s="325" t="s">
        <v>865</v>
      </c>
      <c r="S1414" s="412" t="s">
        <v>1031</v>
      </c>
    </row>
    <row r="1415" spans="1:19" ht="13">
      <c r="A1415" s="470" t="s">
        <v>863</v>
      </c>
      <c r="B1415" s="471"/>
      <c r="C1415" s="326">
        <f>SUM(C1398:C1412)</f>
        <v>15888.3</v>
      </c>
      <c r="D1415" s="326">
        <f>SUM(D1398:D1413)+SUM(G1398:G1410)+SUM(J1398:J1410)</f>
        <v>16649.48</v>
      </c>
      <c r="E1415" s="327">
        <f>SUM(E1398:E1405)+SUM(H1398:H1405)+SUM(K1398:K1405)+SUM(N1398:N1405)</f>
        <v>0</v>
      </c>
      <c r="F1415" s="328">
        <f>SUM(F1398:F1405)</f>
        <v>814.44999999999993</v>
      </c>
      <c r="G1415" s="329"/>
      <c r="H1415" s="329"/>
      <c r="I1415" s="329"/>
      <c r="J1415" s="329"/>
      <c r="K1415" s="329"/>
      <c r="L1415" s="329"/>
      <c r="M1415" s="329"/>
      <c r="N1415" s="329"/>
      <c r="O1415" s="329"/>
      <c r="P1415" s="329"/>
      <c r="Q1415" s="329"/>
      <c r="R1415" s="329"/>
    </row>
    <row r="1416" spans="1:19" ht="13">
      <c r="A1416" s="282"/>
      <c r="B1416" s="282"/>
      <c r="C1416" s="282"/>
      <c r="D1416" s="282"/>
      <c r="E1416" s="282"/>
      <c r="F1416" s="282"/>
      <c r="G1416" s="282"/>
      <c r="H1416" s="282"/>
      <c r="I1416" s="329"/>
      <c r="J1416" s="329"/>
      <c r="K1416" s="329"/>
      <c r="L1416" s="329"/>
      <c r="M1416" s="329"/>
      <c r="N1416" s="329"/>
      <c r="O1416" s="329"/>
      <c r="P1416" s="329"/>
      <c r="Q1416" s="329"/>
      <c r="R1416" s="329"/>
    </row>
    <row r="1417" spans="1:19" ht="13">
      <c r="A1417" s="476" t="s">
        <v>1218</v>
      </c>
      <c r="B1417" s="466"/>
      <c r="C1417" s="466"/>
      <c r="D1417" s="466"/>
      <c r="E1417" s="466"/>
      <c r="F1417" s="466"/>
      <c r="G1417" s="466"/>
      <c r="H1417" s="466"/>
      <c r="I1417" s="466"/>
      <c r="J1417" s="466"/>
      <c r="K1417" s="466"/>
      <c r="L1417" s="466"/>
      <c r="M1417" s="466"/>
      <c r="N1417" s="466"/>
      <c r="O1417" s="466"/>
      <c r="P1417" s="466"/>
      <c r="Q1417" s="466"/>
      <c r="R1417" s="466"/>
      <c r="S1417" s="466"/>
    </row>
    <row r="1418" spans="1:19" ht="13">
      <c r="A1418" s="356" t="s">
        <v>849</v>
      </c>
      <c r="B1418" s="356" t="s">
        <v>1</v>
      </c>
      <c r="C1418" s="356" t="s">
        <v>89</v>
      </c>
      <c r="D1418" s="473" t="s">
        <v>850</v>
      </c>
      <c r="E1418" s="466"/>
      <c r="F1418" s="467"/>
      <c r="G1418" s="465" t="s">
        <v>852</v>
      </c>
      <c r="H1418" s="466"/>
      <c r="I1418" s="467"/>
      <c r="J1418" s="465" t="s">
        <v>1013</v>
      </c>
      <c r="K1418" s="466"/>
      <c r="L1418" s="467"/>
      <c r="M1418" s="465" t="s">
        <v>1093</v>
      </c>
      <c r="N1418" s="466"/>
      <c r="O1418" s="467"/>
      <c r="P1418" s="465" t="s">
        <v>865</v>
      </c>
      <c r="Q1418" s="466"/>
      <c r="R1418" s="467"/>
      <c r="S1418" s="356" t="s">
        <v>1028</v>
      </c>
    </row>
    <row r="1419" spans="1:19" ht="15">
      <c r="A1419" s="398" t="s">
        <v>1124</v>
      </c>
      <c r="B1419" s="413">
        <v>191274</v>
      </c>
      <c r="C1419" s="366"/>
      <c r="D1419" s="432">
        <v>1929.42</v>
      </c>
      <c r="E1419" s="433" t="s">
        <v>1219</v>
      </c>
      <c r="F1419" s="434">
        <v>353.18</v>
      </c>
      <c r="G1419" s="366"/>
      <c r="H1419" s="305"/>
      <c r="I1419" s="366"/>
      <c r="J1419" s="366"/>
      <c r="K1419" s="309"/>
      <c r="L1419" s="366"/>
      <c r="M1419" s="366"/>
      <c r="N1419" s="309"/>
      <c r="O1419" s="366"/>
      <c r="P1419" s="418"/>
      <c r="Q1419" s="305"/>
      <c r="R1419" s="410"/>
      <c r="S1419" s="309">
        <v>44</v>
      </c>
    </row>
    <row r="1420" spans="1:19" ht="15">
      <c r="A1420" s="400" t="s">
        <v>1190</v>
      </c>
      <c r="B1420" s="413">
        <v>465189</v>
      </c>
      <c r="C1420" s="366"/>
      <c r="D1420" s="432">
        <v>2331.61</v>
      </c>
      <c r="E1420" s="433" t="s">
        <v>1220</v>
      </c>
      <c r="F1420" s="434">
        <v>55.35</v>
      </c>
      <c r="G1420" s="366"/>
      <c r="H1420" s="305"/>
      <c r="I1420" s="366"/>
      <c r="J1420" s="366"/>
      <c r="K1420" s="309"/>
      <c r="L1420" s="366"/>
      <c r="M1420" s="366"/>
      <c r="N1420" s="309"/>
      <c r="O1420" s="366"/>
      <c r="P1420" s="418"/>
      <c r="Q1420" s="305"/>
      <c r="R1420" s="410"/>
      <c r="S1420" s="309">
        <v>36</v>
      </c>
    </row>
    <row r="1421" spans="1:19" ht="15">
      <c r="A1421" s="431"/>
      <c r="B1421" s="413">
        <v>191276</v>
      </c>
      <c r="C1421" s="366"/>
      <c r="D1421" s="366"/>
      <c r="E1421" s="305"/>
      <c r="F1421" s="366"/>
      <c r="G1421" s="366"/>
      <c r="H1421" s="305"/>
      <c r="I1421" s="366"/>
      <c r="J1421" s="366"/>
      <c r="K1421" s="309"/>
      <c r="L1421" s="366"/>
      <c r="M1421" s="366"/>
      <c r="N1421" s="309"/>
      <c r="O1421" s="366"/>
      <c r="P1421" s="418"/>
      <c r="Q1421" s="305"/>
      <c r="R1421" s="410"/>
      <c r="S1421" s="309">
        <v>33</v>
      </c>
    </row>
    <row r="1422" spans="1:19" ht="15">
      <c r="A1422" s="431" t="s">
        <v>75</v>
      </c>
      <c r="B1422" s="413">
        <v>191277</v>
      </c>
      <c r="C1422" s="366"/>
      <c r="D1422" s="432">
        <v>2511.34</v>
      </c>
      <c r="E1422" s="433" t="s">
        <v>1221</v>
      </c>
      <c r="F1422" s="434">
        <v>365.23</v>
      </c>
      <c r="G1422" s="366"/>
      <c r="H1422" s="305"/>
      <c r="I1422" s="366"/>
      <c r="J1422" s="366"/>
      <c r="K1422" s="309"/>
      <c r="L1422" s="366"/>
      <c r="M1422" s="366"/>
      <c r="N1422" s="309"/>
      <c r="O1422" s="366"/>
      <c r="P1422" s="418"/>
      <c r="Q1422" s="305"/>
      <c r="R1422" s="410"/>
      <c r="S1422" s="309">
        <v>96</v>
      </c>
    </row>
    <row r="1423" spans="1:19" ht="15">
      <c r="A1423" s="398"/>
      <c r="B1423" s="407" t="s">
        <v>507</v>
      </c>
      <c r="C1423" s="366"/>
      <c r="D1423" s="366"/>
      <c r="E1423" s="305"/>
      <c r="F1423" s="366"/>
      <c r="G1423" s="366"/>
      <c r="H1423" s="305"/>
      <c r="I1423" s="366"/>
      <c r="J1423" s="366"/>
      <c r="K1423" s="309"/>
      <c r="L1423" s="366"/>
      <c r="M1423" s="366"/>
      <c r="N1423" s="309"/>
      <c r="O1423" s="366"/>
      <c r="P1423" s="418"/>
      <c r="Q1423" s="305"/>
      <c r="R1423" s="410"/>
      <c r="S1423" s="309">
        <v>21</v>
      </c>
    </row>
    <row r="1424" spans="1:19" ht="15">
      <c r="A1424" s="400" t="s">
        <v>1174</v>
      </c>
      <c r="B1424" s="413">
        <v>191279</v>
      </c>
      <c r="C1424" s="366"/>
      <c r="D1424" s="432"/>
      <c r="E1424" s="433"/>
      <c r="F1424" s="434"/>
      <c r="G1424" s="366"/>
      <c r="H1424" s="305"/>
      <c r="I1424" s="366"/>
      <c r="J1424" s="366"/>
      <c r="K1424" s="305"/>
      <c r="L1424" s="366"/>
      <c r="M1424" s="366"/>
      <c r="N1424" s="309"/>
      <c r="O1424" s="366"/>
      <c r="P1424" s="345"/>
      <c r="Q1424" s="305"/>
      <c r="R1424" s="410"/>
      <c r="S1424" s="309">
        <v>16</v>
      </c>
    </row>
    <row r="1425" spans="1:19" ht="15">
      <c r="A1425" s="398" t="s">
        <v>1176</v>
      </c>
      <c r="B1425" s="413">
        <v>191280</v>
      </c>
      <c r="C1425" s="366"/>
      <c r="D1425" s="432">
        <v>395.18</v>
      </c>
      <c r="E1425" s="433" t="s">
        <v>1222</v>
      </c>
      <c r="F1425" s="434">
        <v>63.06</v>
      </c>
      <c r="G1425" s="366"/>
      <c r="H1425" s="305"/>
      <c r="I1425" s="366"/>
      <c r="J1425" s="366"/>
      <c r="K1425" s="309"/>
      <c r="L1425" s="366"/>
      <c r="M1425" s="366"/>
      <c r="N1425" s="309"/>
      <c r="O1425" s="366"/>
      <c r="P1425" s="418"/>
      <c r="Q1425" s="305"/>
      <c r="R1425" s="410"/>
      <c r="S1425" s="309">
        <v>50</v>
      </c>
    </row>
    <row r="1426" spans="1:19" ht="15">
      <c r="A1426" s="398"/>
      <c r="B1426" s="413">
        <v>191281</v>
      </c>
      <c r="C1426" s="366"/>
      <c r="D1426" s="366"/>
      <c r="E1426" s="305"/>
      <c r="F1426" s="366"/>
      <c r="G1426" s="366"/>
      <c r="H1426" s="305"/>
      <c r="I1426" s="366"/>
      <c r="J1426" s="366"/>
      <c r="K1426" s="309"/>
      <c r="L1426" s="366"/>
      <c r="M1426" s="366"/>
      <c r="N1426" s="309"/>
      <c r="O1426" s="366"/>
      <c r="P1426" s="418"/>
      <c r="Q1426" s="305"/>
      <c r="R1426" s="410"/>
      <c r="S1426" s="309">
        <v>39</v>
      </c>
    </row>
    <row r="1427" spans="1:19" ht="15">
      <c r="A1427" s="431"/>
      <c r="B1427" s="413">
        <v>191282</v>
      </c>
      <c r="C1427" s="366"/>
      <c r="D1427" s="366"/>
      <c r="E1427" s="305"/>
      <c r="F1427" s="366"/>
      <c r="G1427" s="366"/>
      <c r="H1427" s="305"/>
      <c r="I1427" s="366"/>
      <c r="J1427" s="366"/>
      <c r="K1427" s="309"/>
      <c r="L1427" s="366"/>
      <c r="M1427" s="366"/>
      <c r="N1427" s="309"/>
      <c r="O1427" s="366"/>
      <c r="P1427" s="418"/>
      <c r="Q1427" s="305"/>
      <c r="R1427" s="410"/>
      <c r="S1427" s="309">
        <v>56</v>
      </c>
    </row>
    <row r="1428" spans="1:19" ht="15">
      <c r="A1428" s="431" t="s">
        <v>634</v>
      </c>
      <c r="B1428" s="413">
        <v>191283</v>
      </c>
      <c r="C1428" s="366"/>
      <c r="D1428" s="432">
        <v>1694.94</v>
      </c>
      <c r="E1428" s="433" t="s">
        <v>1223</v>
      </c>
      <c r="F1428" s="434">
        <v>245.12</v>
      </c>
      <c r="G1428" s="366"/>
      <c r="H1428" s="305"/>
      <c r="I1428" s="366"/>
      <c r="J1428" s="366"/>
      <c r="K1428" s="309"/>
      <c r="L1428" s="366"/>
      <c r="M1428" s="366"/>
      <c r="N1428" s="309"/>
      <c r="O1428" s="366"/>
      <c r="P1428" s="418"/>
      <c r="Q1428" s="305"/>
      <c r="R1428" s="410"/>
      <c r="S1428" s="309">
        <v>88</v>
      </c>
    </row>
    <row r="1429" spans="1:19" ht="15">
      <c r="A1429" s="398"/>
      <c r="B1429" s="413">
        <v>465180</v>
      </c>
      <c r="C1429" s="366"/>
      <c r="D1429" s="366"/>
      <c r="E1429" s="305"/>
      <c r="F1429" s="366"/>
      <c r="G1429" s="366"/>
      <c r="H1429" s="305"/>
      <c r="I1429" s="366"/>
      <c r="J1429" s="366"/>
      <c r="K1429" s="309"/>
      <c r="L1429" s="366"/>
      <c r="M1429" s="366"/>
      <c r="N1429" s="309"/>
      <c r="O1429" s="366"/>
      <c r="P1429" s="418"/>
      <c r="Q1429" s="305"/>
      <c r="R1429" s="410"/>
      <c r="S1429" s="309">
        <v>88</v>
      </c>
    </row>
    <row r="1430" spans="1:19" ht="15">
      <c r="A1430" s="398" t="s">
        <v>1121</v>
      </c>
      <c r="B1430" s="413">
        <v>465181</v>
      </c>
      <c r="C1430" s="366"/>
      <c r="D1430" s="432">
        <v>2158.5300000000002</v>
      </c>
      <c r="E1430" s="433" t="s">
        <v>1224</v>
      </c>
      <c r="F1430" s="434">
        <v>247.36</v>
      </c>
      <c r="G1430" s="366"/>
      <c r="H1430" s="305"/>
      <c r="I1430" s="366"/>
      <c r="J1430" s="366"/>
      <c r="K1430" s="309"/>
      <c r="L1430" s="366"/>
      <c r="M1430" s="366"/>
      <c r="N1430" s="309"/>
      <c r="O1430" s="366"/>
      <c r="P1430" s="418"/>
      <c r="Q1430" s="305"/>
      <c r="R1430" s="410"/>
      <c r="S1430" s="309">
        <v>72</v>
      </c>
    </row>
    <row r="1431" spans="1:19" ht="15">
      <c r="A1431" s="398" t="s">
        <v>14</v>
      </c>
      <c r="B1431" s="413">
        <v>465183</v>
      </c>
      <c r="C1431" s="366"/>
      <c r="D1431" s="432"/>
      <c r="E1431" s="433"/>
      <c r="F1431" s="434"/>
      <c r="G1431" s="366"/>
      <c r="H1431" s="305"/>
      <c r="I1431" s="366"/>
      <c r="J1431" s="366"/>
      <c r="K1431" s="309"/>
      <c r="L1431" s="366"/>
      <c r="M1431" s="366"/>
      <c r="N1431" s="309"/>
      <c r="O1431" s="366"/>
      <c r="P1431" s="418"/>
      <c r="Q1431" s="305"/>
      <c r="R1431" s="410"/>
      <c r="S1431" s="309">
        <v>20</v>
      </c>
    </row>
    <row r="1432" spans="1:19" ht="15">
      <c r="A1432" s="398" t="s">
        <v>1225</v>
      </c>
      <c r="B1432" s="413">
        <v>465184</v>
      </c>
      <c r="C1432" s="366"/>
      <c r="D1432" s="432">
        <v>1411.06</v>
      </c>
      <c r="E1432" s="433" t="s">
        <v>1226</v>
      </c>
      <c r="F1432" s="434">
        <v>46.07</v>
      </c>
      <c r="G1432" s="366"/>
      <c r="H1432" s="305"/>
      <c r="I1432" s="366"/>
      <c r="J1432" s="366"/>
      <c r="K1432" s="309"/>
      <c r="L1432" s="366"/>
      <c r="M1432" s="366"/>
      <c r="N1432" s="309"/>
      <c r="O1432" s="366"/>
      <c r="P1432" s="418"/>
      <c r="Q1432" s="305"/>
      <c r="R1432" s="410"/>
      <c r="S1432" s="309">
        <v>23</v>
      </c>
    </row>
    <row r="1433" spans="1:19" ht="15">
      <c r="A1433" s="398" t="s">
        <v>1107</v>
      </c>
      <c r="B1433" s="413">
        <v>465185</v>
      </c>
      <c r="C1433" s="366"/>
      <c r="D1433" s="366"/>
      <c r="E1433" s="305"/>
      <c r="F1433" s="366"/>
      <c r="G1433" s="366"/>
      <c r="H1433" s="305"/>
      <c r="I1433" s="366"/>
      <c r="J1433" s="366"/>
      <c r="K1433" s="309"/>
      <c r="L1433" s="366"/>
      <c r="M1433" s="366"/>
      <c r="N1433" s="309"/>
      <c r="O1433" s="366"/>
      <c r="P1433" s="418"/>
      <c r="Q1433" s="305"/>
      <c r="R1433" s="410"/>
      <c r="S1433" s="309">
        <v>62</v>
      </c>
    </row>
    <row r="1434" spans="1:19" ht="15">
      <c r="A1434" s="398" t="s">
        <v>1147</v>
      </c>
      <c r="B1434" s="413">
        <v>465186</v>
      </c>
      <c r="C1434" s="366"/>
      <c r="D1434" s="432">
        <v>2620.61</v>
      </c>
      <c r="E1434" s="433" t="s">
        <v>1227</v>
      </c>
      <c r="F1434" s="434">
        <v>107.01</v>
      </c>
      <c r="G1434" s="366"/>
      <c r="H1434" s="305"/>
      <c r="I1434" s="366"/>
      <c r="J1434" s="366"/>
      <c r="K1434" s="309"/>
      <c r="L1434" s="366"/>
      <c r="M1434" s="366"/>
      <c r="N1434" s="309"/>
      <c r="O1434" s="366"/>
      <c r="P1434" s="418"/>
      <c r="Q1434" s="305"/>
      <c r="R1434" s="410"/>
      <c r="S1434" s="309">
        <v>100</v>
      </c>
    </row>
    <row r="1435" spans="1:19" ht="15">
      <c r="A1435" s="398" t="s">
        <v>192</v>
      </c>
      <c r="B1435" s="413">
        <v>465187</v>
      </c>
      <c r="C1435" s="366"/>
      <c r="D1435" s="432">
        <v>2803.68</v>
      </c>
      <c r="E1435" s="433" t="s">
        <v>1228</v>
      </c>
      <c r="F1435" s="434">
        <v>173.99</v>
      </c>
      <c r="G1435" s="366"/>
      <c r="H1435" s="305"/>
      <c r="I1435" s="366"/>
      <c r="J1435" s="366"/>
      <c r="K1435" s="309"/>
      <c r="L1435" s="366"/>
      <c r="M1435" s="366"/>
      <c r="N1435" s="309"/>
      <c r="O1435" s="366"/>
      <c r="P1435" s="418"/>
      <c r="Q1435" s="305"/>
      <c r="R1435" s="410"/>
      <c r="S1435" s="410" t="s">
        <v>1229</v>
      </c>
    </row>
    <row r="1436" spans="1:19" ht="15">
      <c r="A1436" s="398" t="s">
        <v>62</v>
      </c>
      <c r="B1436" s="413">
        <v>465188</v>
      </c>
      <c r="C1436" s="366"/>
      <c r="D1436" s="432">
        <v>1987.58</v>
      </c>
      <c r="E1436" s="433" t="s">
        <v>1230</v>
      </c>
      <c r="F1436" s="434">
        <v>262.22000000000003</v>
      </c>
      <c r="G1436" s="366"/>
      <c r="H1436" s="305"/>
      <c r="I1436" s="366"/>
      <c r="J1436" s="366"/>
      <c r="K1436" s="309"/>
      <c r="L1436" s="366"/>
      <c r="M1436" s="366"/>
      <c r="N1436" s="309"/>
      <c r="O1436" s="366"/>
      <c r="P1436" s="418"/>
      <c r="Q1436" s="305"/>
      <c r="R1436" s="410"/>
      <c r="S1436" s="309">
        <v>56</v>
      </c>
    </row>
    <row r="1437" spans="1:19" ht="15">
      <c r="A1437" s="441" t="s">
        <v>411</v>
      </c>
      <c r="B1437" s="413">
        <v>191275</v>
      </c>
      <c r="C1437" s="366"/>
      <c r="D1437" s="366">
        <v>1559.58</v>
      </c>
      <c r="E1437" s="305">
        <v>474.07</v>
      </c>
      <c r="F1437" s="366">
        <v>3.5</v>
      </c>
      <c r="G1437" s="366"/>
      <c r="H1437" s="305"/>
      <c r="I1437" s="366"/>
      <c r="J1437" s="366"/>
      <c r="K1437" s="309"/>
      <c r="L1437" s="366"/>
      <c r="M1437" s="366"/>
      <c r="N1437" s="309"/>
      <c r="O1437" s="366"/>
      <c r="P1437" s="418"/>
      <c r="Q1437" s="305"/>
      <c r="R1437" s="410"/>
      <c r="S1437" s="309">
        <v>36</v>
      </c>
    </row>
    <row r="1438" spans="1:19" ht="15">
      <c r="A1438" s="439" t="s">
        <v>40</v>
      </c>
      <c r="B1438" s="413">
        <v>191282</v>
      </c>
      <c r="C1438" s="366"/>
      <c r="D1438" s="366">
        <v>1080.77</v>
      </c>
      <c r="E1438" s="305">
        <v>288.72000000000003</v>
      </c>
      <c r="F1438" s="366">
        <v>27.81</v>
      </c>
      <c r="G1438" s="366"/>
      <c r="H1438" s="305"/>
      <c r="I1438" s="366"/>
      <c r="J1438" s="366"/>
      <c r="K1438" s="309"/>
      <c r="L1438" s="366"/>
      <c r="M1438" s="366"/>
      <c r="N1438" s="309"/>
      <c r="O1438" s="366"/>
      <c r="P1438" s="418"/>
      <c r="Q1438" s="305"/>
      <c r="R1438" s="410"/>
      <c r="S1438" s="309">
        <v>55</v>
      </c>
    </row>
    <row r="1439" spans="1:19" ht="15">
      <c r="A1439" s="429" t="s">
        <v>349</v>
      </c>
      <c r="B1439" s="413">
        <v>465182</v>
      </c>
      <c r="C1439" s="366"/>
      <c r="D1439" s="366">
        <v>748.62</v>
      </c>
      <c r="E1439" s="305">
        <v>203.17</v>
      </c>
      <c r="F1439" s="366">
        <v>132.07</v>
      </c>
      <c r="G1439" s="366"/>
      <c r="H1439" s="305"/>
      <c r="I1439" s="366"/>
      <c r="J1439" s="366"/>
      <c r="K1439" s="309"/>
      <c r="L1439" s="366"/>
      <c r="M1439" s="366"/>
      <c r="N1439" s="309"/>
      <c r="O1439" s="366"/>
      <c r="P1439" s="418"/>
      <c r="Q1439" s="305"/>
      <c r="R1439" s="410"/>
      <c r="S1439" s="309">
        <v>10</v>
      </c>
    </row>
    <row r="1440" spans="1:19" ht="15">
      <c r="A1440" s="408" t="s">
        <v>408</v>
      </c>
      <c r="B1440" s="413">
        <v>1122</v>
      </c>
      <c r="C1440" s="366"/>
      <c r="D1440" s="366">
        <v>1530.82</v>
      </c>
      <c r="E1440" s="410" t="s">
        <v>1231</v>
      </c>
      <c r="F1440" s="366">
        <v>0</v>
      </c>
      <c r="G1440" s="366"/>
      <c r="H1440" s="305"/>
      <c r="I1440" s="366"/>
      <c r="J1440" s="366"/>
      <c r="K1440" s="309"/>
      <c r="L1440" s="366"/>
      <c r="M1440" s="366"/>
      <c r="N1440" s="309"/>
      <c r="O1440" s="366"/>
      <c r="P1440" s="426"/>
      <c r="Q1440" s="305"/>
      <c r="R1440" s="410"/>
      <c r="S1440" s="309"/>
    </row>
    <row r="1441" spans="1:19" ht="15">
      <c r="A1441" s="408" t="s">
        <v>386</v>
      </c>
      <c r="B1441" s="413">
        <v>218</v>
      </c>
      <c r="C1441" s="366"/>
      <c r="D1441" s="366">
        <v>2296.66</v>
      </c>
      <c r="E1441" s="410" t="s">
        <v>1232</v>
      </c>
      <c r="F1441" s="366">
        <v>288.35000000000002</v>
      </c>
      <c r="G1441" s="366"/>
      <c r="H1441" s="305"/>
      <c r="I1441" s="366"/>
      <c r="J1441" s="366"/>
      <c r="K1441" s="309"/>
      <c r="L1441" s="366"/>
      <c r="M1441" s="366"/>
      <c r="N1441" s="309"/>
      <c r="O1441" s="366"/>
      <c r="P1441" s="426"/>
      <c r="Q1441" s="305"/>
      <c r="R1441" s="410"/>
      <c r="S1441" s="309">
        <v>43</v>
      </c>
    </row>
    <row r="1442" spans="1:19" ht="14.25" customHeight="1">
      <c r="A1442" s="408" t="s">
        <v>1041</v>
      </c>
      <c r="B1442" s="407" t="s">
        <v>1068</v>
      </c>
      <c r="C1442" s="366"/>
      <c r="D1442" s="366">
        <v>1280</v>
      </c>
      <c r="E1442" s="305">
        <v>382.12</v>
      </c>
      <c r="F1442" s="366">
        <v>0</v>
      </c>
      <c r="G1442" s="411"/>
      <c r="H1442" s="305"/>
      <c r="I1442" s="366"/>
      <c r="J1442" s="366"/>
      <c r="K1442" s="305"/>
      <c r="L1442" s="366"/>
      <c r="M1442" s="366"/>
      <c r="N1442" s="309"/>
      <c r="O1442" s="366"/>
      <c r="P1442" s="409"/>
      <c r="Q1442" s="305"/>
      <c r="R1442" s="410"/>
      <c r="S1442" s="309"/>
    </row>
    <row r="1443" spans="1:19" ht="15">
      <c r="A1443" s="408" t="s">
        <v>1043</v>
      </c>
      <c r="B1443" s="407" t="s">
        <v>1069</v>
      </c>
      <c r="C1443" s="366"/>
      <c r="D1443" s="366"/>
      <c r="E1443" s="305"/>
      <c r="F1443" s="366"/>
      <c r="G1443" s="411"/>
      <c r="H1443" s="305"/>
      <c r="I1443" s="366"/>
      <c r="J1443" s="366"/>
      <c r="K1443" s="305"/>
      <c r="L1443" s="366"/>
      <c r="M1443" s="366"/>
      <c r="N1443" s="309"/>
      <c r="O1443" s="366"/>
      <c r="P1443" s="409"/>
      <c r="Q1443" s="305"/>
      <c r="R1443" s="410"/>
      <c r="S1443" s="309">
        <v>15</v>
      </c>
    </row>
    <row r="1444" spans="1:19" ht="15">
      <c r="A1444" s="408" t="s">
        <v>901</v>
      </c>
      <c r="B1444" s="407" t="s">
        <v>1152</v>
      </c>
      <c r="C1444" s="366"/>
      <c r="D1444" s="366">
        <v>1959.38</v>
      </c>
      <c r="E1444" s="410" t="s">
        <v>1233</v>
      </c>
      <c r="F1444" s="366">
        <v>108.37</v>
      </c>
      <c r="G1444" s="411"/>
      <c r="H1444" s="305"/>
      <c r="I1444" s="366"/>
      <c r="J1444" s="366"/>
      <c r="K1444" s="305"/>
      <c r="L1444" s="366"/>
      <c r="M1444" s="366"/>
      <c r="N1444" s="309"/>
      <c r="O1444" s="366"/>
      <c r="P1444" s="409"/>
      <c r="Q1444" s="305"/>
      <c r="R1444" s="410"/>
      <c r="S1444" s="309">
        <v>25</v>
      </c>
    </row>
    <row r="1445" spans="1:19" ht="13">
      <c r="A1445" s="470" t="s">
        <v>860</v>
      </c>
      <c r="B1445" s="471"/>
      <c r="C1445" s="422" t="s">
        <v>89</v>
      </c>
      <c r="D1445" s="324" t="s">
        <v>676</v>
      </c>
      <c r="E1445" s="325" t="s">
        <v>861</v>
      </c>
      <c r="F1445" s="355" t="s">
        <v>862</v>
      </c>
      <c r="G1445" s="324" t="s">
        <v>676</v>
      </c>
      <c r="H1445" s="325" t="s">
        <v>861</v>
      </c>
      <c r="I1445" s="355" t="s">
        <v>862</v>
      </c>
      <c r="J1445" s="324" t="s">
        <v>676</v>
      </c>
      <c r="K1445" s="325" t="s">
        <v>861</v>
      </c>
      <c r="L1445" s="355" t="s">
        <v>862</v>
      </c>
      <c r="M1445" s="324" t="s">
        <v>676</v>
      </c>
      <c r="N1445" s="325" t="s">
        <v>861</v>
      </c>
      <c r="O1445" s="355" t="s">
        <v>862</v>
      </c>
      <c r="P1445" s="324" t="s">
        <v>881</v>
      </c>
      <c r="Q1445" s="325" t="s">
        <v>861</v>
      </c>
      <c r="R1445" s="325" t="s">
        <v>865</v>
      </c>
      <c r="S1445" s="412" t="s">
        <v>1031</v>
      </c>
    </row>
    <row r="1446" spans="1:19" ht="13">
      <c r="A1446" s="470" t="s">
        <v>863</v>
      </c>
      <c r="B1446" s="471"/>
      <c r="C1446" s="326">
        <f>SUM(C1429:C1443)</f>
        <v>0</v>
      </c>
      <c r="D1446" s="326">
        <f>SUM(D1419:D1444)+SUM(G1419:G1444)+SUM(J1419:J1444)</f>
        <v>30299.780000000006</v>
      </c>
      <c r="E1446" s="327">
        <f>SUM(E1429:E1436)+SUM(H1429:H1436)+SUM(K1429:K1436)+SUM(N1429:N1436)</f>
        <v>0</v>
      </c>
      <c r="F1446" s="328">
        <f>SUM(F1419:F1444)+SUM(I1419:I1444)+SUM(L1419:L1444)+SUM(O1419:O1444)</f>
        <v>2478.69</v>
      </c>
      <c r="G1446" s="329"/>
      <c r="H1446" s="329"/>
      <c r="I1446" s="329"/>
      <c r="J1446" s="329"/>
      <c r="K1446" s="329"/>
      <c r="L1446" s="329"/>
      <c r="M1446" s="329"/>
      <c r="N1446" s="329"/>
      <c r="O1446" s="329"/>
      <c r="P1446" s="329"/>
      <c r="Q1446" s="329"/>
      <c r="R1446" s="329"/>
    </row>
    <row r="1447" spans="1:19" ht="13">
      <c r="A1447" s="282"/>
      <c r="B1447" s="282"/>
      <c r="C1447" s="282"/>
      <c r="D1447" s="282"/>
      <c r="E1447" s="282"/>
      <c r="F1447" s="282"/>
      <c r="G1447" s="282"/>
      <c r="H1447" s="282"/>
      <c r="I1447" s="329"/>
      <c r="J1447" s="329"/>
      <c r="K1447" s="329"/>
      <c r="L1447" s="329"/>
      <c r="M1447" s="329"/>
      <c r="N1447" s="329"/>
      <c r="O1447" s="329"/>
      <c r="P1447" s="329"/>
      <c r="Q1447" s="329"/>
      <c r="R1447" s="329"/>
    </row>
    <row r="1448" spans="1:19" ht="13">
      <c r="A1448" s="476" t="s">
        <v>1234</v>
      </c>
      <c r="B1448" s="466"/>
      <c r="C1448" s="466"/>
      <c r="D1448" s="466"/>
      <c r="E1448" s="466"/>
      <c r="F1448" s="466"/>
      <c r="G1448" s="466"/>
      <c r="H1448" s="466"/>
      <c r="I1448" s="466"/>
      <c r="J1448" s="466"/>
      <c r="K1448" s="466"/>
      <c r="L1448" s="466"/>
      <c r="M1448" s="466"/>
      <c r="N1448" s="466"/>
      <c r="O1448" s="466"/>
      <c r="P1448" s="466"/>
      <c r="Q1448" s="466"/>
      <c r="R1448" s="466"/>
      <c r="S1448" s="466"/>
    </row>
    <row r="1449" spans="1:19" ht="13">
      <c r="A1449" s="356" t="s">
        <v>849</v>
      </c>
      <c r="B1449" s="356" t="s">
        <v>1</v>
      </c>
      <c r="C1449" s="356" t="s">
        <v>89</v>
      </c>
      <c r="D1449" s="473" t="s">
        <v>850</v>
      </c>
      <c r="E1449" s="466"/>
      <c r="F1449" s="467"/>
      <c r="G1449" s="465" t="s">
        <v>852</v>
      </c>
      <c r="H1449" s="466"/>
      <c r="I1449" s="467"/>
      <c r="J1449" s="465" t="s">
        <v>1013</v>
      </c>
      <c r="K1449" s="466"/>
      <c r="L1449" s="467"/>
      <c r="M1449" s="465" t="s">
        <v>1093</v>
      </c>
      <c r="N1449" s="466"/>
      <c r="O1449" s="467"/>
      <c r="P1449" s="465" t="s">
        <v>865</v>
      </c>
      <c r="Q1449" s="466"/>
      <c r="R1449" s="467"/>
      <c r="S1449" s="356" t="s">
        <v>1028</v>
      </c>
    </row>
    <row r="1450" spans="1:19" ht="15">
      <c r="A1450" s="398" t="s">
        <v>1124</v>
      </c>
      <c r="B1450" s="413">
        <v>191274</v>
      </c>
      <c r="C1450" s="366">
        <f t="shared" ref="C1450:C1475" si="91">D1450+G1450+J1450</f>
        <v>1910.16</v>
      </c>
      <c r="D1450" s="366">
        <v>1910.16</v>
      </c>
      <c r="E1450" s="305">
        <v>507.91</v>
      </c>
      <c r="F1450" s="366">
        <v>209.45</v>
      </c>
      <c r="G1450" s="366"/>
      <c r="H1450" s="305"/>
      <c r="I1450" s="366"/>
      <c r="J1450" s="366"/>
      <c r="K1450" s="309"/>
      <c r="L1450" s="366"/>
      <c r="M1450" s="366"/>
      <c r="N1450" s="309"/>
      <c r="O1450" s="366"/>
      <c r="P1450" s="418"/>
      <c r="Q1450" s="305"/>
      <c r="R1450" s="410"/>
      <c r="S1450" s="309">
        <v>37</v>
      </c>
    </row>
    <row r="1451" spans="1:19" ht="15">
      <c r="A1451" s="400" t="s">
        <v>1190</v>
      </c>
      <c r="B1451" s="413">
        <v>465189</v>
      </c>
      <c r="C1451" s="366">
        <f t="shared" si="91"/>
        <v>2468.11</v>
      </c>
      <c r="D1451" s="432">
        <v>2468.11</v>
      </c>
      <c r="E1451" s="433" t="s">
        <v>1235</v>
      </c>
      <c r="F1451" s="434">
        <v>48.64</v>
      </c>
      <c r="G1451" s="366"/>
      <c r="H1451" s="305"/>
      <c r="I1451" s="366"/>
      <c r="J1451" s="366"/>
      <c r="K1451" s="309"/>
      <c r="L1451" s="366"/>
      <c r="M1451" s="366"/>
      <c r="N1451" s="309"/>
      <c r="O1451" s="366"/>
      <c r="P1451" s="418"/>
      <c r="Q1451" s="305"/>
      <c r="R1451" s="410"/>
      <c r="S1451" s="309">
        <v>37</v>
      </c>
    </row>
    <row r="1452" spans="1:19" ht="15">
      <c r="A1452" s="431"/>
      <c r="B1452" s="413">
        <v>191276</v>
      </c>
      <c r="C1452" s="366">
        <f t="shared" si="91"/>
        <v>0</v>
      </c>
      <c r="D1452" s="366"/>
      <c r="E1452" s="305"/>
      <c r="F1452" s="366"/>
      <c r="G1452" s="366"/>
      <c r="H1452" s="305"/>
      <c r="I1452" s="366"/>
      <c r="J1452" s="366"/>
      <c r="K1452" s="309"/>
      <c r="L1452" s="366"/>
      <c r="M1452" s="366"/>
      <c r="N1452" s="309"/>
      <c r="O1452" s="366"/>
      <c r="P1452" s="418"/>
      <c r="Q1452" s="305"/>
      <c r="R1452" s="410"/>
      <c r="S1452" s="309">
        <v>33</v>
      </c>
    </row>
    <row r="1453" spans="1:19" ht="15">
      <c r="A1453" s="431" t="s">
        <v>75</v>
      </c>
      <c r="B1453" s="413">
        <v>191277</v>
      </c>
      <c r="C1453" s="366">
        <f t="shared" si="91"/>
        <v>1264.8</v>
      </c>
      <c r="D1453" s="432">
        <v>1264.8</v>
      </c>
      <c r="E1453" s="433" t="s">
        <v>1236</v>
      </c>
      <c r="F1453" s="434">
        <v>154.58000000000001</v>
      </c>
      <c r="G1453" s="366"/>
      <c r="H1453" s="305"/>
      <c r="I1453" s="366"/>
      <c r="J1453" s="366"/>
      <c r="K1453" s="309"/>
      <c r="L1453" s="366"/>
      <c r="M1453" s="366"/>
      <c r="N1453" s="309"/>
      <c r="O1453" s="366"/>
      <c r="P1453" s="418"/>
      <c r="Q1453" s="305"/>
      <c r="R1453" s="410"/>
      <c r="S1453" s="309">
        <v>100</v>
      </c>
    </row>
    <row r="1454" spans="1:19" ht="15">
      <c r="A1454" s="398"/>
      <c r="B1454" s="407" t="s">
        <v>507</v>
      </c>
      <c r="C1454" s="366">
        <f t="shared" si="91"/>
        <v>0</v>
      </c>
      <c r="D1454" s="366"/>
      <c r="E1454" s="305"/>
      <c r="F1454" s="366"/>
      <c r="G1454" s="366"/>
      <c r="H1454" s="305"/>
      <c r="I1454" s="366"/>
      <c r="J1454" s="366"/>
      <c r="K1454" s="309"/>
      <c r="L1454" s="366"/>
      <c r="M1454" s="366"/>
      <c r="N1454" s="309"/>
      <c r="O1454" s="366"/>
      <c r="P1454" s="418"/>
      <c r="Q1454" s="305"/>
      <c r="R1454" s="410"/>
      <c r="S1454" s="309">
        <v>21</v>
      </c>
    </row>
    <row r="1455" spans="1:19" ht="15">
      <c r="A1455" s="400" t="s">
        <v>344</v>
      </c>
      <c r="B1455" s="413">
        <v>191279</v>
      </c>
      <c r="C1455" s="366">
        <f t="shared" si="91"/>
        <v>171.99</v>
      </c>
      <c r="D1455" s="432">
        <v>171.99</v>
      </c>
      <c r="E1455" s="433" t="s">
        <v>1237</v>
      </c>
      <c r="F1455" s="434">
        <v>2.0099999999999998</v>
      </c>
      <c r="G1455" s="366"/>
      <c r="H1455" s="305"/>
      <c r="I1455" s="366"/>
      <c r="J1455" s="366"/>
      <c r="K1455" s="305"/>
      <c r="L1455" s="366"/>
      <c r="M1455" s="366"/>
      <c r="N1455" s="309"/>
      <c r="O1455" s="366"/>
      <c r="P1455" s="345"/>
      <c r="Q1455" s="305"/>
      <c r="R1455" s="410"/>
      <c r="S1455" s="309">
        <v>8</v>
      </c>
    </row>
    <row r="1456" spans="1:19" ht="15">
      <c r="A1456" s="398" t="s">
        <v>1176</v>
      </c>
      <c r="B1456" s="413">
        <v>191280</v>
      </c>
      <c r="C1456" s="366">
        <f t="shared" si="91"/>
        <v>2065.65</v>
      </c>
      <c r="D1456" s="432">
        <v>2065.65</v>
      </c>
      <c r="E1456" s="433" t="s">
        <v>1238</v>
      </c>
      <c r="F1456" s="434">
        <v>318.32</v>
      </c>
      <c r="G1456" s="366"/>
      <c r="H1456" s="305"/>
      <c r="I1456" s="366"/>
      <c r="J1456" s="366"/>
      <c r="K1456" s="309"/>
      <c r="L1456" s="366"/>
      <c r="M1456" s="366"/>
      <c r="N1456" s="309"/>
      <c r="O1456" s="366"/>
      <c r="P1456" s="418"/>
      <c r="Q1456" s="305"/>
      <c r="R1456" s="410"/>
      <c r="S1456" s="309">
        <v>68</v>
      </c>
    </row>
    <row r="1457" spans="1:19" ht="15">
      <c r="A1457" s="398" t="s">
        <v>1225</v>
      </c>
      <c r="B1457" s="413">
        <v>191281</v>
      </c>
      <c r="C1457" s="366">
        <f t="shared" si="91"/>
        <v>2108.02</v>
      </c>
      <c r="D1457" s="366">
        <v>2108.02</v>
      </c>
      <c r="E1457" s="305">
        <v>575.38</v>
      </c>
      <c r="F1457" s="366">
        <v>88.04</v>
      </c>
      <c r="G1457" s="366"/>
      <c r="H1457" s="305"/>
      <c r="I1457" s="366"/>
      <c r="J1457" s="366"/>
      <c r="K1457" s="309"/>
      <c r="L1457" s="366"/>
      <c r="M1457" s="366"/>
      <c r="N1457" s="309"/>
      <c r="O1457" s="366"/>
      <c r="P1457" s="418"/>
      <c r="Q1457" s="305"/>
      <c r="R1457" s="410"/>
      <c r="S1457" s="309">
        <v>50</v>
      </c>
    </row>
    <row r="1458" spans="1:19" ht="15">
      <c r="A1458" s="431"/>
      <c r="B1458" s="413">
        <v>191282</v>
      </c>
      <c r="C1458" s="366">
        <f t="shared" si="91"/>
        <v>0</v>
      </c>
      <c r="D1458" s="366"/>
      <c r="E1458" s="305"/>
      <c r="F1458" s="366"/>
      <c r="G1458" s="366"/>
      <c r="H1458" s="305"/>
      <c r="I1458" s="366"/>
      <c r="J1458" s="366"/>
      <c r="K1458" s="309"/>
      <c r="L1458" s="366"/>
      <c r="M1458" s="366"/>
      <c r="N1458" s="309"/>
      <c r="O1458" s="366"/>
      <c r="P1458" s="418"/>
      <c r="Q1458" s="305"/>
      <c r="R1458" s="410"/>
      <c r="S1458" s="309">
        <v>30</v>
      </c>
    </row>
    <row r="1459" spans="1:19" ht="15">
      <c r="A1459" s="431" t="s">
        <v>634</v>
      </c>
      <c r="B1459" s="413">
        <v>191283</v>
      </c>
      <c r="C1459" s="366">
        <f t="shared" si="91"/>
        <v>2737.46</v>
      </c>
      <c r="D1459" s="432">
        <v>2737.46</v>
      </c>
      <c r="E1459" s="433" t="s">
        <v>1239</v>
      </c>
      <c r="F1459" s="434">
        <v>561.20000000000005</v>
      </c>
      <c r="G1459" s="366"/>
      <c r="H1459" s="305"/>
      <c r="I1459" s="366"/>
      <c r="J1459" s="366"/>
      <c r="K1459" s="309"/>
      <c r="L1459" s="366"/>
      <c r="M1459" s="366"/>
      <c r="N1459" s="309"/>
      <c r="O1459" s="366"/>
      <c r="P1459" s="418"/>
      <c r="Q1459" s="305"/>
      <c r="R1459" s="410"/>
      <c r="S1459" s="309">
        <v>25</v>
      </c>
    </row>
    <row r="1460" spans="1:19" ht="15">
      <c r="A1460" s="398" t="s">
        <v>1240</v>
      </c>
      <c r="B1460" s="413">
        <v>465180</v>
      </c>
      <c r="C1460" s="366">
        <f t="shared" si="91"/>
        <v>1333.52</v>
      </c>
      <c r="D1460" s="366">
        <v>1333.52</v>
      </c>
      <c r="E1460" s="305">
        <v>361.35</v>
      </c>
      <c r="F1460" s="366">
        <v>35.19</v>
      </c>
      <c r="G1460" s="366"/>
      <c r="H1460" s="305"/>
      <c r="I1460" s="366"/>
      <c r="J1460" s="366"/>
      <c r="K1460" s="309"/>
      <c r="L1460" s="366"/>
      <c r="M1460" s="366"/>
      <c r="N1460" s="309"/>
      <c r="O1460" s="366"/>
      <c r="P1460" s="418"/>
      <c r="Q1460" s="305"/>
      <c r="R1460" s="410"/>
      <c r="S1460" s="309">
        <v>88</v>
      </c>
    </row>
    <row r="1461" spans="1:19" ht="15">
      <c r="A1461" s="398" t="s">
        <v>1121</v>
      </c>
      <c r="B1461" s="413">
        <v>465181</v>
      </c>
      <c r="C1461" s="366">
        <f t="shared" si="91"/>
        <v>1096.6300000000001</v>
      </c>
      <c r="D1461" s="432">
        <v>1096.6300000000001</v>
      </c>
      <c r="E1461" s="433" t="s">
        <v>1241</v>
      </c>
      <c r="F1461" s="434">
        <v>237.37</v>
      </c>
      <c r="G1461" s="366"/>
      <c r="H1461" s="305"/>
      <c r="I1461" s="366"/>
      <c r="J1461" s="366"/>
      <c r="K1461" s="309"/>
      <c r="L1461" s="366"/>
      <c r="M1461" s="366"/>
      <c r="N1461" s="309"/>
      <c r="O1461" s="366"/>
      <c r="P1461" s="418"/>
      <c r="Q1461" s="305"/>
      <c r="R1461" s="410"/>
      <c r="S1461" s="309">
        <v>95</v>
      </c>
    </row>
    <row r="1462" spans="1:19" ht="15">
      <c r="A1462" s="398"/>
      <c r="B1462" s="413">
        <v>465182</v>
      </c>
      <c r="C1462" s="366">
        <f t="shared" si="91"/>
        <v>0</v>
      </c>
      <c r="D1462" s="366"/>
      <c r="E1462" s="305"/>
      <c r="F1462" s="366"/>
      <c r="G1462" s="366"/>
      <c r="H1462" s="305"/>
      <c r="I1462" s="366"/>
      <c r="J1462" s="366"/>
      <c r="K1462" s="309"/>
      <c r="L1462" s="366"/>
      <c r="M1462" s="366"/>
      <c r="N1462" s="309"/>
      <c r="O1462" s="366"/>
      <c r="P1462" s="418"/>
      <c r="Q1462" s="305"/>
      <c r="R1462" s="410"/>
      <c r="S1462" s="309">
        <v>36</v>
      </c>
    </row>
    <row r="1463" spans="1:19" ht="15">
      <c r="A1463" s="398" t="s">
        <v>14</v>
      </c>
      <c r="B1463" s="413">
        <v>465183</v>
      </c>
      <c r="C1463" s="366">
        <f t="shared" si="91"/>
        <v>0</v>
      </c>
      <c r="D1463" s="432"/>
      <c r="E1463" s="433"/>
      <c r="F1463" s="434"/>
      <c r="G1463" s="366"/>
      <c r="H1463" s="305"/>
      <c r="I1463" s="366"/>
      <c r="J1463" s="366"/>
      <c r="K1463" s="309"/>
      <c r="L1463" s="366"/>
      <c r="M1463" s="366"/>
      <c r="N1463" s="309"/>
      <c r="O1463" s="366"/>
      <c r="P1463" s="418"/>
      <c r="Q1463" s="305"/>
      <c r="R1463" s="410"/>
      <c r="S1463" s="309">
        <v>18</v>
      </c>
    </row>
    <row r="1464" spans="1:19" ht="15">
      <c r="A1464" s="398"/>
      <c r="B1464" s="413">
        <v>465185</v>
      </c>
      <c r="C1464" s="366">
        <f t="shared" si="91"/>
        <v>0</v>
      </c>
      <c r="D1464" s="366"/>
      <c r="E1464" s="305"/>
      <c r="F1464" s="366"/>
      <c r="G1464" s="366"/>
      <c r="H1464" s="305"/>
      <c r="I1464" s="366"/>
      <c r="J1464" s="366"/>
      <c r="K1464" s="309"/>
      <c r="L1464" s="366"/>
      <c r="M1464" s="366"/>
      <c r="N1464" s="309"/>
      <c r="O1464" s="366"/>
      <c r="P1464" s="418"/>
      <c r="Q1464" s="305"/>
      <c r="R1464" s="410"/>
      <c r="S1464" s="309">
        <v>60</v>
      </c>
    </row>
    <row r="1465" spans="1:19" ht="15">
      <c r="A1465" s="398" t="s">
        <v>1147</v>
      </c>
      <c r="B1465" s="413">
        <v>465186</v>
      </c>
      <c r="C1465" s="366">
        <f t="shared" si="91"/>
        <v>2310.61</v>
      </c>
      <c r="D1465" s="432">
        <v>2310.61</v>
      </c>
      <c r="E1465" s="433" t="s">
        <v>1242</v>
      </c>
      <c r="F1465" s="434">
        <v>53.99</v>
      </c>
      <c r="G1465" s="366"/>
      <c r="H1465" s="305"/>
      <c r="I1465" s="366"/>
      <c r="J1465" s="366"/>
      <c r="K1465" s="309"/>
      <c r="L1465" s="366"/>
      <c r="M1465" s="366"/>
      <c r="N1465" s="309"/>
      <c r="O1465" s="366"/>
      <c r="P1465" s="418"/>
      <c r="Q1465" s="305"/>
      <c r="R1465" s="410"/>
      <c r="S1465" s="309">
        <v>95</v>
      </c>
    </row>
    <row r="1466" spans="1:19" ht="15">
      <c r="A1466" s="398" t="s">
        <v>192</v>
      </c>
      <c r="B1466" s="413">
        <v>465187</v>
      </c>
      <c r="C1466" s="366">
        <f t="shared" si="91"/>
        <v>2124.5500000000002</v>
      </c>
      <c r="D1466" s="432">
        <v>2124.5500000000002</v>
      </c>
      <c r="E1466" s="433" t="s">
        <v>1243</v>
      </c>
      <c r="F1466" s="434">
        <v>155.68</v>
      </c>
      <c r="G1466" s="366"/>
      <c r="H1466" s="305"/>
      <c r="I1466" s="366"/>
      <c r="J1466" s="366"/>
      <c r="K1466" s="309"/>
      <c r="L1466" s="366"/>
      <c r="M1466" s="366"/>
      <c r="N1466" s="309"/>
      <c r="O1466" s="366"/>
      <c r="P1466" s="418"/>
      <c r="Q1466" s="305"/>
      <c r="R1466" s="410"/>
      <c r="S1466" s="309">
        <v>56</v>
      </c>
    </row>
    <row r="1467" spans="1:19" ht="15">
      <c r="A1467" s="398" t="s">
        <v>62</v>
      </c>
      <c r="B1467" s="413">
        <v>465188</v>
      </c>
      <c r="C1467" s="366">
        <f t="shared" si="91"/>
        <v>2131.5500000000002</v>
      </c>
      <c r="D1467" s="432">
        <v>2131.5500000000002</v>
      </c>
      <c r="E1467" s="433" t="s">
        <v>1244</v>
      </c>
      <c r="F1467" s="434">
        <v>300.01</v>
      </c>
      <c r="G1467" s="366"/>
      <c r="H1467" s="305"/>
      <c r="I1467" s="366"/>
      <c r="J1467" s="366"/>
      <c r="K1467" s="309"/>
      <c r="L1467" s="366"/>
      <c r="M1467" s="366"/>
      <c r="N1467" s="309"/>
      <c r="O1467" s="366"/>
      <c r="P1467" s="418"/>
      <c r="Q1467" s="305"/>
      <c r="R1467" s="410"/>
      <c r="S1467" s="309">
        <v>62</v>
      </c>
    </row>
    <row r="1468" spans="1:19" ht="15">
      <c r="A1468" s="441" t="s">
        <v>411</v>
      </c>
      <c r="B1468" s="413">
        <v>191275</v>
      </c>
      <c r="C1468" s="366">
        <f t="shared" si="91"/>
        <v>1312.1</v>
      </c>
      <c r="D1468" s="366">
        <v>1312.1</v>
      </c>
      <c r="E1468" s="305">
        <v>332.72</v>
      </c>
      <c r="F1468" s="366">
        <v>13.34</v>
      </c>
      <c r="G1468" s="366"/>
      <c r="H1468" s="305"/>
      <c r="I1468" s="366"/>
      <c r="J1468" s="366"/>
      <c r="K1468" s="309"/>
      <c r="L1468" s="366"/>
      <c r="M1468" s="366"/>
      <c r="N1468" s="309"/>
      <c r="O1468" s="366"/>
      <c r="P1468" s="418"/>
      <c r="Q1468" s="305"/>
      <c r="R1468" s="410"/>
      <c r="S1468" s="309">
        <v>36</v>
      </c>
    </row>
    <row r="1469" spans="1:19" ht="15">
      <c r="A1469" s="439" t="s">
        <v>40</v>
      </c>
      <c r="B1469" s="413">
        <v>191282</v>
      </c>
      <c r="C1469" s="366">
        <f t="shared" si="91"/>
        <v>0</v>
      </c>
      <c r="D1469" s="366"/>
      <c r="E1469" s="305"/>
      <c r="F1469" s="366"/>
      <c r="G1469" s="366"/>
      <c r="H1469" s="305"/>
      <c r="I1469" s="366"/>
      <c r="J1469" s="366"/>
      <c r="K1469" s="309"/>
      <c r="L1469" s="366"/>
      <c r="M1469" s="366"/>
      <c r="N1469" s="309"/>
      <c r="O1469" s="366"/>
      <c r="P1469" s="418"/>
      <c r="Q1469" s="305"/>
      <c r="R1469" s="410"/>
      <c r="S1469" s="309">
        <v>30</v>
      </c>
    </row>
    <row r="1470" spans="1:19" ht="15">
      <c r="A1470" s="429" t="s">
        <v>1245</v>
      </c>
      <c r="B1470" s="413">
        <v>465184</v>
      </c>
      <c r="C1470" s="366">
        <f t="shared" si="91"/>
        <v>935</v>
      </c>
      <c r="D1470" s="366">
        <v>935</v>
      </c>
      <c r="E1470" s="305">
        <v>252.68</v>
      </c>
      <c r="F1470" s="366">
        <v>32.08</v>
      </c>
      <c r="G1470" s="366"/>
      <c r="H1470" s="305"/>
      <c r="I1470" s="366"/>
      <c r="J1470" s="366"/>
      <c r="K1470" s="309"/>
      <c r="L1470" s="366"/>
      <c r="M1470" s="366"/>
      <c r="N1470" s="309"/>
      <c r="O1470" s="366"/>
      <c r="P1470" s="418"/>
      <c r="Q1470" s="305"/>
      <c r="R1470" s="410"/>
      <c r="S1470" s="309">
        <v>69</v>
      </c>
    </row>
    <row r="1471" spans="1:19" ht="15">
      <c r="A1471" s="408" t="s">
        <v>408</v>
      </c>
      <c r="B1471" s="413">
        <v>1122</v>
      </c>
      <c r="C1471" s="366">
        <f t="shared" si="91"/>
        <v>1029.05</v>
      </c>
      <c r="D1471" s="366">
        <v>1029.05</v>
      </c>
      <c r="E1471" s="410" t="s">
        <v>1246</v>
      </c>
      <c r="F1471" s="366">
        <v>0</v>
      </c>
      <c r="G1471" s="366"/>
      <c r="H1471" s="305"/>
      <c r="I1471" s="366"/>
      <c r="J1471" s="366"/>
      <c r="K1471" s="309"/>
      <c r="L1471" s="366"/>
      <c r="M1471" s="366"/>
      <c r="N1471" s="309"/>
      <c r="O1471" s="366"/>
      <c r="P1471" s="426"/>
      <c r="Q1471" s="305"/>
      <c r="R1471" s="410"/>
      <c r="S1471" s="309"/>
    </row>
    <row r="1472" spans="1:19" ht="15">
      <c r="A1472" s="408" t="s">
        <v>386</v>
      </c>
      <c r="B1472" s="413">
        <v>218</v>
      </c>
      <c r="C1472" s="366">
        <f t="shared" si="91"/>
        <v>846.68</v>
      </c>
      <c r="D1472" s="366">
        <v>846.68</v>
      </c>
      <c r="E1472" s="410" t="s">
        <v>1247</v>
      </c>
      <c r="F1472" s="366">
        <v>51.18</v>
      </c>
      <c r="G1472" s="366"/>
      <c r="H1472" s="305"/>
      <c r="I1472" s="366"/>
      <c r="J1472" s="366"/>
      <c r="K1472" s="309"/>
      <c r="L1472" s="366"/>
      <c r="M1472" s="366"/>
      <c r="N1472" s="309"/>
      <c r="O1472" s="366"/>
      <c r="P1472" s="426"/>
      <c r="Q1472" s="305"/>
      <c r="R1472" s="410"/>
      <c r="S1472" s="309">
        <v>89</v>
      </c>
    </row>
    <row r="1473" spans="1:19" ht="15">
      <c r="A1473" s="408" t="s">
        <v>1041</v>
      </c>
      <c r="B1473" s="407" t="s">
        <v>1068</v>
      </c>
      <c r="C1473" s="366">
        <f t="shared" si="91"/>
        <v>870</v>
      </c>
      <c r="D1473" s="366">
        <v>870</v>
      </c>
      <c r="E1473" s="305">
        <v>278.25</v>
      </c>
      <c r="F1473" s="366">
        <v>0</v>
      </c>
      <c r="G1473" s="411"/>
      <c r="H1473" s="305"/>
      <c r="I1473" s="366"/>
      <c r="J1473" s="366"/>
      <c r="K1473" s="305"/>
      <c r="L1473" s="366"/>
      <c r="M1473" s="366"/>
      <c r="N1473" s="309"/>
      <c r="O1473" s="366"/>
      <c r="P1473" s="409"/>
      <c r="Q1473" s="305"/>
      <c r="R1473" s="410"/>
      <c r="S1473" s="309"/>
    </row>
    <row r="1474" spans="1:19" ht="15">
      <c r="A1474" s="408" t="s">
        <v>1043</v>
      </c>
      <c r="B1474" s="407" t="s">
        <v>1069</v>
      </c>
      <c r="C1474" s="366">
        <f t="shared" si="91"/>
        <v>0</v>
      </c>
      <c r="D1474" s="366"/>
      <c r="E1474" s="305"/>
      <c r="F1474" s="366"/>
      <c r="G1474" s="411"/>
      <c r="H1474" s="305"/>
      <c r="I1474" s="366"/>
      <c r="J1474" s="366"/>
      <c r="K1474" s="305"/>
      <c r="L1474" s="366"/>
      <c r="M1474" s="366"/>
      <c r="N1474" s="309"/>
      <c r="O1474" s="366"/>
      <c r="P1474" s="409"/>
      <c r="Q1474" s="305"/>
      <c r="R1474" s="410"/>
      <c r="S1474" s="309">
        <v>15</v>
      </c>
    </row>
    <row r="1475" spans="1:19" ht="15">
      <c r="A1475" s="408" t="s">
        <v>901</v>
      </c>
      <c r="B1475" s="407" t="s">
        <v>1152</v>
      </c>
      <c r="C1475" s="366">
        <f t="shared" si="91"/>
        <v>1253.4000000000001</v>
      </c>
      <c r="D1475" s="366">
        <v>1253.4000000000001</v>
      </c>
      <c r="E1475" s="410" t="s">
        <v>1248</v>
      </c>
      <c r="F1475" s="366">
        <v>122.34</v>
      </c>
      <c r="G1475" s="411"/>
      <c r="H1475" s="305"/>
      <c r="I1475" s="366"/>
      <c r="J1475" s="366"/>
      <c r="K1475" s="305"/>
      <c r="L1475" s="366"/>
      <c r="M1475" s="366"/>
      <c r="N1475" s="309"/>
      <c r="O1475" s="366"/>
      <c r="P1475" s="409"/>
      <c r="Q1475" s="305"/>
      <c r="R1475" s="410"/>
      <c r="S1475" s="309">
        <v>49</v>
      </c>
    </row>
    <row r="1476" spans="1:19" ht="13">
      <c r="A1476" s="470" t="s">
        <v>860</v>
      </c>
      <c r="B1476" s="471"/>
      <c r="C1476" s="422" t="s">
        <v>89</v>
      </c>
      <c r="D1476" s="324" t="s">
        <v>676</v>
      </c>
      <c r="E1476" s="325" t="s">
        <v>861</v>
      </c>
      <c r="F1476" s="355" t="s">
        <v>862</v>
      </c>
      <c r="G1476" s="324" t="s">
        <v>676</v>
      </c>
      <c r="H1476" s="325" t="s">
        <v>861</v>
      </c>
      <c r="I1476" s="355" t="s">
        <v>862</v>
      </c>
      <c r="J1476" s="324" t="s">
        <v>676</v>
      </c>
      <c r="K1476" s="325" t="s">
        <v>861</v>
      </c>
      <c r="L1476" s="355" t="s">
        <v>862</v>
      </c>
      <c r="M1476" s="324" t="s">
        <v>676</v>
      </c>
      <c r="N1476" s="325" t="s">
        <v>861</v>
      </c>
      <c r="O1476" s="355" t="s">
        <v>862</v>
      </c>
      <c r="P1476" s="324" t="s">
        <v>881</v>
      </c>
      <c r="Q1476" s="325" t="s">
        <v>861</v>
      </c>
      <c r="R1476" s="325" t="s">
        <v>865</v>
      </c>
      <c r="S1476" s="412" t="s">
        <v>1031</v>
      </c>
    </row>
    <row r="1477" spans="1:19" ht="13">
      <c r="A1477" s="470" t="s">
        <v>863</v>
      </c>
      <c r="B1477" s="471"/>
      <c r="C1477" s="326">
        <f>SUM(C1460:C1474)</f>
        <v>13989.69</v>
      </c>
      <c r="D1477" s="326">
        <f>SUM(D1450:D1475)+SUM(G1450:G1475)+SUM(J1450:J1475)</f>
        <v>27969.280000000002</v>
      </c>
      <c r="E1477" s="327">
        <f>SUM(E1460:E1467)+SUM(H1460:H1467)+SUM(K1460:K1467)+SUM(N1460:N1467)</f>
        <v>361.35</v>
      </c>
      <c r="F1477" s="328">
        <f>SUM(F1450:F1475)+SUM(I1450:I1475)+SUM(L1450:L1475)+SUM(O1450:O1475)</f>
        <v>2383.4200000000005</v>
      </c>
      <c r="G1477" s="329"/>
      <c r="H1477" s="329"/>
      <c r="I1477" s="329"/>
      <c r="J1477" s="329"/>
      <c r="K1477" s="329"/>
      <c r="L1477" s="329"/>
      <c r="M1477" s="329"/>
      <c r="N1477" s="329"/>
      <c r="O1477" s="329"/>
      <c r="P1477" s="329"/>
      <c r="Q1477" s="329"/>
      <c r="R1477" s="329"/>
    </row>
    <row r="1479" spans="1:19" ht="13">
      <c r="A1479" s="476" t="s">
        <v>1249</v>
      </c>
      <c r="B1479" s="466"/>
      <c r="C1479" s="466"/>
      <c r="D1479" s="466"/>
      <c r="E1479" s="466"/>
      <c r="F1479" s="466"/>
      <c r="G1479" s="466"/>
      <c r="H1479" s="466"/>
      <c r="I1479" s="466"/>
      <c r="J1479" s="466"/>
      <c r="K1479" s="466"/>
      <c r="L1479" s="466"/>
      <c r="M1479" s="466"/>
      <c r="N1479" s="466"/>
      <c r="O1479" s="466"/>
      <c r="P1479" s="466"/>
      <c r="Q1479" s="466"/>
      <c r="R1479" s="466"/>
      <c r="S1479" s="466"/>
    </row>
    <row r="1480" spans="1:19" ht="13">
      <c r="A1480" s="356" t="s">
        <v>849</v>
      </c>
      <c r="B1480" s="356" t="s">
        <v>1</v>
      </c>
      <c r="C1480" s="356" t="s">
        <v>89</v>
      </c>
      <c r="D1480" s="473" t="s">
        <v>850</v>
      </c>
      <c r="E1480" s="466"/>
      <c r="F1480" s="467"/>
      <c r="G1480" s="465" t="s">
        <v>852</v>
      </c>
      <c r="H1480" s="466"/>
      <c r="I1480" s="467"/>
      <c r="J1480" s="465" t="s">
        <v>1013</v>
      </c>
      <c r="K1480" s="466"/>
      <c r="L1480" s="467"/>
      <c r="M1480" s="465" t="s">
        <v>1093</v>
      </c>
      <c r="N1480" s="466"/>
      <c r="O1480" s="467"/>
      <c r="P1480" s="465" t="s">
        <v>865</v>
      </c>
      <c r="Q1480" s="466"/>
      <c r="R1480" s="467"/>
      <c r="S1480" s="356" t="s">
        <v>1028</v>
      </c>
    </row>
    <row r="1481" spans="1:19" ht="15">
      <c r="A1481" s="398" t="s">
        <v>1124</v>
      </c>
      <c r="B1481" s="413">
        <v>191274</v>
      </c>
      <c r="C1481" s="366">
        <f t="shared" ref="C1481:C1505" si="92">D1481+G1481+J1481+M1481+P1481</f>
        <v>1523.69</v>
      </c>
      <c r="D1481" s="432">
        <v>1523.69</v>
      </c>
      <c r="E1481" s="433" t="s">
        <v>1250</v>
      </c>
      <c r="F1481" s="434">
        <v>262.14999999999998</v>
      </c>
      <c r="G1481" s="366"/>
      <c r="H1481" s="305"/>
      <c r="I1481" s="366"/>
      <c r="J1481" s="366"/>
      <c r="K1481" s="309"/>
      <c r="L1481" s="366"/>
      <c r="M1481" s="366"/>
      <c r="N1481" s="309"/>
      <c r="O1481" s="366"/>
      <c r="P1481" s="418"/>
      <c r="Q1481" s="305"/>
      <c r="R1481" s="410"/>
      <c r="S1481" s="418">
        <v>32</v>
      </c>
    </row>
    <row r="1482" spans="1:19" ht="15">
      <c r="A1482" s="431"/>
      <c r="B1482" s="413">
        <v>191276</v>
      </c>
      <c r="C1482" s="366">
        <f t="shared" si="92"/>
        <v>0</v>
      </c>
      <c r="D1482" s="366"/>
      <c r="E1482" s="305"/>
      <c r="F1482" s="366"/>
      <c r="G1482" s="366"/>
      <c r="H1482" s="305"/>
      <c r="I1482" s="366"/>
      <c r="J1482" s="366"/>
      <c r="K1482" s="309"/>
      <c r="L1482" s="366"/>
      <c r="M1482" s="366"/>
      <c r="N1482" s="309"/>
      <c r="O1482" s="366"/>
      <c r="P1482" s="418"/>
      <c r="Q1482" s="305"/>
      <c r="R1482" s="410"/>
      <c r="S1482" s="418">
        <v>36</v>
      </c>
    </row>
    <row r="1483" spans="1:19" ht="15">
      <c r="A1483" s="431" t="s">
        <v>75</v>
      </c>
      <c r="B1483" s="413">
        <v>191277</v>
      </c>
      <c r="C1483" s="366">
        <f t="shared" si="92"/>
        <v>541.72</v>
      </c>
      <c r="D1483" s="432">
        <v>541.72</v>
      </c>
      <c r="E1483" s="433" t="s">
        <v>1251</v>
      </c>
      <c r="F1483" s="434">
        <v>97.32</v>
      </c>
      <c r="G1483" s="366"/>
      <c r="H1483" s="305"/>
      <c r="I1483" s="366"/>
      <c r="J1483" s="366"/>
      <c r="K1483" s="309"/>
      <c r="L1483" s="366"/>
      <c r="M1483" s="366"/>
      <c r="N1483" s="309"/>
      <c r="O1483" s="366"/>
      <c r="P1483" s="418"/>
      <c r="Q1483" s="305"/>
      <c r="R1483" s="410"/>
      <c r="S1483" s="418">
        <v>60</v>
      </c>
    </row>
    <row r="1484" spans="1:19" ht="15">
      <c r="A1484" s="400" t="s">
        <v>1252</v>
      </c>
      <c r="B1484" s="413">
        <v>191279</v>
      </c>
      <c r="C1484" s="366">
        <f t="shared" si="92"/>
        <v>843.72</v>
      </c>
      <c r="D1484" s="432">
        <v>843.72</v>
      </c>
      <c r="E1484" s="433" t="s">
        <v>1253</v>
      </c>
      <c r="F1484" s="434">
        <v>49.03</v>
      </c>
      <c r="G1484" s="366"/>
      <c r="H1484" s="305"/>
      <c r="I1484" s="366"/>
      <c r="J1484" s="366"/>
      <c r="K1484" s="305"/>
      <c r="L1484" s="366"/>
      <c r="M1484" s="366"/>
      <c r="N1484" s="309"/>
      <c r="O1484" s="366"/>
      <c r="P1484" s="345"/>
      <c r="Q1484" s="305"/>
      <c r="R1484" s="410"/>
      <c r="S1484" s="345">
        <v>44</v>
      </c>
    </row>
    <row r="1485" spans="1:19" ht="15">
      <c r="A1485" s="398" t="s">
        <v>1176</v>
      </c>
      <c r="B1485" s="413">
        <v>191280</v>
      </c>
      <c r="C1485" s="366">
        <f t="shared" si="92"/>
        <v>1816.08</v>
      </c>
      <c r="D1485" s="432">
        <v>1816.08</v>
      </c>
      <c r="E1485" s="433" t="s">
        <v>1254</v>
      </c>
      <c r="F1485" s="434">
        <v>242.16</v>
      </c>
      <c r="G1485" s="366"/>
      <c r="H1485" s="305"/>
      <c r="I1485" s="366"/>
      <c r="J1485" s="366"/>
      <c r="K1485" s="309"/>
      <c r="L1485" s="366"/>
      <c r="M1485" s="366"/>
      <c r="N1485" s="309"/>
      <c r="O1485" s="366"/>
      <c r="P1485" s="418"/>
      <c r="Q1485" s="305"/>
      <c r="R1485" s="410"/>
      <c r="S1485" s="418">
        <v>68</v>
      </c>
    </row>
    <row r="1486" spans="1:19" ht="15">
      <c r="A1486" s="398" t="s">
        <v>1225</v>
      </c>
      <c r="B1486" s="413">
        <v>191281</v>
      </c>
      <c r="C1486" s="366">
        <f t="shared" si="92"/>
        <v>1444.89</v>
      </c>
      <c r="D1486" s="432">
        <v>1444.89</v>
      </c>
      <c r="E1486" s="433" t="s">
        <v>1255</v>
      </c>
      <c r="F1486" s="434">
        <v>14.89</v>
      </c>
      <c r="G1486" s="366"/>
      <c r="H1486" s="305"/>
      <c r="I1486" s="366"/>
      <c r="J1486" s="366"/>
      <c r="K1486" s="309"/>
      <c r="L1486" s="366"/>
      <c r="M1486" s="366"/>
      <c r="N1486" s="309"/>
      <c r="O1486" s="366"/>
      <c r="P1486" s="418"/>
      <c r="Q1486" s="305"/>
      <c r="R1486" s="410"/>
      <c r="S1486" s="418">
        <v>57</v>
      </c>
    </row>
    <row r="1487" spans="1:19" ht="15">
      <c r="A1487" s="431" t="s">
        <v>634</v>
      </c>
      <c r="B1487" s="413">
        <v>191283</v>
      </c>
      <c r="C1487" s="366">
        <f t="shared" si="92"/>
        <v>2548.7399999999998</v>
      </c>
      <c r="D1487" s="432">
        <v>2548.7399999999998</v>
      </c>
      <c r="E1487" s="433" t="s">
        <v>1256</v>
      </c>
      <c r="F1487" s="434">
        <v>364.64</v>
      </c>
      <c r="G1487" s="366"/>
      <c r="H1487" s="305"/>
      <c r="I1487" s="366"/>
      <c r="J1487" s="366"/>
      <c r="K1487" s="309"/>
      <c r="L1487" s="366"/>
      <c r="M1487" s="366"/>
      <c r="N1487" s="309"/>
      <c r="O1487" s="366"/>
      <c r="P1487" s="418"/>
      <c r="Q1487" s="305"/>
      <c r="R1487" s="410"/>
      <c r="S1487" s="418">
        <v>61</v>
      </c>
    </row>
    <row r="1488" spans="1:19" ht="15">
      <c r="A1488" s="398"/>
      <c r="B1488" s="413">
        <v>465180</v>
      </c>
      <c r="C1488" s="366">
        <f t="shared" si="92"/>
        <v>0</v>
      </c>
      <c r="D1488" s="432"/>
      <c r="E1488" s="433"/>
      <c r="F1488" s="434"/>
      <c r="G1488" s="366"/>
      <c r="H1488" s="305"/>
      <c r="I1488" s="366"/>
      <c r="J1488" s="366"/>
      <c r="K1488" s="309"/>
      <c r="L1488" s="366"/>
      <c r="M1488" s="366"/>
      <c r="N1488" s="309"/>
      <c r="O1488" s="366"/>
      <c r="P1488" s="418"/>
      <c r="Q1488" s="305"/>
      <c r="R1488" s="410"/>
      <c r="S1488" s="418">
        <v>100</v>
      </c>
    </row>
    <row r="1489" spans="1:19" ht="15">
      <c r="A1489" s="398" t="s">
        <v>1121</v>
      </c>
      <c r="B1489" s="413">
        <v>465181</v>
      </c>
      <c r="C1489" s="366">
        <f t="shared" si="92"/>
        <v>2684.89</v>
      </c>
      <c r="D1489" s="432">
        <v>2684.89</v>
      </c>
      <c r="E1489" s="433" t="s">
        <v>1257</v>
      </c>
      <c r="F1489" s="434">
        <v>316.20999999999998</v>
      </c>
      <c r="G1489" s="366"/>
      <c r="H1489" s="305"/>
      <c r="I1489" s="366"/>
      <c r="J1489" s="366"/>
      <c r="K1489" s="309"/>
      <c r="L1489" s="366"/>
      <c r="M1489" s="366"/>
      <c r="N1489" s="309"/>
      <c r="O1489" s="366"/>
      <c r="P1489" s="418"/>
      <c r="Q1489" s="305"/>
      <c r="R1489" s="410"/>
      <c r="S1489" s="418">
        <v>56</v>
      </c>
    </row>
    <row r="1490" spans="1:19" ht="15">
      <c r="A1490" s="398" t="s">
        <v>1258</v>
      </c>
      <c r="B1490" s="413">
        <v>465182</v>
      </c>
      <c r="C1490" s="366">
        <f t="shared" si="92"/>
        <v>739.87</v>
      </c>
      <c r="D1490" s="432">
        <v>739.87</v>
      </c>
      <c r="E1490" s="433" t="s">
        <v>1259</v>
      </c>
      <c r="F1490" s="434">
        <v>17.93</v>
      </c>
      <c r="G1490" s="366"/>
      <c r="H1490" s="305"/>
      <c r="I1490" s="366"/>
      <c r="J1490" s="366"/>
      <c r="K1490" s="309"/>
      <c r="L1490" s="366"/>
      <c r="M1490" s="366"/>
      <c r="N1490" s="309"/>
      <c r="O1490" s="366"/>
      <c r="P1490" s="418"/>
      <c r="Q1490" s="305"/>
      <c r="R1490" s="410"/>
      <c r="S1490" s="418">
        <v>11</v>
      </c>
    </row>
    <row r="1491" spans="1:19" ht="15">
      <c r="A1491" s="398"/>
      <c r="B1491" s="413">
        <v>465183</v>
      </c>
      <c r="C1491" s="366">
        <f t="shared" si="92"/>
        <v>0</v>
      </c>
      <c r="D1491" s="432"/>
      <c r="E1491" s="433"/>
      <c r="F1491" s="434"/>
      <c r="G1491" s="366"/>
      <c r="H1491" s="305"/>
      <c r="I1491" s="366"/>
      <c r="J1491" s="366"/>
      <c r="K1491" s="309"/>
      <c r="L1491" s="366"/>
      <c r="M1491" s="366"/>
      <c r="N1491" s="309"/>
      <c r="O1491" s="366"/>
      <c r="P1491" s="418"/>
      <c r="Q1491" s="305"/>
      <c r="R1491" s="410"/>
      <c r="S1491" s="418">
        <v>15</v>
      </c>
    </row>
    <row r="1492" spans="1:19" ht="15">
      <c r="A1492" s="398" t="s">
        <v>1260</v>
      </c>
      <c r="B1492" s="413">
        <v>465185</v>
      </c>
      <c r="C1492" s="366">
        <f t="shared" si="92"/>
        <v>461.96</v>
      </c>
      <c r="D1492" s="366">
        <v>461.96</v>
      </c>
      <c r="E1492" s="305">
        <v>118.74</v>
      </c>
      <c r="F1492" s="366">
        <v>11.14</v>
      </c>
      <c r="G1492" s="366"/>
      <c r="H1492" s="305"/>
      <c r="I1492" s="366"/>
      <c r="J1492" s="366"/>
      <c r="K1492" s="309"/>
      <c r="L1492" s="366"/>
      <c r="M1492" s="366"/>
      <c r="N1492" s="309"/>
      <c r="O1492" s="366"/>
      <c r="P1492" s="418"/>
      <c r="Q1492" s="305"/>
      <c r="R1492" s="410"/>
      <c r="S1492" s="418">
        <v>58</v>
      </c>
    </row>
    <row r="1493" spans="1:19" ht="15">
      <c r="A1493" s="398" t="s">
        <v>1147</v>
      </c>
      <c r="B1493" s="413">
        <v>465186</v>
      </c>
      <c r="C1493" s="366">
        <f t="shared" si="92"/>
        <v>2849.32</v>
      </c>
      <c r="D1493" s="432">
        <v>2449.3200000000002</v>
      </c>
      <c r="E1493" s="433" t="s">
        <v>1261</v>
      </c>
      <c r="F1493" s="434">
        <v>58.42</v>
      </c>
      <c r="G1493" s="366"/>
      <c r="H1493" s="305"/>
      <c r="I1493" s="366"/>
      <c r="J1493" s="366">
        <v>400</v>
      </c>
      <c r="K1493" s="309">
        <v>96</v>
      </c>
      <c r="L1493" s="366">
        <v>0</v>
      </c>
      <c r="M1493" s="366"/>
      <c r="N1493" s="309"/>
      <c r="O1493" s="366"/>
      <c r="P1493" s="418"/>
      <c r="Q1493" s="305"/>
      <c r="R1493" s="410"/>
      <c r="S1493" s="418">
        <v>36</v>
      </c>
    </row>
    <row r="1494" spans="1:19" ht="15">
      <c r="A1494" s="398" t="s">
        <v>192</v>
      </c>
      <c r="B1494" s="413">
        <v>465187</v>
      </c>
      <c r="C1494" s="366">
        <f t="shared" si="92"/>
        <v>3213.88</v>
      </c>
      <c r="D1494" s="432">
        <v>3213.88</v>
      </c>
      <c r="E1494" s="433" t="s">
        <v>1262</v>
      </c>
      <c r="F1494" s="434">
        <v>189.06</v>
      </c>
      <c r="G1494" s="366"/>
      <c r="H1494" s="305"/>
      <c r="I1494" s="366"/>
      <c r="J1494" s="366"/>
      <c r="K1494" s="309"/>
      <c r="L1494" s="366"/>
      <c r="M1494" s="366"/>
      <c r="N1494" s="309"/>
      <c r="O1494" s="366"/>
      <c r="P1494" s="418"/>
      <c r="Q1494" s="305"/>
      <c r="R1494" s="410"/>
      <c r="S1494" s="418">
        <v>81</v>
      </c>
    </row>
    <row r="1495" spans="1:19" ht="15">
      <c r="A1495" s="398" t="s">
        <v>62</v>
      </c>
      <c r="B1495" s="413">
        <v>465188</v>
      </c>
      <c r="C1495" s="366">
        <f t="shared" si="92"/>
        <v>2339.7800000000002</v>
      </c>
      <c r="D1495" s="432">
        <v>2339.7800000000002</v>
      </c>
      <c r="E1495" s="433" t="s">
        <v>1263</v>
      </c>
      <c r="F1495" s="434">
        <v>209.38</v>
      </c>
      <c r="G1495" s="366"/>
      <c r="H1495" s="305"/>
      <c r="I1495" s="366"/>
      <c r="J1495" s="366"/>
      <c r="K1495" s="309"/>
      <c r="L1495" s="366"/>
      <c r="M1495" s="366"/>
      <c r="N1495" s="309"/>
      <c r="O1495" s="366"/>
      <c r="P1495" s="418"/>
      <c r="Q1495" s="305"/>
      <c r="R1495" s="410"/>
      <c r="S1495" s="418">
        <v>31</v>
      </c>
    </row>
    <row r="1496" spans="1:19" ht="15">
      <c r="A1496" s="400" t="s">
        <v>1190</v>
      </c>
      <c r="B1496" s="413">
        <v>465189</v>
      </c>
      <c r="C1496" s="366">
        <f t="shared" si="92"/>
        <v>2273.64</v>
      </c>
      <c r="D1496" s="432">
        <v>2273.64</v>
      </c>
      <c r="E1496" s="433" t="s">
        <v>1264</v>
      </c>
      <c r="F1496" s="434">
        <v>145.19999999999999</v>
      </c>
      <c r="G1496" s="366"/>
      <c r="H1496" s="305"/>
      <c r="I1496" s="366"/>
      <c r="J1496" s="366"/>
      <c r="K1496" s="309"/>
      <c r="L1496" s="366"/>
      <c r="M1496" s="366"/>
      <c r="N1496" s="309"/>
      <c r="O1496" s="366"/>
      <c r="P1496" s="418"/>
      <c r="Q1496" s="305"/>
      <c r="R1496" s="410"/>
      <c r="S1496" s="418">
        <v>56</v>
      </c>
    </row>
    <row r="1497" spans="1:19" ht="15">
      <c r="A1497" s="441" t="s">
        <v>411</v>
      </c>
      <c r="B1497" s="413">
        <v>191275</v>
      </c>
      <c r="C1497" s="366">
        <f t="shared" si="92"/>
        <v>2651.12</v>
      </c>
      <c r="D1497" s="366">
        <v>2651.12</v>
      </c>
      <c r="E1497" s="305">
        <v>782.96</v>
      </c>
      <c r="F1497" s="366">
        <v>44.84</v>
      </c>
      <c r="G1497" s="366"/>
      <c r="H1497" s="305"/>
      <c r="I1497" s="366"/>
      <c r="J1497" s="366"/>
      <c r="K1497" s="309"/>
      <c r="L1497" s="366"/>
      <c r="M1497" s="366"/>
      <c r="N1497" s="309"/>
      <c r="O1497" s="366"/>
      <c r="P1497" s="418"/>
      <c r="Q1497" s="305"/>
      <c r="R1497" s="410"/>
      <c r="S1497" s="418">
        <v>21</v>
      </c>
    </row>
    <row r="1498" spans="1:19" ht="15">
      <c r="A1498" s="439" t="s">
        <v>40</v>
      </c>
      <c r="B1498" s="413">
        <v>191282</v>
      </c>
      <c r="C1498" s="366">
        <f t="shared" si="92"/>
        <v>1218.23</v>
      </c>
      <c r="D1498" s="366">
        <v>1218.23</v>
      </c>
      <c r="E1498" s="305">
        <v>345.3</v>
      </c>
      <c r="F1498" s="366">
        <v>42.01</v>
      </c>
      <c r="G1498" s="366"/>
      <c r="H1498" s="305"/>
      <c r="I1498" s="366"/>
      <c r="J1498" s="366"/>
      <c r="K1498" s="309"/>
      <c r="L1498" s="366"/>
      <c r="M1498" s="366"/>
      <c r="N1498" s="309"/>
      <c r="O1498" s="366"/>
      <c r="P1498" s="418"/>
      <c r="Q1498" s="305"/>
      <c r="R1498" s="410"/>
      <c r="S1498" s="418">
        <v>30</v>
      </c>
    </row>
    <row r="1499" spans="1:19" ht="18" customHeight="1">
      <c r="A1499" s="439" t="s">
        <v>1265</v>
      </c>
      <c r="B1499" s="413">
        <v>465184</v>
      </c>
      <c r="C1499" s="366">
        <f t="shared" si="92"/>
        <v>1932.81</v>
      </c>
      <c r="D1499" s="366">
        <v>1932.81</v>
      </c>
      <c r="E1499" s="305">
        <v>527.89</v>
      </c>
      <c r="F1499" s="366">
        <v>0</v>
      </c>
      <c r="G1499" s="366"/>
      <c r="H1499" s="305"/>
      <c r="I1499" s="366"/>
      <c r="J1499" s="366"/>
      <c r="K1499" s="309"/>
      <c r="L1499" s="366"/>
      <c r="M1499" s="366"/>
      <c r="N1499" s="309"/>
      <c r="O1499" s="366"/>
      <c r="P1499" s="418"/>
      <c r="Q1499" s="305"/>
      <c r="R1499" s="410"/>
      <c r="S1499" s="418">
        <v>41</v>
      </c>
    </row>
    <row r="1500" spans="1:19" ht="15">
      <c r="A1500" s="429" t="s">
        <v>1266</v>
      </c>
      <c r="B1500" s="407" t="s">
        <v>507</v>
      </c>
      <c r="C1500" s="366">
        <f t="shared" si="92"/>
        <v>1989.02</v>
      </c>
      <c r="D1500" s="366">
        <v>1989.02</v>
      </c>
      <c r="E1500" s="305">
        <v>508.25</v>
      </c>
      <c r="F1500" s="366">
        <v>280.75</v>
      </c>
      <c r="G1500" s="366"/>
      <c r="H1500" s="305"/>
      <c r="I1500" s="366"/>
      <c r="J1500" s="366"/>
      <c r="K1500" s="309"/>
      <c r="L1500" s="366"/>
      <c r="M1500" s="366"/>
      <c r="N1500" s="309"/>
      <c r="O1500" s="366"/>
      <c r="P1500" s="418"/>
      <c r="Q1500" s="305"/>
      <c r="R1500" s="410"/>
      <c r="S1500" s="418">
        <v>21</v>
      </c>
    </row>
    <row r="1501" spans="1:19" ht="15">
      <c r="A1501" s="408" t="s">
        <v>408</v>
      </c>
      <c r="B1501" s="413">
        <v>1122</v>
      </c>
      <c r="C1501" s="366">
        <f t="shared" si="92"/>
        <v>0</v>
      </c>
      <c r="D1501" s="366"/>
      <c r="E1501" s="410"/>
      <c r="F1501" s="366"/>
      <c r="G1501" s="366"/>
      <c r="H1501" s="305"/>
      <c r="I1501" s="366"/>
      <c r="J1501" s="366"/>
      <c r="K1501" s="309"/>
      <c r="L1501" s="366"/>
      <c r="M1501" s="366"/>
      <c r="N1501" s="309"/>
      <c r="O1501" s="366"/>
      <c r="P1501" s="426"/>
      <c r="Q1501" s="305"/>
      <c r="R1501" s="410"/>
      <c r="S1501" s="426"/>
    </row>
    <row r="1502" spans="1:19" ht="15">
      <c r="A1502" s="408" t="s">
        <v>386</v>
      </c>
      <c r="B1502" s="413">
        <v>218</v>
      </c>
      <c r="C1502" s="366">
        <f t="shared" si="92"/>
        <v>2093.88</v>
      </c>
      <c r="D1502" s="366">
        <v>2093.88</v>
      </c>
      <c r="E1502" s="410" t="s">
        <v>1267</v>
      </c>
      <c r="F1502" s="366">
        <v>70.91</v>
      </c>
      <c r="G1502" s="366"/>
      <c r="H1502" s="305"/>
      <c r="I1502" s="366"/>
      <c r="J1502" s="366"/>
      <c r="K1502" s="309"/>
      <c r="L1502" s="366"/>
      <c r="M1502" s="366"/>
      <c r="N1502" s="309"/>
      <c r="O1502" s="366"/>
      <c r="P1502" s="426"/>
      <c r="Q1502" s="305"/>
      <c r="R1502" s="410"/>
      <c r="S1502" s="426">
        <v>23</v>
      </c>
    </row>
    <row r="1503" spans="1:19" ht="15">
      <c r="A1503" s="408" t="s">
        <v>1041</v>
      </c>
      <c r="B1503" s="407" t="s">
        <v>1068</v>
      </c>
      <c r="C1503" s="366">
        <f t="shared" si="92"/>
        <v>1683.23</v>
      </c>
      <c r="D1503" s="366">
        <v>1683.23</v>
      </c>
      <c r="E1503" s="305">
        <v>504.07</v>
      </c>
      <c r="F1503" s="366">
        <v>6.24</v>
      </c>
      <c r="G1503" s="411"/>
      <c r="H1503" s="305"/>
      <c r="I1503" s="366"/>
      <c r="J1503" s="366"/>
      <c r="K1503" s="305"/>
      <c r="L1503" s="366"/>
      <c r="M1503" s="366"/>
      <c r="N1503" s="309"/>
      <c r="O1503" s="366"/>
      <c r="P1503" s="409"/>
      <c r="Q1503" s="305"/>
      <c r="R1503" s="410"/>
      <c r="S1503" s="409"/>
    </row>
    <row r="1504" spans="1:19" ht="15">
      <c r="A1504" s="408" t="s">
        <v>1043</v>
      </c>
      <c r="B1504" s="407" t="s">
        <v>1069</v>
      </c>
      <c r="C1504" s="366">
        <f t="shared" si="92"/>
        <v>0</v>
      </c>
      <c r="D1504" s="366"/>
      <c r="E1504" s="305"/>
      <c r="F1504" s="366"/>
      <c r="G1504" s="411"/>
      <c r="H1504" s="305"/>
      <c r="I1504" s="366"/>
      <c r="J1504" s="366"/>
      <c r="K1504" s="305"/>
      <c r="L1504" s="366"/>
      <c r="M1504" s="366"/>
      <c r="N1504" s="309"/>
      <c r="O1504" s="366"/>
      <c r="P1504" s="409"/>
      <c r="Q1504" s="305"/>
      <c r="R1504" s="410"/>
      <c r="S1504" s="409"/>
    </row>
    <row r="1505" spans="1:19" ht="15">
      <c r="A1505" s="408" t="s">
        <v>901</v>
      </c>
      <c r="B1505" s="407" t="s">
        <v>1152</v>
      </c>
      <c r="C1505" s="366">
        <f t="shared" si="92"/>
        <v>1509.7</v>
      </c>
      <c r="D1505" s="366">
        <v>1509.7</v>
      </c>
      <c r="E1505" s="410" t="s">
        <v>1268</v>
      </c>
      <c r="F1505" s="366">
        <v>31.4</v>
      </c>
      <c r="G1505" s="411"/>
      <c r="H1505" s="305"/>
      <c r="I1505" s="366"/>
      <c r="J1505" s="366"/>
      <c r="K1505" s="305"/>
      <c r="L1505" s="366"/>
      <c r="M1505" s="366"/>
      <c r="N1505" s="309"/>
      <c r="O1505" s="366"/>
      <c r="P1505" s="409"/>
      <c r="Q1505" s="305"/>
      <c r="R1505" s="410"/>
      <c r="S1505" s="409">
        <v>16</v>
      </c>
    </row>
    <row r="1506" spans="1:19" ht="13">
      <c r="A1506" s="470" t="s">
        <v>860</v>
      </c>
      <c r="B1506" s="471"/>
      <c r="C1506" s="422" t="s">
        <v>89</v>
      </c>
      <c r="D1506" s="324" t="s">
        <v>676</v>
      </c>
      <c r="E1506" s="325" t="s">
        <v>861</v>
      </c>
      <c r="F1506" s="355" t="s">
        <v>862</v>
      </c>
      <c r="G1506" s="324" t="s">
        <v>676</v>
      </c>
      <c r="H1506" s="325" t="s">
        <v>861</v>
      </c>
      <c r="I1506" s="355" t="s">
        <v>862</v>
      </c>
      <c r="J1506" s="324" t="s">
        <v>676</v>
      </c>
      <c r="K1506" s="325" t="s">
        <v>861</v>
      </c>
      <c r="L1506" s="355" t="s">
        <v>862</v>
      </c>
      <c r="M1506" s="324" t="s">
        <v>676</v>
      </c>
      <c r="N1506" s="325" t="s">
        <v>861</v>
      </c>
      <c r="O1506" s="355" t="s">
        <v>862</v>
      </c>
      <c r="P1506" s="324" t="s">
        <v>881</v>
      </c>
      <c r="Q1506" s="325" t="s">
        <v>861</v>
      </c>
      <c r="R1506" s="325" t="s">
        <v>865</v>
      </c>
      <c r="S1506" s="412" t="s">
        <v>1031</v>
      </c>
    </row>
    <row r="1507" spans="1:19" ht="13">
      <c r="A1507" s="470" t="s">
        <v>863</v>
      </c>
      <c r="B1507" s="471"/>
      <c r="C1507" s="326">
        <f t="shared" ref="C1507:F1507" si="93">SUM(C1481:C1505)</f>
        <v>36360.17</v>
      </c>
      <c r="D1507" s="326">
        <f t="shared" si="93"/>
        <v>35960.17</v>
      </c>
      <c r="E1507" s="442">
        <f t="shared" si="93"/>
        <v>2787.21</v>
      </c>
      <c r="F1507" s="326">
        <f t="shared" si="93"/>
        <v>2453.6800000000003</v>
      </c>
      <c r="G1507" s="329"/>
      <c r="H1507" s="329"/>
      <c r="I1507" s="329"/>
      <c r="J1507" s="329"/>
      <c r="K1507" s="329"/>
      <c r="L1507" s="329"/>
      <c r="M1507" s="329"/>
      <c r="N1507" s="329"/>
      <c r="O1507" s="329"/>
      <c r="P1507" s="329"/>
      <c r="Q1507" s="329"/>
      <c r="R1507" s="329"/>
    </row>
    <row r="1509" spans="1:19" ht="13">
      <c r="A1509" s="476" t="s">
        <v>1269</v>
      </c>
      <c r="B1509" s="466"/>
      <c r="C1509" s="466"/>
      <c r="D1509" s="466"/>
      <c r="E1509" s="466"/>
      <c r="F1509" s="466"/>
      <c r="G1509" s="466"/>
      <c r="H1509" s="466"/>
      <c r="I1509" s="466"/>
      <c r="J1509" s="466"/>
      <c r="K1509" s="466"/>
      <c r="L1509" s="466"/>
      <c r="M1509" s="466"/>
      <c r="N1509" s="466"/>
      <c r="O1509" s="466"/>
      <c r="P1509" s="466"/>
      <c r="Q1509" s="466"/>
      <c r="R1509" s="466"/>
      <c r="S1509" s="466"/>
    </row>
    <row r="1510" spans="1:19" ht="13">
      <c r="A1510" s="356" t="s">
        <v>849</v>
      </c>
      <c r="B1510" s="356" t="s">
        <v>1</v>
      </c>
      <c r="C1510" s="356" t="s">
        <v>89</v>
      </c>
      <c r="D1510" s="473" t="s">
        <v>850</v>
      </c>
      <c r="E1510" s="466"/>
      <c r="F1510" s="467"/>
      <c r="G1510" s="465" t="s">
        <v>852</v>
      </c>
      <c r="H1510" s="466"/>
      <c r="I1510" s="467"/>
      <c r="J1510" s="465" t="s">
        <v>1013</v>
      </c>
      <c r="K1510" s="466"/>
      <c r="L1510" s="467"/>
      <c r="M1510" s="465" t="s">
        <v>1093</v>
      </c>
      <c r="N1510" s="466"/>
      <c r="O1510" s="467"/>
      <c r="P1510" s="465" t="s">
        <v>865</v>
      </c>
      <c r="Q1510" s="466"/>
      <c r="R1510" s="467"/>
      <c r="S1510" s="356" t="s">
        <v>1028</v>
      </c>
    </row>
    <row r="1511" spans="1:19" ht="15">
      <c r="A1511" s="398" t="s">
        <v>1124</v>
      </c>
      <c r="B1511" s="413">
        <v>191274</v>
      </c>
      <c r="C1511" s="366"/>
      <c r="D1511" s="366">
        <v>2228.48</v>
      </c>
      <c r="E1511" s="305">
        <v>566.72</v>
      </c>
      <c r="F1511" s="366">
        <v>362.83</v>
      </c>
      <c r="G1511" s="366"/>
      <c r="H1511" s="305"/>
      <c r="I1511" s="366"/>
      <c r="J1511" s="366"/>
      <c r="K1511" s="309"/>
      <c r="L1511" s="366"/>
      <c r="M1511" s="366"/>
      <c r="N1511" s="309"/>
      <c r="O1511" s="366"/>
      <c r="P1511" s="418"/>
      <c r="Q1511" s="305"/>
      <c r="R1511" s="410"/>
      <c r="S1511" s="418">
        <v>79</v>
      </c>
    </row>
    <row r="1512" spans="1:19" ht="15">
      <c r="A1512" s="431" t="s">
        <v>88</v>
      </c>
      <c r="B1512" s="413">
        <v>191276</v>
      </c>
      <c r="C1512" s="366"/>
      <c r="D1512" s="366">
        <v>1868.31</v>
      </c>
      <c r="E1512" s="305">
        <v>500.56</v>
      </c>
      <c r="F1512" s="366">
        <v>295.58999999999997</v>
      </c>
      <c r="G1512" s="366"/>
      <c r="H1512" s="305"/>
      <c r="I1512" s="366"/>
      <c r="J1512" s="366"/>
      <c r="K1512" s="309"/>
      <c r="L1512" s="366"/>
      <c r="M1512" s="366"/>
      <c r="N1512" s="309"/>
      <c r="O1512" s="366"/>
      <c r="P1512" s="418"/>
      <c r="Q1512" s="305"/>
      <c r="R1512" s="410"/>
      <c r="S1512" s="418">
        <v>61</v>
      </c>
    </row>
    <row r="1513" spans="1:19" ht="15">
      <c r="A1513" s="431" t="s">
        <v>75</v>
      </c>
      <c r="B1513" s="413">
        <v>191277</v>
      </c>
      <c r="C1513" s="366"/>
      <c r="D1513" s="432">
        <v>2203.15</v>
      </c>
      <c r="E1513" s="433" t="s">
        <v>1270</v>
      </c>
      <c r="F1513" s="434">
        <v>354.18</v>
      </c>
      <c r="G1513" s="366"/>
      <c r="H1513" s="305"/>
      <c r="I1513" s="366"/>
      <c r="J1513" s="366"/>
      <c r="K1513" s="309"/>
      <c r="L1513" s="366"/>
      <c r="M1513" s="366"/>
      <c r="N1513" s="309"/>
      <c r="O1513" s="366"/>
      <c r="P1513" s="418"/>
      <c r="Q1513" s="305"/>
      <c r="R1513" s="410"/>
      <c r="S1513" s="418">
        <v>45</v>
      </c>
    </row>
    <row r="1514" spans="1:19" ht="15">
      <c r="A1514" s="400" t="s">
        <v>318</v>
      </c>
      <c r="B1514" s="413">
        <v>191279</v>
      </c>
      <c r="C1514" s="366"/>
      <c r="D1514" s="432">
        <v>697.8</v>
      </c>
      <c r="E1514" s="433" t="s">
        <v>1271</v>
      </c>
      <c r="F1514" s="434">
        <v>68.489999999999995</v>
      </c>
      <c r="G1514" s="366"/>
      <c r="H1514" s="305"/>
      <c r="I1514" s="366"/>
      <c r="J1514" s="366"/>
      <c r="K1514" s="305"/>
      <c r="L1514" s="366"/>
      <c r="M1514" s="366"/>
      <c r="N1514" s="309"/>
      <c r="O1514" s="366"/>
      <c r="P1514" s="345"/>
      <c r="Q1514" s="305"/>
      <c r="R1514" s="410"/>
      <c r="S1514" s="345">
        <v>34</v>
      </c>
    </row>
    <row r="1515" spans="1:19" ht="15">
      <c r="A1515" s="398" t="s">
        <v>1272</v>
      </c>
      <c r="B1515" s="413">
        <v>191280</v>
      </c>
      <c r="C1515" s="366"/>
      <c r="D1515" s="432">
        <v>1108.6600000000001</v>
      </c>
      <c r="E1515" s="433" t="s">
        <v>1273</v>
      </c>
      <c r="F1515" s="434">
        <v>125.94</v>
      </c>
      <c r="G1515" s="366"/>
      <c r="H1515" s="305"/>
      <c r="I1515" s="366"/>
      <c r="J1515" s="366"/>
      <c r="K1515" s="309"/>
      <c r="L1515" s="366"/>
      <c r="M1515" s="366"/>
      <c r="N1515" s="309"/>
      <c r="O1515" s="366"/>
      <c r="P1515" s="418"/>
      <c r="Q1515" s="305"/>
      <c r="R1515" s="410"/>
      <c r="S1515" s="418">
        <v>56</v>
      </c>
    </row>
    <row r="1516" spans="1:19" ht="15">
      <c r="A1516" s="398" t="s">
        <v>1274</v>
      </c>
      <c r="B1516" s="413">
        <v>191281</v>
      </c>
      <c r="C1516" s="366"/>
      <c r="D1516" s="366">
        <v>781.52</v>
      </c>
      <c r="E1516" s="305">
        <v>227.13</v>
      </c>
      <c r="F1516" s="366">
        <v>45.26</v>
      </c>
      <c r="G1516" s="366"/>
      <c r="H1516" s="305"/>
      <c r="I1516" s="366"/>
      <c r="J1516" s="366"/>
      <c r="K1516" s="309"/>
      <c r="L1516" s="366"/>
      <c r="M1516" s="366"/>
      <c r="N1516" s="309"/>
      <c r="O1516" s="366"/>
      <c r="P1516" s="418"/>
      <c r="Q1516" s="305"/>
      <c r="R1516" s="410"/>
      <c r="S1516" s="418">
        <v>68</v>
      </c>
    </row>
    <row r="1517" spans="1:19" ht="15">
      <c r="A1517" s="431" t="s">
        <v>634</v>
      </c>
      <c r="B1517" s="413">
        <v>191283</v>
      </c>
      <c r="C1517" s="366"/>
      <c r="D1517" s="432">
        <v>2582.15</v>
      </c>
      <c r="E1517" s="433" t="s">
        <v>1275</v>
      </c>
      <c r="F1517" s="434">
        <v>423.9</v>
      </c>
      <c r="G1517" s="366"/>
      <c r="H1517" s="305"/>
      <c r="I1517" s="366"/>
      <c r="J1517" s="366"/>
      <c r="K1517" s="309"/>
      <c r="L1517" s="366"/>
      <c r="M1517" s="366"/>
      <c r="N1517" s="309"/>
      <c r="O1517" s="366"/>
      <c r="P1517" s="418"/>
      <c r="Q1517" s="305"/>
      <c r="R1517" s="410"/>
      <c r="S1517" s="418">
        <v>100</v>
      </c>
    </row>
    <row r="1518" spans="1:19" ht="15">
      <c r="A1518" s="398"/>
      <c r="B1518" s="413">
        <v>465180</v>
      </c>
      <c r="C1518" s="366"/>
      <c r="D1518" s="366"/>
      <c r="E1518" s="305"/>
      <c r="F1518" s="366"/>
      <c r="G1518" s="366"/>
      <c r="H1518" s="305"/>
      <c r="I1518" s="366"/>
      <c r="J1518" s="366"/>
      <c r="K1518" s="309"/>
      <c r="L1518" s="366"/>
      <c r="M1518" s="366"/>
      <c r="N1518" s="309"/>
      <c r="O1518" s="366"/>
      <c r="P1518" s="418"/>
      <c r="Q1518" s="305"/>
      <c r="R1518" s="410"/>
      <c r="S1518" s="418">
        <v>50</v>
      </c>
    </row>
    <row r="1519" spans="1:19" ht="15">
      <c r="A1519" s="398" t="s">
        <v>1121</v>
      </c>
      <c r="B1519" s="413">
        <v>465181</v>
      </c>
      <c r="C1519" s="366"/>
      <c r="D1519" s="432">
        <v>1627.71</v>
      </c>
      <c r="E1519" s="433" t="s">
        <v>1276</v>
      </c>
      <c r="F1519" s="434">
        <v>5.9</v>
      </c>
      <c r="G1519" s="366"/>
      <c r="H1519" s="305"/>
      <c r="I1519" s="366"/>
      <c r="J1519" s="366"/>
      <c r="K1519" s="309"/>
      <c r="L1519" s="366"/>
      <c r="M1519" s="366"/>
      <c r="N1519" s="309"/>
      <c r="O1519" s="366"/>
      <c r="P1519" s="418"/>
      <c r="Q1519" s="305"/>
      <c r="R1519" s="410"/>
      <c r="S1519" s="418">
        <v>97</v>
      </c>
    </row>
    <row r="1520" spans="1:19" ht="15">
      <c r="A1520" s="398" t="s">
        <v>1240</v>
      </c>
      <c r="B1520" s="413">
        <v>465182</v>
      </c>
      <c r="C1520" s="366"/>
      <c r="D1520" s="366">
        <v>2290.33</v>
      </c>
      <c r="E1520" s="305">
        <v>630.26</v>
      </c>
      <c r="F1520" s="366">
        <v>61.47</v>
      </c>
      <c r="G1520" s="366"/>
      <c r="H1520" s="305"/>
      <c r="I1520" s="366"/>
      <c r="J1520" s="366"/>
      <c r="K1520" s="309"/>
      <c r="L1520" s="366"/>
      <c r="M1520" s="366"/>
      <c r="N1520" s="309"/>
      <c r="O1520" s="366"/>
      <c r="P1520" s="418"/>
      <c r="Q1520" s="305"/>
      <c r="R1520" s="410"/>
      <c r="S1520" s="418">
        <v>81</v>
      </c>
    </row>
    <row r="1521" spans="1:19" ht="15">
      <c r="A1521" s="398"/>
      <c r="B1521" s="413">
        <v>465183</v>
      </c>
      <c r="C1521" s="366"/>
      <c r="D1521" s="432"/>
      <c r="E1521" s="433"/>
      <c r="F1521" s="434"/>
      <c r="G1521" s="366"/>
      <c r="H1521" s="305"/>
      <c r="I1521" s="366"/>
      <c r="J1521" s="366"/>
      <c r="K1521" s="309"/>
      <c r="L1521" s="366"/>
      <c r="M1521" s="366"/>
      <c r="N1521" s="309"/>
      <c r="O1521" s="366"/>
      <c r="P1521" s="418"/>
      <c r="Q1521" s="305"/>
      <c r="R1521" s="410"/>
      <c r="S1521" s="418">
        <v>15</v>
      </c>
    </row>
    <row r="1522" spans="1:19" ht="15">
      <c r="A1522" s="398" t="s">
        <v>1277</v>
      </c>
      <c r="B1522" s="413">
        <v>465185</v>
      </c>
      <c r="C1522" s="366"/>
      <c r="D1522" s="366">
        <v>1840.07</v>
      </c>
      <c r="E1522" s="305">
        <v>492.87</v>
      </c>
      <c r="F1522" s="366">
        <v>163.75</v>
      </c>
      <c r="G1522" s="366"/>
      <c r="H1522" s="305"/>
      <c r="I1522" s="366"/>
      <c r="J1522" s="366"/>
      <c r="K1522" s="309"/>
      <c r="L1522" s="366"/>
      <c r="M1522" s="366"/>
      <c r="N1522" s="309"/>
      <c r="O1522" s="366"/>
      <c r="P1522" s="418"/>
      <c r="Q1522" s="305"/>
      <c r="R1522" s="410"/>
      <c r="S1522" s="418">
        <v>100</v>
      </c>
    </row>
    <row r="1523" spans="1:19" ht="15">
      <c r="A1523" s="398" t="s">
        <v>1147</v>
      </c>
      <c r="B1523" s="413">
        <v>465186</v>
      </c>
      <c r="C1523" s="366"/>
      <c r="D1523" s="432">
        <v>547.86</v>
      </c>
      <c r="E1523" s="433" t="s">
        <v>1278</v>
      </c>
      <c r="F1523" s="434">
        <v>12.86</v>
      </c>
      <c r="G1523" s="366"/>
      <c r="H1523" s="305"/>
      <c r="I1523" s="366"/>
      <c r="J1523" s="366"/>
      <c r="K1523" s="309"/>
      <c r="L1523" s="366"/>
      <c r="M1523" s="366"/>
      <c r="N1523" s="309"/>
      <c r="O1523" s="366"/>
      <c r="P1523" s="418"/>
      <c r="Q1523" s="305"/>
      <c r="R1523" s="410"/>
      <c r="S1523" s="418">
        <v>36</v>
      </c>
    </row>
    <row r="1524" spans="1:19" ht="15">
      <c r="A1524" s="398" t="s">
        <v>192</v>
      </c>
      <c r="B1524" s="413">
        <v>465187</v>
      </c>
      <c r="C1524" s="366"/>
      <c r="D1524" s="432">
        <v>1750.18</v>
      </c>
      <c r="E1524" s="433" t="s">
        <v>1279</v>
      </c>
      <c r="F1524" s="434">
        <v>134.29</v>
      </c>
      <c r="G1524" s="366"/>
      <c r="H1524" s="305"/>
      <c r="I1524" s="366"/>
      <c r="J1524" s="366"/>
      <c r="K1524" s="309"/>
      <c r="L1524" s="366"/>
      <c r="M1524" s="366"/>
      <c r="N1524" s="309"/>
      <c r="O1524" s="366"/>
      <c r="P1524" s="418"/>
      <c r="Q1524" s="305"/>
      <c r="R1524" s="410"/>
      <c r="S1524" s="418">
        <v>41</v>
      </c>
    </row>
    <row r="1525" spans="1:19" ht="15">
      <c r="A1525" s="398" t="s">
        <v>62</v>
      </c>
      <c r="B1525" s="413">
        <v>465188</v>
      </c>
      <c r="C1525" s="366"/>
      <c r="D1525" s="432">
        <v>1692.47</v>
      </c>
      <c r="E1525" s="433" t="s">
        <v>1280</v>
      </c>
      <c r="F1525" s="434">
        <v>82.19</v>
      </c>
      <c r="G1525" s="366"/>
      <c r="H1525" s="305"/>
      <c r="I1525" s="366"/>
      <c r="J1525" s="366"/>
      <c r="K1525" s="309"/>
      <c r="L1525" s="366"/>
      <c r="M1525" s="366"/>
      <c r="N1525" s="309"/>
      <c r="O1525" s="366"/>
      <c r="P1525" s="418"/>
      <c r="Q1525" s="305"/>
      <c r="R1525" s="410"/>
      <c r="S1525" s="418">
        <v>46</v>
      </c>
    </row>
    <row r="1526" spans="1:19" ht="15">
      <c r="A1526" s="400" t="s">
        <v>1190</v>
      </c>
      <c r="B1526" s="413">
        <v>465189</v>
      </c>
      <c r="C1526" s="366"/>
      <c r="D1526" s="432"/>
      <c r="E1526" s="433"/>
      <c r="F1526" s="434"/>
      <c r="G1526" s="366"/>
      <c r="H1526" s="305"/>
      <c r="I1526" s="366"/>
      <c r="J1526" s="366"/>
      <c r="K1526" s="309"/>
      <c r="L1526" s="366"/>
      <c r="M1526" s="366"/>
      <c r="N1526" s="309"/>
      <c r="O1526" s="366"/>
      <c r="P1526" s="418"/>
      <c r="Q1526" s="305"/>
      <c r="R1526" s="410"/>
      <c r="S1526" s="418">
        <v>63</v>
      </c>
    </row>
    <row r="1527" spans="1:19" ht="15">
      <c r="A1527" s="441" t="s">
        <v>411</v>
      </c>
      <c r="B1527" s="413">
        <v>191275</v>
      </c>
      <c r="C1527" s="366"/>
      <c r="D1527" s="366">
        <v>796.52</v>
      </c>
      <c r="E1527" s="305">
        <v>247.32</v>
      </c>
      <c r="F1527" s="366">
        <v>7.52</v>
      </c>
      <c r="G1527" s="366"/>
      <c r="H1527" s="305"/>
      <c r="I1527" s="366"/>
      <c r="J1527" s="366"/>
      <c r="K1527" s="309"/>
      <c r="L1527" s="366"/>
      <c r="M1527" s="366"/>
      <c r="N1527" s="309"/>
      <c r="O1527" s="366"/>
      <c r="P1527" s="418"/>
      <c r="Q1527" s="305"/>
      <c r="R1527" s="410"/>
      <c r="S1527" s="418">
        <v>21</v>
      </c>
    </row>
    <row r="1528" spans="1:19" ht="15">
      <c r="A1528" s="439" t="s">
        <v>40</v>
      </c>
      <c r="B1528" s="413">
        <v>191282</v>
      </c>
      <c r="C1528" s="366"/>
      <c r="D1528" s="366">
        <v>2445.7399999999998</v>
      </c>
      <c r="E1528" s="305">
        <v>664.8</v>
      </c>
      <c r="F1528" s="366">
        <v>31.06</v>
      </c>
      <c r="G1528" s="366"/>
      <c r="H1528" s="305"/>
      <c r="I1528" s="366"/>
      <c r="J1528" s="366"/>
      <c r="K1528" s="309"/>
      <c r="L1528" s="366"/>
      <c r="M1528" s="366"/>
      <c r="N1528" s="309"/>
      <c r="O1528" s="366"/>
      <c r="P1528" s="418"/>
      <c r="Q1528" s="305"/>
      <c r="R1528" s="410"/>
      <c r="S1528" s="418"/>
    </row>
    <row r="1529" spans="1:19" ht="15">
      <c r="A1529" s="439" t="s">
        <v>1265</v>
      </c>
      <c r="B1529" s="413">
        <v>465184</v>
      </c>
      <c r="C1529" s="366"/>
      <c r="D1529" s="366">
        <v>1825.27</v>
      </c>
      <c r="E1529" s="305">
        <v>489.45</v>
      </c>
      <c r="F1529" s="366">
        <v>149.33000000000001</v>
      </c>
      <c r="G1529" s="366"/>
      <c r="H1529" s="305"/>
      <c r="I1529" s="366"/>
      <c r="J1529" s="366"/>
      <c r="K1529" s="309"/>
      <c r="L1529" s="366"/>
      <c r="M1529" s="366"/>
      <c r="N1529" s="309"/>
      <c r="O1529" s="366"/>
      <c r="P1529" s="418"/>
      <c r="Q1529" s="305"/>
      <c r="R1529" s="410"/>
      <c r="S1529" s="418">
        <v>16</v>
      </c>
    </row>
    <row r="1530" spans="1:19" ht="15">
      <c r="A1530" s="429" t="s">
        <v>1266</v>
      </c>
      <c r="B1530" s="407" t="s">
        <v>507</v>
      </c>
      <c r="C1530" s="366"/>
      <c r="D1530" s="366">
        <v>1496.66</v>
      </c>
      <c r="E1530" s="305">
        <v>401.69</v>
      </c>
      <c r="F1530" s="366">
        <v>219.67</v>
      </c>
      <c r="G1530" s="366"/>
      <c r="H1530" s="305"/>
      <c r="I1530" s="366"/>
      <c r="J1530" s="366"/>
      <c r="K1530" s="309"/>
      <c r="L1530" s="366"/>
      <c r="M1530" s="366"/>
      <c r="N1530" s="309"/>
      <c r="O1530" s="366"/>
      <c r="P1530" s="418"/>
      <c r="Q1530" s="305"/>
      <c r="R1530" s="410"/>
      <c r="S1530" s="418">
        <v>12</v>
      </c>
    </row>
    <row r="1531" spans="1:19" ht="15">
      <c r="A1531" s="408" t="s">
        <v>408</v>
      </c>
      <c r="B1531" s="413">
        <v>1122</v>
      </c>
      <c r="C1531" s="366"/>
      <c r="D1531" s="366">
        <v>796.39</v>
      </c>
      <c r="E1531" s="410" t="s">
        <v>1281</v>
      </c>
      <c r="F1531" s="366">
        <v>19.14</v>
      </c>
      <c r="G1531" s="366"/>
      <c r="H1531" s="305"/>
      <c r="I1531" s="366"/>
      <c r="J1531" s="366"/>
      <c r="K1531" s="309"/>
      <c r="L1531" s="366"/>
      <c r="M1531" s="366"/>
      <c r="N1531" s="309"/>
      <c r="O1531" s="366"/>
      <c r="P1531" s="426"/>
      <c r="Q1531" s="305"/>
      <c r="R1531" s="410"/>
      <c r="S1531" s="426"/>
    </row>
    <row r="1532" spans="1:19" ht="15">
      <c r="A1532" s="408" t="s">
        <v>386</v>
      </c>
      <c r="B1532" s="413">
        <v>218</v>
      </c>
      <c r="C1532" s="366"/>
      <c r="D1532" s="366">
        <v>1441.13</v>
      </c>
      <c r="E1532" s="410" t="s">
        <v>1282</v>
      </c>
      <c r="F1532" s="366">
        <v>93.54</v>
      </c>
      <c r="G1532" s="366"/>
      <c r="H1532" s="305"/>
      <c r="I1532" s="366"/>
      <c r="J1532" s="366"/>
      <c r="K1532" s="309"/>
      <c r="L1532" s="366"/>
      <c r="M1532" s="366"/>
      <c r="N1532" s="309"/>
      <c r="O1532" s="366"/>
      <c r="P1532" s="426"/>
      <c r="Q1532" s="305"/>
      <c r="R1532" s="410"/>
      <c r="S1532" s="426">
        <v>96</v>
      </c>
    </row>
    <row r="1533" spans="1:19" ht="15">
      <c r="A1533" s="408" t="s">
        <v>1041</v>
      </c>
      <c r="B1533" s="407" t="s">
        <v>1068</v>
      </c>
      <c r="C1533" s="366"/>
      <c r="D1533" s="366">
        <v>1910.03</v>
      </c>
      <c r="E1533" s="305">
        <v>591.36</v>
      </c>
      <c r="F1533" s="366">
        <v>18.28</v>
      </c>
      <c r="G1533" s="411"/>
      <c r="H1533" s="305"/>
      <c r="I1533" s="366"/>
      <c r="J1533" s="366"/>
      <c r="K1533" s="305"/>
      <c r="L1533" s="366"/>
      <c r="M1533" s="366"/>
      <c r="N1533" s="309"/>
      <c r="O1533" s="366"/>
      <c r="P1533" s="409"/>
      <c r="Q1533" s="305"/>
      <c r="R1533" s="410"/>
      <c r="S1533" s="409"/>
    </row>
    <row r="1534" spans="1:19" ht="15">
      <c r="A1534" s="408" t="s">
        <v>1043</v>
      </c>
      <c r="B1534" s="407" t="s">
        <v>1069</v>
      </c>
      <c r="C1534" s="366"/>
      <c r="D1534" s="366"/>
      <c r="E1534" s="305"/>
      <c r="F1534" s="366"/>
      <c r="G1534" s="411"/>
      <c r="H1534" s="305"/>
      <c r="I1534" s="366"/>
      <c r="J1534" s="366"/>
      <c r="K1534" s="305"/>
      <c r="L1534" s="366"/>
      <c r="M1534" s="366"/>
      <c r="N1534" s="309"/>
      <c r="O1534" s="366"/>
      <c r="P1534" s="409"/>
      <c r="Q1534" s="305"/>
      <c r="R1534" s="410"/>
      <c r="S1534" s="409"/>
    </row>
    <row r="1535" spans="1:19" ht="15">
      <c r="A1535" s="408" t="s">
        <v>901</v>
      </c>
      <c r="B1535" s="407" t="s">
        <v>1152</v>
      </c>
      <c r="C1535" s="366"/>
      <c r="D1535" s="366"/>
      <c r="E1535" s="410"/>
      <c r="F1535" s="366"/>
      <c r="G1535" s="411"/>
      <c r="H1535" s="305"/>
      <c r="I1535" s="366"/>
      <c r="J1535" s="366"/>
      <c r="K1535" s="305"/>
      <c r="L1535" s="366"/>
      <c r="M1535" s="366"/>
      <c r="N1535" s="309"/>
      <c r="O1535" s="366"/>
      <c r="P1535" s="409"/>
      <c r="Q1535" s="305"/>
      <c r="R1535" s="410"/>
      <c r="S1535" s="409">
        <v>22</v>
      </c>
    </row>
    <row r="1536" spans="1:19" ht="13">
      <c r="A1536" s="470" t="s">
        <v>860</v>
      </c>
      <c r="B1536" s="471"/>
      <c r="C1536" s="422" t="s">
        <v>89</v>
      </c>
      <c r="D1536" s="324" t="s">
        <v>676</v>
      </c>
      <c r="E1536" s="325" t="s">
        <v>861</v>
      </c>
      <c r="F1536" s="355" t="s">
        <v>862</v>
      </c>
      <c r="G1536" s="324" t="s">
        <v>676</v>
      </c>
      <c r="H1536" s="325" t="s">
        <v>861</v>
      </c>
      <c r="I1536" s="355" t="s">
        <v>862</v>
      </c>
      <c r="J1536" s="324" t="s">
        <v>676</v>
      </c>
      <c r="K1536" s="325" t="s">
        <v>861</v>
      </c>
      <c r="L1536" s="355" t="s">
        <v>862</v>
      </c>
      <c r="M1536" s="324" t="s">
        <v>676</v>
      </c>
      <c r="N1536" s="325" t="s">
        <v>861</v>
      </c>
      <c r="O1536" s="355" t="s">
        <v>862</v>
      </c>
      <c r="P1536" s="324" t="s">
        <v>881</v>
      </c>
      <c r="Q1536" s="325" t="s">
        <v>861</v>
      </c>
      <c r="R1536" s="325" t="s">
        <v>865</v>
      </c>
      <c r="S1536" s="412" t="s">
        <v>1031</v>
      </c>
    </row>
    <row r="1537" spans="1:19" ht="13">
      <c r="A1537" s="470" t="s">
        <v>863</v>
      </c>
      <c r="B1537" s="471"/>
      <c r="C1537" s="326">
        <f t="shared" ref="C1537:F1537" si="94">SUM(C1511:C1535)</f>
        <v>0</v>
      </c>
      <c r="D1537" s="326">
        <f t="shared" si="94"/>
        <v>31930.430000000004</v>
      </c>
      <c r="E1537" s="443">
        <f t="shared" si="94"/>
        <v>4812.1599999999989</v>
      </c>
      <c r="F1537" s="326">
        <f t="shared" si="94"/>
        <v>2675.19</v>
      </c>
      <c r="G1537" s="329"/>
      <c r="H1537" s="329"/>
      <c r="I1537" s="329"/>
      <c r="J1537" s="329"/>
      <c r="K1537" s="329"/>
      <c r="L1537" s="329"/>
      <c r="M1537" s="329"/>
      <c r="N1537" s="329"/>
      <c r="O1537" s="329"/>
      <c r="P1537" s="329"/>
      <c r="Q1537" s="329"/>
      <c r="R1537" s="329"/>
    </row>
    <row r="1538" spans="1:19" ht="13">
      <c r="A1538" s="282"/>
      <c r="B1538" s="282"/>
      <c r="C1538" s="282"/>
      <c r="D1538" s="282"/>
      <c r="E1538" s="282"/>
      <c r="F1538" s="282"/>
      <c r="G1538" s="282"/>
      <c r="H1538" s="282"/>
      <c r="I1538" s="329"/>
      <c r="J1538" s="329"/>
      <c r="K1538" s="329"/>
      <c r="L1538" s="329"/>
      <c r="M1538" s="329"/>
      <c r="N1538" s="329"/>
      <c r="O1538" s="329"/>
      <c r="P1538" s="329"/>
      <c r="Q1538" s="329"/>
      <c r="R1538" s="329"/>
    </row>
    <row r="1539" spans="1:19" ht="13">
      <c r="A1539" s="476" t="s">
        <v>1283</v>
      </c>
      <c r="B1539" s="466"/>
      <c r="C1539" s="466"/>
      <c r="D1539" s="466"/>
      <c r="E1539" s="466"/>
      <c r="F1539" s="466"/>
      <c r="G1539" s="466"/>
      <c r="H1539" s="466"/>
      <c r="I1539" s="466"/>
      <c r="J1539" s="466"/>
      <c r="K1539" s="466"/>
      <c r="L1539" s="466"/>
      <c r="M1539" s="466"/>
      <c r="N1539" s="466"/>
      <c r="O1539" s="466"/>
      <c r="P1539" s="466"/>
      <c r="Q1539" s="466"/>
      <c r="R1539" s="466"/>
      <c r="S1539" s="466"/>
    </row>
    <row r="1540" spans="1:19" ht="13">
      <c r="A1540" s="356" t="s">
        <v>849</v>
      </c>
      <c r="B1540" s="356" t="s">
        <v>1</v>
      </c>
      <c r="C1540" s="356" t="s">
        <v>89</v>
      </c>
      <c r="D1540" s="473" t="s">
        <v>850</v>
      </c>
      <c r="E1540" s="466"/>
      <c r="F1540" s="467"/>
      <c r="G1540" s="465" t="s">
        <v>852</v>
      </c>
      <c r="H1540" s="466"/>
      <c r="I1540" s="467"/>
      <c r="J1540" s="465" t="s">
        <v>1013</v>
      </c>
      <c r="K1540" s="466"/>
      <c r="L1540" s="467"/>
      <c r="M1540" s="465" t="s">
        <v>1093</v>
      </c>
      <c r="N1540" s="466"/>
      <c r="O1540" s="467"/>
      <c r="P1540" s="465" t="s">
        <v>865</v>
      </c>
      <c r="Q1540" s="466"/>
      <c r="R1540" s="467"/>
      <c r="S1540" s="356" t="s">
        <v>1028</v>
      </c>
    </row>
    <row r="1541" spans="1:19" ht="15">
      <c r="A1541" s="398" t="s">
        <v>1124</v>
      </c>
      <c r="B1541" s="413">
        <v>191274</v>
      </c>
      <c r="C1541" s="366"/>
      <c r="D1541" s="444">
        <v>2135.35</v>
      </c>
      <c r="E1541" s="445">
        <v>569.79</v>
      </c>
      <c r="F1541" s="446" t="s">
        <v>1284</v>
      </c>
      <c r="G1541" s="366"/>
      <c r="H1541" s="305"/>
      <c r="I1541" s="366"/>
      <c r="J1541" s="366"/>
      <c r="K1541" s="309"/>
      <c r="L1541" s="366"/>
      <c r="M1541" s="366"/>
      <c r="N1541" s="309"/>
      <c r="O1541" s="366"/>
      <c r="P1541" s="418"/>
      <c r="Q1541" s="305"/>
      <c r="R1541" s="410"/>
      <c r="S1541" s="418">
        <v>40</v>
      </c>
    </row>
    <row r="1542" spans="1:19" ht="15">
      <c r="A1542" s="431" t="s">
        <v>88</v>
      </c>
      <c r="B1542" s="413">
        <v>191276</v>
      </c>
      <c r="C1542" s="366"/>
      <c r="D1542" s="447">
        <v>1761.16</v>
      </c>
      <c r="E1542" s="445">
        <v>458.47</v>
      </c>
      <c r="F1542" s="444">
        <v>313.17</v>
      </c>
      <c r="G1542" s="366"/>
      <c r="H1542" s="305"/>
      <c r="I1542" s="366"/>
      <c r="J1542" s="366"/>
      <c r="K1542" s="309"/>
      <c r="L1542" s="366"/>
      <c r="M1542" s="366"/>
      <c r="N1542" s="309"/>
      <c r="O1542" s="366"/>
      <c r="P1542" s="418"/>
      <c r="Q1542" s="305"/>
      <c r="R1542" s="410"/>
      <c r="S1542" s="418">
        <v>27</v>
      </c>
    </row>
    <row r="1543" spans="1:19" ht="15">
      <c r="A1543" s="431" t="s">
        <v>75</v>
      </c>
      <c r="B1543" s="413">
        <v>191277</v>
      </c>
      <c r="C1543" s="366"/>
      <c r="D1543" s="434">
        <v>2044.72</v>
      </c>
      <c r="E1543" s="433" t="s">
        <v>1285</v>
      </c>
      <c r="F1543" s="434">
        <v>311.58999999999997</v>
      </c>
      <c r="G1543" s="366"/>
      <c r="H1543" s="305"/>
      <c r="I1543" s="366"/>
      <c r="J1543" s="366"/>
      <c r="K1543" s="309"/>
      <c r="L1543" s="366"/>
      <c r="M1543" s="366"/>
      <c r="N1543" s="309"/>
      <c r="O1543" s="366"/>
      <c r="P1543" s="418"/>
      <c r="Q1543" s="305"/>
      <c r="R1543" s="410"/>
      <c r="S1543" s="418">
        <v>36</v>
      </c>
    </row>
    <row r="1544" spans="1:19" ht="15">
      <c r="A1544" s="400"/>
      <c r="B1544" s="413">
        <v>191279</v>
      </c>
      <c r="C1544" s="366"/>
      <c r="D1544" s="432"/>
      <c r="E1544" s="433"/>
      <c r="F1544" s="434"/>
      <c r="G1544" s="366"/>
      <c r="H1544" s="305"/>
      <c r="I1544" s="366"/>
      <c r="J1544" s="366"/>
      <c r="K1544" s="305"/>
      <c r="L1544" s="366"/>
      <c r="M1544" s="366"/>
      <c r="N1544" s="309"/>
      <c r="O1544" s="366"/>
      <c r="P1544" s="345"/>
      <c r="Q1544" s="305"/>
      <c r="R1544" s="410"/>
      <c r="S1544" s="345">
        <v>21</v>
      </c>
    </row>
    <row r="1545" spans="1:19" ht="15">
      <c r="A1545" s="398" t="s">
        <v>1286</v>
      </c>
      <c r="B1545" s="413">
        <v>191280</v>
      </c>
      <c r="C1545" s="366"/>
      <c r="D1545" s="434">
        <v>2055.02</v>
      </c>
      <c r="E1545" s="433" t="s">
        <v>1287</v>
      </c>
      <c r="F1545" s="434">
        <v>303.33</v>
      </c>
      <c r="G1545" s="366"/>
      <c r="H1545" s="305"/>
      <c r="I1545" s="366"/>
      <c r="J1545" s="366"/>
      <c r="K1545" s="309"/>
      <c r="L1545" s="366"/>
      <c r="M1545" s="366"/>
      <c r="N1545" s="309"/>
      <c r="O1545" s="366"/>
      <c r="P1545" s="418"/>
      <c r="Q1545" s="305"/>
      <c r="R1545" s="410"/>
      <c r="S1545" s="418">
        <v>56</v>
      </c>
    </row>
    <row r="1546" spans="1:19" ht="15">
      <c r="A1546" s="398" t="s">
        <v>1225</v>
      </c>
      <c r="B1546" s="413">
        <v>191281</v>
      </c>
      <c r="C1546" s="366"/>
      <c r="D1546" s="444">
        <v>811.72</v>
      </c>
      <c r="E1546" s="445">
        <v>65.08</v>
      </c>
      <c r="F1546" s="444">
        <v>26.81</v>
      </c>
      <c r="G1546" s="366"/>
      <c r="H1546" s="305"/>
      <c r="I1546" s="366"/>
      <c r="J1546" s="366"/>
      <c r="K1546" s="309"/>
      <c r="L1546" s="366"/>
      <c r="M1546" s="366"/>
      <c r="N1546" s="309"/>
      <c r="O1546" s="366"/>
      <c r="P1546" s="418"/>
      <c r="Q1546" s="305"/>
      <c r="R1546" s="410"/>
      <c r="S1546" s="418">
        <v>81</v>
      </c>
    </row>
    <row r="1547" spans="1:19" ht="15">
      <c r="A1547" s="431" t="s">
        <v>634</v>
      </c>
      <c r="B1547" s="413">
        <v>191283</v>
      </c>
      <c r="C1547" s="366"/>
      <c r="D1547" s="434">
        <v>1939.43</v>
      </c>
      <c r="E1547" s="433" t="s">
        <v>1288</v>
      </c>
      <c r="F1547" s="434">
        <v>316.61</v>
      </c>
      <c r="G1547" s="366"/>
      <c r="H1547" s="305"/>
      <c r="I1547" s="366"/>
      <c r="J1547" s="366"/>
      <c r="K1547" s="309"/>
      <c r="L1547" s="366"/>
      <c r="M1547" s="366"/>
      <c r="N1547" s="309"/>
      <c r="O1547" s="366"/>
      <c r="P1547" s="418"/>
      <c r="Q1547" s="305"/>
      <c r="R1547" s="410"/>
      <c r="S1547" s="418">
        <v>41</v>
      </c>
    </row>
    <row r="1548" spans="1:19" ht="15">
      <c r="A1548" s="398" t="s">
        <v>1258</v>
      </c>
      <c r="B1548" s="413">
        <v>465180</v>
      </c>
      <c r="C1548" s="366"/>
      <c r="D1548" s="444">
        <v>1286.82</v>
      </c>
      <c r="E1548" s="445">
        <v>361.77</v>
      </c>
      <c r="F1548" s="444">
        <v>35.65</v>
      </c>
      <c r="G1548" s="366"/>
      <c r="H1548" s="305"/>
      <c r="I1548" s="366"/>
      <c r="J1548" s="366"/>
      <c r="K1548" s="309"/>
      <c r="L1548" s="366"/>
      <c r="M1548" s="366"/>
      <c r="N1548" s="309"/>
      <c r="O1548" s="366"/>
      <c r="P1548" s="418"/>
      <c r="Q1548" s="305"/>
      <c r="R1548" s="410"/>
      <c r="S1548" s="418">
        <v>50</v>
      </c>
    </row>
    <row r="1549" spans="1:19" ht="15">
      <c r="A1549" s="398" t="s">
        <v>1121</v>
      </c>
      <c r="B1549" s="413">
        <v>465181</v>
      </c>
      <c r="C1549" s="366"/>
      <c r="D1549" s="434">
        <v>1109.93</v>
      </c>
      <c r="E1549" s="433" t="s">
        <v>1289</v>
      </c>
      <c r="F1549" s="434">
        <v>221.81</v>
      </c>
      <c r="G1549" s="366"/>
      <c r="H1549" s="305"/>
      <c r="I1549" s="366"/>
      <c r="J1549" s="366"/>
      <c r="K1549" s="309"/>
      <c r="L1549" s="366"/>
      <c r="M1549" s="366"/>
      <c r="N1549" s="309"/>
      <c r="O1549" s="366"/>
      <c r="P1549" s="418"/>
      <c r="Q1549" s="305"/>
      <c r="R1549" s="410"/>
      <c r="S1549" s="418">
        <v>60</v>
      </c>
    </row>
    <row r="1550" spans="1:19" ht="15">
      <c r="A1550" s="398"/>
      <c r="B1550" s="413">
        <v>465182</v>
      </c>
      <c r="C1550" s="366"/>
      <c r="D1550" s="366"/>
      <c r="E1550" s="305"/>
      <c r="F1550" s="366"/>
      <c r="G1550" s="366"/>
      <c r="H1550" s="305"/>
      <c r="I1550" s="366"/>
      <c r="J1550" s="366"/>
      <c r="K1550" s="309"/>
      <c r="L1550" s="366"/>
      <c r="M1550" s="366"/>
      <c r="N1550" s="309"/>
      <c r="O1550" s="366"/>
      <c r="P1550" s="418"/>
      <c r="Q1550" s="305"/>
      <c r="R1550" s="410"/>
      <c r="S1550" s="418">
        <v>50</v>
      </c>
    </row>
    <row r="1551" spans="1:19" ht="15">
      <c r="A1551" s="398" t="s">
        <v>318</v>
      </c>
      <c r="B1551" s="413">
        <v>465183</v>
      </c>
      <c r="C1551" s="366"/>
      <c r="D1551" s="432">
        <v>499.99</v>
      </c>
      <c r="E1551" s="433" t="s">
        <v>1290</v>
      </c>
      <c r="F1551" s="434">
        <v>5.88</v>
      </c>
      <c r="G1551" s="366"/>
      <c r="H1551" s="305"/>
      <c r="I1551" s="366"/>
      <c r="J1551" s="366"/>
      <c r="K1551" s="309"/>
      <c r="L1551" s="366"/>
      <c r="M1551" s="366"/>
      <c r="N1551" s="309"/>
      <c r="O1551" s="366"/>
      <c r="P1551" s="418"/>
      <c r="Q1551" s="305"/>
      <c r="R1551" s="410"/>
      <c r="S1551" s="418">
        <v>15</v>
      </c>
    </row>
    <row r="1552" spans="1:19" ht="15">
      <c r="A1552" s="398" t="s">
        <v>1291</v>
      </c>
      <c r="B1552" s="413">
        <v>465185</v>
      </c>
      <c r="C1552" s="366"/>
      <c r="D1552" s="447">
        <v>1059.19</v>
      </c>
      <c r="E1552" s="445">
        <v>297.41000000000003</v>
      </c>
      <c r="F1552" s="444">
        <v>102.08</v>
      </c>
      <c r="G1552" s="366"/>
      <c r="H1552" s="305"/>
      <c r="I1552" s="366"/>
      <c r="J1552" s="366"/>
      <c r="K1552" s="309"/>
      <c r="L1552" s="366"/>
      <c r="M1552" s="366"/>
      <c r="N1552" s="309"/>
      <c r="O1552" s="366"/>
      <c r="P1552" s="418"/>
      <c r="Q1552" s="305"/>
      <c r="R1552" s="410"/>
      <c r="S1552" s="418">
        <v>18</v>
      </c>
    </row>
    <row r="1553" spans="1:19" ht="15">
      <c r="A1553" s="398" t="s">
        <v>1147</v>
      </c>
      <c r="B1553" s="413">
        <v>465186</v>
      </c>
      <c r="C1553" s="366"/>
      <c r="D1553" s="432"/>
      <c r="E1553" s="433"/>
      <c r="F1553" s="434"/>
      <c r="G1553" s="366"/>
      <c r="H1553" s="305"/>
      <c r="I1553" s="366"/>
      <c r="J1553" s="366"/>
      <c r="K1553" s="309"/>
      <c r="L1553" s="366"/>
      <c r="M1553" s="366"/>
      <c r="N1553" s="309"/>
      <c r="O1553" s="366"/>
      <c r="P1553" s="418"/>
      <c r="Q1553" s="305"/>
      <c r="R1553" s="410"/>
      <c r="S1553" s="418">
        <v>50</v>
      </c>
    </row>
    <row r="1554" spans="1:19" ht="15">
      <c r="A1554" s="398" t="s">
        <v>192</v>
      </c>
      <c r="B1554" s="413">
        <v>465187</v>
      </c>
      <c r="C1554" s="366"/>
      <c r="D1554" s="432"/>
      <c r="E1554" s="433"/>
      <c r="F1554" s="434"/>
      <c r="G1554" s="366"/>
      <c r="H1554" s="305"/>
      <c r="I1554" s="366"/>
      <c r="J1554" s="366"/>
      <c r="K1554" s="309"/>
      <c r="L1554" s="366"/>
      <c r="M1554" s="366"/>
      <c r="N1554" s="309"/>
      <c r="O1554" s="366"/>
      <c r="P1554" s="418"/>
      <c r="Q1554" s="305"/>
      <c r="R1554" s="410"/>
      <c r="S1554" s="418">
        <v>55</v>
      </c>
    </row>
    <row r="1555" spans="1:19" ht="15">
      <c r="A1555" s="398" t="s">
        <v>62</v>
      </c>
      <c r="B1555" s="413">
        <v>465188</v>
      </c>
      <c r="C1555" s="366"/>
      <c r="D1555" s="434">
        <v>741.24</v>
      </c>
      <c r="E1555" s="433" t="s">
        <v>1292</v>
      </c>
      <c r="F1555" s="434">
        <v>109.83</v>
      </c>
      <c r="G1555" s="366"/>
      <c r="H1555" s="305"/>
      <c r="I1555" s="366"/>
      <c r="J1555" s="366"/>
      <c r="K1555" s="309"/>
      <c r="L1555" s="366"/>
      <c r="M1555" s="366"/>
      <c r="N1555" s="309"/>
      <c r="O1555" s="366"/>
      <c r="P1555" s="418"/>
      <c r="Q1555" s="305"/>
      <c r="R1555" s="410"/>
      <c r="S1555" s="418">
        <v>50</v>
      </c>
    </row>
    <row r="1556" spans="1:19" ht="15">
      <c r="A1556" s="400" t="s">
        <v>1190</v>
      </c>
      <c r="B1556" s="413">
        <v>465189</v>
      </c>
      <c r="C1556" s="366"/>
      <c r="D1556" s="432">
        <v>500.18</v>
      </c>
      <c r="E1556" s="433" t="s">
        <v>1293</v>
      </c>
      <c r="F1556" s="434">
        <v>12.28</v>
      </c>
      <c r="G1556" s="366"/>
      <c r="H1556" s="305"/>
      <c r="I1556" s="366"/>
      <c r="J1556" s="366"/>
      <c r="K1556" s="309"/>
      <c r="L1556" s="366"/>
      <c r="M1556" s="366"/>
      <c r="N1556" s="309"/>
      <c r="O1556" s="366"/>
      <c r="P1556" s="418"/>
      <c r="Q1556" s="305"/>
      <c r="R1556" s="410"/>
      <c r="S1556" s="418">
        <v>69</v>
      </c>
    </row>
    <row r="1557" spans="1:19" ht="15">
      <c r="A1557" s="441" t="s">
        <v>411</v>
      </c>
      <c r="B1557" s="413">
        <v>191275</v>
      </c>
      <c r="C1557" s="366"/>
      <c r="D1557" s="366">
        <v>485.5</v>
      </c>
      <c r="E1557" s="305">
        <v>159.56</v>
      </c>
      <c r="F1557" s="366">
        <v>0.09</v>
      </c>
      <c r="G1557" s="366"/>
      <c r="H1557" s="305"/>
      <c r="I1557" s="366"/>
      <c r="J1557" s="366"/>
      <c r="K1557" s="309"/>
      <c r="L1557" s="366"/>
      <c r="M1557" s="366"/>
      <c r="N1557" s="309"/>
      <c r="O1557" s="366"/>
      <c r="P1557" s="418"/>
      <c r="Q1557" s="305"/>
      <c r="R1557" s="410"/>
      <c r="S1557" s="418">
        <v>62</v>
      </c>
    </row>
    <row r="1558" spans="1:19" ht="15">
      <c r="A1558" s="439" t="s">
        <v>40</v>
      </c>
      <c r="B1558" s="413">
        <v>191282</v>
      </c>
      <c r="C1558" s="366"/>
      <c r="D1558" s="366">
        <v>2452.7199999999998</v>
      </c>
      <c r="E1558" s="305">
        <v>681.44</v>
      </c>
      <c r="F1558" s="366">
        <v>49.14</v>
      </c>
      <c r="G1558" s="366"/>
      <c r="H1558" s="305"/>
      <c r="I1558" s="366"/>
      <c r="J1558" s="366"/>
      <c r="K1558" s="309"/>
      <c r="L1558" s="366"/>
      <c r="M1558" s="366"/>
      <c r="N1558" s="309"/>
      <c r="O1558" s="366"/>
      <c r="P1558" s="418"/>
      <c r="Q1558" s="305"/>
      <c r="R1558" s="410"/>
      <c r="S1558" s="418">
        <v>16</v>
      </c>
    </row>
    <row r="1559" spans="1:19" ht="15">
      <c r="A1559" s="439" t="s">
        <v>1265</v>
      </c>
      <c r="B1559" s="413">
        <v>465184</v>
      </c>
      <c r="C1559" s="366"/>
      <c r="D1559" s="366">
        <v>1137.67</v>
      </c>
      <c r="E1559" s="305">
        <v>349.17</v>
      </c>
      <c r="F1559" s="366">
        <v>0</v>
      </c>
      <c r="G1559" s="366"/>
      <c r="H1559" s="305"/>
      <c r="I1559" s="366"/>
      <c r="J1559" s="366"/>
      <c r="K1559" s="309"/>
      <c r="L1559" s="366"/>
      <c r="M1559" s="366"/>
      <c r="N1559" s="309"/>
      <c r="O1559" s="366"/>
      <c r="P1559" s="418"/>
      <c r="Q1559" s="305"/>
      <c r="R1559" s="410"/>
      <c r="S1559" s="418">
        <v>31</v>
      </c>
    </row>
    <row r="1560" spans="1:19" ht="15">
      <c r="A1560" s="429" t="s">
        <v>1266</v>
      </c>
      <c r="B1560" s="407" t="s">
        <v>507</v>
      </c>
      <c r="C1560" s="366"/>
      <c r="D1560" s="366">
        <v>1781.47</v>
      </c>
      <c r="E1560" s="305">
        <v>452.8</v>
      </c>
      <c r="F1560" s="366">
        <v>355.69</v>
      </c>
      <c r="G1560" s="366"/>
      <c r="H1560" s="305"/>
      <c r="I1560" s="366"/>
      <c r="J1560" s="366"/>
      <c r="K1560" s="309"/>
      <c r="L1560" s="366"/>
      <c r="M1560" s="366"/>
      <c r="N1560" s="309"/>
      <c r="O1560" s="366"/>
      <c r="P1560" s="418"/>
      <c r="Q1560" s="305"/>
      <c r="R1560" s="410"/>
      <c r="S1560" s="418">
        <v>81</v>
      </c>
    </row>
    <row r="1561" spans="1:19" ht="15">
      <c r="A1561" s="408" t="s">
        <v>408</v>
      </c>
      <c r="B1561" s="413">
        <v>1122</v>
      </c>
      <c r="C1561" s="366"/>
      <c r="D1561" s="366"/>
      <c r="E1561" s="410"/>
      <c r="F1561" s="366"/>
      <c r="G1561" s="366"/>
      <c r="H1561" s="305"/>
      <c r="I1561" s="366"/>
      <c r="J1561" s="366"/>
      <c r="K1561" s="309"/>
      <c r="L1561" s="366"/>
      <c r="M1561" s="366"/>
      <c r="N1561" s="309"/>
      <c r="O1561" s="366"/>
      <c r="P1561" s="426"/>
      <c r="Q1561" s="305"/>
      <c r="R1561" s="410"/>
      <c r="S1561" s="426"/>
    </row>
    <row r="1562" spans="1:19" ht="15">
      <c r="A1562" s="408" t="s">
        <v>386</v>
      </c>
      <c r="B1562" s="413">
        <v>218</v>
      </c>
      <c r="C1562" s="366"/>
      <c r="D1562" s="366">
        <v>1363.35</v>
      </c>
      <c r="E1562" s="410" t="s">
        <v>1294</v>
      </c>
      <c r="F1562" s="366">
        <v>133.12</v>
      </c>
      <c r="G1562" s="366"/>
      <c r="H1562" s="305"/>
      <c r="I1562" s="366"/>
      <c r="J1562" s="366"/>
      <c r="K1562" s="309"/>
      <c r="L1562" s="366"/>
      <c r="M1562" s="366"/>
      <c r="N1562" s="309"/>
      <c r="O1562" s="366"/>
      <c r="P1562" s="426"/>
      <c r="Q1562" s="305"/>
      <c r="R1562" s="410"/>
      <c r="S1562" s="426">
        <v>96</v>
      </c>
    </row>
    <row r="1563" spans="1:19" ht="15">
      <c r="A1563" s="408" t="s">
        <v>1041</v>
      </c>
      <c r="B1563" s="407" t="s">
        <v>1068</v>
      </c>
      <c r="C1563" s="366"/>
      <c r="D1563" s="366"/>
      <c r="E1563" s="305"/>
      <c r="F1563" s="366"/>
      <c r="G1563" s="411"/>
      <c r="H1563" s="305"/>
      <c r="I1563" s="366"/>
      <c r="J1563" s="366"/>
      <c r="K1563" s="305"/>
      <c r="L1563" s="366"/>
      <c r="M1563" s="366"/>
      <c r="N1563" s="309"/>
      <c r="O1563" s="366"/>
      <c r="P1563" s="409"/>
      <c r="Q1563" s="305"/>
      <c r="R1563" s="410"/>
      <c r="S1563" s="409"/>
    </row>
    <row r="1564" spans="1:19" ht="15">
      <c r="A1564" s="408" t="s">
        <v>1043</v>
      </c>
      <c r="B1564" s="407" t="s">
        <v>1069</v>
      </c>
      <c r="C1564" s="366"/>
      <c r="D1564" s="366"/>
      <c r="E1564" s="305"/>
      <c r="F1564" s="366"/>
      <c r="G1564" s="411"/>
      <c r="H1564" s="305"/>
      <c r="I1564" s="366"/>
      <c r="J1564" s="366"/>
      <c r="K1564" s="305"/>
      <c r="L1564" s="366"/>
      <c r="M1564" s="366"/>
      <c r="N1564" s="309"/>
      <c r="O1564" s="366"/>
      <c r="P1564" s="409"/>
      <c r="Q1564" s="305"/>
      <c r="R1564" s="410"/>
      <c r="S1564" s="409"/>
    </row>
    <row r="1565" spans="1:19" ht="15">
      <c r="A1565" s="408" t="s">
        <v>901</v>
      </c>
      <c r="B1565" s="407" t="s">
        <v>1152</v>
      </c>
      <c r="C1565" s="366"/>
      <c r="D1565" s="366"/>
      <c r="E1565" s="410"/>
      <c r="F1565" s="366"/>
      <c r="G1565" s="411"/>
      <c r="H1565" s="305"/>
      <c r="I1565" s="366"/>
      <c r="J1565" s="366"/>
      <c r="K1565" s="305"/>
      <c r="L1565" s="366"/>
      <c r="M1565" s="366"/>
      <c r="N1565" s="309"/>
      <c r="O1565" s="366"/>
      <c r="P1565" s="409"/>
      <c r="Q1565" s="305"/>
      <c r="R1565" s="410"/>
      <c r="S1565" s="409">
        <v>40</v>
      </c>
    </row>
    <row r="1566" spans="1:19" ht="13">
      <c r="A1566" s="470" t="s">
        <v>860</v>
      </c>
      <c r="B1566" s="471"/>
      <c r="C1566" s="422" t="s">
        <v>89</v>
      </c>
      <c r="D1566" s="324" t="s">
        <v>676</v>
      </c>
      <c r="E1566" s="325" t="s">
        <v>861</v>
      </c>
      <c r="F1566" s="355" t="s">
        <v>862</v>
      </c>
      <c r="G1566" s="324" t="s">
        <v>676</v>
      </c>
      <c r="H1566" s="325" t="s">
        <v>861</v>
      </c>
      <c r="I1566" s="355" t="s">
        <v>862</v>
      </c>
      <c r="J1566" s="324" t="s">
        <v>676</v>
      </c>
      <c r="K1566" s="325" t="s">
        <v>861</v>
      </c>
      <c r="L1566" s="355" t="s">
        <v>862</v>
      </c>
      <c r="M1566" s="324" t="s">
        <v>676</v>
      </c>
      <c r="N1566" s="325" t="s">
        <v>861</v>
      </c>
      <c r="O1566" s="355" t="s">
        <v>862</v>
      </c>
      <c r="P1566" s="324" t="s">
        <v>881</v>
      </c>
      <c r="Q1566" s="325" t="s">
        <v>861</v>
      </c>
      <c r="R1566" s="325" t="s">
        <v>865</v>
      </c>
      <c r="S1566" s="412" t="s">
        <v>1031</v>
      </c>
    </row>
    <row r="1567" spans="1:19" ht="13">
      <c r="A1567" s="470" t="s">
        <v>863</v>
      </c>
      <c r="B1567" s="471"/>
      <c r="C1567" s="326">
        <f t="shared" ref="C1567:F1567" si="95">SUM(C1541:C1565)</f>
        <v>0</v>
      </c>
      <c r="D1567" s="326">
        <f t="shared" si="95"/>
        <v>23165.46</v>
      </c>
      <c r="E1567" s="443">
        <f t="shared" si="95"/>
        <v>3395.4900000000002</v>
      </c>
      <c r="F1567" s="442">
        <f t="shared" si="95"/>
        <v>2297.0799999999995</v>
      </c>
      <c r="G1567" s="329"/>
      <c r="H1567" s="329"/>
      <c r="I1567" s="329"/>
      <c r="J1567" s="329"/>
      <c r="K1567" s="329"/>
      <c r="L1567" s="329"/>
      <c r="M1567" s="329"/>
      <c r="N1567" s="329"/>
      <c r="O1567" s="329"/>
      <c r="P1567" s="329"/>
      <c r="Q1567" s="329"/>
      <c r="R1567" s="329"/>
    </row>
    <row r="1569" spans="1:19" ht="13">
      <c r="A1569" s="476" t="s">
        <v>1295</v>
      </c>
      <c r="B1569" s="466"/>
      <c r="C1569" s="466"/>
      <c r="D1569" s="466"/>
      <c r="E1569" s="466"/>
      <c r="F1569" s="466"/>
      <c r="G1569" s="466"/>
      <c r="H1569" s="466"/>
      <c r="I1569" s="466"/>
      <c r="J1569" s="466"/>
      <c r="K1569" s="466"/>
      <c r="L1569" s="466"/>
      <c r="M1569" s="466"/>
      <c r="N1569" s="466"/>
      <c r="O1569" s="466"/>
      <c r="P1569" s="466"/>
      <c r="Q1569" s="466"/>
      <c r="R1569" s="466"/>
      <c r="S1569" s="466"/>
    </row>
    <row r="1570" spans="1:19" ht="13">
      <c r="A1570" s="356" t="s">
        <v>849</v>
      </c>
      <c r="B1570" s="356" t="s">
        <v>1</v>
      </c>
      <c r="C1570" s="356" t="s">
        <v>89</v>
      </c>
      <c r="D1570" s="473" t="s">
        <v>850</v>
      </c>
      <c r="E1570" s="466"/>
      <c r="F1570" s="467"/>
      <c r="G1570" s="465" t="s">
        <v>852</v>
      </c>
      <c r="H1570" s="466"/>
      <c r="I1570" s="467"/>
      <c r="J1570" s="465" t="s">
        <v>1013</v>
      </c>
      <c r="K1570" s="466"/>
      <c r="L1570" s="467"/>
      <c r="M1570" s="465" t="s">
        <v>1093</v>
      </c>
      <c r="N1570" s="466"/>
      <c r="O1570" s="467"/>
      <c r="P1570" s="465" t="s">
        <v>865</v>
      </c>
      <c r="Q1570" s="466"/>
      <c r="R1570" s="467"/>
      <c r="S1570" s="356" t="s">
        <v>1028</v>
      </c>
    </row>
    <row r="1571" spans="1:19" ht="15">
      <c r="A1571" s="398" t="s">
        <v>1124</v>
      </c>
      <c r="B1571" s="413">
        <v>191274</v>
      </c>
      <c r="C1571" s="366">
        <f t="shared" ref="C1571:C1594" si="96">D1571+G1571+J1571+M1571</f>
        <v>3658.46</v>
      </c>
      <c r="D1571" s="444">
        <v>3658.46</v>
      </c>
      <c r="E1571" s="445">
        <v>944.83</v>
      </c>
      <c r="F1571" s="446" t="s">
        <v>1296</v>
      </c>
      <c r="G1571" s="366"/>
      <c r="H1571" s="305"/>
      <c r="I1571" s="366"/>
      <c r="J1571" s="366"/>
      <c r="K1571" s="309"/>
      <c r="L1571" s="366"/>
      <c r="M1571" s="366"/>
      <c r="N1571" s="309"/>
      <c r="O1571" s="366"/>
      <c r="P1571" s="418"/>
      <c r="Q1571" s="305"/>
      <c r="R1571" s="410"/>
      <c r="S1571" s="418">
        <v>31</v>
      </c>
    </row>
    <row r="1572" spans="1:19" ht="15">
      <c r="A1572" s="431" t="s">
        <v>88</v>
      </c>
      <c r="B1572" s="413">
        <v>191276</v>
      </c>
      <c r="C1572" s="366">
        <f t="shared" si="96"/>
        <v>1389.18</v>
      </c>
      <c r="D1572" s="447">
        <v>1389.18</v>
      </c>
      <c r="E1572" s="445">
        <v>372.26</v>
      </c>
      <c r="F1572" s="444">
        <v>231.79</v>
      </c>
      <c r="G1572" s="366"/>
      <c r="H1572" s="305"/>
      <c r="I1572" s="366"/>
      <c r="J1572" s="366"/>
      <c r="K1572" s="309"/>
      <c r="L1572" s="366"/>
      <c r="M1572" s="366"/>
      <c r="N1572" s="309"/>
      <c r="O1572" s="366"/>
      <c r="P1572" s="418"/>
      <c r="Q1572" s="305"/>
      <c r="R1572" s="410"/>
      <c r="S1572" s="418">
        <v>31</v>
      </c>
    </row>
    <row r="1573" spans="1:19" ht="15">
      <c r="A1573" s="431" t="s">
        <v>75</v>
      </c>
      <c r="B1573" s="413">
        <v>191277</v>
      </c>
      <c r="C1573" s="366">
        <f t="shared" si="96"/>
        <v>1206.99</v>
      </c>
      <c r="D1573" s="434">
        <v>1206.99</v>
      </c>
      <c r="E1573" s="433" t="s">
        <v>1297</v>
      </c>
      <c r="F1573" s="434">
        <v>176.02</v>
      </c>
      <c r="G1573" s="366"/>
      <c r="H1573" s="305"/>
      <c r="I1573" s="366"/>
      <c r="J1573" s="366"/>
      <c r="K1573" s="309"/>
      <c r="L1573" s="366"/>
      <c r="M1573" s="366"/>
      <c r="N1573" s="309"/>
      <c r="O1573" s="366"/>
      <c r="P1573" s="418"/>
      <c r="Q1573" s="305"/>
      <c r="R1573" s="410"/>
      <c r="S1573" s="418">
        <v>37</v>
      </c>
    </row>
    <row r="1574" spans="1:19" ht="15">
      <c r="A1574" s="400"/>
      <c r="B1574" s="413">
        <v>191279</v>
      </c>
      <c r="C1574" s="366">
        <f t="shared" si="96"/>
        <v>0</v>
      </c>
      <c r="D1574" s="432"/>
      <c r="E1574" s="433"/>
      <c r="F1574" s="434"/>
      <c r="G1574" s="366"/>
      <c r="H1574" s="305"/>
      <c r="I1574" s="366"/>
      <c r="J1574" s="366"/>
      <c r="K1574" s="305"/>
      <c r="L1574" s="366"/>
      <c r="M1574" s="366"/>
      <c r="N1574" s="309"/>
      <c r="O1574" s="366"/>
      <c r="P1574" s="345"/>
      <c r="Q1574" s="305"/>
      <c r="R1574" s="410"/>
      <c r="S1574" s="345">
        <v>30</v>
      </c>
    </row>
    <row r="1575" spans="1:19" ht="15">
      <c r="A1575" s="398" t="s">
        <v>1286</v>
      </c>
      <c r="B1575" s="413">
        <v>191280</v>
      </c>
      <c r="C1575" s="366">
        <f t="shared" si="96"/>
        <v>2129.94</v>
      </c>
      <c r="D1575" s="434">
        <v>2129.94</v>
      </c>
      <c r="E1575" s="433" t="s">
        <v>1298</v>
      </c>
      <c r="F1575" s="434">
        <v>133.01</v>
      </c>
      <c r="G1575" s="366"/>
      <c r="H1575" s="305"/>
      <c r="I1575" s="366"/>
      <c r="J1575" s="366"/>
      <c r="K1575" s="309"/>
      <c r="L1575" s="366"/>
      <c r="M1575" s="366"/>
      <c r="N1575" s="309"/>
      <c r="O1575" s="366"/>
      <c r="P1575" s="418"/>
      <c r="Q1575" s="305"/>
      <c r="R1575" s="410"/>
      <c r="S1575" s="418"/>
    </row>
    <row r="1576" spans="1:19" ht="15">
      <c r="A1576" s="398" t="s">
        <v>1225</v>
      </c>
      <c r="B1576" s="413">
        <v>191281</v>
      </c>
      <c r="C1576" s="366">
        <f t="shared" si="96"/>
        <v>1774.88</v>
      </c>
      <c r="D1576" s="444">
        <v>1774.88</v>
      </c>
      <c r="E1576" s="445">
        <v>415</v>
      </c>
      <c r="F1576" s="444">
        <v>64.489999999999995</v>
      </c>
      <c r="G1576" s="366"/>
      <c r="H1576" s="305"/>
      <c r="I1576" s="366"/>
      <c r="J1576" s="366"/>
      <c r="K1576" s="309"/>
      <c r="L1576" s="366"/>
      <c r="M1576" s="366"/>
      <c r="N1576" s="309"/>
      <c r="O1576" s="366"/>
      <c r="P1576" s="418"/>
      <c r="Q1576" s="305"/>
      <c r="R1576" s="410"/>
      <c r="S1576" s="418"/>
    </row>
    <row r="1577" spans="1:19" ht="15">
      <c r="A1577" s="431"/>
      <c r="B1577" s="413">
        <v>191283</v>
      </c>
      <c r="C1577" s="366">
        <f t="shared" si="96"/>
        <v>0</v>
      </c>
      <c r="D1577" s="432"/>
      <c r="E1577" s="433"/>
      <c r="F1577" s="434"/>
      <c r="G1577" s="366"/>
      <c r="H1577" s="305"/>
      <c r="I1577" s="366"/>
      <c r="J1577" s="366"/>
      <c r="K1577" s="309"/>
      <c r="L1577" s="366"/>
      <c r="M1577" s="366"/>
      <c r="N1577" s="309"/>
      <c r="O1577" s="366"/>
      <c r="P1577" s="418"/>
      <c r="Q1577" s="305"/>
      <c r="R1577" s="410"/>
      <c r="S1577" s="418">
        <v>88</v>
      </c>
    </row>
    <row r="1578" spans="1:19" ht="15">
      <c r="A1578" s="398" t="s">
        <v>634</v>
      </c>
      <c r="B1578" s="413">
        <v>465180</v>
      </c>
      <c r="C1578" s="366">
        <f t="shared" si="96"/>
        <v>1884.23</v>
      </c>
      <c r="D1578" s="434">
        <v>1884.23</v>
      </c>
      <c r="E1578" s="433" t="s">
        <v>1299</v>
      </c>
      <c r="F1578" s="434">
        <v>386.47</v>
      </c>
      <c r="G1578" s="366"/>
      <c r="H1578" s="305"/>
      <c r="I1578" s="366"/>
      <c r="J1578" s="366"/>
      <c r="K1578" s="309"/>
      <c r="L1578" s="366"/>
      <c r="M1578" s="366"/>
      <c r="N1578" s="309"/>
      <c r="O1578" s="366"/>
      <c r="P1578" s="418"/>
      <c r="Q1578" s="305"/>
      <c r="R1578" s="410"/>
      <c r="S1578" s="418">
        <v>100</v>
      </c>
    </row>
    <row r="1579" spans="1:19" ht="15">
      <c r="A1579" s="398" t="s">
        <v>1121</v>
      </c>
      <c r="B1579" s="413">
        <v>465181</v>
      </c>
      <c r="C1579" s="366">
        <f t="shared" si="96"/>
        <v>3274.54</v>
      </c>
      <c r="D1579" s="434">
        <v>3274.54</v>
      </c>
      <c r="E1579" s="433" t="s">
        <v>1300</v>
      </c>
      <c r="F1579" s="434">
        <v>601.54</v>
      </c>
      <c r="G1579" s="366"/>
      <c r="H1579" s="305"/>
      <c r="I1579" s="366"/>
      <c r="J1579" s="366"/>
      <c r="K1579" s="309"/>
      <c r="L1579" s="366"/>
      <c r="M1579" s="366"/>
      <c r="N1579" s="309"/>
      <c r="O1579" s="366"/>
      <c r="P1579" s="418"/>
      <c r="Q1579" s="305"/>
      <c r="R1579" s="410"/>
      <c r="S1579" s="418">
        <v>41</v>
      </c>
    </row>
    <row r="1580" spans="1:19" ht="15">
      <c r="A1580" s="398" t="s">
        <v>1301</v>
      </c>
      <c r="B1580" s="413">
        <v>465182</v>
      </c>
      <c r="C1580" s="366">
        <f t="shared" si="96"/>
        <v>2211.6799999999998</v>
      </c>
      <c r="D1580" s="444">
        <v>2211.6799999999998</v>
      </c>
      <c r="E1580" s="445">
        <v>594.30999999999995</v>
      </c>
      <c r="F1580" s="444">
        <v>103.54</v>
      </c>
      <c r="G1580" s="366"/>
      <c r="H1580" s="305"/>
      <c r="I1580" s="366"/>
      <c r="J1580" s="366"/>
      <c r="K1580" s="309"/>
      <c r="L1580" s="366"/>
      <c r="M1580" s="366"/>
      <c r="N1580" s="309"/>
      <c r="O1580" s="366"/>
      <c r="P1580" s="418"/>
      <c r="Q1580" s="305"/>
      <c r="R1580" s="410"/>
      <c r="S1580" s="418">
        <v>50</v>
      </c>
    </row>
    <row r="1581" spans="1:19" ht="15">
      <c r="A1581" s="398" t="s">
        <v>318</v>
      </c>
      <c r="B1581" s="413">
        <v>465183</v>
      </c>
      <c r="C1581" s="366">
        <f t="shared" si="96"/>
        <v>777.5</v>
      </c>
      <c r="D1581" s="432">
        <v>777.5</v>
      </c>
      <c r="E1581" s="433" t="s">
        <v>1302</v>
      </c>
      <c r="F1581" s="434">
        <v>5.01</v>
      </c>
      <c r="G1581" s="366"/>
      <c r="H1581" s="305"/>
      <c r="I1581" s="366"/>
      <c r="J1581" s="366"/>
      <c r="K1581" s="309"/>
      <c r="L1581" s="366"/>
      <c r="M1581" s="366"/>
      <c r="N1581" s="309"/>
      <c r="O1581" s="366"/>
      <c r="P1581" s="418"/>
      <c r="Q1581" s="305"/>
      <c r="R1581" s="410"/>
      <c r="S1581" s="418">
        <v>100</v>
      </c>
    </row>
    <row r="1582" spans="1:19" ht="15">
      <c r="A1582" s="398" t="s">
        <v>1291</v>
      </c>
      <c r="B1582" s="413" t="s">
        <v>1303</v>
      </c>
      <c r="C1582" s="366">
        <f t="shared" si="96"/>
        <v>573.66999999999996</v>
      </c>
      <c r="D1582" s="447">
        <v>573.66999999999996</v>
      </c>
      <c r="E1582" s="445">
        <v>148.41</v>
      </c>
      <c r="F1582" s="444">
        <v>10.130000000000001</v>
      </c>
      <c r="G1582" s="366"/>
      <c r="H1582" s="305"/>
      <c r="I1582" s="366"/>
      <c r="J1582" s="366"/>
      <c r="K1582" s="309"/>
      <c r="L1582" s="366"/>
      <c r="M1582" s="366"/>
      <c r="N1582" s="309"/>
      <c r="O1582" s="366"/>
      <c r="P1582" s="418"/>
      <c r="Q1582" s="305"/>
      <c r="R1582" s="410"/>
      <c r="S1582" s="418">
        <v>81</v>
      </c>
    </row>
    <row r="1583" spans="1:19" ht="15">
      <c r="A1583" s="398"/>
      <c r="B1583" s="413">
        <v>465186</v>
      </c>
      <c r="C1583" s="366">
        <f t="shared" si="96"/>
        <v>0</v>
      </c>
      <c r="D1583" s="432"/>
      <c r="E1583" s="433"/>
      <c r="F1583" s="434"/>
      <c r="G1583" s="366"/>
      <c r="H1583" s="305"/>
      <c r="I1583" s="366"/>
      <c r="J1583" s="366"/>
      <c r="K1583" s="309"/>
      <c r="L1583" s="366"/>
      <c r="M1583" s="366"/>
      <c r="N1583" s="309"/>
      <c r="O1583" s="366"/>
      <c r="P1583" s="418"/>
      <c r="Q1583" s="305"/>
      <c r="R1583" s="410"/>
      <c r="S1583" s="418">
        <v>36</v>
      </c>
    </row>
    <row r="1584" spans="1:19" ht="15">
      <c r="A1584" s="398" t="s">
        <v>192</v>
      </c>
      <c r="B1584" s="413">
        <v>465187</v>
      </c>
      <c r="C1584" s="366">
        <f t="shared" si="96"/>
        <v>2563.5</v>
      </c>
      <c r="D1584" s="434">
        <v>2563.5</v>
      </c>
      <c r="E1584" s="433" t="s">
        <v>1304</v>
      </c>
      <c r="F1584" s="434">
        <v>257.43</v>
      </c>
      <c r="G1584" s="366"/>
      <c r="H1584" s="305"/>
      <c r="I1584" s="366"/>
      <c r="J1584" s="366"/>
      <c r="K1584" s="309"/>
      <c r="L1584" s="366"/>
      <c r="M1584" s="366"/>
      <c r="N1584" s="309"/>
      <c r="O1584" s="366"/>
      <c r="P1584" s="418"/>
      <c r="Q1584" s="305"/>
      <c r="R1584" s="410"/>
      <c r="S1584" s="418">
        <v>37</v>
      </c>
    </row>
    <row r="1585" spans="1:19" ht="15">
      <c r="A1585" s="398" t="s">
        <v>62</v>
      </c>
      <c r="B1585" s="413">
        <v>465188</v>
      </c>
      <c r="C1585" s="366">
        <f t="shared" si="96"/>
        <v>2188.3000000000002</v>
      </c>
      <c r="D1585" s="434">
        <v>2188.3000000000002</v>
      </c>
      <c r="E1585" s="433" t="s">
        <v>1305</v>
      </c>
      <c r="F1585" s="434">
        <v>98.92</v>
      </c>
      <c r="G1585" s="366"/>
      <c r="H1585" s="305"/>
      <c r="I1585" s="366"/>
      <c r="J1585" s="366"/>
      <c r="K1585" s="309"/>
      <c r="L1585" s="366"/>
      <c r="M1585" s="366"/>
      <c r="N1585" s="309"/>
      <c r="O1585" s="366"/>
      <c r="P1585" s="418"/>
      <c r="Q1585" s="305"/>
      <c r="R1585" s="410"/>
      <c r="S1585" s="418">
        <v>50</v>
      </c>
    </row>
    <row r="1586" spans="1:19" ht="15">
      <c r="A1586" s="400" t="s">
        <v>1190</v>
      </c>
      <c r="B1586" s="413">
        <v>465189</v>
      </c>
      <c r="C1586" s="366">
        <f t="shared" si="96"/>
        <v>2452.79</v>
      </c>
      <c r="D1586" s="432">
        <v>2452.79</v>
      </c>
      <c r="E1586" s="433" t="s">
        <v>1306</v>
      </c>
      <c r="F1586" s="434">
        <v>61.32</v>
      </c>
      <c r="G1586" s="366"/>
      <c r="H1586" s="305"/>
      <c r="I1586" s="366"/>
      <c r="J1586" s="366"/>
      <c r="K1586" s="309"/>
      <c r="L1586" s="366"/>
      <c r="M1586" s="366"/>
      <c r="N1586" s="309"/>
      <c r="O1586" s="366"/>
      <c r="P1586" s="418"/>
      <c r="Q1586" s="305"/>
      <c r="R1586" s="410"/>
      <c r="S1586" s="418">
        <v>31</v>
      </c>
    </row>
    <row r="1587" spans="1:19" ht="15">
      <c r="A1587" s="441" t="s">
        <v>411</v>
      </c>
      <c r="B1587" s="413">
        <v>191275</v>
      </c>
      <c r="C1587" s="366">
        <f t="shared" si="96"/>
        <v>1779.3</v>
      </c>
      <c r="D1587" s="366">
        <v>1779.3</v>
      </c>
      <c r="E1587" s="305">
        <v>529.19000000000005</v>
      </c>
      <c r="F1587" s="366">
        <v>11.96</v>
      </c>
      <c r="G1587" s="366"/>
      <c r="H1587" s="305"/>
      <c r="I1587" s="366"/>
      <c r="J1587" s="366"/>
      <c r="K1587" s="309"/>
      <c r="L1587" s="366"/>
      <c r="M1587" s="366"/>
      <c r="N1587" s="309"/>
      <c r="O1587" s="366"/>
      <c r="P1587" s="418"/>
      <c r="Q1587" s="305"/>
      <c r="R1587" s="410"/>
      <c r="S1587" s="418"/>
    </row>
    <row r="1588" spans="1:19" ht="15">
      <c r="A1588" s="439" t="s">
        <v>40</v>
      </c>
      <c r="B1588" s="413">
        <v>191282</v>
      </c>
      <c r="C1588" s="366">
        <f t="shared" si="96"/>
        <v>2807.08</v>
      </c>
      <c r="D1588" s="366">
        <v>2807.08</v>
      </c>
      <c r="E1588" s="305">
        <v>785.4</v>
      </c>
      <c r="F1588" s="366">
        <v>23.38</v>
      </c>
      <c r="G1588" s="366"/>
      <c r="H1588" s="305"/>
      <c r="I1588" s="366"/>
      <c r="J1588" s="366"/>
      <c r="K1588" s="309"/>
      <c r="L1588" s="366"/>
      <c r="M1588" s="366"/>
      <c r="N1588" s="309"/>
      <c r="O1588" s="366"/>
      <c r="P1588" s="418"/>
      <c r="Q1588" s="305"/>
      <c r="R1588" s="410"/>
      <c r="S1588" s="418">
        <v>52</v>
      </c>
    </row>
    <row r="1589" spans="1:19" ht="15">
      <c r="A1589" s="439" t="s">
        <v>1265</v>
      </c>
      <c r="B1589" s="413">
        <v>465184</v>
      </c>
      <c r="C1589" s="366">
        <f t="shared" si="96"/>
        <v>2108.35</v>
      </c>
      <c r="D1589" s="366">
        <v>2108.35</v>
      </c>
      <c r="E1589" s="305">
        <v>639.27</v>
      </c>
      <c r="F1589" s="366">
        <v>22.86</v>
      </c>
      <c r="G1589" s="366"/>
      <c r="H1589" s="305"/>
      <c r="I1589" s="366"/>
      <c r="J1589" s="366"/>
      <c r="K1589" s="309"/>
      <c r="L1589" s="366"/>
      <c r="M1589" s="366"/>
      <c r="N1589" s="309"/>
      <c r="O1589" s="366"/>
      <c r="P1589" s="418"/>
      <c r="Q1589" s="305"/>
      <c r="R1589" s="410"/>
      <c r="S1589" s="418">
        <v>27</v>
      </c>
    </row>
    <row r="1590" spans="1:19" ht="15">
      <c r="A1590" s="429" t="s">
        <v>1266</v>
      </c>
      <c r="B1590" s="407" t="s">
        <v>507</v>
      </c>
      <c r="C1590" s="366">
        <f t="shared" si="96"/>
        <v>2690.31</v>
      </c>
      <c r="D1590" s="366">
        <v>2690.31</v>
      </c>
      <c r="E1590" s="305">
        <v>685.49</v>
      </c>
      <c r="F1590" s="366">
        <v>310.58</v>
      </c>
      <c r="G1590" s="366"/>
      <c r="H1590" s="305"/>
      <c r="I1590" s="366"/>
      <c r="J1590" s="366"/>
      <c r="K1590" s="309"/>
      <c r="L1590" s="366"/>
      <c r="M1590" s="366"/>
      <c r="N1590" s="309"/>
      <c r="O1590" s="366"/>
      <c r="P1590" s="418"/>
      <c r="Q1590" s="305"/>
      <c r="R1590" s="410"/>
      <c r="S1590" s="418">
        <v>46</v>
      </c>
    </row>
    <row r="1591" spans="1:19" ht="15">
      <c r="A1591" s="408" t="s">
        <v>408</v>
      </c>
      <c r="B1591" s="413">
        <v>1122</v>
      </c>
      <c r="C1591" s="366">
        <f t="shared" si="96"/>
        <v>0</v>
      </c>
      <c r="D1591" s="366"/>
      <c r="E1591" s="410"/>
      <c r="F1591" s="366"/>
      <c r="G1591" s="366"/>
      <c r="H1591" s="305"/>
      <c r="I1591" s="366"/>
      <c r="J1591" s="366"/>
      <c r="K1591" s="309"/>
      <c r="L1591" s="366"/>
      <c r="M1591" s="366"/>
      <c r="N1591" s="309"/>
      <c r="O1591" s="366"/>
      <c r="P1591" s="426"/>
      <c r="Q1591" s="305"/>
      <c r="R1591" s="410"/>
      <c r="S1591" s="426"/>
    </row>
    <row r="1592" spans="1:19" ht="15">
      <c r="A1592" s="408" t="s">
        <v>386</v>
      </c>
      <c r="B1592" s="413">
        <v>218</v>
      </c>
      <c r="C1592" s="366">
        <f t="shared" si="96"/>
        <v>2628.66</v>
      </c>
      <c r="D1592" s="366">
        <v>2628.66</v>
      </c>
      <c r="E1592" s="410" t="s">
        <v>1307</v>
      </c>
      <c r="F1592" s="366">
        <v>304.68</v>
      </c>
      <c r="G1592" s="366"/>
      <c r="H1592" s="305"/>
      <c r="I1592" s="366"/>
      <c r="J1592" s="366"/>
      <c r="K1592" s="309"/>
      <c r="L1592" s="366"/>
      <c r="M1592" s="366"/>
      <c r="N1592" s="309"/>
      <c r="O1592" s="366"/>
      <c r="P1592" s="426"/>
      <c r="Q1592" s="305"/>
      <c r="R1592" s="410"/>
      <c r="S1592" s="426">
        <v>56</v>
      </c>
    </row>
    <row r="1593" spans="1:19" ht="15">
      <c r="A1593" s="408" t="s">
        <v>1041</v>
      </c>
      <c r="B1593" s="407" t="s">
        <v>1068</v>
      </c>
      <c r="C1593" s="366">
        <f t="shared" si="96"/>
        <v>0</v>
      </c>
      <c r="D1593" s="366"/>
      <c r="E1593" s="305"/>
      <c r="F1593" s="366"/>
      <c r="G1593" s="411"/>
      <c r="H1593" s="305"/>
      <c r="I1593" s="366"/>
      <c r="J1593" s="366"/>
      <c r="K1593" s="305"/>
      <c r="L1593" s="366"/>
      <c r="M1593" s="366"/>
      <c r="N1593" s="309"/>
      <c r="O1593" s="366"/>
      <c r="P1593" s="409"/>
      <c r="Q1593" s="305"/>
      <c r="R1593" s="410"/>
      <c r="S1593" s="409"/>
    </row>
    <row r="1594" spans="1:19" ht="15">
      <c r="A1594" s="408" t="s">
        <v>901</v>
      </c>
      <c r="B1594" s="407" t="s">
        <v>1152</v>
      </c>
      <c r="C1594" s="366">
        <f t="shared" si="96"/>
        <v>1052.45</v>
      </c>
      <c r="D1594" s="366">
        <v>1052.45</v>
      </c>
      <c r="E1594" s="410" t="s">
        <v>1308</v>
      </c>
      <c r="F1594" s="366">
        <v>67.25</v>
      </c>
      <c r="G1594" s="411"/>
      <c r="H1594" s="305"/>
      <c r="I1594" s="366"/>
      <c r="J1594" s="366"/>
      <c r="K1594" s="305"/>
      <c r="L1594" s="366"/>
      <c r="M1594" s="366"/>
      <c r="N1594" s="309"/>
      <c r="O1594" s="366"/>
      <c r="P1594" s="409"/>
      <c r="Q1594" s="305"/>
      <c r="R1594" s="410"/>
      <c r="S1594" s="409">
        <v>18</v>
      </c>
    </row>
    <row r="1595" spans="1:19" ht="13">
      <c r="A1595" s="470" t="s">
        <v>860</v>
      </c>
      <c r="B1595" s="471"/>
      <c r="C1595" s="422" t="s">
        <v>89</v>
      </c>
      <c r="D1595" s="324" t="s">
        <v>676</v>
      </c>
      <c r="E1595" s="325" t="s">
        <v>861</v>
      </c>
      <c r="F1595" s="355" t="s">
        <v>862</v>
      </c>
      <c r="G1595" s="324" t="s">
        <v>676</v>
      </c>
      <c r="H1595" s="325" t="s">
        <v>861</v>
      </c>
      <c r="I1595" s="355" t="s">
        <v>862</v>
      </c>
      <c r="J1595" s="324" t="s">
        <v>676</v>
      </c>
      <c r="K1595" s="325" t="s">
        <v>861</v>
      </c>
      <c r="L1595" s="355" t="s">
        <v>862</v>
      </c>
      <c r="M1595" s="324" t="s">
        <v>676</v>
      </c>
      <c r="N1595" s="325" t="s">
        <v>861</v>
      </c>
      <c r="O1595" s="355" t="s">
        <v>862</v>
      </c>
      <c r="P1595" s="324" t="s">
        <v>881</v>
      </c>
      <c r="Q1595" s="325" t="s">
        <v>861</v>
      </c>
      <c r="R1595" s="325" t="s">
        <v>865</v>
      </c>
      <c r="S1595" s="412" t="s">
        <v>1031</v>
      </c>
    </row>
    <row r="1596" spans="1:19" ht="13">
      <c r="A1596" s="470" t="s">
        <v>863</v>
      </c>
      <c r="B1596" s="471"/>
      <c r="C1596" s="326">
        <f t="shared" ref="C1596:F1596" si="97">SUM(C1571:C1594)</f>
        <v>39151.81</v>
      </c>
      <c r="D1596" s="326">
        <f t="shared" si="97"/>
        <v>39151.81</v>
      </c>
      <c r="E1596" s="443">
        <f t="shared" si="97"/>
        <v>5114.16</v>
      </c>
      <c r="F1596" s="442">
        <f t="shared" si="97"/>
        <v>2870.38</v>
      </c>
      <c r="G1596" s="329"/>
      <c r="H1596" s="329"/>
      <c r="I1596" s="329"/>
      <c r="J1596" s="329"/>
      <c r="K1596" s="329"/>
      <c r="L1596" s="329"/>
      <c r="M1596" s="329"/>
      <c r="N1596" s="329"/>
      <c r="O1596" s="329"/>
      <c r="P1596" s="329"/>
      <c r="Q1596" s="329"/>
      <c r="R1596" s="329"/>
    </row>
    <row r="1597" spans="1:19" ht="13">
      <c r="A1597" s="282"/>
      <c r="B1597" s="282"/>
      <c r="C1597" s="282"/>
      <c r="D1597" s="282"/>
      <c r="E1597" s="282"/>
      <c r="F1597" s="282"/>
      <c r="G1597" s="282"/>
      <c r="H1597" s="282"/>
      <c r="I1597" s="329"/>
      <c r="J1597" s="329"/>
      <c r="K1597" s="329"/>
      <c r="L1597" s="329"/>
      <c r="M1597" s="329"/>
      <c r="N1597" s="329"/>
      <c r="O1597" s="329"/>
      <c r="P1597" s="329"/>
      <c r="Q1597" s="329"/>
      <c r="R1597" s="329"/>
    </row>
    <row r="1598" spans="1:19" ht="13">
      <c r="A1598" s="476" t="s">
        <v>1309</v>
      </c>
      <c r="B1598" s="466"/>
      <c r="C1598" s="466"/>
      <c r="D1598" s="466"/>
      <c r="E1598" s="466"/>
      <c r="F1598" s="466"/>
      <c r="G1598" s="466"/>
      <c r="H1598" s="466"/>
      <c r="I1598" s="466"/>
      <c r="J1598" s="466"/>
      <c r="K1598" s="466"/>
      <c r="L1598" s="466"/>
      <c r="M1598" s="466"/>
      <c r="N1598" s="466"/>
      <c r="O1598" s="466"/>
      <c r="P1598" s="466"/>
      <c r="Q1598" s="466"/>
      <c r="R1598" s="466"/>
      <c r="S1598" s="466"/>
    </row>
    <row r="1599" spans="1:19" ht="13">
      <c r="A1599" s="356" t="s">
        <v>849</v>
      </c>
      <c r="B1599" s="356" t="s">
        <v>1</v>
      </c>
      <c r="C1599" s="356" t="s">
        <v>89</v>
      </c>
      <c r="D1599" s="473" t="s">
        <v>850</v>
      </c>
      <c r="E1599" s="466"/>
      <c r="F1599" s="467"/>
      <c r="G1599" s="465" t="s">
        <v>852</v>
      </c>
      <c r="H1599" s="466"/>
      <c r="I1599" s="467"/>
      <c r="J1599" s="465" t="s">
        <v>1013</v>
      </c>
      <c r="K1599" s="466"/>
      <c r="L1599" s="467"/>
      <c r="M1599" s="465" t="s">
        <v>1093</v>
      </c>
      <c r="N1599" s="466"/>
      <c r="O1599" s="467"/>
      <c r="P1599" s="465" t="s">
        <v>865</v>
      </c>
      <c r="Q1599" s="466"/>
      <c r="R1599" s="467"/>
      <c r="S1599" s="356" t="s">
        <v>1028</v>
      </c>
    </row>
    <row r="1600" spans="1:19" ht="15">
      <c r="A1600" s="398" t="s">
        <v>1124</v>
      </c>
      <c r="B1600" s="413">
        <v>191274</v>
      </c>
      <c r="C1600" s="366">
        <f t="shared" ref="C1600:C1623" si="98">D1600+G1600+J1600+M1600</f>
        <v>2283.56</v>
      </c>
      <c r="D1600" s="444">
        <v>2283.56</v>
      </c>
      <c r="E1600" s="445">
        <v>581.37</v>
      </c>
      <c r="F1600" s="446" t="s">
        <v>1310</v>
      </c>
      <c r="G1600" s="366"/>
      <c r="H1600" s="305"/>
      <c r="I1600" s="366"/>
      <c r="J1600" s="366"/>
      <c r="K1600" s="309"/>
      <c r="L1600" s="366"/>
      <c r="M1600" s="366"/>
      <c r="N1600" s="309"/>
      <c r="O1600" s="366"/>
      <c r="P1600" s="418"/>
      <c r="Q1600" s="305"/>
      <c r="R1600" s="410"/>
      <c r="S1600" s="418">
        <v>81</v>
      </c>
    </row>
    <row r="1601" spans="1:19" ht="15">
      <c r="A1601" s="431" t="s">
        <v>88</v>
      </c>
      <c r="B1601" s="413">
        <v>191276</v>
      </c>
      <c r="C1601" s="366">
        <f t="shared" si="98"/>
        <v>2080.1</v>
      </c>
      <c r="D1601" s="432">
        <v>2080.1</v>
      </c>
      <c r="E1601" s="445">
        <v>541.77</v>
      </c>
      <c r="F1601" s="434">
        <v>262.67</v>
      </c>
      <c r="G1601" s="366"/>
      <c r="H1601" s="305"/>
      <c r="I1601" s="366"/>
      <c r="J1601" s="366"/>
      <c r="K1601" s="309"/>
      <c r="L1601" s="366"/>
      <c r="M1601" s="366"/>
      <c r="N1601" s="309"/>
      <c r="O1601" s="366"/>
      <c r="P1601" s="418"/>
      <c r="Q1601" s="305"/>
      <c r="R1601" s="410"/>
      <c r="S1601" s="418">
        <v>40</v>
      </c>
    </row>
    <row r="1602" spans="1:19" ht="15">
      <c r="A1602" s="431" t="s">
        <v>75</v>
      </c>
      <c r="B1602" s="413">
        <v>191277</v>
      </c>
      <c r="C1602" s="366">
        <f t="shared" si="98"/>
        <v>1631</v>
      </c>
      <c r="D1602" s="434">
        <v>1631</v>
      </c>
      <c r="E1602" s="433" t="s">
        <v>1311</v>
      </c>
      <c r="F1602" s="434">
        <v>206.44</v>
      </c>
      <c r="G1602" s="366"/>
      <c r="H1602" s="305"/>
      <c r="I1602" s="366"/>
      <c r="J1602" s="366"/>
      <c r="K1602" s="309"/>
      <c r="L1602" s="366"/>
      <c r="M1602" s="366"/>
      <c r="N1602" s="309"/>
      <c r="O1602" s="366"/>
      <c r="P1602" s="418"/>
      <c r="Q1602" s="305"/>
      <c r="R1602" s="410"/>
      <c r="S1602" s="418">
        <v>60</v>
      </c>
    </row>
    <row r="1603" spans="1:19" ht="15">
      <c r="A1603" s="400"/>
      <c r="B1603" s="413">
        <v>191279</v>
      </c>
      <c r="C1603" s="366">
        <f t="shared" si="98"/>
        <v>0</v>
      </c>
      <c r="D1603" s="432"/>
      <c r="E1603" s="433"/>
      <c r="F1603" s="434"/>
      <c r="G1603" s="366"/>
      <c r="H1603" s="305"/>
      <c r="I1603" s="366"/>
      <c r="J1603" s="366"/>
      <c r="K1603" s="305"/>
      <c r="L1603" s="366"/>
      <c r="M1603" s="366"/>
      <c r="N1603" s="309"/>
      <c r="O1603" s="366"/>
      <c r="P1603" s="345"/>
      <c r="Q1603" s="305"/>
      <c r="R1603" s="410"/>
      <c r="S1603" s="345">
        <v>95</v>
      </c>
    </row>
    <row r="1604" spans="1:19" ht="15">
      <c r="A1604" s="398" t="s">
        <v>1286</v>
      </c>
      <c r="B1604" s="413">
        <v>191280</v>
      </c>
      <c r="C1604" s="366">
        <f t="shared" si="98"/>
        <v>2261.3200000000002</v>
      </c>
      <c r="D1604" s="434">
        <v>2261.3200000000002</v>
      </c>
      <c r="E1604" s="433" t="s">
        <v>1312</v>
      </c>
      <c r="F1604" s="434">
        <v>51.42</v>
      </c>
      <c r="G1604" s="366"/>
      <c r="H1604" s="305"/>
      <c r="I1604" s="366"/>
      <c r="J1604" s="366"/>
      <c r="K1604" s="309"/>
      <c r="L1604" s="366"/>
      <c r="M1604" s="366"/>
      <c r="N1604" s="309"/>
      <c r="O1604" s="366"/>
      <c r="P1604" s="418"/>
      <c r="Q1604" s="305"/>
      <c r="R1604" s="410"/>
      <c r="S1604" s="418">
        <v>50</v>
      </c>
    </row>
    <row r="1605" spans="1:19" ht="15">
      <c r="A1605" s="398" t="s">
        <v>1225</v>
      </c>
      <c r="B1605" s="413">
        <v>191281</v>
      </c>
      <c r="C1605" s="366" t="e">
        <f t="shared" si="98"/>
        <v>#VALUE!</v>
      </c>
      <c r="D1605" s="434" t="s">
        <v>1313</v>
      </c>
      <c r="E1605" s="445" t="s">
        <v>1314</v>
      </c>
      <c r="F1605" s="434">
        <v>24.48</v>
      </c>
      <c r="G1605" s="366"/>
      <c r="H1605" s="305"/>
      <c r="I1605" s="366"/>
      <c r="J1605" s="366"/>
      <c r="K1605" s="309"/>
      <c r="L1605" s="366"/>
      <c r="M1605" s="366"/>
      <c r="N1605" s="309"/>
      <c r="O1605" s="366"/>
      <c r="P1605" s="418"/>
      <c r="Q1605" s="305"/>
      <c r="R1605" s="410"/>
      <c r="S1605" s="418">
        <v>100</v>
      </c>
    </row>
    <row r="1606" spans="1:19" ht="15">
      <c r="A1606" s="431"/>
      <c r="B1606" s="413">
        <v>191283</v>
      </c>
      <c r="C1606" s="366">
        <f t="shared" si="98"/>
        <v>0</v>
      </c>
      <c r="D1606" s="432"/>
      <c r="E1606" s="433"/>
      <c r="F1606" s="434"/>
      <c r="G1606" s="366"/>
      <c r="H1606" s="305"/>
      <c r="I1606" s="366"/>
      <c r="J1606" s="366"/>
      <c r="K1606" s="309"/>
      <c r="L1606" s="366"/>
      <c r="M1606" s="366"/>
      <c r="N1606" s="309"/>
      <c r="O1606" s="366"/>
      <c r="P1606" s="418"/>
      <c r="Q1606" s="305"/>
      <c r="R1606" s="410"/>
      <c r="S1606" s="418">
        <v>68</v>
      </c>
    </row>
    <row r="1607" spans="1:19" ht="15">
      <c r="A1607" s="398" t="s">
        <v>634</v>
      </c>
      <c r="B1607" s="413">
        <v>465180</v>
      </c>
      <c r="C1607" s="366">
        <f t="shared" si="98"/>
        <v>2025.74</v>
      </c>
      <c r="D1607" s="434">
        <v>2025.74</v>
      </c>
      <c r="E1607" s="433" t="s">
        <v>1315</v>
      </c>
      <c r="F1607" s="434">
        <v>322.60000000000002</v>
      </c>
      <c r="G1607" s="366"/>
      <c r="H1607" s="305"/>
      <c r="I1607" s="366"/>
      <c r="J1607" s="366"/>
      <c r="K1607" s="309"/>
      <c r="L1607" s="366"/>
      <c r="M1607" s="366"/>
      <c r="N1607" s="309"/>
      <c r="O1607" s="366"/>
      <c r="P1607" s="418"/>
      <c r="Q1607" s="305"/>
      <c r="R1607" s="410"/>
      <c r="S1607" s="418">
        <v>46</v>
      </c>
    </row>
    <row r="1608" spans="1:19" ht="15">
      <c r="A1608" s="398" t="s">
        <v>1121</v>
      </c>
      <c r="B1608" s="413">
        <v>465181</v>
      </c>
      <c r="C1608" s="366">
        <f t="shared" si="98"/>
        <v>1871.33</v>
      </c>
      <c r="D1608" s="434">
        <v>1871.33</v>
      </c>
      <c r="E1608" s="433" t="s">
        <v>1316</v>
      </c>
      <c r="F1608" s="434">
        <v>139.69</v>
      </c>
      <c r="G1608" s="366"/>
      <c r="H1608" s="305"/>
      <c r="I1608" s="366"/>
      <c r="J1608" s="366"/>
      <c r="K1608" s="309"/>
      <c r="L1608" s="366"/>
      <c r="M1608" s="366"/>
      <c r="N1608" s="309"/>
      <c r="O1608" s="366"/>
      <c r="P1608" s="418"/>
      <c r="Q1608" s="305"/>
      <c r="R1608" s="410"/>
      <c r="S1608" s="418">
        <v>100</v>
      </c>
    </row>
    <row r="1609" spans="1:19" ht="15">
      <c r="A1609" s="398" t="s">
        <v>1301</v>
      </c>
      <c r="B1609" s="413">
        <v>465182</v>
      </c>
      <c r="C1609" s="366">
        <f t="shared" si="98"/>
        <v>2020.42</v>
      </c>
      <c r="D1609" s="434">
        <v>2020.42</v>
      </c>
      <c r="E1609" s="445">
        <v>558.41</v>
      </c>
      <c r="F1609" s="434">
        <v>54.28</v>
      </c>
      <c r="G1609" s="366"/>
      <c r="H1609" s="305"/>
      <c r="I1609" s="366"/>
      <c r="J1609" s="366"/>
      <c r="K1609" s="309"/>
      <c r="L1609" s="366"/>
      <c r="M1609" s="366"/>
      <c r="N1609" s="309"/>
      <c r="O1609" s="366"/>
      <c r="P1609" s="418"/>
      <c r="Q1609" s="305"/>
      <c r="R1609" s="410"/>
      <c r="S1609" s="418">
        <v>45</v>
      </c>
    </row>
    <row r="1610" spans="1:19" ht="15">
      <c r="A1610" s="398"/>
      <c r="B1610" s="413">
        <v>465183</v>
      </c>
      <c r="C1610" s="366">
        <f t="shared" si="98"/>
        <v>0</v>
      </c>
      <c r="D1610" s="432"/>
      <c r="E1610" s="433"/>
      <c r="F1610" s="434"/>
      <c r="G1610" s="366"/>
      <c r="H1610" s="305"/>
      <c r="I1610" s="366"/>
      <c r="J1610" s="366"/>
      <c r="K1610" s="309"/>
      <c r="L1610" s="366"/>
      <c r="M1610" s="366"/>
      <c r="N1610" s="309"/>
      <c r="O1610" s="366"/>
      <c r="P1610" s="418"/>
      <c r="Q1610" s="305"/>
      <c r="R1610" s="410"/>
      <c r="S1610" s="418">
        <v>36</v>
      </c>
    </row>
    <row r="1611" spans="1:19" ht="15">
      <c r="A1611" s="398" t="s">
        <v>1291</v>
      </c>
      <c r="B1611" s="413">
        <v>465185</v>
      </c>
      <c r="C1611" s="366" t="e">
        <f t="shared" si="98"/>
        <v>#VALUE!</v>
      </c>
      <c r="D1611" s="432" t="s">
        <v>1317</v>
      </c>
      <c r="E1611" s="445" t="s">
        <v>1318</v>
      </c>
      <c r="F1611" s="434" t="s">
        <v>1319</v>
      </c>
      <c r="G1611" s="366"/>
      <c r="H1611" s="305"/>
      <c r="I1611" s="366"/>
      <c r="J1611" s="366"/>
      <c r="K1611" s="309"/>
      <c r="L1611" s="366"/>
      <c r="M1611" s="366"/>
      <c r="N1611" s="309"/>
      <c r="O1611" s="366"/>
      <c r="P1611" s="418"/>
      <c r="Q1611" s="305"/>
      <c r="R1611" s="410"/>
      <c r="S1611" s="418">
        <v>36</v>
      </c>
    </row>
    <row r="1612" spans="1:19" ht="15">
      <c r="A1612" s="398"/>
      <c r="B1612" s="413">
        <v>465186</v>
      </c>
      <c r="C1612" s="366">
        <f t="shared" si="98"/>
        <v>0</v>
      </c>
      <c r="D1612" s="432"/>
      <c r="E1612" s="433"/>
      <c r="F1612" s="434"/>
      <c r="G1612" s="366"/>
      <c r="H1612" s="305"/>
      <c r="I1612" s="366"/>
      <c r="J1612" s="366"/>
      <c r="K1612" s="309"/>
      <c r="L1612" s="366"/>
      <c r="M1612" s="366"/>
      <c r="N1612" s="309"/>
      <c r="O1612" s="366"/>
      <c r="P1612" s="418"/>
      <c r="Q1612" s="305"/>
      <c r="R1612" s="410"/>
      <c r="S1612" s="418">
        <v>35</v>
      </c>
    </row>
    <row r="1613" spans="1:19" ht="15">
      <c r="A1613" s="398" t="s">
        <v>192</v>
      </c>
      <c r="B1613" s="413">
        <v>465187</v>
      </c>
      <c r="C1613" s="366">
        <f t="shared" si="98"/>
        <v>2274.36</v>
      </c>
      <c r="D1613" s="434">
        <v>2274.36</v>
      </c>
      <c r="E1613" s="433" t="s">
        <v>1320</v>
      </c>
      <c r="F1613" s="434">
        <v>206.04</v>
      </c>
      <c r="G1613" s="366"/>
      <c r="H1613" s="305"/>
      <c r="I1613" s="366"/>
      <c r="J1613" s="366"/>
      <c r="K1613" s="309"/>
      <c r="L1613" s="366"/>
      <c r="M1613" s="366"/>
      <c r="N1613" s="309"/>
      <c r="O1613" s="366"/>
      <c r="P1613" s="418"/>
      <c r="Q1613" s="305"/>
      <c r="R1613" s="410"/>
      <c r="S1613" s="418">
        <v>56</v>
      </c>
    </row>
    <row r="1614" spans="1:19" ht="15">
      <c r="A1614" s="398" t="s">
        <v>62</v>
      </c>
      <c r="B1614" s="413">
        <v>465188</v>
      </c>
      <c r="C1614" s="366">
        <f t="shared" si="98"/>
        <v>1498.34</v>
      </c>
      <c r="D1614" s="434">
        <v>1498.34</v>
      </c>
      <c r="E1614" s="433" t="s">
        <v>1321</v>
      </c>
      <c r="F1614" s="434">
        <v>51.83</v>
      </c>
      <c r="G1614" s="366"/>
      <c r="H1614" s="305"/>
      <c r="I1614" s="366"/>
      <c r="J1614" s="366"/>
      <c r="K1614" s="309"/>
      <c r="L1614" s="366"/>
      <c r="M1614" s="366"/>
      <c r="N1614" s="309"/>
      <c r="O1614" s="366"/>
      <c r="P1614" s="418"/>
      <c r="Q1614" s="305"/>
      <c r="R1614" s="410"/>
      <c r="S1614" s="418">
        <v>68</v>
      </c>
    </row>
    <row r="1615" spans="1:19" ht="15">
      <c r="A1615" s="400" t="s">
        <v>1190</v>
      </c>
      <c r="B1615" s="413">
        <v>465189</v>
      </c>
      <c r="C1615" s="366">
        <f t="shared" si="98"/>
        <v>2506.06</v>
      </c>
      <c r="D1615" s="432">
        <v>2506.06</v>
      </c>
      <c r="E1615" s="433" t="s">
        <v>1322</v>
      </c>
      <c r="F1615" s="434">
        <v>46.33</v>
      </c>
      <c r="G1615" s="366"/>
      <c r="H1615" s="305"/>
      <c r="I1615" s="366"/>
      <c r="J1615" s="366"/>
      <c r="K1615" s="309"/>
      <c r="L1615" s="366"/>
      <c r="M1615" s="366"/>
      <c r="N1615" s="309"/>
      <c r="O1615" s="366"/>
      <c r="P1615" s="418"/>
      <c r="Q1615" s="305"/>
      <c r="R1615" s="410"/>
      <c r="S1615" s="418">
        <v>50</v>
      </c>
    </row>
    <row r="1616" spans="1:19" ht="15">
      <c r="A1616" s="441" t="s">
        <v>411</v>
      </c>
      <c r="B1616" s="413">
        <v>191275</v>
      </c>
      <c r="C1616" s="366">
        <f t="shared" si="98"/>
        <v>999.85</v>
      </c>
      <c r="D1616" s="366">
        <v>999.85</v>
      </c>
      <c r="E1616" s="305">
        <v>285.33</v>
      </c>
      <c r="F1616" s="366">
        <v>15.96</v>
      </c>
      <c r="G1616" s="366"/>
      <c r="H1616" s="305"/>
      <c r="I1616" s="366"/>
      <c r="J1616" s="366"/>
      <c r="K1616" s="309"/>
      <c r="L1616" s="366"/>
      <c r="M1616" s="366"/>
      <c r="N1616" s="309"/>
      <c r="O1616" s="366"/>
      <c r="P1616" s="418"/>
      <c r="Q1616" s="305"/>
      <c r="R1616" s="410"/>
      <c r="S1616" s="418">
        <v>45</v>
      </c>
    </row>
    <row r="1617" spans="1:19" ht="15">
      <c r="A1617" s="439" t="s">
        <v>40</v>
      </c>
      <c r="B1617" s="413">
        <v>191282</v>
      </c>
      <c r="C1617" s="366">
        <f t="shared" si="98"/>
        <v>607.55999999999995</v>
      </c>
      <c r="D1617" s="366">
        <v>607.55999999999995</v>
      </c>
      <c r="E1617" s="305">
        <v>158.74</v>
      </c>
      <c r="F1617" s="366">
        <v>4.8600000000000003</v>
      </c>
      <c r="G1617" s="366"/>
      <c r="H1617" s="305"/>
      <c r="I1617" s="366"/>
      <c r="J1617" s="366"/>
      <c r="K1617" s="309"/>
      <c r="L1617" s="366"/>
      <c r="M1617" s="366"/>
      <c r="N1617" s="309"/>
      <c r="O1617" s="366"/>
      <c r="P1617" s="418"/>
      <c r="Q1617" s="305"/>
      <c r="R1617" s="410"/>
      <c r="S1617" s="418">
        <v>50</v>
      </c>
    </row>
    <row r="1618" spans="1:19" ht="15">
      <c r="A1618" s="439" t="s">
        <v>1265</v>
      </c>
      <c r="B1618" s="413">
        <v>465184</v>
      </c>
      <c r="C1618" s="366">
        <f t="shared" si="98"/>
        <v>2310.62</v>
      </c>
      <c r="D1618" s="366">
        <v>2310.62</v>
      </c>
      <c r="E1618" s="305">
        <v>657.68</v>
      </c>
      <c r="F1618" s="366">
        <v>91.89</v>
      </c>
      <c r="G1618" s="366"/>
      <c r="H1618" s="305"/>
      <c r="I1618" s="366"/>
      <c r="J1618" s="366"/>
      <c r="K1618" s="309"/>
      <c r="L1618" s="366"/>
      <c r="M1618" s="366"/>
      <c r="N1618" s="309"/>
      <c r="O1618" s="366"/>
      <c r="P1618" s="418"/>
      <c r="Q1618" s="305"/>
      <c r="R1618" s="410"/>
      <c r="S1618" s="418">
        <v>26</v>
      </c>
    </row>
    <row r="1619" spans="1:19" ht="15">
      <c r="A1619" s="429" t="s">
        <v>1266</v>
      </c>
      <c r="B1619" s="407" t="s">
        <v>507</v>
      </c>
      <c r="C1619" s="366">
        <f t="shared" si="98"/>
        <v>1508.98</v>
      </c>
      <c r="D1619" s="366">
        <v>1508.98</v>
      </c>
      <c r="E1619" s="305">
        <v>398.51</v>
      </c>
      <c r="F1619" s="366">
        <v>150.87</v>
      </c>
      <c r="G1619" s="366"/>
      <c r="H1619" s="305"/>
      <c r="I1619" s="366"/>
      <c r="J1619" s="366"/>
      <c r="K1619" s="309"/>
      <c r="L1619" s="366"/>
      <c r="M1619" s="366"/>
      <c r="N1619" s="309"/>
      <c r="O1619" s="366"/>
      <c r="P1619" s="418"/>
      <c r="Q1619" s="305"/>
      <c r="R1619" s="410"/>
      <c r="S1619" s="418">
        <v>33</v>
      </c>
    </row>
    <row r="1620" spans="1:19" ht="15">
      <c r="A1620" s="408" t="s">
        <v>408</v>
      </c>
      <c r="B1620" s="413">
        <v>1122</v>
      </c>
      <c r="C1620" s="366">
        <f t="shared" si="98"/>
        <v>0</v>
      </c>
      <c r="D1620" s="366"/>
      <c r="E1620" s="410"/>
      <c r="F1620" s="366"/>
      <c r="G1620" s="366"/>
      <c r="H1620" s="305"/>
      <c r="I1620" s="366"/>
      <c r="J1620" s="366"/>
      <c r="K1620" s="309"/>
      <c r="L1620" s="366"/>
      <c r="M1620" s="366"/>
      <c r="N1620" s="309"/>
      <c r="O1620" s="366"/>
      <c r="P1620" s="426"/>
      <c r="Q1620" s="305"/>
      <c r="R1620" s="410"/>
      <c r="S1620" s="426"/>
    </row>
    <row r="1621" spans="1:19" ht="15">
      <c r="A1621" s="408" t="s">
        <v>386</v>
      </c>
      <c r="B1621" s="413">
        <v>218</v>
      </c>
      <c r="C1621" s="366">
        <f t="shared" si="98"/>
        <v>354.34</v>
      </c>
      <c r="D1621" s="366">
        <v>354.34</v>
      </c>
      <c r="E1621" s="410" t="s">
        <v>1323</v>
      </c>
      <c r="F1621" s="366">
        <v>46.24</v>
      </c>
      <c r="G1621" s="366"/>
      <c r="H1621" s="305"/>
      <c r="I1621" s="366"/>
      <c r="J1621" s="366"/>
      <c r="K1621" s="309"/>
      <c r="L1621" s="366"/>
      <c r="M1621" s="366"/>
      <c r="N1621" s="309"/>
      <c r="O1621" s="366"/>
      <c r="P1621" s="426"/>
      <c r="Q1621" s="305"/>
      <c r="R1621" s="410"/>
      <c r="S1621" s="426">
        <v>100</v>
      </c>
    </row>
    <row r="1622" spans="1:19" ht="15">
      <c r="A1622" s="408" t="s">
        <v>1043</v>
      </c>
      <c r="B1622" s="407" t="s">
        <v>1069</v>
      </c>
      <c r="C1622" s="366">
        <f t="shared" si="98"/>
        <v>0</v>
      </c>
      <c r="D1622" s="366"/>
      <c r="E1622" s="305"/>
      <c r="F1622" s="366"/>
      <c r="G1622" s="411"/>
      <c r="H1622" s="305"/>
      <c r="I1622" s="366"/>
      <c r="J1622" s="366"/>
      <c r="K1622" s="305"/>
      <c r="L1622" s="366"/>
      <c r="M1622" s="366"/>
      <c r="N1622" s="309"/>
      <c r="O1622" s="366"/>
      <c r="P1622" s="409"/>
      <c r="Q1622" s="305"/>
      <c r="R1622" s="410"/>
      <c r="S1622" s="409"/>
    </row>
    <row r="1623" spans="1:19" ht="15">
      <c r="A1623" s="408" t="s">
        <v>901</v>
      </c>
      <c r="B1623" s="407" t="s">
        <v>1152</v>
      </c>
      <c r="C1623" s="366">
        <f t="shared" si="98"/>
        <v>1501.57</v>
      </c>
      <c r="D1623" s="366">
        <v>1501.57</v>
      </c>
      <c r="E1623" s="410" t="s">
        <v>1324</v>
      </c>
      <c r="F1623" s="366">
        <v>150.32</v>
      </c>
      <c r="G1623" s="411"/>
      <c r="H1623" s="305"/>
      <c r="I1623" s="366"/>
      <c r="J1623" s="366"/>
      <c r="K1623" s="305"/>
      <c r="L1623" s="366"/>
      <c r="M1623" s="366"/>
      <c r="N1623" s="309"/>
      <c r="O1623" s="366"/>
      <c r="P1623" s="409"/>
      <c r="Q1623" s="305"/>
      <c r="R1623" s="410"/>
      <c r="S1623" s="409">
        <v>26</v>
      </c>
    </row>
    <row r="1624" spans="1:19" ht="13">
      <c r="A1624" s="470" t="s">
        <v>860</v>
      </c>
      <c r="B1624" s="471"/>
      <c r="C1624" s="422" t="s">
        <v>89</v>
      </c>
      <c r="D1624" s="324" t="s">
        <v>676</v>
      </c>
      <c r="E1624" s="325" t="s">
        <v>861</v>
      </c>
      <c r="F1624" s="355" t="s">
        <v>862</v>
      </c>
      <c r="G1624" s="324" t="s">
        <v>676</v>
      </c>
      <c r="H1624" s="325" t="s">
        <v>861</v>
      </c>
      <c r="I1624" s="355" t="s">
        <v>862</v>
      </c>
      <c r="J1624" s="324" t="s">
        <v>676</v>
      </c>
      <c r="K1624" s="325" t="s">
        <v>861</v>
      </c>
      <c r="L1624" s="355" t="s">
        <v>862</v>
      </c>
      <c r="M1624" s="324" t="s">
        <v>676</v>
      </c>
      <c r="N1624" s="325" t="s">
        <v>861</v>
      </c>
      <c r="O1624" s="355" t="s">
        <v>862</v>
      </c>
      <c r="P1624" s="324" t="s">
        <v>881</v>
      </c>
      <c r="Q1624" s="325" t="s">
        <v>861</v>
      </c>
      <c r="R1624" s="325" t="s">
        <v>865</v>
      </c>
      <c r="S1624" s="412" t="s">
        <v>1031</v>
      </c>
    </row>
    <row r="1625" spans="1:19" ht="13">
      <c r="A1625" s="470" t="s">
        <v>863</v>
      </c>
      <c r="B1625" s="471"/>
      <c r="C1625" s="422" t="e">
        <f t="shared" ref="C1625:F1625" si="99">SUM(C1600:C1623)</f>
        <v>#VALUE!</v>
      </c>
      <c r="D1625" s="326">
        <f t="shared" si="99"/>
        <v>27735.149999999998</v>
      </c>
      <c r="E1625" s="443">
        <f t="shared" si="99"/>
        <v>3181.8099999999995</v>
      </c>
      <c r="F1625" s="442">
        <f t="shared" si="99"/>
        <v>1825.9199999999996</v>
      </c>
      <c r="G1625" s="329"/>
      <c r="H1625" s="329"/>
      <c r="I1625" s="329"/>
      <c r="J1625" s="329"/>
      <c r="K1625" s="329"/>
      <c r="L1625" s="329"/>
      <c r="M1625" s="329"/>
      <c r="N1625" s="329"/>
      <c r="O1625" s="329"/>
      <c r="P1625" s="329"/>
      <c r="Q1625" s="329"/>
      <c r="R1625" s="329"/>
    </row>
    <row r="1626" spans="1:19" ht="13">
      <c r="A1626" s="282"/>
      <c r="B1626" s="282"/>
      <c r="C1626" s="282"/>
      <c r="D1626" s="282"/>
      <c r="E1626" s="282"/>
      <c r="F1626" s="282"/>
      <c r="G1626" s="329"/>
      <c r="H1626" s="329"/>
      <c r="I1626" s="329"/>
      <c r="J1626" s="329"/>
      <c r="K1626" s="329"/>
      <c r="L1626" s="329"/>
      <c r="M1626" s="329"/>
      <c r="N1626" s="329"/>
      <c r="O1626" s="329"/>
      <c r="P1626" s="329"/>
      <c r="Q1626" s="329"/>
      <c r="R1626" s="329"/>
    </row>
    <row r="1627" spans="1:19" ht="13">
      <c r="A1627" s="476" t="s">
        <v>1325</v>
      </c>
      <c r="B1627" s="466"/>
      <c r="C1627" s="466"/>
      <c r="D1627" s="466"/>
      <c r="E1627" s="466"/>
      <c r="F1627" s="466"/>
      <c r="G1627" s="466"/>
      <c r="H1627" s="466"/>
      <c r="I1627" s="466"/>
      <c r="J1627" s="466"/>
      <c r="K1627" s="466"/>
      <c r="L1627" s="466"/>
      <c r="M1627" s="466"/>
      <c r="N1627" s="466"/>
      <c r="O1627" s="466"/>
      <c r="P1627" s="466"/>
      <c r="Q1627" s="466"/>
      <c r="R1627" s="466"/>
      <c r="S1627" s="466"/>
    </row>
    <row r="1628" spans="1:19" ht="13">
      <c r="A1628" s="356" t="s">
        <v>849</v>
      </c>
      <c r="B1628" s="356" t="s">
        <v>1</v>
      </c>
      <c r="C1628" s="356" t="s">
        <v>89</v>
      </c>
      <c r="D1628" s="473" t="s">
        <v>850</v>
      </c>
      <c r="E1628" s="466"/>
      <c r="F1628" s="467"/>
      <c r="G1628" s="465" t="s">
        <v>852</v>
      </c>
      <c r="H1628" s="466"/>
      <c r="I1628" s="467"/>
      <c r="J1628" s="465" t="s">
        <v>1013</v>
      </c>
      <c r="K1628" s="466"/>
      <c r="L1628" s="467"/>
      <c r="M1628" s="465" t="s">
        <v>1093</v>
      </c>
      <c r="N1628" s="466"/>
      <c r="O1628" s="467"/>
      <c r="P1628" s="465" t="s">
        <v>865</v>
      </c>
      <c r="Q1628" s="466"/>
      <c r="R1628" s="467"/>
      <c r="S1628" s="356" t="s">
        <v>1028</v>
      </c>
    </row>
    <row r="1629" spans="1:19" ht="15">
      <c r="A1629" s="398" t="s">
        <v>1124</v>
      </c>
      <c r="B1629" s="413">
        <v>191274</v>
      </c>
      <c r="C1629" s="366">
        <f t="shared" ref="C1629:C1652" si="100">D1629+G1629+J1629+M1629</f>
        <v>2616.48</v>
      </c>
      <c r="D1629" s="366">
        <v>2616.48</v>
      </c>
      <c r="E1629" s="305">
        <v>650.53</v>
      </c>
      <c r="F1629" s="366">
        <v>330.64</v>
      </c>
      <c r="G1629" s="366"/>
      <c r="H1629" s="305"/>
      <c r="I1629" s="366"/>
      <c r="J1629" s="366"/>
      <c r="K1629" s="309"/>
      <c r="L1629" s="366"/>
      <c r="M1629" s="366"/>
      <c r="N1629" s="309"/>
      <c r="O1629" s="366"/>
      <c r="P1629" s="418"/>
      <c r="Q1629" s="305"/>
      <c r="R1629" s="410"/>
      <c r="S1629" s="418">
        <v>37</v>
      </c>
    </row>
    <row r="1630" spans="1:19" ht="15">
      <c r="A1630" s="431" t="s">
        <v>88</v>
      </c>
      <c r="B1630" s="413">
        <v>191276</v>
      </c>
      <c r="C1630" s="366">
        <f t="shared" si="100"/>
        <v>1974.2</v>
      </c>
      <c r="D1630" s="366">
        <v>1444.2</v>
      </c>
      <c r="E1630" s="305">
        <v>365.96</v>
      </c>
      <c r="F1630" s="366">
        <v>222.8</v>
      </c>
      <c r="G1630" s="366">
        <f>200+330</f>
        <v>530</v>
      </c>
      <c r="H1630" s="305"/>
      <c r="I1630" s="366"/>
      <c r="J1630" s="366"/>
      <c r="K1630" s="309"/>
      <c r="L1630" s="366"/>
      <c r="M1630" s="366"/>
      <c r="N1630" s="309"/>
      <c r="O1630" s="366"/>
      <c r="P1630" s="418"/>
      <c r="Q1630" s="305"/>
      <c r="R1630" s="410"/>
      <c r="S1630" s="418">
        <v>73</v>
      </c>
    </row>
    <row r="1631" spans="1:19" ht="15">
      <c r="A1631" s="431" t="s">
        <v>75</v>
      </c>
      <c r="B1631" s="413">
        <v>191277</v>
      </c>
      <c r="C1631" s="366">
        <f t="shared" si="100"/>
        <v>1096.2</v>
      </c>
      <c r="D1631" s="432">
        <v>1096.2</v>
      </c>
      <c r="E1631" s="433" t="s">
        <v>1326</v>
      </c>
      <c r="F1631" s="434">
        <v>143.1</v>
      </c>
      <c r="G1631" s="366"/>
      <c r="H1631" s="305"/>
      <c r="I1631" s="366"/>
      <c r="J1631" s="366"/>
      <c r="K1631" s="309"/>
      <c r="L1631" s="366"/>
      <c r="M1631" s="366"/>
      <c r="N1631" s="309"/>
      <c r="O1631" s="366"/>
      <c r="P1631" s="418"/>
      <c r="Q1631" s="305"/>
      <c r="R1631" s="410"/>
      <c r="S1631" s="418">
        <v>100</v>
      </c>
    </row>
    <row r="1632" spans="1:19" ht="15">
      <c r="A1632" s="400"/>
      <c r="B1632" s="413">
        <v>191279</v>
      </c>
      <c r="C1632" s="366">
        <f t="shared" si="100"/>
        <v>0</v>
      </c>
      <c r="D1632" s="432"/>
      <c r="E1632" s="433"/>
      <c r="F1632" s="434"/>
      <c r="G1632" s="366"/>
      <c r="H1632" s="305"/>
      <c r="I1632" s="366"/>
      <c r="J1632" s="366"/>
      <c r="K1632" s="305"/>
      <c r="L1632" s="366"/>
      <c r="M1632" s="366"/>
      <c r="N1632" s="309"/>
      <c r="O1632" s="366"/>
      <c r="P1632" s="345"/>
      <c r="Q1632" s="305"/>
      <c r="R1632" s="410"/>
      <c r="S1632" s="345">
        <v>78</v>
      </c>
    </row>
    <row r="1633" spans="1:19" ht="15">
      <c r="A1633" s="398" t="s">
        <v>1286</v>
      </c>
      <c r="B1633" s="413">
        <v>191280</v>
      </c>
      <c r="C1633" s="366">
        <f t="shared" si="100"/>
        <v>2184.11</v>
      </c>
      <c r="D1633" s="432">
        <v>2184.11</v>
      </c>
      <c r="E1633" s="433" t="s">
        <v>1327</v>
      </c>
      <c r="F1633" s="434">
        <v>240.97</v>
      </c>
      <c r="G1633" s="366"/>
      <c r="H1633" s="305"/>
      <c r="I1633" s="366"/>
      <c r="J1633" s="366"/>
      <c r="K1633" s="309"/>
      <c r="L1633" s="366"/>
      <c r="M1633" s="366"/>
      <c r="N1633" s="309"/>
      <c r="O1633" s="366"/>
      <c r="P1633" s="418"/>
      <c r="Q1633" s="305"/>
      <c r="R1633" s="410"/>
      <c r="S1633" s="418">
        <v>73</v>
      </c>
    </row>
    <row r="1634" spans="1:19" ht="15">
      <c r="A1634" s="398" t="s">
        <v>1225</v>
      </c>
      <c r="B1634" s="413">
        <v>191281</v>
      </c>
      <c r="C1634" s="366">
        <f t="shared" si="100"/>
        <v>1561.38</v>
      </c>
      <c r="D1634" s="366">
        <v>1561.38</v>
      </c>
      <c r="E1634" s="305">
        <v>427.72</v>
      </c>
      <c r="F1634" s="366">
        <v>0</v>
      </c>
      <c r="G1634" s="366"/>
      <c r="H1634" s="305"/>
      <c r="I1634" s="366"/>
      <c r="J1634" s="366"/>
      <c r="K1634" s="309"/>
      <c r="L1634" s="366"/>
      <c r="M1634" s="366"/>
      <c r="N1634" s="309"/>
      <c r="O1634" s="366"/>
      <c r="P1634" s="418"/>
      <c r="Q1634" s="305"/>
      <c r="R1634" s="410"/>
      <c r="S1634" s="418">
        <v>100</v>
      </c>
    </row>
    <row r="1635" spans="1:19" ht="15">
      <c r="A1635" s="431"/>
      <c r="B1635" s="413">
        <v>191283</v>
      </c>
      <c r="C1635" s="366">
        <f t="shared" si="100"/>
        <v>0</v>
      </c>
      <c r="D1635" s="432"/>
      <c r="E1635" s="433"/>
      <c r="F1635" s="434"/>
      <c r="G1635" s="366"/>
      <c r="H1635" s="305"/>
      <c r="I1635" s="366"/>
      <c r="J1635" s="366"/>
      <c r="K1635" s="309"/>
      <c r="L1635" s="366"/>
      <c r="M1635" s="366"/>
      <c r="N1635" s="309"/>
      <c r="O1635" s="366"/>
      <c r="P1635" s="418"/>
      <c r="Q1635" s="305"/>
      <c r="R1635" s="410"/>
      <c r="S1635" s="418">
        <v>72</v>
      </c>
    </row>
    <row r="1636" spans="1:19" ht="15">
      <c r="A1636" s="398" t="s">
        <v>634</v>
      </c>
      <c r="B1636" s="413">
        <v>465180</v>
      </c>
      <c r="C1636" s="366">
        <f t="shared" si="100"/>
        <v>3499.09</v>
      </c>
      <c r="D1636" s="366">
        <v>3499.09</v>
      </c>
      <c r="E1636" s="305">
        <v>845.06</v>
      </c>
      <c r="F1636" s="366">
        <v>436.52</v>
      </c>
      <c r="G1636" s="366"/>
      <c r="H1636" s="305"/>
      <c r="I1636" s="366"/>
      <c r="J1636" s="366"/>
      <c r="K1636" s="309"/>
      <c r="L1636" s="366"/>
      <c r="M1636" s="366"/>
      <c r="N1636" s="309"/>
      <c r="O1636" s="366"/>
      <c r="P1636" s="418"/>
      <c r="Q1636" s="305"/>
      <c r="R1636" s="410"/>
      <c r="S1636" s="418">
        <v>21</v>
      </c>
    </row>
    <row r="1637" spans="1:19" ht="15">
      <c r="A1637" s="398" t="s">
        <v>1121</v>
      </c>
      <c r="B1637" s="413">
        <v>465181</v>
      </c>
      <c r="C1637" s="366">
        <f t="shared" si="100"/>
        <v>2216.86</v>
      </c>
      <c r="D1637" s="432">
        <v>2216.86</v>
      </c>
      <c r="E1637" s="448" t="s">
        <v>1328</v>
      </c>
      <c r="F1637" s="434">
        <v>252.78</v>
      </c>
      <c r="G1637" s="366"/>
      <c r="H1637" s="305"/>
      <c r="I1637" s="366"/>
      <c r="J1637" s="366"/>
      <c r="K1637" s="309"/>
      <c r="L1637" s="366"/>
      <c r="M1637" s="366"/>
      <c r="N1637" s="309"/>
      <c r="O1637" s="366"/>
      <c r="P1637" s="418"/>
      <c r="Q1637" s="305"/>
      <c r="R1637" s="410"/>
      <c r="S1637" s="418">
        <v>60</v>
      </c>
    </row>
    <row r="1638" spans="1:19" ht="15">
      <c r="A1638" s="398" t="s">
        <v>1301</v>
      </c>
      <c r="B1638" s="413">
        <v>465182</v>
      </c>
      <c r="C1638" s="366">
        <f t="shared" si="100"/>
        <v>2082.48</v>
      </c>
      <c r="D1638" s="366">
        <v>2082.48</v>
      </c>
      <c r="E1638" s="448" t="s">
        <v>1329</v>
      </c>
      <c r="F1638" s="366">
        <v>52.56</v>
      </c>
      <c r="G1638" s="366"/>
      <c r="H1638" s="305"/>
      <c r="I1638" s="366"/>
      <c r="J1638" s="366"/>
      <c r="K1638" s="309"/>
      <c r="L1638" s="366"/>
      <c r="M1638" s="366"/>
      <c r="N1638" s="309"/>
      <c r="O1638" s="366"/>
      <c r="P1638" s="418"/>
      <c r="Q1638" s="305"/>
      <c r="R1638" s="410"/>
      <c r="S1638" s="418">
        <v>73</v>
      </c>
    </row>
    <row r="1639" spans="1:19" ht="15">
      <c r="A1639" s="398"/>
      <c r="B1639" s="413">
        <v>465183</v>
      </c>
      <c r="C1639" s="366">
        <f t="shared" si="100"/>
        <v>0</v>
      </c>
      <c r="D1639" s="432"/>
      <c r="E1639" s="433"/>
      <c r="F1639" s="434"/>
      <c r="G1639" s="366"/>
      <c r="H1639" s="305"/>
      <c r="I1639" s="366"/>
      <c r="J1639" s="366"/>
      <c r="K1639" s="309"/>
      <c r="L1639" s="366"/>
      <c r="M1639" s="366"/>
      <c r="N1639" s="309"/>
      <c r="O1639" s="366"/>
      <c r="P1639" s="418"/>
      <c r="Q1639" s="305"/>
      <c r="R1639" s="410"/>
      <c r="S1639" s="418">
        <v>32</v>
      </c>
    </row>
    <row r="1640" spans="1:19" ht="15">
      <c r="A1640" s="398" t="s">
        <v>1291</v>
      </c>
      <c r="B1640" s="413">
        <v>465185</v>
      </c>
      <c r="C1640" s="366">
        <f t="shared" si="100"/>
        <v>0</v>
      </c>
      <c r="D1640" s="366"/>
      <c r="E1640" s="305"/>
      <c r="F1640" s="366"/>
      <c r="G1640" s="366"/>
      <c r="H1640" s="305"/>
      <c r="I1640" s="366"/>
      <c r="J1640" s="366"/>
      <c r="K1640" s="309"/>
      <c r="L1640" s="366"/>
      <c r="M1640" s="366"/>
      <c r="N1640" s="309"/>
      <c r="O1640" s="366"/>
      <c r="P1640" s="418"/>
      <c r="Q1640" s="305"/>
      <c r="R1640" s="410"/>
      <c r="S1640" s="418">
        <v>24</v>
      </c>
    </row>
    <row r="1641" spans="1:19" ht="15">
      <c r="A1641" s="398"/>
      <c r="B1641" s="413">
        <v>465186</v>
      </c>
      <c r="C1641" s="366">
        <f t="shared" si="100"/>
        <v>0</v>
      </c>
      <c r="D1641" s="432"/>
      <c r="E1641" s="433"/>
      <c r="F1641" s="434"/>
      <c r="G1641" s="366"/>
      <c r="H1641" s="305"/>
      <c r="I1641" s="366"/>
      <c r="J1641" s="366"/>
      <c r="K1641" s="309"/>
      <c r="L1641" s="366"/>
      <c r="M1641" s="366"/>
      <c r="N1641" s="309"/>
      <c r="O1641" s="366"/>
      <c r="P1641" s="418"/>
      <c r="Q1641" s="305"/>
      <c r="R1641" s="410"/>
      <c r="S1641" s="418">
        <v>30</v>
      </c>
    </row>
    <row r="1642" spans="1:19" ht="15">
      <c r="A1642" s="398" t="s">
        <v>192</v>
      </c>
      <c r="B1642" s="413">
        <v>465187</v>
      </c>
      <c r="C1642" s="366">
        <f t="shared" si="100"/>
        <v>477.6</v>
      </c>
      <c r="D1642" s="432">
        <v>477.6</v>
      </c>
      <c r="E1642" s="433" t="s">
        <v>1330</v>
      </c>
      <c r="F1642" s="434">
        <v>0</v>
      </c>
      <c r="G1642" s="366"/>
      <c r="H1642" s="305"/>
      <c r="I1642" s="366"/>
      <c r="J1642" s="366"/>
      <c r="K1642" s="309"/>
      <c r="L1642" s="366"/>
      <c r="M1642" s="366"/>
      <c r="N1642" s="309"/>
      <c r="O1642" s="366"/>
      <c r="P1642" s="418"/>
      <c r="Q1642" s="305"/>
      <c r="R1642" s="410"/>
      <c r="S1642" s="418">
        <v>81</v>
      </c>
    </row>
    <row r="1643" spans="1:19" ht="15">
      <c r="A1643" s="398" t="s">
        <v>62</v>
      </c>
      <c r="B1643" s="413">
        <v>465188</v>
      </c>
      <c r="C1643" s="366">
        <f t="shared" si="100"/>
        <v>0</v>
      </c>
      <c r="D1643" s="432"/>
      <c r="E1643" s="433"/>
      <c r="F1643" s="434"/>
      <c r="G1643" s="366"/>
      <c r="H1643" s="305"/>
      <c r="I1643" s="366"/>
      <c r="J1643" s="366"/>
      <c r="K1643" s="309"/>
      <c r="L1643" s="366"/>
      <c r="M1643" s="366"/>
      <c r="N1643" s="309"/>
      <c r="O1643" s="366"/>
      <c r="P1643" s="418"/>
      <c r="Q1643" s="305"/>
      <c r="R1643" s="410"/>
      <c r="S1643" s="418">
        <v>100</v>
      </c>
    </row>
    <row r="1644" spans="1:19" ht="15">
      <c r="A1644" s="400" t="s">
        <v>1190</v>
      </c>
      <c r="B1644" s="413">
        <v>465189</v>
      </c>
      <c r="C1644" s="366">
        <f t="shared" si="100"/>
        <v>2934.02</v>
      </c>
      <c r="D1644" s="432">
        <v>2934.02</v>
      </c>
      <c r="E1644" s="433" t="s">
        <v>1331</v>
      </c>
      <c r="F1644" s="434">
        <v>59.54</v>
      </c>
      <c r="G1644" s="366"/>
      <c r="H1644" s="305"/>
      <c r="I1644" s="366"/>
      <c r="J1644" s="366"/>
      <c r="K1644" s="309"/>
      <c r="L1644" s="366"/>
      <c r="M1644" s="366"/>
      <c r="N1644" s="309"/>
      <c r="O1644" s="366"/>
      <c r="P1644" s="418"/>
      <c r="Q1644" s="305"/>
      <c r="R1644" s="410"/>
      <c r="S1644" s="418">
        <v>31</v>
      </c>
    </row>
    <row r="1645" spans="1:19" ht="15">
      <c r="A1645" s="441" t="s">
        <v>411</v>
      </c>
      <c r="B1645" s="413">
        <v>191275</v>
      </c>
      <c r="C1645" s="366">
        <f t="shared" si="100"/>
        <v>1950.41</v>
      </c>
      <c r="D1645" s="366">
        <v>1950.41</v>
      </c>
      <c r="E1645" s="305">
        <v>563.14</v>
      </c>
      <c r="F1645" s="366">
        <v>0</v>
      </c>
      <c r="G1645" s="366"/>
      <c r="H1645" s="305"/>
      <c r="I1645" s="366"/>
      <c r="J1645" s="366"/>
      <c r="K1645" s="309"/>
      <c r="L1645" s="366"/>
      <c r="M1645" s="366"/>
      <c r="N1645" s="309"/>
      <c r="O1645" s="366"/>
      <c r="P1645" s="418"/>
      <c r="Q1645" s="305"/>
      <c r="R1645" s="410"/>
      <c r="S1645" s="418">
        <v>25</v>
      </c>
    </row>
    <row r="1646" spans="1:19" ht="15">
      <c r="A1646" s="439" t="s">
        <v>40</v>
      </c>
      <c r="B1646" s="413">
        <v>191282</v>
      </c>
      <c r="C1646" s="366">
        <f t="shared" si="100"/>
        <v>1546.5</v>
      </c>
      <c r="D1646" s="366">
        <v>1546.5</v>
      </c>
      <c r="E1646" s="305">
        <v>384.03</v>
      </c>
      <c r="F1646" s="366">
        <v>37.29</v>
      </c>
      <c r="G1646" s="366"/>
      <c r="H1646" s="305"/>
      <c r="I1646" s="366"/>
      <c r="J1646" s="366"/>
      <c r="K1646" s="309"/>
      <c r="L1646" s="366"/>
      <c r="M1646" s="366"/>
      <c r="N1646" s="309"/>
      <c r="O1646" s="366"/>
      <c r="P1646" s="418"/>
      <c r="Q1646" s="305"/>
      <c r="R1646" s="410"/>
      <c r="S1646" s="418">
        <v>8</v>
      </c>
    </row>
    <row r="1647" spans="1:19" ht="15">
      <c r="A1647" s="439" t="s">
        <v>1265</v>
      </c>
      <c r="B1647" s="413">
        <v>465184</v>
      </c>
      <c r="C1647" s="366">
        <f t="shared" si="100"/>
        <v>1514.17</v>
      </c>
      <c r="D1647" s="366">
        <v>1514.17</v>
      </c>
      <c r="E1647" s="305">
        <v>410.45</v>
      </c>
      <c r="F1647" s="366">
        <v>6.46</v>
      </c>
      <c r="G1647" s="366"/>
      <c r="H1647" s="305"/>
      <c r="I1647" s="366"/>
      <c r="J1647" s="366"/>
      <c r="K1647" s="309"/>
      <c r="L1647" s="366"/>
      <c r="M1647" s="366"/>
      <c r="N1647" s="309"/>
      <c r="O1647" s="366"/>
      <c r="P1647" s="418"/>
      <c r="Q1647" s="305"/>
      <c r="R1647" s="410"/>
      <c r="S1647" s="418">
        <v>62</v>
      </c>
    </row>
    <row r="1648" spans="1:19" ht="15">
      <c r="A1648" s="429" t="s">
        <v>1266</v>
      </c>
      <c r="B1648" s="407" t="s">
        <v>507</v>
      </c>
      <c r="C1648" s="366">
        <f t="shared" si="100"/>
        <v>3031.15</v>
      </c>
      <c r="D1648" s="366">
        <v>3031.15</v>
      </c>
      <c r="E1648" s="305">
        <v>764.15</v>
      </c>
      <c r="F1648" s="366">
        <v>188.58</v>
      </c>
      <c r="G1648" s="366"/>
      <c r="H1648" s="305"/>
      <c r="I1648" s="366"/>
      <c r="J1648" s="366"/>
      <c r="K1648" s="309"/>
      <c r="L1648" s="366"/>
      <c r="M1648" s="366"/>
      <c r="N1648" s="309"/>
      <c r="O1648" s="366"/>
      <c r="P1648" s="418"/>
      <c r="Q1648" s="305"/>
      <c r="R1648" s="410"/>
      <c r="S1648" s="418">
        <v>22</v>
      </c>
    </row>
    <row r="1649" spans="1:19" ht="15">
      <c r="A1649" s="408" t="s">
        <v>408</v>
      </c>
      <c r="B1649" s="413">
        <v>1122</v>
      </c>
      <c r="C1649" s="366">
        <f t="shared" si="100"/>
        <v>0</v>
      </c>
      <c r="D1649" s="366"/>
      <c r="E1649" s="410"/>
      <c r="F1649" s="366"/>
      <c r="G1649" s="366"/>
      <c r="H1649" s="305"/>
      <c r="I1649" s="366"/>
      <c r="J1649" s="366"/>
      <c r="K1649" s="309"/>
      <c r="L1649" s="366"/>
      <c r="M1649" s="366"/>
      <c r="N1649" s="309"/>
      <c r="O1649" s="366"/>
      <c r="P1649" s="426"/>
      <c r="Q1649" s="305"/>
      <c r="R1649" s="410"/>
      <c r="S1649" s="426"/>
    </row>
    <row r="1650" spans="1:19" ht="15">
      <c r="A1650" s="408" t="s">
        <v>386</v>
      </c>
      <c r="B1650" s="413">
        <v>191279</v>
      </c>
      <c r="C1650" s="366">
        <f t="shared" si="100"/>
        <v>544.96</v>
      </c>
      <c r="D1650" s="366">
        <v>544.96</v>
      </c>
      <c r="E1650" s="410" t="s">
        <v>1332</v>
      </c>
      <c r="F1650" s="366">
        <v>0</v>
      </c>
      <c r="G1650" s="366"/>
      <c r="H1650" s="305"/>
      <c r="I1650" s="366"/>
      <c r="J1650" s="366"/>
      <c r="K1650" s="309"/>
      <c r="L1650" s="366"/>
      <c r="M1650" s="366"/>
      <c r="N1650" s="309"/>
      <c r="O1650" s="366"/>
      <c r="P1650" s="426"/>
      <c r="Q1650" s="305"/>
      <c r="R1650" s="410"/>
      <c r="S1650" s="426">
        <v>50</v>
      </c>
    </row>
    <row r="1651" spans="1:19" ht="15">
      <c r="A1651" s="408" t="s">
        <v>1041</v>
      </c>
      <c r="B1651" s="407" t="s">
        <v>1068</v>
      </c>
      <c r="C1651" s="366">
        <f t="shared" si="100"/>
        <v>0</v>
      </c>
      <c r="D1651" s="366"/>
      <c r="E1651" s="305"/>
      <c r="F1651" s="366"/>
      <c r="G1651" s="411"/>
      <c r="H1651" s="305"/>
      <c r="I1651" s="366"/>
      <c r="J1651" s="366"/>
      <c r="K1651" s="305"/>
      <c r="L1651" s="366"/>
      <c r="M1651" s="366"/>
      <c r="N1651" s="309"/>
      <c r="O1651" s="366"/>
      <c r="P1651" s="409"/>
      <c r="Q1651" s="305"/>
      <c r="R1651" s="410"/>
      <c r="S1651" s="409"/>
    </row>
    <row r="1652" spans="1:19" ht="15">
      <c r="A1652" s="408" t="s">
        <v>901</v>
      </c>
      <c r="B1652" s="407" t="s">
        <v>1152</v>
      </c>
      <c r="C1652" s="366">
        <f t="shared" si="100"/>
        <v>0</v>
      </c>
      <c r="D1652" s="366"/>
      <c r="E1652" s="410"/>
      <c r="F1652" s="366"/>
      <c r="G1652" s="411"/>
      <c r="H1652" s="305"/>
      <c r="I1652" s="366"/>
      <c r="J1652" s="366"/>
      <c r="K1652" s="305"/>
      <c r="L1652" s="366"/>
      <c r="M1652" s="366"/>
      <c r="N1652" s="309"/>
      <c r="O1652" s="366"/>
      <c r="P1652" s="409"/>
      <c r="Q1652" s="305"/>
      <c r="R1652" s="410"/>
      <c r="S1652" s="409"/>
    </row>
    <row r="1653" spans="1:19" ht="13">
      <c r="A1653" s="470" t="s">
        <v>860</v>
      </c>
      <c r="B1653" s="471"/>
      <c r="C1653" s="422" t="s">
        <v>89</v>
      </c>
      <c r="D1653" s="324" t="s">
        <v>676</v>
      </c>
      <c r="E1653" s="325" t="s">
        <v>861</v>
      </c>
      <c r="F1653" s="355" t="s">
        <v>862</v>
      </c>
      <c r="G1653" s="324" t="s">
        <v>676</v>
      </c>
      <c r="H1653" s="325" t="s">
        <v>861</v>
      </c>
      <c r="I1653" s="355" t="s">
        <v>862</v>
      </c>
      <c r="J1653" s="324" t="s">
        <v>676</v>
      </c>
      <c r="K1653" s="325" t="s">
        <v>861</v>
      </c>
      <c r="L1653" s="355" t="s">
        <v>862</v>
      </c>
      <c r="M1653" s="324" t="s">
        <v>676</v>
      </c>
      <c r="N1653" s="325" t="s">
        <v>861</v>
      </c>
      <c r="O1653" s="355" t="s">
        <v>862</v>
      </c>
      <c r="P1653" s="324" t="s">
        <v>881</v>
      </c>
      <c r="Q1653" s="325" t="s">
        <v>861</v>
      </c>
      <c r="R1653" s="325" t="s">
        <v>865</v>
      </c>
      <c r="S1653" s="412" t="s">
        <v>1031</v>
      </c>
    </row>
    <row r="1654" spans="1:19" ht="13">
      <c r="A1654" s="470" t="s">
        <v>863</v>
      </c>
      <c r="B1654" s="471"/>
      <c r="C1654" s="326">
        <f t="shared" ref="C1654:F1654" si="101">SUM(C1629:C1652)</f>
        <v>29229.61</v>
      </c>
      <c r="D1654" s="326">
        <f t="shared" si="101"/>
        <v>28699.61</v>
      </c>
      <c r="E1654" s="443">
        <f t="shared" si="101"/>
        <v>4411.0399999999991</v>
      </c>
      <c r="F1654" s="326">
        <f t="shared" si="101"/>
        <v>1971.24</v>
      </c>
      <c r="G1654" s="329"/>
      <c r="H1654" s="329"/>
      <c r="I1654" s="329"/>
      <c r="J1654" s="329"/>
      <c r="K1654" s="329"/>
      <c r="L1654" s="329"/>
      <c r="M1654" s="329"/>
      <c r="N1654" s="329"/>
      <c r="O1654" s="329"/>
      <c r="P1654" s="329"/>
      <c r="Q1654" s="329"/>
      <c r="R1654" s="329"/>
    </row>
    <row r="1655" spans="1:19" ht="13">
      <c r="A1655" s="282"/>
      <c r="B1655" s="282"/>
      <c r="C1655" s="282"/>
      <c r="D1655" s="282"/>
      <c r="E1655" s="282"/>
      <c r="F1655" s="282"/>
      <c r="G1655" s="329"/>
      <c r="H1655" s="329"/>
      <c r="I1655" s="329"/>
      <c r="J1655" s="329"/>
      <c r="K1655" s="329"/>
      <c r="L1655" s="329"/>
      <c r="M1655" s="329"/>
      <c r="N1655" s="329"/>
      <c r="O1655" s="329"/>
      <c r="P1655" s="329"/>
      <c r="Q1655" s="329"/>
      <c r="R1655" s="329"/>
    </row>
    <row r="1656" spans="1:19" ht="13">
      <c r="A1656" s="476" t="s">
        <v>1333</v>
      </c>
      <c r="B1656" s="466"/>
      <c r="C1656" s="466"/>
      <c r="D1656" s="466"/>
      <c r="E1656" s="466"/>
      <c r="F1656" s="466"/>
      <c r="G1656" s="466"/>
      <c r="H1656" s="466"/>
      <c r="I1656" s="466"/>
      <c r="J1656" s="466"/>
      <c r="K1656" s="466"/>
      <c r="L1656" s="466"/>
      <c r="M1656" s="466"/>
      <c r="N1656" s="466"/>
      <c r="O1656" s="466"/>
      <c r="P1656" s="466"/>
      <c r="Q1656" s="466"/>
      <c r="R1656" s="466"/>
      <c r="S1656" s="466"/>
    </row>
    <row r="1657" spans="1:19" ht="13">
      <c r="A1657" s="356" t="s">
        <v>849</v>
      </c>
      <c r="B1657" s="356" t="s">
        <v>1</v>
      </c>
      <c r="C1657" s="356" t="s">
        <v>89</v>
      </c>
      <c r="D1657" s="473" t="s">
        <v>850</v>
      </c>
      <c r="E1657" s="466"/>
      <c r="F1657" s="467"/>
      <c r="G1657" s="465" t="s">
        <v>852</v>
      </c>
      <c r="H1657" s="466"/>
      <c r="I1657" s="467"/>
      <c r="J1657" s="465" t="s">
        <v>1013</v>
      </c>
      <c r="K1657" s="466"/>
      <c r="L1657" s="467"/>
      <c r="M1657" s="465" t="s">
        <v>1093</v>
      </c>
      <c r="N1657" s="466"/>
      <c r="O1657" s="467"/>
      <c r="P1657" s="465" t="s">
        <v>865</v>
      </c>
      <c r="Q1657" s="466"/>
      <c r="R1657" s="467"/>
      <c r="S1657" s="356" t="s">
        <v>1028</v>
      </c>
    </row>
    <row r="1658" spans="1:19" ht="15">
      <c r="A1658" s="398" t="s">
        <v>1124</v>
      </c>
      <c r="B1658" s="413">
        <v>191274</v>
      </c>
      <c r="C1658" s="366">
        <f>D1658+G1658+J1658+M1658</f>
        <v>642.16999999999996</v>
      </c>
      <c r="D1658" s="434">
        <v>642.16999999999996</v>
      </c>
      <c r="E1658" s="445">
        <v>157.05000000000001</v>
      </c>
      <c r="F1658" s="433" t="s">
        <v>1334</v>
      </c>
      <c r="G1658" s="366"/>
      <c r="H1658" s="305"/>
      <c r="I1658" s="366"/>
      <c r="J1658" s="366"/>
      <c r="K1658" s="309"/>
      <c r="L1658" s="366"/>
      <c r="M1658" s="366"/>
      <c r="N1658" s="309"/>
      <c r="O1658" s="366"/>
      <c r="P1658" s="418"/>
      <c r="Q1658" s="305"/>
      <c r="R1658" s="410"/>
      <c r="S1658" s="418">
        <v>81</v>
      </c>
    </row>
    <row r="1659" spans="1:19" ht="15">
      <c r="A1659" s="431" t="s">
        <v>1335</v>
      </c>
      <c r="B1659" s="413">
        <v>191276</v>
      </c>
      <c r="C1659" s="366">
        <v>2641.66</v>
      </c>
      <c r="D1659" s="432">
        <v>2641.66</v>
      </c>
      <c r="E1659" s="445">
        <v>597.04999999999995</v>
      </c>
      <c r="F1659" s="434">
        <v>213.53</v>
      </c>
      <c r="G1659" s="366"/>
      <c r="H1659" s="305"/>
      <c r="I1659" s="366"/>
      <c r="J1659" s="366"/>
      <c r="K1659" s="309"/>
      <c r="L1659" s="366"/>
      <c r="M1659" s="366"/>
      <c r="N1659" s="309"/>
      <c r="O1659" s="366"/>
      <c r="P1659" s="418"/>
      <c r="Q1659" s="305"/>
      <c r="R1659" s="410"/>
      <c r="S1659" s="418">
        <v>36</v>
      </c>
    </row>
    <row r="1660" spans="1:19" ht="15">
      <c r="A1660" s="431" t="s">
        <v>1291</v>
      </c>
      <c r="B1660" s="413">
        <v>191277</v>
      </c>
      <c r="C1660" s="366">
        <f t="shared" ref="C1660:C1681" si="102">D1660+G1660+J1660+M1660</f>
        <v>1247.0999999999999</v>
      </c>
      <c r="D1660" s="434">
        <v>1247.0999999999999</v>
      </c>
      <c r="E1660" s="445">
        <v>290.14</v>
      </c>
      <c r="F1660" s="434">
        <v>79.63</v>
      </c>
      <c r="G1660" s="366"/>
      <c r="H1660" s="305"/>
      <c r="I1660" s="366"/>
      <c r="J1660" s="366"/>
      <c r="K1660" s="309"/>
      <c r="L1660" s="366"/>
      <c r="M1660" s="366"/>
      <c r="N1660" s="309"/>
      <c r="O1660" s="366"/>
      <c r="P1660" s="418"/>
      <c r="Q1660" s="305"/>
      <c r="R1660" s="410"/>
      <c r="S1660" s="418">
        <v>100</v>
      </c>
    </row>
    <row r="1661" spans="1:19" ht="15">
      <c r="A1661" s="398" t="s">
        <v>1286</v>
      </c>
      <c r="B1661" s="413">
        <v>191280</v>
      </c>
      <c r="C1661" s="366">
        <f t="shared" si="102"/>
        <v>1180.22</v>
      </c>
      <c r="D1661" s="434">
        <v>1180.22</v>
      </c>
      <c r="E1661" s="433" t="s">
        <v>1336</v>
      </c>
      <c r="F1661" s="434">
        <v>103.42</v>
      </c>
      <c r="G1661" s="366"/>
      <c r="H1661" s="305"/>
      <c r="I1661" s="366"/>
      <c r="J1661" s="366"/>
      <c r="K1661" s="309"/>
      <c r="L1661" s="366"/>
      <c r="M1661" s="366"/>
      <c r="N1661" s="309"/>
      <c r="O1661" s="366"/>
      <c r="P1661" s="418"/>
      <c r="Q1661" s="305"/>
      <c r="R1661" s="410"/>
      <c r="S1661" s="418">
        <v>41</v>
      </c>
    </row>
    <row r="1662" spans="1:19" ht="15">
      <c r="A1662" s="398" t="s">
        <v>1225</v>
      </c>
      <c r="B1662" s="413">
        <v>191281</v>
      </c>
      <c r="C1662" s="366">
        <f t="shared" si="102"/>
        <v>2165.86</v>
      </c>
      <c r="D1662" s="434">
        <v>2165.86</v>
      </c>
      <c r="E1662" s="445">
        <v>549.71</v>
      </c>
      <c r="F1662" s="434">
        <v>58.31</v>
      </c>
      <c r="G1662" s="366"/>
      <c r="H1662" s="305"/>
      <c r="I1662" s="366"/>
      <c r="J1662" s="366"/>
      <c r="K1662" s="309"/>
      <c r="L1662" s="366"/>
      <c r="M1662" s="366"/>
      <c r="N1662" s="309"/>
      <c r="O1662" s="366"/>
      <c r="P1662" s="418"/>
      <c r="Q1662" s="305"/>
      <c r="R1662" s="410"/>
      <c r="S1662" s="418">
        <v>100</v>
      </c>
    </row>
    <row r="1663" spans="1:19" ht="15">
      <c r="A1663" s="431"/>
      <c r="B1663" s="413">
        <v>191283</v>
      </c>
      <c r="C1663" s="366">
        <f t="shared" si="102"/>
        <v>0</v>
      </c>
      <c r="D1663" s="432"/>
      <c r="E1663" s="433"/>
      <c r="F1663" s="434"/>
      <c r="G1663" s="366"/>
      <c r="H1663" s="305"/>
      <c r="I1663" s="366"/>
      <c r="J1663" s="366"/>
      <c r="K1663" s="309"/>
      <c r="L1663" s="366"/>
      <c r="M1663" s="366"/>
      <c r="N1663" s="309"/>
      <c r="O1663" s="366"/>
      <c r="P1663" s="418"/>
      <c r="Q1663" s="305"/>
      <c r="R1663" s="410"/>
      <c r="S1663" s="418">
        <v>72</v>
      </c>
    </row>
    <row r="1664" spans="1:19" ht="15">
      <c r="A1664" s="398" t="s">
        <v>634</v>
      </c>
      <c r="B1664" s="413">
        <v>465180</v>
      </c>
      <c r="C1664" s="366">
        <f t="shared" si="102"/>
        <v>2444.36</v>
      </c>
      <c r="D1664" s="434">
        <v>2444.36</v>
      </c>
      <c r="E1664" s="433" t="s">
        <v>1337</v>
      </c>
      <c r="F1664" s="434">
        <v>268.95</v>
      </c>
      <c r="G1664" s="366"/>
      <c r="H1664" s="305"/>
      <c r="I1664" s="366"/>
      <c r="J1664" s="366"/>
      <c r="K1664" s="309"/>
      <c r="L1664" s="366"/>
      <c r="M1664" s="366"/>
      <c r="N1664" s="309"/>
      <c r="O1664" s="366"/>
      <c r="P1664" s="418"/>
      <c r="Q1664" s="305"/>
      <c r="R1664" s="410"/>
      <c r="S1664" s="418">
        <v>100</v>
      </c>
    </row>
    <row r="1665" spans="1:19" ht="15">
      <c r="A1665" s="398" t="s">
        <v>1121</v>
      </c>
      <c r="B1665" s="413">
        <v>465181</v>
      </c>
      <c r="C1665" s="366">
        <f t="shared" si="102"/>
        <v>1379.75</v>
      </c>
      <c r="D1665" s="434">
        <v>1379.75</v>
      </c>
      <c r="E1665" s="433" t="s">
        <v>1338</v>
      </c>
      <c r="F1665" s="434">
        <v>99.63</v>
      </c>
      <c r="G1665" s="366"/>
      <c r="H1665" s="305"/>
      <c r="I1665" s="366"/>
      <c r="J1665" s="366"/>
      <c r="K1665" s="309"/>
      <c r="L1665" s="366"/>
      <c r="M1665" s="366"/>
      <c r="N1665" s="309"/>
      <c r="O1665" s="366"/>
      <c r="P1665" s="418"/>
      <c r="Q1665" s="305"/>
      <c r="R1665" s="410"/>
      <c r="S1665" s="418">
        <v>61</v>
      </c>
    </row>
    <row r="1666" spans="1:19" ht="15">
      <c r="A1666" s="398" t="s">
        <v>1301</v>
      </c>
      <c r="B1666" s="413">
        <v>465182</v>
      </c>
      <c r="C1666" s="366">
        <f t="shared" si="102"/>
        <v>2139.06</v>
      </c>
      <c r="D1666" s="434">
        <v>2139.06</v>
      </c>
      <c r="E1666" s="445">
        <v>509.81</v>
      </c>
      <c r="F1666" s="434">
        <v>49.52</v>
      </c>
      <c r="G1666" s="366"/>
      <c r="H1666" s="305"/>
      <c r="I1666" s="366"/>
      <c r="J1666" s="366"/>
      <c r="K1666" s="309"/>
      <c r="L1666" s="366"/>
      <c r="M1666" s="366"/>
      <c r="N1666" s="309"/>
      <c r="O1666" s="366"/>
      <c r="P1666" s="418"/>
      <c r="Q1666" s="305"/>
      <c r="R1666" s="410"/>
      <c r="S1666" s="418">
        <v>100</v>
      </c>
    </row>
    <row r="1667" spans="1:19" ht="15">
      <c r="A1667" s="398" t="s">
        <v>1190</v>
      </c>
      <c r="B1667" s="413">
        <v>465183</v>
      </c>
      <c r="C1667" s="366">
        <f t="shared" si="102"/>
        <v>2364.8200000000002</v>
      </c>
      <c r="D1667" s="432">
        <v>2364.8200000000002</v>
      </c>
      <c r="E1667" s="433" t="s">
        <v>1339</v>
      </c>
      <c r="F1667" s="434">
        <v>53.35</v>
      </c>
      <c r="G1667" s="366"/>
      <c r="H1667" s="305"/>
      <c r="I1667" s="366"/>
      <c r="J1667" s="366"/>
      <c r="K1667" s="309"/>
      <c r="L1667" s="366"/>
      <c r="M1667" s="366"/>
      <c r="N1667" s="309"/>
      <c r="O1667" s="366"/>
      <c r="P1667" s="418"/>
      <c r="Q1667" s="305"/>
      <c r="R1667" s="410"/>
      <c r="S1667" s="418">
        <v>88</v>
      </c>
    </row>
    <row r="1668" spans="1:19" ht="15">
      <c r="A1668" s="398"/>
      <c r="B1668" s="413">
        <v>465185</v>
      </c>
      <c r="C1668" s="366">
        <f t="shared" si="102"/>
        <v>0</v>
      </c>
      <c r="D1668" s="366"/>
      <c r="E1668" s="305"/>
      <c r="F1668" s="366"/>
      <c r="G1668" s="366"/>
      <c r="H1668" s="305"/>
      <c r="I1668" s="366"/>
      <c r="J1668" s="366"/>
      <c r="K1668" s="309"/>
      <c r="L1668" s="366"/>
      <c r="M1668" s="366"/>
      <c r="N1668" s="309"/>
      <c r="O1668" s="366"/>
      <c r="P1668" s="418"/>
      <c r="Q1668" s="305"/>
      <c r="R1668" s="410"/>
      <c r="S1668" s="418">
        <v>24</v>
      </c>
    </row>
    <row r="1669" spans="1:19" ht="15">
      <c r="A1669" s="398"/>
      <c r="B1669" s="413">
        <v>465186</v>
      </c>
      <c r="C1669" s="366">
        <f t="shared" si="102"/>
        <v>0</v>
      </c>
      <c r="D1669" s="432"/>
      <c r="E1669" s="433"/>
      <c r="F1669" s="434"/>
      <c r="G1669" s="366"/>
      <c r="H1669" s="305"/>
      <c r="I1669" s="366"/>
      <c r="J1669" s="366"/>
      <c r="K1669" s="309"/>
      <c r="L1669" s="366"/>
      <c r="M1669" s="366"/>
      <c r="N1669" s="309"/>
      <c r="O1669" s="366"/>
      <c r="P1669" s="418"/>
      <c r="Q1669" s="305"/>
      <c r="R1669" s="410"/>
      <c r="S1669" s="418">
        <v>23</v>
      </c>
    </row>
    <row r="1670" spans="1:19" ht="15">
      <c r="A1670" s="398" t="s">
        <v>192</v>
      </c>
      <c r="B1670" s="413">
        <v>465187</v>
      </c>
      <c r="C1670" s="366">
        <f t="shared" si="102"/>
        <v>1709.3</v>
      </c>
      <c r="D1670" s="434">
        <v>1709.3</v>
      </c>
      <c r="E1670" s="433" t="s">
        <v>1340</v>
      </c>
      <c r="F1670" s="434">
        <v>109.42</v>
      </c>
      <c r="G1670" s="366"/>
      <c r="H1670" s="305"/>
      <c r="I1670" s="366"/>
      <c r="J1670" s="366"/>
      <c r="K1670" s="309"/>
      <c r="L1670" s="366"/>
      <c r="M1670" s="366"/>
      <c r="N1670" s="309"/>
      <c r="O1670" s="366"/>
      <c r="P1670" s="418"/>
      <c r="Q1670" s="305"/>
      <c r="R1670" s="410"/>
      <c r="S1670" s="418">
        <v>50</v>
      </c>
    </row>
    <row r="1671" spans="1:19" ht="15">
      <c r="A1671" s="400"/>
      <c r="B1671" s="413">
        <v>465189</v>
      </c>
      <c r="C1671" s="366">
        <f t="shared" si="102"/>
        <v>0</v>
      </c>
      <c r="D1671" s="432"/>
      <c r="E1671" s="433"/>
      <c r="F1671" s="434"/>
      <c r="G1671" s="366"/>
      <c r="H1671" s="305"/>
      <c r="I1671" s="366"/>
      <c r="J1671" s="366"/>
      <c r="K1671" s="309"/>
      <c r="L1671" s="366"/>
      <c r="M1671" s="366"/>
      <c r="N1671" s="309"/>
      <c r="O1671" s="366"/>
      <c r="P1671" s="418"/>
      <c r="Q1671" s="305"/>
      <c r="R1671" s="410"/>
      <c r="S1671" s="418">
        <v>9</v>
      </c>
    </row>
    <row r="1672" spans="1:19" ht="15">
      <c r="A1672" s="441" t="s">
        <v>411</v>
      </c>
      <c r="B1672" s="413">
        <v>191275</v>
      </c>
      <c r="C1672" s="366">
        <f t="shared" si="102"/>
        <v>1748.91</v>
      </c>
      <c r="D1672" s="366">
        <v>1748.91</v>
      </c>
      <c r="E1672" s="305">
        <v>436.53</v>
      </c>
      <c r="F1672" s="366">
        <v>8.06</v>
      </c>
      <c r="G1672" s="366"/>
      <c r="H1672" s="305"/>
      <c r="I1672" s="366"/>
      <c r="J1672" s="366"/>
      <c r="K1672" s="309"/>
      <c r="L1672" s="366"/>
      <c r="M1672" s="366"/>
      <c r="N1672" s="309"/>
      <c r="O1672" s="366"/>
      <c r="P1672" s="418"/>
      <c r="Q1672" s="305"/>
      <c r="R1672" s="410"/>
      <c r="S1672" s="418">
        <v>31</v>
      </c>
    </row>
    <row r="1673" spans="1:19" ht="15">
      <c r="A1673" s="439" t="s">
        <v>1341</v>
      </c>
      <c r="B1673" s="413">
        <v>191276</v>
      </c>
      <c r="C1673" s="366">
        <f t="shared" si="102"/>
        <v>1883.52</v>
      </c>
      <c r="D1673" s="366">
        <v>1883.52</v>
      </c>
      <c r="E1673" s="305">
        <v>432.78</v>
      </c>
      <c r="F1673" s="366">
        <v>114.3</v>
      </c>
      <c r="G1673" s="366"/>
      <c r="H1673" s="305"/>
      <c r="I1673" s="366"/>
      <c r="J1673" s="366"/>
      <c r="K1673" s="309"/>
      <c r="L1673" s="366"/>
      <c r="M1673" s="366"/>
      <c r="N1673" s="309"/>
      <c r="O1673" s="366"/>
      <c r="P1673" s="418"/>
      <c r="Q1673" s="305"/>
      <c r="R1673" s="410"/>
      <c r="S1673" s="418">
        <v>36</v>
      </c>
    </row>
    <row r="1674" spans="1:19" ht="15">
      <c r="A1674" s="439" t="s">
        <v>40</v>
      </c>
      <c r="B1674" s="413">
        <v>191282</v>
      </c>
      <c r="C1674" s="366">
        <f t="shared" si="102"/>
        <v>3173.85</v>
      </c>
      <c r="D1674" s="366">
        <v>3173.85</v>
      </c>
      <c r="E1674" s="305">
        <v>761.26</v>
      </c>
      <c r="F1674" s="366">
        <v>113.9</v>
      </c>
      <c r="G1674" s="366"/>
      <c r="H1674" s="305"/>
      <c r="I1674" s="366"/>
      <c r="J1674" s="366"/>
      <c r="K1674" s="309"/>
      <c r="L1674" s="366"/>
      <c r="M1674" s="366"/>
      <c r="N1674" s="309"/>
      <c r="O1674" s="366"/>
      <c r="P1674" s="418"/>
      <c r="Q1674" s="305"/>
      <c r="R1674" s="410"/>
      <c r="S1674" s="418">
        <v>41</v>
      </c>
    </row>
    <row r="1675" spans="1:19" ht="15">
      <c r="A1675" s="439" t="s">
        <v>1265</v>
      </c>
      <c r="B1675" s="413">
        <v>465184</v>
      </c>
      <c r="C1675" s="366">
        <f t="shared" si="102"/>
        <v>2250.9299999999998</v>
      </c>
      <c r="D1675" s="366">
        <v>2250.9299999999998</v>
      </c>
      <c r="E1675" s="305">
        <v>586.78</v>
      </c>
      <c r="F1675" s="366">
        <v>0</v>
      </c>
      <c r="G1675" s="366"/>
      <c r="H1675" s="305"/>
      <c r="I1675" s="366"/>
      <c r="J1675" s="366"/>
      <c r="K1675" s="309"/>
      <c r="L1675" s="366"/>
      <c r="M1675" s="366"/>
      <c r="N1675" s="309"/>
      <c r="O1675" s="366"/>
      <c r="P1675" s="418"/>
      <c r="Q1675" s="305"/>
      <c r="R1675" s="410"/>
      <c r="S1675" s="418">
        <v>46</v>
      </c>
    </row>
    <row r="1676" spans="1:19" ht="15">
      <c r="A1676" s="429" t="s">
        <v>1266</v>
      </c>
      <c r="B1676" s="407" t="s">
        <v>507</v>
      </c>
      <c r="C1676" s="366">
        <f t="shared" si="102"/>
        <v>986.99</v>
      </c>
      <c r="D1676" s="366">
        <v>986.99</v>
      </c>
      <c r="E1676" s="305">
        <v>237</v>
      </c>
      <c r="F1676" s="366">
        <v>16.260000000000002</v>
      </c>
      <c r="G1676" s="366"/>
      <c r="H1676" s="305"/>
      <c r="I1676" s="366"/>
      <c r="J1676" s="366"/>
      <c r="K1676" s="309"/>
      <c r="L1676" s="366"/>
      <c r="M1676" s="366"/>
      <c r="N1676" s="309"/>
      <c r="O1676" s="366"/>
      <c r="P1676" s="418"/>
      <c r="Q1676" s="305"/>
      <c r="R1676" s="410"/>
      <c r="S1676" s="418">
        <v>58</v>
      </c>
    </row>
    <row r="1677" spans="1:19" ht="15">
      <c r="A1677" s="281" t="s">
        <v>386</v>
      </c>
      <c r="B1677" s="413">
        <v>191279</v>
      </c>
      <c r="C1677" s="366">
        <f t="shared" si="102"/>
        <v>1858.34</v>
      </c>
      <c r="D1677" s="366">
        <v>1858.34</v>
      </c>
      <c r="E1677" s="410" t="s">
        <v>1342</v>
      </c>
      <c r="F1677" s="366">
        <v>63.16</v>
      </c>
      <c r="G1677" s="366"/>
      <c r="H1677" s="305"/>
      <c r="I1677" s="366"/>
      <c r="J1677" s="366"/>
      <c r="K1677" s="309"/>
      <c r="L1677" s="366"/>
      <c r="M1677" s="366"/>
      <c r="N1677" s="309"/>
      <c r="O1677" s="366"/>
      <c r="P1677" s="426"/>
      <c r="Q1677" s="305"/>
      <c r="R1677" s="410"/>
      <c r="S1677" s="426">
        <v>46</v>
      </c>
    </row>
    <row r="1678" spans="1:19" ht="15">
      <c r="A1678" s="281" t="s">
        <v>1343</v>
      </c>
      <c r="B1678" s="413">
        <v>465188</v>
      </c>
      <c r="C1678" s="366">
        <f t="shared" si="102"/>
        <v>1753.09</v>
      </c>
      <c r="D1678" s="366">
        <v>1753.09</v>
      </c>
      <c r="E1678" s="410" t="s">
        <v>1344</v>
      </c>
      <c r="F1678" s="366">
        <v>86.35</v>
      </c>
      <c r="G1678" s="366"/>
      <c r="H1678" s="305"/>
      <c r="I1678" s="366"/>
      <c r="J1678" s="366"/>
      <c r="K1678" s="309"/>
      <c r="L1678" s="366"/>
      <c r="M1678" s="366"/>
      <c r="N1678" s="309"/>
      <c r="O1678" s="366"/>
      <c r="P1678" s="426"/>
      <c r="Q1678" s="305"/>
      <c r="R1678" s="410"/>
      <c r="S1678" s="426">
        <v>46</v>
      </c>
    </row>
    <row r="1679" spans="1:19" ht="15">
      <c r="A1679" s="408" t="s">
        <v>408</v>
      </c>
      <c r="B1679" s="413">
        <v>1122</v>
      </c>
      <c r="C1679" s="366">
        <f t="shared" si="102"/>
        <v>0</v>
      </c>
      <c r="D1679" s="366"/>
      <c r="E1679" s="410"/>
      <c r="F1679" s="366"/>
      <c r="G1679" s="366"/>
      <c r="H1679" s="305"/>
      <c r="I1679" s="366"/>
      <c r="J1679" s="366"/>
      <c r="K1679" s="309"/>
      <c r="L1679" s="366"/>
      <c r="M1679" s="366"/>
      <c r="N1679" s="309"/>
      <c r="O1679" s="366"/>
      <c r="P1679" s="426"/>
      <c r="Q1679" s="305"/>
      <c r="R1679" s="410"/>
      <c r="S1679" s="426"/>
    </row>
    <row r="1680" spans="1:19" ht="15">
      <c r="A1680" s="408" t="s">
        <v>1041</v>
      </c>
      <c r="B1680" s="407" t="s">
        <v>1068</v>
      </c>
      <c r="C1680" s="366">
        <f t="shared" si="102"/>
        <v>1725.01</v>
      </c>
      <c r="D1680" s="366">
        <v>1725.01</v>
      </c>
      <c r="E1680" s="305">
        <v>469.48</v>
      </c>
      <c r="F1680" s="366">
        <v>0</v>
      </c>
      <c r="G1680" s="411"/>
      <c r="H1680" s="305"/>
      <c r="I1680" s="366"/>
      <c r="J1680" s="366"/>
      <c r="K1680" s="305"/>
      <c r="L1680" s="366"/>
      <c r="M1680" s="366"/>
      <c r="N1680" s="309"/>
      <c r="O1680" s="366"/>
      <c r="P1680" s="409"/>
      <c r="Q1680" s="305"/>
      <c r="R1680" s="410"/>
      <c r="S1680" s="409"/>
    </row>
    <row r="1681" spans="1:20" ht="15">
      <c r="A1681" s="408" t="s">
        <v>901</v>
      </c>
      <c r="B1681" s="407" t="s">
        <v>1152</v>
      </c>
      <c r="C1681" s="366">
        <f t="shared" si="102"/>
        <v>1360.86</v>
      </c>
      <c r="D1681" s="366">
        <v>1360.86</v>
      </c>
      <c r="E1681" s="410" t="s">
        <v>1345</v>
      </c>
      <c r="F1681" s="366">
        <v>97.05</v>
      </c>
      <c r="G1681" s="411"/>
      <c r="H1681" s="305"/>
      <c r="I1681" s="366"/>
      <c r="J1681" s="366"/>
      <c r="K1681" s="305"/>
      <c r="L1681" s="366"/>
      <c r="M1681" s="366"/>
      <c r="N1681" s="309"/>
      <c r="O1681" s="366"/>
      <c r="P1681" s="409"/>
      <c r="Q1681" s="305"/>
      <c r="R1681" s="410"/>
      <c r="S1681" s="409">
        <v>22</v>
      </c>
    </row>
    <row r="1682" spans="1:20" ht="13">
      <c r="A1682" s="470" t="s">
        <v>860</v>
      </c>
      <c r="B1682" s="471"/>
      <c r="C1682" s="422" t="s">
        <v>89</v>
      </c>
      <c r="D1682" s="324" t="s">
        <v>676</v>
      </c>
      <c r="E1682" s="325" t="s">
        <v>861</v>
      </c>
      <c r="F1682" s="355" t="s">
        <v>862</v>
      </c>
      <c r="G1682" s="324" t="s">
        <v>676</v>
      </c>
      <c r="H1682" s="325" t="s">
        <v>861</v>
      </c>
      <c r="I1682" s="355" t="s">
        <v>862</v>
      </c>
      <c r="J1682" s="324" t="s">
        <v>676</v>
      </c>
      <c r="K1682" s="325" t="s">
        <v>861</v>
      </c>
      <c r="L1682" s="355" t="s">
        <v>862</v>
      </c>
      <c r="M1682" s="324" t="s">
        <v>676</v>
      </c>
      <c r="N1682" s="325" t="s">
        <v>861</v>
      </c>
      <c r="O1682" s="355" t="s">
        <v>862</v>
      </c>
      <c r="P1682" s="324" t="s">
        <v>881</v>
      </c>
      <c r="Q1682" s="325" t="s">
        <v>861</v>
      </c>
      <c r="R1682" s="325" t="s">
        <v>865</v>
      </c>
      <c r="S1682" s="412" t="s">
        <v>1031</v>
      </c>
    </row>
    <row r="1683" spans="1:20" ht="13">
      <c r="A1683" s="470" t="s">
        <v>863</v>
      </c>
      <c r="B1683" s="471"/>
      <c r="C1683" s="326">
        <f t="shared" ref="C1683:F1683" si="103">SUM(C1658:C1681)</f>
        <v>34655.800000000003</v>
      </c>
      <c r="D1683" s="326">
        <f t="shared" si="103"/>
        <v>34655.800000000003</v>
      </c>
      <c r="E1683" s="443">
        <f t="shared" si="103"/>
        <v>5027.59</v>
      </c>
      <c r="F1683" s="442">
        <f t="shared" si="103"/>
        <v>1534.84</v>
      </c>
      <c r="G1683" s="329"/>
      <c r="H1683" s="329"/>
      <c r="I1683" s="329"/>
      <c r="J1683" s="329"/>
      <c r="K1683" s="329"/>
      <c r="L1683" s="329"/>
      <c r="M1683" s="329"/>
      <c r="N1683" s="329"/>
      <c r="O1683" s="329"/>
      <c r="P1683" s="329"/>
      <c r="Q1683" s="329"/>
      <c r="R1683" s="329"/>
    </row>
    <row r="1684" spans="1:20" ht="15">
      <c r="A1684" s="449"/>
      <c r="B1684" s="450"/>
      <c r="C1684" s="451"/>
      <c r="D1684" s="451"/>
      <c r="E1684" s="452"/>
      <c r="F1684" s="451"/>
      <c r="G1684" s="451"/>
      <c r="H1684" s="452"/>
      <c r="I1684" s="451"/>
      <c r="J1684" s="451"/>
      <c r="K1684" s="453"/>
      <c r="L1684" s="451"/>
      <c r="M1684" s="451"/>
      <c r="N1684" s="453"/>
      <c r="O1684" s="451"/>
      <c r="P1684" s="454"/>
      <c r="Q1684" s="452"/>
      <c r="R1684" s="455"/>
      <c r="S1684" s="454"/>
      <c r="T1684" s="277"/>
    </row>
    <row r="1685" spans="1:20" ht="13">
      <c r="A1685" s="476" t="s">
        <v>1346</v>
      </c>
      <c r="B1685" s="466"/>
      <c r="C1685" s="466"/>
      <c r="D1685" s="466"/>
      <c r="E1685" s="466"/>
      <c r="F1685" s="466"/>
      <c r="G1685" s="466"/>
      <c r="H1685" s="466"/>
      <c r="I1685" s="466"/>
      <c r="J1685" s="466"/>
      <c r="K1685" s="466"/>
      <c r="L1685" s="466"/>
      <c r="M1685" s="466"/>
      <c r="N1685" s="466"/>
      <c r="O1685" s="466"/>
      <c r="P1685" s="466"/>
      <c r="Q1685" s="466"/>
      <c r="R1685" s="466"/>
      <c r="S1685" s="466"/>
    </row>
    <row r="1686" spans="1:20" ht="13">
      <c r="A1686" s="356" t="s">
        <v>849</v>
      </c>
      <c r="B1686" s="356" t="s">
        <v>1</v>
      </c>
      <c r="C1686" s="356" t="s">
        <v>89</v>
      </c>
      <c r="D1686" s="473" t="s">
        <v>850</v>
      </c>
      <c r="E1686" s="466"/>
      <c r="F1686" s="467"/>
      <c r="G1686" s="465" t="s">
        <v>852</v>
      </c>
      <c r="H1686" s="466"/>
      <c r="I1686" s="467"/>
      <c r="J1686" s="465" t="s">
        <v>1013</v>
      </c>
      <c r="K1686" s="466"/>
      <c r="L1686" s="467"/>
      <c r="M1686" s="465" t="s">
        <v>1093</v>
      </c>
      <c r="N1686" s="466"/>
      <c r="O1686" s="467"/>
      <c r="P1686" s="465" t="s">
        <v>865</v>
      </c>
      <c r="Q1686" s="466"/>
      <c r="R1686" s="467"/>
      <c r="S1686" s="356" t="s">
        <v>1028</v>
      </c>
    </row>
    <row r="1687" spans="1:20" ht="15">
      <c r="A1687" s="398" t="s">
        <v>1124</v>
      </c>
      <c r="B1687" s="413">
        <v>191274</v>
      </c>
      <c r="C1687" s="366">
        <f t="shared" ref="C1687:C1697" si="104">D1687+G1687+J1687+M1687</f>
        <v>2864.12</v>
      </c>
      <c r="D1687" s="434">
        <v>2864.12</v>
      </c>
      <c r="E1687" s="445">
        <v>640.33000000000004</v>
      </c>
      <c r="F1687" s="433" t="s">
        <v>1347</v>
      </c>
      <c r="G1687" s="366"/>
      <c r="H1687" s="305"/>
      <c r="I1687" s="366"/>
      <c r="J1687" s="366"/>
      <c r="K1687" s="309"/>
      <c r="L1687" s="366"/>
      <c r="M1687" s="366"/>
      <c r="N1687" s="309"/>
      <c r="O1687" s="366"/>
      <c r="P1687" s="418"/>
      <c r="Q1687" s="305"/>
      <c r="R1687" s="410"/>
      <c r="S1687" s="418">
        <v>60</v>
      </c>
    </row>
    <row r="1688" spans="1:20" ht="15">
      <c r="A1688" s="431" t="s">
        <v>1348</v>
      </c>
      <c r="B1688" s="413">
        <v>191277</v>
      </c>
      <c r="C1688" s="366">
        <f t="shared" si="104"/>
        <v>2347.37</v>
      </c>
      <c r="D1688" s="434">
        <v>2347.37</v>
      </c>
      <c r="E1688" s="445">
        <v>530.46</v>
      </c>
      <c r="F1688" s="434">
        <v>50.69</v>
      </c>
      <c r="G1688" s="366"/>
      <c r="H1688" s="305"/>
      <c r="I1688" s="366"/>
      <c r="J1688" s="366"/>
      <c r="K1688" s="309"/>
      <c r="L1688" s="366"/>
      <c r="M1688" s="366"/>
      <c r="N1688" s="309"/>
      <c r="O1688" s="366"/>
      <c r="P1688" s="418"/>
      <c r="Q1688" s="305"/>
      <c r="R1688" s="410"/>
      <c r="S1688" s="418">
        <v>56</v>
      </c>
    </row>
    <row r="1689" spans="1:20" ht="15">
      <c r="A1689" s="398" t="s">
        <v>1286</v>
      </c>
      <c r="B1689" s="413">
        <v>191280</v>
      </c>
      <c r="C1689" s="366">
        <f t="shared" si="104"/>
        <v>2531.11</v>
      </c>
      <c r="D1689" s="434">
        <v>2531.11</v>
      </c>
      <c r="E1689" s="456">
        <v>587.14</v>
      </c>
      <c r="F1689" s="434">
        <v>155.44999999999999</v>
      </c>
      <c r="G1689" s="366"/>
      <c r="H1689" s="305"/>
      <c r="I1689" s="366"/>
      <c r="J1689" s="366"/>
      <c r="K1689" s="309"/>
      <c r="L1689" s="366"/>
      <c r="M1689" s="366"/>
      <c r="N1689" s="309"/>
      <c r="O1689" s="366"/>
      <c r="P1689" s="418"/>
      <c r="Q1689" s="305"/>
      <c r="R1689" s="410"/>
      <c r="S1689" s="418">
        <v>74</v>
      </c>
    </row>
    <row r="1690" spans="1:20" ht="15">
      <c r="A1690" s="398" t="s">
        <v>1225</v>
      </c>
      <c r="B1690" s="413">
        <v>191281</v>
      </c>
      <c r="C1690" s="366">
        <f t="shared" si="104"/>
        <v>2531.4499999999998</v>
      </c>
      <c r="D1690" s="434">
        <v>2531.4499999999998</v>
      </c>
      <c r="E1690" s="445">
        <v>645.58000000000004</v>
      </c>
      <c r="F1690" s="434">
        <v>35.549999999999997</v>
      </c>
      <c r="G1690" s="366"/>
      <c r="H1690" s="305"/>
      <c r="I1690" s="366"/>
      <c r="J1690" s="366"/>
      <c r="K1690" s="309"/>
      <c r="L1690" s="366"/>
      <c r="M1690" s="366"/>
      <c r="N1690" s="309"/>
      <c r="O1690" s="366"/>
      <c r="P1690" s="418"/>
      <c r="Q1690" s="305"/>
      <c r="R1690" s="410"/>
      <c r="S1690" s="418">
        <v>100</v>
      </c>
    </row>
    <row r="1691" spans="1:20" ht="15">
      <c r="A1691" s="431"/>
      <c r="B1691" s="413">
        <v>191283</v>
      </c>
      <c r="C1691" s="366">
        <f t="shared" si="104"/>
        <v>0</v>
      </c>
      <c r="D1691" s="432"/>
      <c r="E1691" s="433"/>
      <c r="F1691" s="434"/>
      <c r="G1691" s="366"/>
      <c r="H1691" s="305"/>
      <c r="I1691" s="366"/>
      <c r="J1691" s="366"/>
      <c r="K1691" s="309"/>
      <c r="L1691" s="366"/>
      <c r="M1691" s="366"/>
      <c r="N1691" s="309"/>
      <c r="O1691" s="366"/>
      <c r="P1691" s="418"/>
      <c r="Q1691" s="305"/>
      <c r="R1691" s="410"/>
      <c r="S1691" s="418">
        <v>72</v>
      </c>
    </row>
    <row r="1692" spans="1:20" ht="15">
      <c r="A1692" s="398" t="s">
        <v>634</v>
      </c>
      <c r="B1692" s="413">
        <v>465180</v>
      </c>
      <c r="C1692" s="366">
        <f t="shared" si="104"/>
        <v>1464.09</v>
      </c>
      <c r="D1692" s="434">
        <v>1464.09</v>
      </c>
      <c r="E1692" s="433" t="s">
        <v>1349</v>
      </c>
      <c r="F1692" s="434">
        <v>130.72</v>
      </c>
      <c r="G1692" s="366"/>
      <c r="H1692" s="305"/>
      <c r="I1692" s="366"/>
      <c r="J1692" s="366"/>
      <c r="K1692" s="309"/>
      <c r="L1692" s="366"/>
      <c r="M1692" s="366"/>
      <c r="N1692" s="309"/>
      <c r="O1692" s="366"/>
      <c r="P1692" s="418"/>
      <c r="Q1692" s="305"/>
      <c r="R1692" s="410"/>
      <c r="S1692" s="418">
        <v>62</v>
      </c>
    </row>
    <row r="1693" spans="1:20" ht="15">
      <c r="A1693" s="398" t="s">
        <v>1121</v>
      </c>
      <c r="B1693" s="413">
        <v>465181</v>
      </c>
      <c r="C1693" s="366">
        <f t="shared" si="104"/>
        <v>2150.5100000000002</v>
      </c>
      <c r="D1693" s="434">
        <v>2150.5100000000002</v>
      </c>
      <c r="E1693" s="433" t="s">
        <v>1350</v>
      </c>
      <c r="F1693" s="434">
        <v>12.9</v>
      </c>
      <c r="G1693" s="366"/>
      <c r="H1693" s="305"/>
      <c r="I1693" s="366"/>
      <c r="J1693" s="366"/>
      <c r="K1693" s="309"/>
      <c r="L1693" s="366"/>
      <c r="M1693" s="366"/>
      <c r="N1693" s="309"/>
      <c r="O1693" s="366"/>
      <c r="P1693" s="418"/>
      <c r="Q1693" s="305"/>
      <c r="R1693" s="410"/>
      <c r="S1693" s="418">
        <v>52</v>
      </c>
    </row>
    <row r="1694" spans="1:20" ht="15">
      <c r="A1694" s="398" t="s">
        <v>1301</v>
      </c>
      <c r="B1694" s="413">
        <v>465182</v>
      </c>
      <c r="C1694" s="366">
        <f t="shared" si="104"/>
        <v>1700.84</v>
      </c>
      <c r="D1694" s="434">
        <v>1700.84</v>
      </c>
      <c r="E1694" s="448" t="s">
        <v>1351</v>
      </c>
      <c r="F1694" s="434">
        <v>40.1</v>
      </c>
      <c r="G1694" s="366"/>
      <c r="H1694" s="305"/>
      <c r="I1694" s="366"/>
      <c r="J1694" s="366"/>
      <c r="K1694" s="309"/>
      <c r="L1694" s="366"/>
      <c r="M1694" s="366"/>
      <c r="N1694" s="309"/>
      <c r="O1694" s="366"/>
      <c r="P1694" s="418"/>
      <c r="Q1694" s="305"/>
      <c r="R1694" s="410"/>
      <c r="S1694" s="418">
        <v>100</v>
      </c>
    </row>
    <row r="1695" spans="1:20" ht="15">
      <c r="A1695" s="398" t="s">
        <v>1190</v>
      </c>
      <c r="B1695" s="413">
        <v>465183</v>
      </c>
      <c r="C1695" s="366">
        <f t="shared" si="104"/>
        <v>3416.82</v>
      </c>
      <c r="D1695" s="432">
        <v>3416.82</v>
      </c>
      <c r="E1695" s="433" t="s">
        <v>1352</v>
      </c>
      <c r="F1695" s="434">
        <v>129.53</v>
      </c>
      <c r="G1695" s="366"/>
      <c r="H1695" s="305"/>
      <c r="I1695" s="366"/>
      <c r="J1695" s="366"/>
      <c r="K1695" s="309"/>
      <c r="L1695" s="366"/>
      <c r="M1695" s="366"/>
      <c r="N1695" s="309"/>
      <c r="O1695" s="366"/>
      <c r="P1695" s="418"/>
      <c r="Q1695" s="305"/>
      <c r="R1695" s="410"/>
      <c r="S1695" s="418">
        <v>16</v>
      </c>
    </row>
    <row r="1696" spans="1:20" ht="15">
      <c r="A1696" s="398" t="s">
        <v>1291</v>
      </c>
      <c r="B1696" s="413">
        <v>465185</v>
      </c>
      <c r="C1696" s="366">
        <f t="shared" si="104"/>
        <v>0</v>
      </c>
      <c r="D1696" s="366"/>
      <c r="E1696" s="305"/>
      <c r="F1696" s="366"/>
      <c r="G1696" s="366"/>
      <c r="H1696" s="305"/>
      <c r="I1696" s="366"/>
      <c r="J1696" s="366"/>
      <c r="K1696" s="309"/>
      <c r="L1696" s="366"/>
      <c r="M1696" s="366"/>
      <c r="N1696" s="309"/>
      <c r="O1696" s="366"/>
      <c r="P1696" s="418"/>
      <c r="Q1696" s="305"/>
      <c r="R1696" s="410"/>
      <c r="S1696" s="418">
        <v>24</v>
      </c>
    </row>
    <row r="1697" spans="1:19" ht="15">
      <c r="A1697" s="398" t="s">
        <v>1353</v>
      </c>
      <c r="B1697" s="413">
        <v>465186</v>
      </c>
      <c r="C1697" s="366">
        <f t="shared" si="104"/>
        <v>1558.94</v>
      </c>
      <c r="D1697" s="432">
        <v>1558.94</v>
      </c>
      <c r="E1697" s="433" t="s">
        <v>1354</v>
      </c>
      <c r="F1697" s="434">
        <v>142.63999999999999</v>
      </c>
      <c r="G1697" s="366"/>
      <c r="H1697" s="305"/>
      <c r="I1697" s="366"/>
      <c r="J1697" s="366"/>
      <c r="K1697" s="309"/>
      <c r="L1697" s="366"/>
      <c r="M1697" s="366"/>
      <c r="N1697" s="309"/>
      <c r="O1697" s="366"/>
      <c r="P1697" s="418"/>
      <c r="Q1697" s="305"/>
      <c r="R1697" s="410"/>
      <c r="S1697" s="418">
        <v>16</v>
      </c>
    </row>
    <row r="1698" spans="1:19" ht="15">
      <c r="A1698" s="398" t="s">
        <v>192</v>
      </c>
      <c r="B1698" s="413">
        <v>465187</v>
      </c>
      <c r="C1698" s="366">
        <v>3985.91</v>
      </c>
      <c r="D1698" s="434">
        <v>3985.91</v>
      </c>
      <c r="E1698" s="433" t="s">
        <v>1355</v>
      </c>
      <c r="F1698" s="434">
        <v>172.59</v>
      </c>
      <c r="G1698" s="366"/>
      <c r="H1698" s="305"/>
      <c r="I1698" s="366"/>
      <c r="J1698" s="366"/>
      <c r="K1698" s="309"/>
      <c r="L1698" s="366"/>
      <c r="M1698" s="366"/>
      <c r="N1698" s="309"/>
      <c r="O1698" s="366"/>
      <c r="P1698" s="418"/>
      <c r="Q1698" s="305"/>
      <c r="R1698" s="410"/>
      <c r="S1698" s="418">
        <v>68</v>
      </c>
    </row>
    <row r="1699" spans="1:19" ht="15">
      <c r="A1699" s="400" t="s">
        <v>1356</v>
      </c>
      <c r="B1699" s="413">
        <v>465189</v>
      </c>
      <c r="C1699" s="366">
        <f t="shared" ref="C1699:C1709" si="105">D1699+G1699+J1699+M1699</f>
        <v>1536.13</v>
      </c>
      <c r="D1699" s="432">
        <v>1536.13</v>
      </c>
      <c r="E1699" s="445">
        <v>353.39</v>
      </c>
      <c r="F1699" s="434">
        <v>87.35</v>
      </c>
      <c r="G1699" s="366"/>
      <c r="H1699" s="305"/>
      <c r="I1699" s="366"/>
      <c r="J1699" s="366"/>
      <c r="K1699" s="309"/>
      <c r="L1699" s="366"/>
      <c r="M1699" s="366"/>
      <c r="N1699" s="309"/>
      <c r="O1699" s="366"/>
      <c r="P1699" s="418"/>
      <c r="Q1699" s="305"/>
      <c r="R1699" s="410"/>
      <c r="S1699" s="418">
        <v>16</v>
      </c>
    </row>
    <row r="1700" spans="1:19" ht="15">
      <c r="A1700" s="441" t="s">
        <v>411</v>
      </c>
      <c r="B1700" s="413">
        <v>191275</v>
      </c>
      <c r="C1700" s="366">
        <f t="shared" si="105"/>
        <v>2048.25</v>
      </c>
      <c r="D1700" s="366">
        <v>2048.25</v>
      </c>
      <c r="E1700" s="305">
        <v>522.5</v>
      </c>
      <c r="F1700" s="366">
        <v>7.79</v>
      </c>
      <c r="G1700" s="366"/>
      <c r="H1700" s="305"/>
      <c r="I1700" s="366"/>
      <c r="J1700" s="366"/>
      <c r="K1700" s="309"/>
      <c r="L1700" s="366"/>
      <c r="M1700" s="366"/>
      <c r="N1700" s="309"/>
      <c r="O1700" s="366"/>
      <c r="P1700" s="418"/>
      <c r="Q1700" s="305"/>
      <c r="R1700" s="410"/>
      <c r="S1700" s="418">
        <v>45</v>
      </c>
    </row>
    <row r="1701" spans="1:19" ht="15">
      <c r="A1701" s="441" t="s">
        <v>1357</v>
      </c>
      <c r="B1701" s="413">
        <v>191276</v>
      </c>
      <c r="C1701" s="366">
        <f t="shared" si="105"/>
        <v>2201.84</v>
      </c>
      <c r="D1701" s="432">
        <v>2201.84</v>
      </c>
      <c r="E1701" s="433" t="s">
        <v>1358</v>
      </c>
      <c r="F1701" s="434">
        <v>161.49</v>
      </c>
      <c r="G1701" s="366"/>
      <c r="H1701" s="305"/>
      <c r="I1701" s="366"/>
      <c r="J1701" s="366"/>
      <c r="K1701" s="309"/>
      <c r="L1701" s="366"/>
      <c r="M1701" s="366"/>
      <c r="N1701" s="309"/>
      <c r="O1701" s="366"/>
      <c r="P1701" s="418"/>
      <c r="Q1701" s="305"/>
      <c r="R1701" s="410"/>
      <c r="S1701" s="418">
        <v>21</v>
      </c>
    </row>
    <row r="1702" spans="1:19" ht="15">
      <c r="A1702" s="439" t="s">
        <v>40</v>
      </c>
      <c r="B1702" s="413">
        <v>191282</v>
      </c>
      <c r="C1702" s="366">
        <f t="shared" si="105"/>
        <v>2976.78</v>
      </c>
      <c r="D1702" s="366">
        <v>2976.78</v>
      </c>
      <c r="E1702" s="305">
        <v>698.55</v>
      </c>
      <c r="F1702" s="366">
        <v>32.520000000000003</v>
      </c>
      <c r="G1702" s="366"/>
      <c r="H1702" s="305"/>
      <c r="I1702" s="366"/>
      <c r="J1702" s="366"/>
      <c r="K1702" s="309"/>
      <c r="L1702" s="366"/>
      <c r="M1702" s="366"/>
      <c r="N1702" s="309"/>
      <c r="O1702" s="366"/>
      <c r="P1702" s="418"/>
      <c r="Q1702" s="305"/>
      <c r="R1702" s="410"/>
      <c r="S1702" s="418">
        <v>16</v>
      </c>
    </row>
    <row r="1703" spans="1:19" ht="15">
      <c r="A1703" s="439" t="s">
        <v>1265</v>
      </c>
      <c r="B1703" s="413">
        <v>465184</v>
      </c>
      <c r="C1703" s="366">
        <f t="shared" si="105"/>
        <v>1987.69</v>
      </c>
      <c r="D1703" s="366">
        <v>1987.69</v>
      </c>
      <c r="E1703" s="305">
        <v>489.22</v>
      </c>
      <c r="F1703" s="366">
        <v>46.73</v>
      </c>
      <c r="G1703" s="366"/>
      <c r="H1703" s="305"/>
      <c r="I1703" s="366"/>
      <c r="J1703" s="366"/>
      <c r="K1703" s="309"/>
      <c r="L1703" s="366"/>
      <c r="M1703" s="366"/>
      <c r="N1703" s="309"/>
      <c r="O1703" s="366"/>
      <c r="P1703" s="418"/>
      <c r="Q1703" s="305"/>
      <c r="R1703" s="410"/>
      <c r="S1703" s="418">
        <v>36</v>
      </c>
    </row>
    <row r="1704" spans="1:19" ht="15">
      <c r="A1704" s="429" t="s">
        <v>1266</v>
      </c>
      <c r="B1704" s="407" t="s">
        <v>507</v>
      </c>
      <c r="C1704" s="366">
        <f t="shared" si="105"/>
        <v>1836.13</v>
      </c>
      <c r="D1704" s="366">
        <v>1836.13</v>
      </c>
      <c r="E1704" s="305">
        <v>436.43</v>
      </c>
      <c r="F1704" s="366">
        <v>31.77</v>
      </c>
      <c r="G1704" s="366"/>
      <c r="H1704" s="305"/>
      <c r="I1704" s="366"/>
      <c r="J1704" s="366"/>
      <c r="K1704" s="309"/>
      <c r="L1704" s="366"/>
      <c r="M1704" s="366"/>
      <c r="N1704" s="309"/>
      <c r="O1704" s="366"/>
      <c r="P1704" s="418"/>
      <c r="Q1704" s="305"/>
      <c r="R1704" s="410"/>
      <c r="S1704" s="418">
        <v>31</v>
      </c>
    </row>
    <row r="1705" spans="1:19" ht="15">
      <c r="A1705" s="281" t="s">
        <v>386</v>
      </c>
      <c r="B1705" s="413">
        <v>191279</v>
      </c>
      <c r="C1705" s="366">
        <f t="shared" si="105"/>
        <v>2164.06</v>
      </c>
      <c r="D1705" s="366">
        <v>2164.06</v>
      </c>
      <c r="E1705" s="410" t="s">
        <v>1359</v>
      </c>
      <c r="F1705" s="366">
        <v>128.6</v>
      </c>
      <c r="G1705" s="366"/>
      <c r="H1705" s="305"/>
      <c r="I1705" s="366"/>
      <c r="J1705" s="366"/>
      <c r="K1705" s="309"/>
      <c r="L1705" s="366"/>
      <c r="M1705" s="366"/>
      <c r="N1705" s="309"/>
      <c r="O1705" s="366"/>
      <c r="P1705" s="426"/>
      <c r="Q1705" s="305"/>
      <c r="R1705" s="410"/>
      <c r="S1705" s="426">
        <v>95</v>
      </c>
    </row>
    <row r="1706" spans="1:19" ht="15">
      <c r="A1706" s="281" t="s">
        <v>1343</v>
      </c>
      <c r="B1706" s="413" t="s">
        <v>1360</v>
      </c>
      <c r="C1706" s="366">
        <f t="shared" si="105"/>
        <v>1732.78</v>
      </c>
      <c r="D1706" s="366">
        <v>1732.78</v>
      </c>
      <c r="E1706" s="410" t="s">
        <v>1361</v>
      </c>
      <c r="F1706" s="366">
        <v>38.74</v>
      </c>
      <c r="G1706" s="366"/>
      <c r="H1706" s="305"/>
      <c r="I1706" s="366"/>
      <c r="J1706" s="366"/>
      <c r="K1706" s="309"/>
      <c r="L1706" s="366"/>
      <c r="M1706" s="366"/>
      <c r="N1706" s="309"/>
      <c r="O1706" s="366"/>
      <c r="P1706" s="426"/>
      <c r="Q1706" s="305"/>
      <c r="R1706" s="410"/>
      <c r="S1706" s="426">
        <v>89</v>
      </c>
    </row>
    <row r="1707" spans="1:19" ht="15">
      <c r="A1707" s="408" t="s">
        <v>408</v>
      </c>
      <c r="B1707" s="413">
        <v>1122</v>
      </c>
      <c r="C1707" s="366">
        <f t="shared" si="105"/>
        <v>0</v>
      </c>
      <c r="D1707" s="366"/>
      <c r="E1707" s="410"/>
      <c r="F1707" s="366"/>
      <c r="G1707" s="366"/>
      <c r="H1707" s="305"/>
      <c r="I1707" s="366"/>
      <c r="J1707" s="366"/>
      <c r="K1707" s="309"/>
      <c r="L1707" s="366"/>
      <c r="M1707" s="366"/>
      <c r="N1707" s="309"/>
      <c r="O1707" s="366"/>
      <c r="P1707" s="426"/>
      <c r="Q1707" s="305"/>
      <c r="R1707" s="410"/>
      <c r="S1707" s="426"/>
    </row>
    <row r="1708" spans="1:19" ht="15">
      <c r="A1708" s="408" t="s">
        <v>1041</v>
      </c>
      <c r="B1708" s="407" t="s">
        <v>1068</v>
      </c>
      <c r="C1708" s="366">
        <f t="shared" si="105"/>
        <v>1985.02</v>
      </c>
      <c r="D1708" s="366">
        <v>1985.02</v>
      </c>
      <c r="E1708" s="305">
        <v>531.05999999999995</v>
      </c>
      <c r="F1708" s="366">
        <v>0</v>
      </c>
      <c r="G1708" s="411"/>
      <c r="H1708" s="305"/>
      <c r="I1708" s="366"/>
      <c r="J1708" s="366"/>
      <c r="K1708" s="305"/>
      <c r="L1708" s="366"/>
      <c r="M1708" s="366"/>
      <c r="N1708" s="309"/>
      <c r="O1708" s="366"/>
      <c r="P1708" s="409"/>
      <c r="Q1708" s="305"/>
      <c r="R1708" s="410"/>
      <c r="S1708" s="409"/>
    </row>
    <row r="1709" spans="1:19" ht="15">
      <c r="A1709" s="408" t="s">
        <v>901</v>
      </c>
      <c r="B1709" s="407" t="s">
        <v>1152</v>
      </c>
      <c r="C1709" s="366">
        <f t="shared" si="105"/>
        <v>2080.31</v>
      </c>
      <c r="D1709" s="366">
        <v>2080.31</v>
      </c>
      <c r="E1709" s="410" t="s">
        <v>1362</v>
      </c>
      <c r="F1709" s="366">
        <v>135.99</v>
      </c>
      <c r="G1709" s="411"/>
      <c r="H1709" s="305"/>
      <c r="I1709" s="366"/>
      <c r="J1709" s="366"/>
      <c r="K1709" s="305"/>
      <c r="L1709" s="366"/>
      <c r="M1709" s="366"/>
      <c r="N1709" s="309"/>
      <c r="O1709" s="366"/>
      <c r="P1709" s="409"/>
      <c r="Q1709" s="305"/>
      <c r="R1709" s="410"/>
      <c r="S1709" s="409">
        <v>25</v>
      </c>
    </row>
    <row r="1710" spans="1:19" ht="13">
      <c r="A1710" s="470" t="s">
        <v>860</v>
      </c>
      <c r="B1710" s="471"/>
      <c r="C1710" s="422" t="s">
        <v>89</v>
      </c>
      <c r="D1710" s="324" t="s">
        <v>676</v>
      </c>
      <c r="E1710" s="325" t="s">
        <v>861</v>
      </c>
      <c r="F1710" s="355" t="s">
        <v>862</v>
      </c>
      <c r="G1710" s="324" t="s">
        <v>676</v>
      </c>
      <c r="H1710" s="325" t="s">
        <v>861</v>
      </c>
      <c r="I1710" s="355" t="s">
        <v>862</v>
      </c>
      <c r="J1710" s="324" t="s">
        <v>676</v>
      </c>
      <c r="K1710" s="325" t="s">
        <v>861</v>
      </c>
      <c r="L1710" s="355" t="s">
        <v>862</v>
      </c>
      <c r="M1710" s="324" t="s">
        <v>676</v>
      </c>
      <c r="N1710" s="325" t="s">
        <v>861</v>
      </c>
      <c r="O1710" s="355" t="s">
        <v>862</v>
      </c>
      <c r="P1710" s="324" t="s">
        <v>881</v>
      </c>
      <c r="Q1710" s="325" t="s">
        <v>861</v>
      </c>
      <c r="R1710" s="325" t="s">
        <v>865</v>
      </c>
      <c r="S1710" s="412" t="s">
        <v>1031</v>
      </c>
    </row>
    <row r="1711" spans="1:19" ht="13">
      <c r="A1711" s="470" t="s">
        <v>863</v>
      </c>
      <c r="B1711" s="471"/>
      <c r="C1711" s="326">
        <f t="shared" ref="C1711:F1711" si="106">SUM(C1687:C1709)</f>
        <v>45100.149999999994</v>
      </c>
      <c r="D1711" s="326">
        <f t="shared" si="106"/>
        <v>45100.149999999994</v>
      </c>
      <c r="E1711" s="443">
        <f t="shared" si="106"/>
        <v>5434.66</v>
      </c>
      <c r="F1711" s="442">
        <f t="shared" si="106"/>
        <v>1541.1499999999999</v>
      </c>
      <c r="G1711" s="329"/>
      <c r="H1711" s="329"/>
      <c r="I1711" s="329"/>
      <c r="J1711" s="329"/>
      <c r="K1711" s="329"/>
      <c r="L1711" s="329"/>
      <c r="M1711" s="329"/>
      <c r="N1711" s="329"/>
      <c r="O1711" s="329"/>
      <c r="P1711" s="329"/>
      <c r="Q1711" s="329"/>
      <c r="R1711" s="329"/>
    </row>
    <row r="1713" spans="1:19" ht="13">
      <c r="A1713" s="476" t="s">
        <v>1363</v>
      </c>
      <c r="B1713" s="466"/>
      <c r="C1713" s="466"/>
      <c r="D1713" s="466"/>
      <c r="E1713" s="466"/>
      <c r="F1713" s="466"/>
      <c r="G1713" s="466"/>
      <c r="H1713" s="466"/>
      <c r="I1713" s="466"/>
      <c r="J1713" s="466"/>
      <c r="K1713" s="466"/>
      <c r="L1713" s="466"/>
      <c r="M1713" s="466"/>
      <c r="N1713" s="466"/>
      <c r="O1713" s="466"/>
      <c r="P1713" s="466"/>
      <c r="Q1713" s="466"/>
      <c r="R1713" s="466"/>
      <c r="S1713" s="466"/>
    </row>
    <row r="1714" spans="1:19" ht="13">
      <c r="A1714" s="356" t="s">
        <v>849</v>
      </c>
      <c r="B1714" s="356" t="s">
        <v>1</v>
      </c>
      <c r="C1714" s="356" t="s">
        <v>89</v>
      </c>
      <c r="D1714" s="473" t="s">
        <v>850</v>
      </c>
      <c r="E1714" s="466"/>
      <c r="F1714" s="467"/>
      <c r="G1714" s="465" t="s">
        <v>852</v>
      </c>
      <c r="H1714" s="466"/>
      <c r="I1714" s="467"/>
      <c r="J1714" s="465" t="s">
        <v>1013</v>
      </c>
      <c r="K1714" s="466"/>
      <c r="L1714" s="467"/>
      <c r="M1714" s="465" t="s">
        <v>1093</v>
      </c>
      <c r="N1714" s="466"/>
      <c r="O1714" s="467"/>
      <c r="P1714" s="465" t="s">
        <v>865</v>
      </c>
      <c r="Q1714" s="466"/>
      <c r="R1714" s="467"/>
      <c r="S1714" s="356" t="s">
        <v>1028</v>
      </c>
    </row>
    <row r="1715" spans="1:19" ht="15">
      <c r="A1715" s="398" t="s">
        <v>1124</v>
      </c>
      <c r="B1715" s="413">
        <v>191274</v>
      </c>
      <c r="C1715" s="366">
        <f t="shared" ref="C1715:C1737" si="107">D1715+G1715+J1715+M1715</f>
        <v>0</v>
      </c>
      <c r="D1715" s="366"/>
      <c r="E1715" s="305"/>
      <c r="F1715" s="366"/>
      <c r="G1715" s="366"/>
      <c r="H1715" s="305"/>
      <c r="I1715" s="366"/>
      <c r="J1715" s="366"/>
      <c r="K1715" s="309"/>
      <c r="L1715" s="366"/>
      <c r="M1715" s="366"/>
      <c r="N1715" s="309"/>
      <c r="O1715" s="366"/>
      <c r="P1715" s="418"/>
      <c r="Q1715" s="305"/>
      <c r="R1715" s="410"/>
      <c r="S1715" s="418">
        <v>46</v>
      </c>
    </row>
    <row r="1716" spans="1:19" ht="15">
      <c r="A1716" s="400"/>
      <c r="B1716" s="413">
        <v>465189</v>
      </c>
      <c r="C1716" s="366">
        <f t="shared" si="107"/>
        <v>0</v>
      </c>
      <c r="D1716" s="366"/>
      <c r="E1716" s="305"/>
      <c r="F1716" s="366"/>
      <c r="G1716" s="366"/>
      <c r="H1716" s="305"/>
      <c r="I1716" s="366"/>
      <c r="J1716" s="366"/>
      <c r="K1716" s="309"/>
      <c r="L1716" s="366"/>
      <c r="M1716" s="366"/>
      <c r="N1716" s="309"/>
      <c r="O1716" s="366"/>
      <c r="P1716" s="418"/>
      <c r="Q1716" s="305"/>
      <c r="R1716" s="410"/>
      <c r="S1716" s="418">
        <v>40</v>
      </c>
    </row>
    <row r="1717" spans="1:19" ht="15">
      <c r="A1717" s="431" t="s">
        <v>75</v>
      </c>
      <c r="B1717" s="413">
        <v>191277</v>
      </c>
      <c r="C1717" s="366">
        <f t="shared" si="107"/>
        <v>0</v>
      </c>
      <c r="D1717" s="432"/>
      <c r="E1717" s="433"/>
      <c r="F1717" s="434"/>
      <c r="G1717" s="366"/>
      <c r="H1717" s="305"/>
      <c r="I1717" s="366"/>
      <c r="J1717" s="366"/>
      <c r="K1717" s="309"/>
      <c r="L1717" s="366"/>
      <c r="M1717" s="366"/>
      <c r="N1717" s="309"/>
      <c r="O1717" s="366"/>
      <c r="P1717" s="418"/>
      <c r="Q1717" s="305"/>
      <c r="R1717" s="410"/>
      <c r="S1717" s="418">
        <v>39</v>
      </c>
    </row>
    <row r="1718" spans="1:19" ht="15">
      <c r="A1718" s="398" t="s">
        <v>1286</v>
      </c>
      <c r="B1718" s="413">
        <v>191280</v>
      </c>
      <c r="C1718" s="366">
        <f t="shared" si="107"/>
        <v>0</v>
      </c>
      <c r="D1718" s="432"/>
      <c r="E1718" s="433"/>
      <c r="F1718" s="434"/>
      <c r="G1718" s="366"/>
      <c r="H1718" s="305"/>
      <c r="I1718" s="366"/>
      <c r="J1718" s="366"/>
      <c r="K1718" s="309"/>
      <c r="L1718" s="366"/>
      <c r="M1718" s="366"/>
      <c r="N1718" s="309"/>
      <c r="O1718" s="366"/>
      <c r="P1718" s="418"/>
      <c r="Q1718" s="305"/>
      <c r="R1718" s="410"/>
      <c r="S1718" s="418">
        <v>100</v>
      </c>
    </row>
    <row r="1719" spans="1:19" ht="15">
      <c r="A1719" s="398" t="s">
        <v>1225</v>
      </c>
      <c r="B1719" s="413">
        <v>191281</v>
      </c>
      <c r="C1719" s="366">
        <f t="shared" si="107"/>
        <v>0</v>
      </c>
      <c r="D1719" s="366"/>
      <c r="E1719" s="305"/>
      <c r="F1719" s="366"/>
      <c r="G1719" s="366"/>
      <c r="H1719" s="305"/>
      <c r="I1719" s="366"/>
      <c r="J1719" s="366"/>
      <c r="K1719" s="309"/>
      <c r="L1719" s="366"/>
      <c r="M1719" s="366"/>
      <c r="N1719" s="309"/>
      <c r="O1719" s="366"/>
      <c r="P1719" s="418"/>
      <c r="Q1719" s="305"/>
      <c r="R1719" s="410"/>
      <c r="S1719" s="418">
        <v>72</v>
      </c>
    </row>
    <row r="1720" spans="1:19" ht="15">
      <c r="A1720" s="431"/>
      <c r="B1720" s="413">
        <v>191283</v>
      </c>
      <c r="C1720" s="366">
        <f t="shared" si="107"/>
        <v>0</v>
      </c>
      <c r="D1720" s="432"/>
      <c r="E1720" s="433"/>
      <c r="F1720" s="434"/>
      <c r="G1720" s="366"/>
      <c r="H1720" s="305"/>
      <c r="I1720" s="366"/>
      <c r="J1720" s="366"/>
      <c r="K1720" s="309"/>
      <c r="L1720" s="366"/>
      <c r="M1720" s="366"/>
      <c r="N1720" s="309"/>
      <c r="O1720" s="366"/>
      <c r="P1720" s="418"/>
      <c r="Q1720" s="305"/>
      <c r="R1720" s="410"/>
      <c r="S1720" s="418">
        <v>66</v>
      </c>
    </row>
    <row r="1721" spans="1:19" ht="15">
      <c r="A1721" s="398" t="s">
        <v>634</v>
      </c>
      <c r="B1721" s="413">
        <v>465180</v>
      </c>
      <c r="C1721" s="366">
        <f t="shared" si="107"/>
        <v>0</v>
      </c>
      <c r="D1721" s="366"/>
      <c r="E1721" s="305"/>
      <c r="F1721" s="366"/>
      <c r="G1721" s="366"/>
      <c r="H1721" s="305"/>
      <c r="I1721" s="366"/>
      <c r="J1721" s="366"/>
      <c r="K1721" s="309"/>
      <c r="L1721" s="366"/>
      <c r="M1721" s="366"/>
      <c r="N1721" s="309"/>
      <c r="O1721" s="366"/>
      <c r="P1721" s="418"/>
      <c r="Q1721" s="305"/>
      <c r="R1721" s="410"/>
      <c r="S1721" s="418">
        <v>36</v>
      </c>
    </row>
    <row r="1722" spans="1:19" ht="15">
      <c r="A1722" s="398" t="s">
        <v>1121</v>
      </c>
      <c r="B1722" s="413">
        <v>465181</v>
      </c>
      <c r="C1722" s="366">
        <f t="shared" si="107"/>
        <v>0</v>
      </c>
      <c r="D1722" s="432"/>
      <c r="E1722" s="433"/>
      <c r="F1722" s="434"/>
      <c r="G1722" s="366"/>
      <c r="H1722" s="305"/>
      <c r="I1722" s="366"/>
      <c r="J1722" s="366"/>
      <c r="K1722" s="309"/>
      <c r="L1722" s="366"/>
      <c r="M1722" s="366"/>
      <c r="N1722" s="309"/>
      <c r="O1722" s="366"/>
      <c r="P1722" s="418"/>
      <c r="Q1722" s="305"/>
      <c r="R1722" s="410"/>
      <c r="S1722" s="418">
        <v>56</v>
      </c>
    </row>
    <row r="1723" spans="1:19" ht="15">
      <c r="A1723" s="398" t="s">
        <v>1301</v>
      </c>
      <c r="B1723" s="413">
        <v>465182</v>
      </c>
      <c r="C1723" s="366">
        <f t="shared" si="107"/>
        <v>0</v>
      </c>
      <c r="D1723" s="366"/>
      <c r="E1723" s="305"/>
      <c r="F1723" s="366"/>
      <c r="G1723" s="366"/>
      <c r="H1723" s="305"/>
      <c r="I1723" s="366"/>
      <c r="J1723" s="366"/>
      <c r="K1723" s="309"/>
      <c r="L1723" s="366"/>
      <c r="M1723" s="366"/>
      <c r="N1723" s="309"/>
      <c r="O1723" s="366"/>
      <c r="P1723" s="418"/>
      <c r="Q1723" s="305"/>
      <c r="R1723" s="410"/>
      <c r="S1723" s="418">
        <v>56</v>
      </c>
    </row>
    <row r="1724" spans="1:19" ht="15">
      <c r="A1724" s="398" t="s">
        <v>1364</v>
      </c>
      <c r="B1724" s="413">
        <v>465183</v>
      </c>
      <c r="C1724" s="366">
        <f t="shared" si="107"/>
        <v>0</v>
      </c>
      <c r="D1724" s="432"/>
      <c r="E1724" s="433"/>
      <c r="F1724" s="434"/>
      <c r="G1724" s="366"/>
      <c r="H1724" s="305"/>
      <c r="I1724" s="366"/>
      <c r="J1724" s="366"/>
      <c r="K1724" s="309"/>
      <c r="L1724" s="366"/>
      <c r="M1724" s="366"/>
      <c r="N1724" s="309"/>
      <c r="O1724" s="366"/>
      <c r="P1724" s="418"/>
      <c r="Q1724" s="305"/>
      <c r="R1724" s="410"/>
      <c r="S1724" s="418">
        <v>81</v>
      </c>
    </row>
    <row r="1725" spans="1:19" ht="15">
      <c r="A1725" s="398" t="s">
        <v>1291</v>
      </c>
      <c r="B1725" s="413">
        <v>465185</v>
      </c>
      <c r="C1725" s="366">
        <f t="shared" si="107"/>
        <v>0</v>
      </c>
      <c r="D1725" s="366"/>
      <c r="E1725" s="305"/>
      <c r="F1725" s="366"/>
      <c r="G1725" s="366"/>
      <c r="H1725" s="305"/>
      <c r="I1725" s="366"/>
      <c r="J1725" s="366"/>
      <c r="K1725" s="309"/>
      <c r="L1725" s="366"/>
      <c r="M1725" s="366"/>
      <c r="N1725" s="309"/>
      <c r="O1725" s="366"/>
      <c r="P1725" s="418"/>
      <c r="Q1725" s="305"/>
      <c r="R1725" s="410"/>
      <c r="S1725" s="418">
        <v>24</v>
      </c>
    </row>
    <row r="1726" spans="1:19" ht="15">
      <c r="A1726" s="398" t="s">
        <v>1365</v>
      </c>
      <c r="B1726" s="413">
        <v>465186</v>
      </c>
      <c r="C1726" s="366">
        <f t="shared" si="107"/>
        <v>0</v>
      </c>
      <c r="D1726" s="432"/>
      <c r="E1726" s="433"/>
      <c r="F1726" s="434"/>
      <c r="G1726" s="366"/>
      <c r="H1726" s="305"/>
      <c r="I1726" s="366"/>
      <c r="J1726" s="366"/>
      <c r="K1726" s="309"/>
      <c r="L1726" s="366"/>
      <c r="M1726" s="366"/>
      <c r="N1726" s="309"/>
      <c r="O1726" s="366"/>
      <c r="P1726" s="418"/>
      <c r="Q1726" s="305"/>
      <c r="R1726" s="410"/>
      <c r="S1726" s="418">
        <v>25</v>
      </c>
    </row>
    <row r="1727" spans="1:19" ht="15">
      <c r="A1727" s="398" t="s">
        <v>192</v>
      </c>
      <c r="B1727" s="413">
        <v>465187</v>
      </c>
      <c r="C1727" s="366">
        <f t="shared" si="107"/>
        <v>0</v>
      </c>
      <c r="D1727" s="432"/>
      <c r="E1727" s="433"/>
      <c r="F1727" s="434"/>
      <c r="G1727" s="366"/>
      <c r="H1727" s="305"/>
      <c r="I1727" s="366"/>
      <c r="J1727" s="366"/>
      <c r="K1727" s="309"/>
      <c r="L1727" s="366"/>
      <c r="M1727" s="366"/>
      <c r="N1727" s="309"/>
      <c r="O1727" s="366"/>
      <c r="P1727" s="418"/>
      <c r="Q1727" s="305"/>
      <c r="R1727" s="410"/>
      <c r="S1727" s="418">
        <v>45</v>
      </c>
    </row>
    <row r="1728" spans="1:19" ht="15">
      <c r="A1728" s="441" t="s">
        <v>411</v>
      </c>
      <c r="B1728" s="413">
        <v>191275</v>
      </c>
      <c r="C1728" s="366">
        <f t="shared" si="107"/>
        <v>2659.55</v>
      </c>
      <c r="D1728" s="366">
        <v>2659.55</v>
      </c>
      <c r="E1728" s="305">
        <v>666.62</v>
      </c>
      <c r="F1728" s="366">
        <v>8.82</v>
      </c>
      <c r="G1728" s="366"/>
      <c r="H1728" s="305"/>
      <c r="I1728" s="366"/>
      <c r="J1728" s="366"/>
      <c r="K1728" s="309"/>
      <c r="L1728" s="366"/>
      <c r="M1728" s="366"/>
      <c r="N1728" s="309"/>
      <c r="O1728" s="366"/>
      <c r="P1728" s="418"/>
      <c r="Q1728" s="305"/>
      <c r="R1728" s="410"/>
      <c r="S1728" s="418">
        <v>50</v>
      </c>
    </row>
    <row r="1729" spans="1:19" ht="15">
      <c r="A1729" s="441" t="s">
        <v>1357</v>
      </c>
      <c r="B1729" s="413">
        <v>191276</v>
      </c>
      <c r="C1729" s="366">
        <f t="shared" si="107"/>
        <v>3157.89</v>
      </c>
      <c r="D1729" s="366">
        <v>3157.89</v>
      </c>
      <c r="E1729" s="305">
        <v>732.34</v>
      </c>
      <c r="F1729" s="366">
        <v>293.92</v>
      </c>
      <c r="G1729" s="366"/>
      <c r="H1729" s="305"/>
      <c r="I1729" s="366"/>
      <c r="J1729" s="366"/>
      <c r="K1729" s="309"/>
      <c r="L1729" s="366"/>
      <c r="M1729" s="366"/>
      <c r="N1729" s="309"/>
      <c r="O1729" s="366"/>
      <c r="P1729" s="418"/>
      <c r="Q1729" s="305"/>
      <c r="R1729" s="410"/>
      <c r="S1729" s="418"/>
    </row>
    <row r="1730" spans="1:19" ht="15">
      <c r="A1730" s="439" t="s">
        <v>40</v>
      </c>
      <c r="B1730" s="413">
        <v>191282</v>
      </c>
      <c r="C1730" s="366">
        <f t="shared" si="107"/>
        <v>2279.54</v>
      </c>
      <c r="D1730" s="366">
        <v>2279.54</v>
      </c>
      <c r="E1730" s="305">
        <v>524.67999999999995</v>
      </c>
      <c r="F1730" s="366">
        <v>49.81</v>
      </c>
      <c r="G1730" s="366"/>
      <c r="H1730" s="305"/>
      <c r="I1730" s="366"/>
      <c r="J1730" s="366"/>
      <c r="K1730" s="309"/>
      <c r="L1730" s="366"/>
      <c r="M1730" s="366"/>
      <c r="N1730" s="309"/>
      <c r="O1730" s="366"/>
      <c r="P1730" s="418"/>
      <c r="Q1730" s="305"/>
      <c r="R1730" s="410"/>
      <c r="S1730" s="418">
        <v>31</v>
      </c>
    </row>
    <row r="1731" spans="1:19" ht="15">
      <c r="A1731" s="439" t="s">
        <v>1265</v>
      </c>
      <c r="B1731" s="413">
        <v>465184</v>
      </c>
      <c r="C1731" s="366">
        <f t="shared" si="107"/>
        <v>1327.85</v>
      </c>
      <c r="D1731" s="366">
        <v>1327.85</v>
      </c>
      <c r="E1731" s="305">
        <v>323.7</v>
      </c>
      <c r="F1731" s="366">
        <v>13.78</v>
      </c>
      <c r="G1731" s="366"/>
      <c r="H1731" s="305"/>
      <c r="I1731" s="366"/>
      <c r="J1731" s="366"/>
      <c r="K1731" s="309"/>
      <c r="L1731" s="366"/>
      <c r="M1731" s="366"/>
      <c r="N1731" s="309"/>
      <c r="O1731" s="366"/>
      <c r="P1731" s="418"/>
      <c r="Q1731" s="305"/>
      <c r="R1731" s="410"/>
      <c r="S1731" s="418">
        <v>74</v>
      </c>
    </row>
    <row r="1732" spans="1:19" ht="15">
      <c r="A1732" s="429" t="s">
        <v>1266</v>
      </c>
      <c r="B1732" s="407" t="s">
        <v>507</v>
      </c>
      <c r="C1732" s="366">
        <f t="shared" si="107"/>
        <v>2537.42</v>
      </c>
      <c r="D1732" s="366">
        <v>2537.42</v>
      </c>
      <c r="E1732" s="305">
        <v>594.74</v>
      </c>
      <c r="F1732" s="366">
        <v>87.54</v>
      </c>
      <c r="G1732" s="366"/>
      <c r="H1732" s="305"/>
      <c r="I1732" s="366"/>
      <c r="J1732" s="366"/>
      <c r="K1732" s="309"/>
      <c r="L1732" s="366"/>
      <c r="M1732" s="366"/>
      <c r="N1732" s="309"/>
      <c r="O1732" s="366"/>
      <c r="P1732" s="418"/>
      <c r="Q1732" s="305"/>
      <c r="R1732" s="410"/>
      <c r="S1732" s="418">
        <v>46</v>
      </c>
    </row>
    <row r="1733" spans="1:19" ht="15">
      <c r="A1733" s="281" t="s">
        <v>386</v>
      </c>
      <c r="B1733" s="413">
        <v>191279</v>
      </c>
      <c r="C1733" s="366">
        <f t="shared" si="107"/>
        <v>2262.7399999999998</v>
      </c>
      <c r="D1733" s="366">
        <v>2262.7399999999998</v>
      </c>
      <c r="E1733" s="410" t="s">
        <v>1366</v>
      </c>
      <c r="F1733" s="366">
        <v>163.66</v>
      </c>
      <c r="G1733" s="366"/>
      <c r="H1733" s="305"/>
      <c r="I1733" s="366"/>
      <c r="J1733" s="366"/>
      <c r="K1733" s="309"/>
      <c r="L1733" s="366"/>
      <c r="M1733" s="366"/>
      <c r="N1733" s="309"/>
      <c r="O1733" s="366"/>
      <c r="P1733" s="426"/>
      <c r="Q1733" s="305"/>
      <c r="R1733" s="410"/>
      <c r="S1733" s="426">
        <v>88</v>
      </c>
    </row>
    <row r="1734" spans="1:19" ht="15">
      <c r="A1734" s="281" t="s">
        <v>1343</v>
      </c>
      <c r="B1734" s="413" t="s">
        <v>1367</v>
      </c>
      <c r="C1734" s="366">
        <f t="shared" si="107"/>
        <v>537.77</v>
      </c>
      <c r="D1734" s="366">
        <v>537.77</v>
      </c>
      <c r="E1734" s="410" t="s">
        <v>1368</v>
      </c>
      <c r="F1734" s="366">
        <v>4.46</v>
      </c>
      <c r="G1734" s="366"/>
      <c r="H1734" s="305"/>
      <c r="I1734" s="366"/>
      <c r="J1734" s="366"/>
      <c r="K1734" s="309"/>
      <c r="L1734" s="366"/>
      <c r="M1734" s="366"/>
      <c r="N1734" s="309"/>
      <c r="O1734" s="366"/>
      <c r="P1734" s="426"/>
      <c r="Q1734" s="305"/>
      <c r="R1734" s="410"/>
      <c r="S1734" s="426">
        <v>100</v>
      </c>
    </row>
    <row r="1735" spans="1:19" ht="15">
      <c r="A1735" s="408" t="s">
        <v>408</v>
      </c>
      <c r="B1735" s="413">
        <v>1122</v>
      </c>
      <c r="C1735" s="366">
        <f t="shared" si="107"/>
        <v>0</v>
      </c>
      <c r="D1735" s="366"/>
      <c r="E1735" s="410"/>
      <c r="F1735" s="366"/>
      <c r="G1735" s="366"/>
      <c r="H1735" s="305"/>
      <c r="I1735" s="366"/>
      <c r="J1735" s="366"/>
      <c r="K1735" s="309"/>
      <c r="L1735" s="366"/>
      <c r="M1735" s="366"/>
      <c r="N1735" s="309"/>
      <c r="O1735" s="366"/>
      <c r="P1735" s="426"/>
      <c r="Q1735" s="305"/>
      <c r="R1735" s="410"/>
      <c r="S1735" s="426"/>
    </row>
    <row r="1736" spans="1:19" ht="15">
      <c r="A1736" s="408" t="s">
        <v>1041</v>
      </c>
      <c r="B1736" s="407" t="s">
        <v>1068</v>
      </c>
      <c r="C1736" s="366">
        <f t="shared" si="107"/>
        <v>1886.04</v>
      </c>
      <c r="D1736" s="366">
        <v>1886.04</v>
      </c>
      <c r="E1736" s="305">
        <v>475.8</v>
      </c>
      <c r="F1736" s="366">
        <v>0</v>
      </c>
      <c r="G1736" s="411"/>
      <c r="H1736" s="305"/>
      <c r="I1736" s="366"/>
      <c r="J1736" s="366"/>
      <c r="K1736" s="305"/>
      <c r="L1736" s="366"/>
      <c r="M1736" s="366"/>
      <c r="N1736" s="309"/>
      <c r="O1736" s="366"/>
      <c r="P1736" s="409"/>
      <c r="Q1736" s="305"/>
      <c r="R1736" s="410"/>
      <c r="S1736" s="409"/>
    </row>
    <row r="1737" spans="1:19" ht="15">
      <c r="A1737" s="408" t="s">
        <v>901</v>
      </c>
      <c r="B1737" s="407" t="s">
        <v>1152</v>
      </c>
      <c r="C1737" s="366">
        <f t="shared" si="107"/>
        <v>851.76</v>
      </c>
      <c r="D1737" s="366">
        <v>851.76</v>
      </c>
      <c r="E1737" s="410" t="s">
        <v>1369</v>
      </c>
      <c r="F1737" s="366">
        <v>66.39</v>
      </c>
      <c r="G1737" s="411"/>
      <c r="H1737" s="305"/>
      <c r="I1737" s="366"/>
      <c r="J1737" s="366"/>
      <c r="K1737" s="305"/>
      <c r="L1737" s="366"/>
      <c r="M1737" s="366"/>
      <c r="N1737" s="309"/>
      <c r="O1737" s="366"/>
      <c r="P1737" s="409"/>
      <c r="Q1737" s="305"/>
      <c r="R1737" s="410"/>
      <c r="S1737" s="409">
        <v>29</v>
      </c>
    </row>
    <row r="1738" spans="1:19" ht="13">
      <c r="A1738" s="470" t="s">
        <v>860</v>
      </c>
      <c r="B1738" s="471"/>
      <c r="C1738" s="422" t="s">
        <v>89</v>
      </c>
      <c r="D1738" s="324" t="s">
        <v>676</v>
      </c>
      <c r="E1738" s="325" t="s">
        <v>861</v>
      </c>
      <c r="F1738" s="355" t="s">
        <v>862</v>
      </c>
      <c r="G1738" s="324" t="s">
        <v>676</v>
      </c>
      <c r="H1738" s="325" t="s">
        <v>861</v>
      </c>
      <c r="I1738" s="355" t="s">
        <v>862</v>
      </c>
      <c r="J1738" s="324" t="s">
        <v>676</v>
      </c>
      <c r="K1738" s="325" t="s">
        <v>861</v>
      </c>
      <c r="L1738" s="355" t="s">
        <v>862</v>
      </c>
      <c r="M1738" s="324" t="s">
        <v>676</v>
      </c>
      <c r="N1738" s="325" t="s">
        <v>861</v>
      </c>
      <c r="O1738" s="355" t="s">
        <v>862</v>
      </c>
      <c r="P1738" s="324" t="s">
        <v>881</v>
      </c>
      <c r="Q1738" s="325" t="s">
        <v>861</v>
      </c>
      <c r="R1738" s="325" t="s">
        <v>865</v>
      </c>
      <c r="S1738" s="412" t="s">
        <v>1031</v>
      </c>
    </row>
    <row r="1739" spans="1:19" ht="13">
      <c r="A1739" s="470" t="s">
        <v>863</v>
      </c>
      <c r="B1739" s="471"/>
      <c r="C1739" s="326">
        <f t="shared" ref="C1739:F1739" si="108">SUM(C1715:C1737)</f>
        <v>17500.559999999998</v>
      </c>
      <c r="D1739" s="326">
        <f t="shared" si="108"/>
        <v>17500.559999999998</v>
      </c>
      <c r="E1739" s="443">
        <f t="shared" si="108"/>
        <v>3317.88</v>
      </c>
      <c r="F1739" s="326">
        <f t="shared" si="108"/>
        <v>688.38</v>
      </c>
      <c r="G1739" s="329"/>
      <c r="H1739" s="329"/>
      <c r="I1739" s="329"/>
      <c r="J1739" s="329"/>
      <c r="K1739" s="329"/>
      <c r="L1739" s="329"/>
      <c r="M1739" s="329"/>
      <c r="N1739" s="329"/>
      <c r="O1739" s="329"/>
      <c r="P1739" s="329"/>
      <c r="Q1739" s="329"/>
      <c r="R1739" s="329"/>
    </row>
    <row r="1740" spans="1:19" ht="13">
      <c r="A1740" s="282"/>
      <c r="B1740" s="282"/>
      <c r="C1740" s="282"/>
      <c r="D1740" s="282"/>
      <c r="E1740" s="282"/>
      <c r="F1740" s="282"/>
      <c r="G1740" s="329"/>
      <c r="H1740" s="329"/>
      <c r="I1740" s="329"/>
      <c r="J1740" s="329"/>
      <c r="K1740" s="329"/>
      <c r="L1740" s="329"/>
      <c r="M1740" s="329"/>
      <c r="N1740" s="329"/>
      <c r="O1740" s="329"/>
      <c r="P1740" s="329"/>
      <c r="Q1740" s="329"/>
      <c r="R1740" s="329"/>
    </row>
    <row r="1741" spans="1:19" ht="13">
      <c r="A1741" s="476" t="s">
        <v>1370</v>
      </c>
      <c r="B1741" s="466"/>
      <c r="C1741" s="466"/>
      <c r="D1741" s="466"/>
      <c r="E1741" s="466"/>
      <c r="F1741" s="466"/>
      <c r="G1741" s="466"/>
      <c r="H1741" s="466"/>
      <c r="I1741" s="466"/>
      <c r="J1741" s="466"/>
      <c r="K1741" s="466"/>
      <c r="L1741" s="466"/>
      <c r="M1741" s="466"/>
      <c r="N1741" s="466"/>
      <c r="O1741" s="466"/>
      <c r="P1741" s="466"/>
      <c r="Q1741" s="466"/>
      <c r="R1741" s="466"/>
      <c r="S1741" s="466"/>
    </row>
    <row r="1742" spans="1:19" ht="13">
      <c r="A1742" s="356" t="s">
        <v>849</v>
      </c>
      <c r="B1742" s="356" t="s">
        <v>1</v>
      </c>
      <c r="C1742" s="356" t="s">
        <v>89</v>
      </c>
      <c r="D1742" s="473" t="s">
        <v>850</v>
      </c>
      <c r="E1742" s="466"/>
      <c r="F1742" s="467"/>
      <c r="G1742" s="465" t="s">
        <v>852</v>
      </c>
      <c r="H1742" s="466"/>
      <c r="I1742" s="467"/>
      <c r="J1742" s="465" t="s">
        <v>1013</v>
      </c>
      <c r="K1742" s="466"/>
      <c r="L1742" s="467"/>
      <c r="M1742" s="465" t="s">
        <v>1093</v>
      </c>
      <c r="N1742" s="466"/>
      <c r="O1742" s="467"/>
      <c r="P1742" s="465" t="s">
        <v>865</v>
      </c>
      <c r="Q1742" s="466"/>
      <c r="R1742" s="467"/>
      <c r="S1742" s="356" t="s">
        <v>1028</v>
      </c>
    </row>
    <row r="1743" spans="1:19" ht="15">
      <c r="A1743" s="398" t="s">
        <v>1124</v>
      </c>
      <c r="B1743" s="413">
        <v>191274</v>
      </c>
      <c r="C1743" s="366">
        <f>D1743+G1743+J1743+M1743</f>
        <v>3398.95</v>
      </c>
      <c r="D1743" s="434">
        <v>3398.95</v>
      </c>
      <c r="E1743" s="445">
        <v>732.73</v>
      </c>
      <c r="F1743" s="433" t="s">
        <v>1371</v>
      </c>
      <c r="G1743" s="366"/>
      <c r="H1743" s="305"/>
      <c r="I1743" s="366"/>
      <c r="J1743" s="366"/>
      <c r="K1743" s="309"/>
      <c r="L1743" s="366"/>
      <c r="M1743" s="366"/>
      <c r="N1743" s="309"/>
      <c r="O1743" s="366"/>
      <c r="P1743" s="418"/>
      <c r="Q1743" s="305"/>
      <c r="R1743" s="410"/>
      <c r="S1743" s="418">
        <v>92</v>
      </c>
    </row>
    <row r="1744" spans="1:19" ht="15">
      <c r="A1744" s="431"/>
      <c r="B1744" s="413"/>
      <c r="C1744" s="366"/>
      <c r="D1744" s="434"/>
      <c r="E1744" s="445"/>
      <c r="F1744" s="434"/>
      <c r="G1744" s="366"/>
      <c r="H1744" s="305"/>
      <c r="I1744" s="366"/>
      <c r="J1744" s="366"/>
      <c r="K1744" s="309"/>
      <c r="L1744" s="366"/>
      <c r="M1744" s="366"/>
      <c r="N1744" s="309"/>
      <c r="O1744" s="366"/>
      <c r="P1744" s="418"/>
      <c r="Q1744" s="305"/>
      <c r="R1744" s="410"/>
      <c r="S1744" s="418">
        <v>36</v>
      </c>
    </row>
    <row r="1745" spans="1:19" ht="15">
      <c r="A1745" s="398" t="s">
        <v>1286</v>
      </c>
      <c r="B1745" s="413">
        <v>191280</v>
      </c>
      <c r="C1745" s="366">
        <f t="shared" ref="C1745:C1753" si="109">D1745+G1745+J1745+M1745</f>
        <v>2514.59</v>
      </c>
      <c r="D1745" s="434">
        <v>2514.59</v>
      </c>
      <c r="E1745" s="456">
        <v>548.03</v>
      </c>
      <c r="F1745" s="434">
        <v>150.81</v>
      </c>
      <c r="G1745" s="366"/>
      <c r="H1745" s="305"/>
      <c r="I1745" s="366"/>
      <c r="J1745" s="366"/>
      <c r="K1745" s="309"/>
      <c r="L1745" s="366"/>
      <c r="M1745" s="366"/>
      <c r="N1745" s="309"/>
      <c r="O1745" s="366"/>
      <c r="P1745" s="418"/>
      <c r="Q1745" s="305"/>
      <c r="R1745" s="410"/>
      <c r="S1745" s="418">
        <v>50</v>
      </c>
    </row>
    <row r="1746" spans="1:19" ht="15">
      <c r="A1746" s="398" t="s">
        <v>1225</v>
      </c>
      <c r="B1746" s="413">
        <v>191281</v>
      </c>
      <c r="C1746" s="366">
        <f t="shared" si="109"/>
        <v>2946.98</v>
      </c>
      <c r="D1746" s="434">
        <v>2946.98</v>
      </c>
      <c r="E1746" s="445">
        <v>688.34</v>
      </c>
      <c r="F1746" s="434">
        <v>75.680000000000007</v>
      </c>
      <c r="G1746" s="366"/>
      <c r="H1746" s="305"/>
      <c r="I1746" s="366"/>
      <c r="J1746" s="366"/>
      <c r="K1746" s="309"/>
      <c r="L1746" s="366"/>
      <c r="M1746" s="366"/>
      <c r="N1746" s="309"/>
      <c r="O1746" s="366"/>
      <c r="P1746" s="418"/>
      <c r="Q1746" s="305"/>
      <c r="R1746" s="410"/>
      <c r="S1746" s="418">
        <v>62</v>
      </c>
    </row>
    <row r="1747" spans="1:19" ht="15">
      <c r="A1747" s="431"/>
      <c r="B1747" s="413">
        <v>191283</v>
      </c>
      <c r="C1747" s="366">
        <f t="shared" si="109"/>
        <v>0</v>
      </c>
      <c r="D1747" s="366"/>
      <c r="E1747" s="305"/>
      <c r="F1747" s="366"/>
      <c r="G1747" s="366"/>
      <c r="H1747" s="305"/>
      <c r="I1747" s="366"/>
      <c r="J1747" s="366"/>
      <c r="K1747" s="309"/>
      <c r="L1747" s="366"/>
      <c r="M1747" s="366"/>
      <c r="N1747" s="309"/>
      <c r="O1747" s="366"/>
      <c r="P1747" s="418"/>
      <c r="Q1747" s="305"/>
      <c r="R1747" s="410"/>
      <c r="S1747" s="418">
        <v>66</v>
      </c>
    </row>
    <row r="1748" spans="1:19" ht="15">
      <c r="A1748" s="398" t="s">
        <v>634</v>
      </c>
      <c r="B1748" s="413">
        <v>465180</v>
      </c>
      <c r="C1748" s="366">
        <f t="shared" si="109"/>
        <v>762.79</v>
      </c>
      <c r="D1748" s="432">
        <v>762.79</v>
      </c>
      <c r="E1748" s="433" t="s">
        <v>1372</v>
      </c>
      <c r="F1748" s="434">
        <v>100.02</v>
      </c>
      <c r="G1748" s="366"/>
      <c r="H1748" s="305"/>
      <c r="I1748" s="366"/>
      <c r="J1748" s="366"/>
      <c r="K1748" s="309"/>
      <c r="L1748" s="366"/>
      <c r="M1748" s="366"/>
      <c r="N1748" s="309"/>
      <c r="O1748" s="366"/>
      <c r="P1748" s="418"/>
      <c r="Q1748" s="305"/>
      <c r="R1748" s="410"/>
      <c r="S1748" s="418">
        <v>25</v>
      </c>
    </row>
    <row r="1749" spans="1:19" ht="15">
      <c r="A1749" s="398" t="s">
        <v>1121</v>
      </c>
      <c r="B1749" s="413">
        <v>465181</v>
      </c>
      <c r="C1749" s="366">
        <f t="shared" si="109"/>
        <v>1925.81</v>
      </c>
      <c r="D1749" s="434">
        <v>1925.81</v>
      </c>
      <c r="E1749" s="433" t="s">
        <v>1373</v>
      </c>
      <c r="F1749" s="434">
        <v>92.85</v>
      </c>
      <c r="G1749" s="366"/>
      <c r="H1749" s="305"/>
      <c r="I1749" s="366"/>
      <c r="J1749" s="366"/>
      <c r="K1749" s="309"/>
      <c r="L1749" s="366"/>
      <c r="M1749" s="366"/>
      <c r="N1749" s="309"/>
      <c r="O1749" s="366"/>
      <c r="P1749" s="418"/>
      <c r="Q1749" s="305"/>
      <c r="R1749" s="410"/>
      <c r="S1749" s="418">
        <v>95</v>
      </c>
    </row>
    <row r="1750" spans="1:19" ht="15">
      <c r="A1750" s="398" t="s">
        <v>1301</v>
      </c>
      <c r="B1750" s="413">
        <v>465182</v>
      </c>
      <c r="C1750" s="366">
        <f t="shared" si="109"/>
        <v>1400.25</v>
      </c>
      <c r="D1750" s="434">
        <v>1400.25</v>
      </c>
      <c r="E1750" s="448" t="s">
        <v>1374</v>
      </c>
      <c r="F1750" s="434">
        <v>29.23</v>
      </c>
      <c r="G1750" s="366"/>
      <c r="H1750" s="305"/>
      <c r="I1750" s="366"/>
      <c r="J1750" s="366"/>
      <c r="K1750" s="309"/>
      <c r="L1750" s="366"/>
      <c r="M1750" s="366"/>
      <c r="N1750" s="309"/>
      <c r="O1750" s="366"/>
      <c r="P1750" s="418"/>
      <c r="Q1750" s="305"/>
      <c r="R1750" s="410"/>
      <c r="S1750" s="418">
        <v>100</v>
      </c>
    </row>
    <row r="1751" spans="1:19" ht="15">
      <c r="A1751" s="398" t="s">
        <v>1190</v>
      </c>
      <c r="B1751" s="413">
        <v>465183</v>
      </c>
      <c r="C1751" s="366">
        <f t="shared" si="109"/>
        <v>1915.22</v>
      </c>
      <c r="D1751" s="432">
        <v>1915.22</v>
      </c>
      <c r="E1751" s="433" t="s">
        <v>1375</v>
      </c>
      <c r="F1751" s="434">
        <v>41.73</v>
      </c>
      <c r="G1751" s="366"/>
      <c r="H1751" s="305"/>
      <c r="I1751" s="366"/>
      <c r="J1751" s="366"/>
      <c r="K1751" s="309"/>
      <c r="L1751" s="366"/>
      <c r="M1751" s="366"/>
      <c r="N1751" s="309"/>
      <c r="O1751" s="366"/>
      <c r="P1751" s="418"/>
      <c r="Q1751" s="305"/>
      <c r="R1751" s="410"/>
      <c r="S1751" s="418">
        <v>25</v>
      </c>
    </row>
    <row r="1752" spans="1:19" ht="15">
      <c r="A1752" s="398" t="s">
        <v>1291</v>
      </c>
      <c r="B1752" s="413">
        <v>191277</v>
      </c>
      <c r="C1752" s="366">
        <f t="shared" si="109"/>
        <v>2938.69</v>
      </c>
      <c r="D1752" s="434">
        <v>2938.69</v>
      </c>
      <c r="E1752" s="445">
        <v>664.66</v>
      </c>
      <c r="F1752" s="434">
        <v>107.08</v>
      </c>
      <c r="G1752" s="366"/>
      <c r="H1752" s="305"/>
      <c r="I1752" s="366"/>
      <c r="J1752" s="366"/>
      <c r="K1752" s="309"/>
      <c r="L1752" s="366"/>
      <c r="M1752" s="366"/>
      <c r="N1752" s="309"/>
      <c r="O1752" s="366"/>
      <c r="P1752" s="418"/>
      <c r="Q1752" s="305"/>
      <c r="R1752" s="410"/>
      <c r="S1752" s="418">
        <v>24</v>
      </c>
    </row>
    <row r="1753" spans="1:19" ht="15">
      <c r="A1753" s="398" t="s">
        <v>1376</v>
      </c>
      <c r="B1753" s="413">
        <v>465186</v>
      </c>
      <c r="C1753" s="366">
        <f t="shared" si="109"/>
        <v>2682.25</v>
      </c>
      <c r="D1753" s="432">
        <v>2682.25</v>
      </c>
      <c r="E1753" s="433" t="s">
        <v>1377</v>
      </c>
      <c r="F1753" s="434">
        <v>321.08</v>
      </c>
      <c r="G1753" s="366"/>
      <c r="H1753" s="305"/>
      <c r="I1753" s="366"/>
      <c r="J1753" s="366"/>
      <c r="K1753" s="309"/>
      <c r="L1753" s="366"/>
      <c r="M1753" s="366"/>
      <c r="N1753" s="309"/>
      <c r="O1753" s="366"/>
      <c r="P1753" s="418"/>
      <c r="Q1753" s="305"/>
      <c r="R1753" s="410"/>
      <c r="S1753" s="418">
        <v>62</v>
      </c>
    </row>
    <row r="1754" spans="1:19" ht="15">
      <c r="A1754" s="400" t="s">
        <v>344</v>
      </c>
      <c r="B1754" s="413">
        <v>465188</v>
      </c>
      <c r="C1754" s="366">
        <v>1155.8699999999999</v>
      </c>
      <c r="D1754" s="432">
        <v>1155.8699999999999</v>
      </c>
      <c r="E1754" s="445">
        <v>277.45999999999998</v>
      </c>
      <c r="F1754" s="434">
        <v>44.59</v>
      </c>
      <c r="G1754" s="366"/>
      <c r="H1754" s="305"/>
      <c r="I1754" s="366"/>
      <c r="J1754" s="366"/>
      <c r="K1754" s="309"/>
      <c r="L1754" s="366"/>
      <c r="M1754" s="366"/>
      <c r="N1754" s="309"/>
      <c r="O1754" s="366"/>
      <c r="P1754" s="418"/>
      <c r="Q1754" s="305"/>
      <c r="R1754" s="410"/>
      <c r="S1754" s="418"/>
    </row>
    <row r="1755" spans="1:19" ht="15">
      <c r="A1755" s="400" t="s">
        <v>1356</v>
      </c>
      <c r="B1755" s="413">
        <v>465189</v>
      </c>
      <c r="C1755" s="366">
        <f t="shared" ref="C1755:C1765" si="110">D1755+G1755+J1755+M1755</f>
        <v>2220.2199999999998</v>
      </c>
      <c r="D1755" s="432">
        <v>2220.2199999999998</v>
      </c>
      <c r="E1755" s="445">
        <v>501.44</v>
      </c>
      <c r="F1755" s="434">
        <v>13.49</v>
      </c>
      <c r="G1755" s="366"/>
      <c r="H1755" s="305"/>
      <c r="I1755" s="366"/>
      <c r="J1755" s="366"/>
      <c r="K1755" s="309"/>
      <c r="L1755" s="366"/>
      <c r="M1755" s="366"/>
      <c r="N1755" s="309"/>
      <c r="O1755" s="366"/>
      <c r="P1755" s="418"/>
      <c r="Q1755" s="305"/>
      <c r="R1755" s="410"/>
      <c r="S1755" s="418">
        <v>100</v>
      </c>
    </row>
    <row r="1756" spans="1:19" ht="15">
      <c r="A1756" s="441" t="s">
        <v>411</v>
      </c>
      <c r="B1756" s="413">
        <v>191275</v>
      </c>
      <c r="C1756" s="366">
        <f t="shared" si="110"/>
        <v>958.56</v>
      </c>
      <c r="D1756" s="432">
        <v>958.56</v>
      </c>
      <c r="E1756" s="433" t="s">
        <v>1378</v>
      </c>
      <c r="F1756" s="434">
        <v>5.54</v>
      </c>
      <c r="G1756" s="366"/>
      <c r="H1756" s="305"/>
      <c r="I1756" s="366"/>
      <c r="J1756" s="366"/>
      <c r="K1756" s="309"/>
      <c r="L1756" s="366"/>
      <c r="M1756" s="366"/>
      <c r="N1756" s="309"/>
      <c r="O1756" s="366"/>
      <c r="P1756" s="418"/>
      <c r="Q1756" s="305"/>
      <c r="R1756" s="410"/>
      <c r="S1756" s="418">
        <v>25</v>
      </c>
    </row>
    <row r="1757" spans="1:19" ht="15">
      <c r="A1757" s="441" t="s">
        <v>1357</v>
      </c>
      <c r="B1757" s="413">
        <v>191276</v>
      </c>
      <c r="C1757" s="366">
        <f t="shared" si="110"/>
        <v>3903.34</v>
      </c>
      <c r="D1757" s="366">
        <v>3903.34</v>
      </c>
      <c r="E1757" s="305">
        <v>828.36</v>
      </c>
      <c r="F1757" s="366">
        <v>316.88</v>
      </c>
      <c r="G1757" s="366"/>
      <c r="H1757" s="305"/>
      <c r="I1757" s="366"/>
      <c r="J1757" s="366"/>
      <c r="K1757" s="309"/>
      <c r="L1757" s="366"/>
      <c r="M1757" s="366"/>
      <c r="N1757" s="309"/>
      <c r="O1757" s="366"/>
      <c r="P1757" s="418"/>
      <c r="Q1757" s="305"/>
      <c r="R1757" s="410"/>
      <c r="S1757" s="418">
        <v>16</v>
      </c>
    </row>
    <row r="1758" spans="1:19" ht="15">
      <c r="A1758" s="439" t="s">
        <v>40</v>
      </c>
      <c r="B1758" s="413">
        <v>191282</v>
      </c>
      <c r="C1758" s="366">
        <f t="shared" si="110"/>
        <v>660</v>
      </c>
      <c r="D1758" s="366">
        <v>660</v>
      </c>
      <c r="E1758" s="305">
        <v>178.43</v>
      </c>
      <c r="F1758" s="366">
        <v>0</v>
      </c>
      <c r="G1758" s="366"/>
      <c r="H1758" s="305"/>
      <c r="I1758" s="366"/>
      <c r="J1758" s="366"/>
      <c r="K1758" s="309"/>
      <c r="L1758" s="366"/>
      <c r="M1758" s="366"/>
      <c r="N1758" s="309"/>
      <c r="O1758" s="366"/>
      <c r="P1758" s="418"/>
      <c r="Q1758" s="305"/>
      <c r="R1758" s="410"/>
      <c r="S1758" s="418">
        <v>15</v>
      </c>
    </row>
    <row r="1759" spans="1:19" ht="15">
      <c r="A1759" s="439" t="s">
        <v>1265</v>
      </c>
      <c r="B1759" s="413">
        <v>465184</v>
      </c>
      <c r="C1759" s="366">
        <f t="shared" si="110"/>
        <v>3140.63</v>
      </c>
      <c r="D1759" s="366">
        <v>3140.63</v>
      </c>
      <c r="E1759" s="305">
        <v>796.61</v>
      </c>
      <c r="F1759" s="366">
        <v>57.26</v>
      </c>
      <c r="G1759" s="366"/>
      <c r="H1759" s="305"/>
      <c r="I1759" s="366"/>
      <c r="J1759" s="366"/>
      <c r="K1759" s="309"/>
      <c r="L1759" s="366"/>
      <c r="M1759" s="366"/>
      <c r="N1759" s="309"/>
      <c r="O1759" s="366"/>
      <c r="P1759" s="418"/>
      <c r="Q1759" s="305"/>
      <c r="R1759" s="410"/>
      <c r="S1759" s="418">
        <v>31</v>
      </c>
    </row>
    <row r="1760" spans="1:19" ht="15">
      <c r="A1760" s="429" t="s">
        <v>1266</v>
      </c>
      <c r="B1760" s="407" t="s">
        <v>507</v>
      </c>
      <c r="C1760" s="366">
        <f t="shared" si="110"/>
        <v>2258.63</v>
      </c>
      <c r="D1760" s="366">
        <v>2258.63</v>
      </c>
      <c r="E1760" s="305">
        <v>487.88</v>
      </c>
      <c r="F1760" s="366">
        <v>88.55</v>
      </c>
      <c r="G1760" s="366"/>
      <c r="H1760" s="305"/>
      <c r="I1760" s="366"/>
      <c r="J1760" s="366"/>
      <c r="K1760" s="309"/>
      <c r="L1760" s="366"/>
      <c r="M1760" s="366"/>
      <c r="N1760" s="309"/>
      <c r="O1760" s="366"/>
      <c r="P1760" s="418"/>
      <c r="Q1760" s="305"/>
      <c r="R1760" s="410"/>
      <c r="S1760" s="418">
        <v>36</v>
      </c>
    </row>
    <row r="1761" spans="1:19" ht="15">
      <c r="A1761" s="281" t="s">
        <v>386</v>
      </c>
      <c r="B1761" s="413">
        <v>191279</v>
      </c>
      <c r="C1761" s="366">
        <f t="shared" si="110"/>
        <v>2145.79</v>
      </c>
      <c r="D1761" s="366">
        <v>2145.79</v>
      </c>
      <c r="E1761" s="410" t="s">
        <v>1379</v>
      </c>
      <c r="F1761" s="366">
        <v>7.43</v>
      </c>
      <c r="G1761" s="366"/>
      <c r="H1761" s="305"/>
      <c r="I1761" s="366"/>
      <c r="J1761" s="366"/>
      <c r="K1761" s="309"/>
      <c r="L1761" s="366"/>
      <c r="M1761" s="366"/>
      <c r="N1761" s="309"/>
      <c r="O1761" s="366"/>
      <c r="P1761" s="426"/>
      <c r="Q1761" s="305"/>
      <c r="R1761" s="410"/>
      <c r="S1761" s="426">
        <v>100</v>
      </c>
    </row>
    <row r="1762" spans="1:19" ht="15">
      <c r="A1762" s="281" t="s">
        <v>1380</v>
      </c>
      <c r="B1762" s="413">
        <v>465187</v>
      </c>
      <c r="C1762" s="366">
        <f t="shared" si="110"/>
        <v>715.46</v>
      </c>
      <c r="D1762" s="366">
        <v>715.46</v>
      </c>
      <c r="E1762" s="410" t="s">
        <v>1381</v>
      </c>
      <c r="F1762" s="366">
        <v>120.94</v>
      </c>
      <c r="G1762" s="366"/>
      <c r="H1762" s="305"/>
      <c r="I1762" s="366"/>
      <c r="J1762" s="366"/>
      <c r="K1762" s="309"/>
      <c r="L1762" s="366"/>
      <c r="M1762" s="366"/>
      <c r="N1762" s="309"/>
      <c r="O1762" s="366"/>
      <c r="P1762" s="426"/>
      <c r="Q1762" s="305"/>
      <c r="R1762" s="410"/>
      <c r="S1762" s="426">
        <v>100</v>
      </c>
    </row>
    <row r="1763" spans="1:19" ht="15">
      <c r="A1763" s="408" t="s">
        <v>408</v>
      </c>
      <c r="B1763" s="413">
        <v>1122</v>
      </c>
      <c r="C1763" s="366">
        <f t="shared" si="110"/>
        <v>0</v>
      </c>
      <c r="D1763" s="366"/>
      <c r="E1763" s="410"/>
      <c r="F1763" s="366"/>
      <c r="G1763" s="366"/>
      <c r="H1763" s="305"/>
      <c r="I1763" s="366"/>
      <c r="J1763" s="366"/>
      <c r="K1763" s="309"/>
      <c r="L1763" s="366"/>
      <c r="M1763" s="366"/>
      <c r="N1763" s="309"/>
      <c r="O1763" s="366"/>
      <c r="P1763" s="426"/>
      <c r="Q1763" s="305"/>
      <c r="R1763" s="410"/>
      <c r="S1763" s="426"/>
    </row>
    <row r="1764" spans="1:19" ht="15">
      <c r="A1764" s="408" t="s">
        <v>1041</v>
      </c>
      <c r="B1764" s="407" t="s">
        <v>1068</v>
      </c>
      <c r="C1764" s="366">
        <f t="shared" si="110"/>
        <v>0</v>
      </c>
      <c r="D1764" s="366"/>
      <c r="E1764" s="305"/>
      <c r="F1764" s="366"/>
      <c r="G1764" s="411"/>
      <c r="H1764" s="305"/>
      <c r="I1764" s="366"/>
      <c r="J1764" s="366"/>
      <c r="K1764" s="305"/>
      <c r="L1764" s="366"/>
      <c r="M1764" s="366"/>
      <c r="N1764" s="309"/>
      <c r="O1764" s="366"/>
      <c r="P1764" s="409"/>
      <c r="Q1764" s="305"/>
      <c r="R1764" s="410"/>
      <c r="S1764" s="409"/>
    </row>
    <row r="1765" spans="1:19" ht="15">
      <c r="A1765" s="408" t="s">
        <v>901</v>
      </c>
      <c r="B1765" s="407" t="s">
        <v>1152</v>
      </c>
      <c r="C1765" s="366">
        <f t="shared" si="110"/>
        <v>801.98</v>
      </c>
      <c r="D1765" s="366">
        <v>801.98</v>
      </c>
      <c r="E1765" s="410" t="s">
        <v>1382</v>
      </c>
      <c r="F1765" s="366">
        <v>96.87</v>
      </c>
      <c r="G1765" s="411"/>
      <c r="H1765" s="305"/>
      <c r="I1765" s="366"/>
      <c r="J1765" s="366"/>
      <c r="K1765" s="305"/>
      <c r="L1765" s="366"/>
      <c r="M1765" s="366"/>
      <c r="N1765" s="309"/>
      <c r="O1765" s="366"/>
      <c r="P1765" s="409"/>
      <c r="Q1765" s="305"/>
      <c r="R1765" s="410"/>
      <c r="S1765" s="409">
        <v>49</v>
      </c>
    </row>
    <row r="1766" spans="1:19" ht="13">
      <c r="A1766" s="470" t="s">
        <v>860</v>
      </c>
      <c r="B1766" s="471"/>
      <c r="C1766" s="422" t="s">
        <v>89</v>
      </c>
      <c r="D1766" s="324" t="s">
        <v>676</v>
      </c>
      <c r="E1766" s="325" t="s">
        <v>861</v>
      </c>
      <c r="F1766" s="355" t="s">
        <v>862</v>
      </c>
      <c r="G1766" s="324" t="s">
        <v>676</v>
      </c>
      <c r="H1766" s="325" t="s">
        <v>861</v>
      </c>
      <c r="I1766" s="355" t="s">
        <v>862</v>
      </c>
      <c r="J1766" s="324" t="s">
        <v>676</v>
      </c>
      <c r="K1766" s="325" t="s">
        <v>861</v>
      </c>
      <c r="L1766" s="355" t="s">
        <v>862</v>
      </c>
      <c r="M1766" s="324" t="s">
        <v>676</v>
      </c>
      <c r="N1766" s="325" t="s">
        <v>861</v>
      </c>
      <c r="O1766" s="355" t="s">
        <v>862</v>
      </c>
      <c r="P1766" s="324" t="s">
        <v>881</v>
      </c>
      <c r="Q1766" s="325" t="s">
        <v>861</v>
      </c>
      <c r="R1766" s="325" t="s">
        <v>865</v>
      </c>
      <c r="S1766" s="412" t="s">
        <v>1031</v>
      </c>
    </row>
    <row r="1767" spans="1:19" ht="13">
      <c r="A1767" s="470" t="s">
        <v>863</v>
      </c>
      <c r="B1767" s="471"/>
      <c r="C1767" s="326">
        <f t="shared" ref="C1767:F1767" si="111">SUM(C1743:C1765)</f>
        <v>38446.01</v>
      </c>
      <c r="D1767" s="326">
        <f t="shared" si="111"/>
        <v>38446.01</v>
      </c>
      <c r="E1767" s="443">
        <f t="shared" si="111"/>
        <v>5703.94</v>
      </c>
      <c r="F1767" s="442">
        <f t="shared" si="111"/>
        <v>1670.0300000000002</v>
      </c>
      <c r="G1767" s="329"/>
      <c r="H1767" s="329"/>
      <c r="I1767" s="329"/>
      <c r="J1767" s="329"/>
      <c r="K1767" s="329"/>
      <c r="L1767" s="329"/>
      <c r="M1767" s="329"/>
      <c r="N1767" s="329"/>
      <c r="O1767" s="329"/>
      <c r="P1767" s="329"/>
      <c r="Q1767" s="329"/>
      <c r="R1767" s="329"/>
    </row>
    <row r="1768" spans="1:19" ht="13">
      <c r="A1768" s="282"/>
      <c r="B1768" s="282"/>
      <c r="C1768" s="282"/>
      <c r="D1768" s="282"/>
      <c r="E1768" s="282"/>
      <c r="F1768" s="282"/>
      <c r="G1768" s="329"/>
      <c r="H1768" s="329"/>
      <c r="I1768" s="329"/>
      <c r="J1768" s="329"/>
      <c r="K1768" s="329"/>
      <c r="L1768" s="329"/>
      <c r="M1768" s="329"/>
      <c r="N1768" s="329"/>
      <c r="O1768" s="329"/>
      <c r="P1768" s="329"/>
      <c r="Q1768" s="329"/>
      <c r="R1768" s="329"/>
    </row>
    <row r="1769" spans="1:19" ht="13">
      <c r="A1769" s="476" t="s">
        <v>1383</v>
      </c>
      <c r="B1769" s="466"/>
      <c r="C1769" s="466"/>
      <c r="D1769" s="466"/>
      <c r="E1769" s="466"/>
      <c r="F1769" s="466"/>
      <c r="G1769" s="466"/>
      <c r="H1769" s="466"/>
      <c r="I1769" s="466"/>
      <c r="J1769" s="466"/>
      <c r="K1769" s="466"/>
      <c r="L1769" s="466"/>
      <c r="M1769" s="466"/>
      <c r="N1769" s="466"/>
      <c r="O1769" s="466"/>
      <c r="P1769" s="466"/>
      <c r="Q1769" s="466"/>
      <c r="R1769" s="466"/>
      <c r="S1769" s="466"/>
    </row>
    <row r="1770" spans="1:19" ht="13">
      <c r="A1770" s="356" t="s">
        <v>849</v>
      </c>
      <c r="B1770" s="356" t="s">
        <v>1</v>
      </c>
      <c r="C1770" s="356" t="s">
        <v>89</v>
      </c>
      <c r="D1770" s="473" t="s">
        <v>850</v>
      </c>
      <c r="E1770" s="466"/>
      <c r="F1770" s="467"/>
      <c r="G1770" s="465" t="s">
        <v>852</v>
      </c>
      <c r="H1770" s="466"/>
      <c r="I1770" s="467"/>
      <c r="J1770" s="465" t="s">
        <v>1013</v>
      </c>
      <c r="K1770" s="466"/>
      <c r="L1770" s="467"/>
      <c r="M1770" s="465" t="s">
        <v>1093</v>
      </c>
      <c r="N1770" s="466"/>
      <c r="O1770" s="467"/>
      <c r="P1770" s="465" t="s">
        <v>865</v>
      </c>
      <c r="Q1770" s="466"/>
      <c r="R1770" s="467"/>
      <c r="S1770" s="356" t="s">
        <v>1028</v>
      </c>
    </row>
    <row r="1771" spans="1:19" ht="15">
      <c r="A1771" s="398" t="s">
        <v>1124</v>
      </c>
      <c r="B1771" s="413">
        <v>191274</v>
      </c>
      <c r="C1771" s="366">
        <f t="shared" ref="C1771:C1791" si="112">D1771+G1771+J1771+M1771</f>
        <v>3337.71</v>
      </c>
      <c r="D1771" s="366">
        <v>3337.71</v>
      </c>
      <c r="E1771" s="305">
        <v>726.01</v>
      </c>
      <c r="F1771" s="366">
        <v>233.76</v>
      </c>
      <c r="G1771" s="366"/>
      <c r="H1771" s="305"/>
      <c r="I1771" s="366"/>
      <c r="J1771" s="366"/>
      <c r="K1771" s="309"/>
      <c r="L1771" s="366"/>
      <c r="M1771" s="366"/>
      <c r="N1771" s="309"/>
      <c r="O1771" s="366"/>
      <c r="P1771" s="418"/>
      <c r="Q1771" s="305"/>
      <c r="R1771" s="410"/>
      <c r="S1771" s="418">
        <v>25</v>
      </c>
    </row>
    <row r="1772" spans="1:19" ht="15">
      <c r="A1772" s="431" t="s">
        <v>1348</v>
      </c>
      <c r="B1772" s="413">
        <v>191277</v>
      </c>
      <c r="C1772" s="366">
        <f t="shared" si="112"/>
        <v>2308.5700000000002</v>
      </c>
      <c r="D1772" s="366">
        <v>2308.5700000000002</v>
      </c>
      <c r="E1772" s="305">
        <v>520.66</v>
      </c>
      <c r="F1772" s="366">
        <v>118.32</v>
      </c>
      <c r="G1772" s="366"/>
      <c r="H1772" s="305"/>
      <c r="I1772" s="366"/>
      <c r="J1772" s="366"/>
      <c r="K1772" s="309"/>
      <c r="L1772" s="366"/>
      <c r="M1772" s="366"/>
      <c r="N1772" s="309"/>
      <c r="O1772" s="366"/>
      <c r="P1772" s="418"/>
      <c r="Q1772" s="305"/>
      <c r="R1772" s="410"/>
      <c r="S1772" s="418">
        <v>73</v>
      </c>
    </row>
    <row r="1773" spans="1:19" ht="15">
      <c r="A1773" s="398" t="s">
        <v>1286</v>
      </c>
      <c r="B1773" s="413">
        <v>191280</v>
      </c>
      <c r="C1773" s="366">
        <f t="shared" si="112"/>
        <v>665.01</v>
      </c>
      <c r="D1773" s="432">
        <v>665.01</v>
      </c>
      <c r="E1773" s="433" t="s">
        <v>1384</v>
      </c>
      <c r="F1773" s="434">
        <v>91.67</v>
      </c>
      <c r="G1773" s="366"/>
      <c r="H1773" s="305"/>
      <c r="I1773" s="366"/>
      <c r="J1773" s="366"/>
      <c r="K1773" s="309"/>
      <c r="L1773" s="366"/>
      <c r="M1773" s="366"/>
      <c r="N1773" s="309"/>
      <c r="O1773" s="366"/>
      <c r="P1773" s="418"/>
      <c r="Q1773" s="305"/>
      <c r="R1773" s="410"/>
      <c r="S1773" s="418">
        <v>42</v>
      </c>
    </row>
    <row r="1774" spans="1:19" ht="15">
      <c r="A1774" s="398" t="s">
        <v>1225</v>
      </c>
      <c r="B1774" s="413">
        <v>191281</v>
      </c>
      <c r="C1774" s="366">
        <f t="shared" si="112"/>
        <v>2892.46</v>
      </c>
      <c r="D1774" s="432">
        <v>2892.46</v>
      </c>
      <c r="E1774" s="433" t="s">
        <v>1385</v>
      </c>
      <c r="F1774" s="434">
        <v>237.88</v>
      </c>
      <c r="G1774" s="366"/>
      <c r="H1774" s="305"/>
      <c r="I1774" s="366"/>
      <c r="J1774" s="366"/>
      <c r="K1774" s="309"/>
      <c r="L1774" s="366"/>
      <c r="M1774" s="366"/>
      <c r="N1774" s="309"/>
      <c r="O1774" s="366"/>
      <c r="P1774" s="418"/>
      <c r="Q1774" s="305"/>
      <c r="R1774" s="410"/>
      <c r="S1774" s="418">
        <v>34</v>
      </c>
    </row>
    <row r="1775" spans="1:19" ht="15">
      <c r="A1775" s="431"/>
      <c r="B1775" s="413">
        <v>191283</v>
      </c>
      <c r="C1775" s="366">
        <f t="shared" si="112"/>
        <v>0</v>
      </c>
      <c r="D1775" s="366"/>
      <c r="E1775" s="305"/>
      <c r="F1775" s="366"/>
      <c r="G1775" s="366"/>
      <c r="H1775" s="305"/>
      <c r="I1775" s="366"/>
      <c r="J1775" s="366"/>
      <c r="K1775" s="309"/>
      <c r="L1775" s="366"/>
      <c r="M1775" s="366"/>
      <c r="N1775" s="309"/>
      <c r="O1775" s="366"/>
      <c r="P1775" s="418"/>
      <c r="Q1775" s="305"/>
      <c r="R1775" s="410"/>
      <c r="S1775" s="418">
        <v>66</v>
      </c>
    </row>
    <row r="1776" spans="1:19" ht="15">
      <c r="A1776" s="398" t="s">
        <v>634</v>
      </c>
      <c r="B1776" s="413">
        <v>465180</v>
      </c>
      <c r="C1776" s="366">
        <f t="shared" si="112"/>
        <v>2813.13</v>
      </c>
      <c r="D1776" s="432">
        <v>2813.13</v>
      </c>
      <c r="E1776" s="433" t="s">
        <v>1386</v>
      </c>
      <c r="F1776" s="434">
        <v>357.21</v>
      </c>
      <c r="G1776" s="366"/>
      <c r="H1776" s="305"/>
      <c r="I1776" s="366"/>
      <c r="J1776" s="366"/>
      <c r="K1776" s="309"/>
      <c r="L1776" s="366"/>
      <c r="M1776" s="366"/>
      <c r="N1776" s="309"/>
      <c r="O1776" s="366"/>
      <c r="P1776" s="418"/>
      <c r="Q1776" s="305"/>
      <c r="R1776" s="410"/>
      <c r="S1776" s="418">
        <v>31</v>
      </c>
    </row>
    <row r="1777" spans="1:19" ht="15">
      <c r="A1777" s="398" t="s">
        <v>1121</v>
      </c>
      <c r="B1777" s="413">
        <v>465181</v>
      </c>
      <c r="C1777" s="366">
        <f t="shared" si="112"/>
        <v>2682.89</v>
      </c>
      <c r="D1777" s="366">
        <v>2682.89</v>
      </c>
      <c r="E1777" s="305">
        <v>606.62</v>
      </c>
      <c r="F1777" s="366">
        <v>136.55000000000001</v>
      </c>
      <c r="G1777" s="366"/>
      <c r="H1777" s="305"/>
      <c r="I1777" s="366"/>
      <c r="J1777" s="366"/>
      <c r="K1777" s="309"/>
      <c r="L1777" s="366"/>
      <c r="M1777" s="366"/>
      <c r="N1777" s="309"/>
      <c r="O1777" s="366"/>
      <c r="P1777" s="418"/>
      <c r="Q1777" s="305"/>
      <c r="R1777" s="410"/>
      <c r="S1777" s="418">
        <v>88</v>
      </c>
    </row>
    <row r="1778" spans="1:19" ht="15">
      <c r="A1778" s="398" t="s">
        <v>1301</v>
      </c>
      <c r="B1778" s="413">
        <v>465182</v>
      </c>
      <c r="C1778" s="366">
        <f t="shared" si="112"/>
        <v>2569.39</v>
      </c>
      <c r="D1778" s="432">
        <v>2569.39</v>
      </c>
      <c r="E1778" s="433" t="s">
        <v>1387</v>
      </c>
      <c r="F1778" s="434">
        <v>57.1</v>
      </c>
      <c r="G1778" s="366"/>
      <c r="H1778" s="305"/>
      <c r="I1778" s="366"/>
      <c r="J1778" s="366"/>
      <c r="K1778" s="309"/>
      <c r="L1778" s="366"/>
      <c r="M1778" s="366"/>
      <c r="N1778" s="309"/>
      <c r="O1778" s="366"/>
      <c r="P1778" s="418"/>
      <c r="Q1778" s="305"/>
      <c r="R1778" s="410"/>
      <c r="S1778" s="418">
        <v>89</v>
      </c>
    </row>
    <row r="1779" spans="1:19" ht="15">
      <c r="A1779" s="398" t="s">
        <v>1190</v>
      </c>
      <c r="B1779" s="413">
        <v>465183</v>
      </c>
      <c r="C1779" s="366">
        <f t="shared" si="112"/>
        <v>0</v>
      </c>
      <c r="D1779" s="366"/>
      <c r="E1779" s="305"/>
      <c r="F1779" s="366"/>
      <c r="G1779" s="366"/>
      <c r="H1779" s="305"/>
      <c r="I1779" s="366"/>
      <c r="J1779" s="366"/>
      <c r="K1779" s="309"/>
      <c r="L1779" s="366"/>
      <c r="M1779" s="366"/>
      <c r="N1779" s="309"/>
      <c r="O1779" s="366"/>
      <c r="P1779" s="418"/>
      <c r="Q1779" s="305"/>
      <c r="R1779" s="410"/>
      <c r="S1779" s="418">
        <v>45</v>
      </c>
    </row>
    <row r="1780" spans="1:19" ht="15">
      <c r="A1780" s="398"/>
      <c r="B1780" s="413">
        <v>465185</v>
      </c>
      <c r="C1780" s="366">
        <f t="shared" si="112"/>
        <v>0</v>
      </c>
      <c r="D1780" s="432"/>
      <c r="E1780" s="433"/>
      <c r="F1780" s="434"/>
      <c r="G1780" s="366"/>
      <c r="H1780" s="305"/>
      <c r="I1780" s="366"/>
      <c r="J1780" s="366"/>
      <c r="K1780" s="309"/>
      <c r="L1780" s="366"/>
      <c r="M1780" s="366"/>
      <c r="N1780" s="309"/>
      <c r="O1780" s="366"/>
      <c r="P1780" s="418"/>
      <c r="Q1780" s="305"/>
      <c r="R1780" s="410"/>
      <c r="S1780" s="418">
        <v>24</v>
      </c>
    </row>
    <row r="1781" spans="1:19" ht="15">
      <c r="A1781" s="398" t="s">
        <v>1376</v>
      </c>
      <c r="B1781" s="413">
        <v>465186</v>
      </c>
      <c r="C1781" s="366">
        <f t="shared" si="112"/>
        <v>1561.9</v>
      </c>
      <c r="D1781" s="366">
        <v>1561.9</v>
      </c>
      <c r="E1781" s="305">
        <v>336.96</v>
      </c>
      <c r="F1781" s="366">
        <v>193.96</v>
      </c>
      <c r="G1781" s="366"/>
      <c r="H1781" s="305"/>
      <c r="I1781" s="366"/>
      <c r="J1781" s="366"/>
      <c r="K1781" s="309"/>
      <c r="L1781" s="366"/>
      <c r="M1781" s="366"/>
      <c r="N1781" s="309"/>
      <c r="O1781" s="366"/>
      <c r="P1781" s="418"/>
      <c r="Q1781" s="305"/>
      <c r="R1781" s="410"/>
      <c r="S1781" s="418">
        <v>100</v>
      </c>
    </row>
    <row r="1782" spans="1:19" ht="15">
      <c r="A1782" s="398"/>
      <c r="B1782" s="413">
        <v>465187</v>
      </c>
      <c r="C1782" s="366">
        <f t="shared" si="112"/>
        <v>0</v>
      </c>
      <c r="D1782" s="432"/>
      <c r="E1782" s="433"/>
      <c r="F1782" s="434"/>
      <c r="G1782" s="366"/>
      <c r="H1782" s="305"/>
      <c r="I1782" s="366"/>
      <c r="J1782" s="366"/>
      <c r="K1782" s="309"/>
      <c r="L1782" s="366"/>
      <c r="M1782" s="366"/>
      <c r="N1782" s="309"/>
      <c r="O1782" s="366"/>
      <c r="P1782" s="418"/>
      <c r="Q1782" s="305"/>
      <c r="R1782" s="410"/>
      <c r="S1782" s="418">
        <v>50</v>
      </c>
    </row>
    <row r="1783" spans="1:19" ht="15">
      <c r="A1783" s="400" t="s">
        <v>1388</v>
      </c>
      <c r="B1783" s="413">
        <v>465189</v>
      </c>
      <c r="C1783" s="366">
        <f t="shared" si="112"/>
        <v>2138.2800000000002</v>
      </c>
      <c r="D1783" s="432">
        <v>2138.2800000000002</v>
      </c>
      <c r="E1783" s="433" t="s">
        <v>1389</v>
      </c>
      <c r="F1783" s="434">
        <v>28.76</v>
      </c>
      <c r="G1783" s="366"/>
      <c r="H1783" s="305"/>
      <c r="I1783" s="366"/>
      <c r="J1783" s="366"/>
      <c r="K1783" s="309"/>
      <c r="L1783" s="366"/>
      <c r="M1783" s="366"/>
      <c r="N1783" s="309"/>
      <c r="O1783" s="366"/>
      <c r="P1783" s="418"/>
      <c r="Q1783" s="305"/>
      <c r="R1783" s="410"/>
      <c r="S1783" s="418">
        <v>45</v>
      </c>
    </row>
    <row r="1784" spans="1:19" ht="15">
      <c r="A1784" s="441" t="s">
        <v>411</v>
      </c>
      <c r="B1784" s="413">
        <v>191275</v>
      </c>
      <c r="C1784" s="366">
        <f t="shared" si="112"/>
        <v>2115.84</v>
      </c>
      <c r="D1784" s="432">
        <v>2115.84</v>
      </c>
      <c r="E1784" s="433" t="s">
        <v>1390</v>
      </c>
      <c r="F1784" s="434">
        <v>24.29</v>
      </c>
      <c r="G1784" s="366"/>
      <c r="H1784" s="305"/>
      <c r="I1784" s="366"/>
      <c r="J1784" s="366"/>
      <c r="K1784" s="309"/>
      <c r="L1784" s="366"/>
      <c r="M1784" s="366"/>
      <c r="N1784" s="309"/>
      <c r="O1784" s="366"/>
      <c r="P1784" s="418"/>
      <c r="Q1784" s="305"/>
      <c r="R1784" s="410"/>
      <c r="S1784" s="418">
        <v>41</v>
      </c>
    </row>
    <row r="1785" spans="1:19" ht="15">
      <c r="A1785" s="441" t="s">
        <v>1357</v>
      </c>
      <c r="B1785" s="413" t="s">
        <v>1391</v>
      </c>
      <c r="C1785" s="366">
        <f t="shared" si="112"/>
        <v>2643.2</v>
      </c>
      <c r="D1785" s="366">
        <v>2643.2</v>
      </c>
      <c r="E1785" s="305">
        <v>595.03</v>
      </c>
      <c r="F1785" s="366">
        <v>176.33</v>
      </c>
      <c r="G1785" s="366"/>
      <c r="H1785" s="305"/>
      <c r="I1785" s="366"/>
      <c r="J1785" s="366"/>
      <c r="K1785" s="309"/>
      <c r="L1785" s="366"/>
      <c r="M1785" s="366"/>
      <c r="N1785" s="309"/>
      <c r="O1785" s="366"/>
      <c r="P1785" s="418"/>
      <c r="Q1785" s="305"/>
      <c r="R1785" s="410"/>
      <c r="S1785" s="418">
        <v>56</v>
      </c>
    </row>
    <row r="1786" spans="1:19" ht="15">
      <c r="A1786" s="439" t="s">
        <v>1265</v>
      </c>
      <c r="B1786" s="413">
        <v>465184</v>
      </c>
      <c r="C1786" s="366">
        <f t="shared" si="112"/>
        <v>1762.8</v>
      </c>
      <c r="D1786" s="366">
        <v>1762.8</v>
      </c>
      <c r="E1786" s="305">
        <v>422.79</v>
      </c>
      <c r="F1786" s="366">
        <v>62.31</v>
      </c>
      <c r="G1786" s="366"/>
      <c r="H1786" s="305"/>
      <c r="I1786" s="366"/>
      <c r="J1786" s="366"/>
      <c r="K1786" s="309"/>
      <c r="L1786" s="366"/>
      <c r="M1786" s="366"/>
      <c r="N1786" s="309"/>
      <c r="O1786" s="366"/>
      <c r="P1786" s="418"/>
      <c r="Q1786" s="305"/>
      <c r="R1786" s="410"/>
      <c r="S1786" s="418">
        <v>50</v>
      </c>
    </row>
    <row r="1787" spans="1:19" ht="15">
      <c r="A1787" s="429" t="s">
        <v>1266</v>
      </c>
      <c r="B1787" s="407" t="s">
        <v>507</v>
      </c>
      <c r="C1787" s="366">
        <f t="shared" si="112"/>
        <v>4383.03</v>
      </c>
      <c r="D1787" s="366">
        <v>4383.03</v>
      </c>
      <c r="E1787" s="305">
        <v>897.76</v>
      </c>
      <c r="F1787" s="366">
        <v>270.75</v>
      </c>
      <c r="G1787" s="366"/>
      <c r="H1787" s="305"/>
      <c r="I1787" s="366"/>
      <c r="J1787" s="366"/>
      <c r="K1787" s="309"/>
      <c r="L1787" s="366"/>
      <c r="M1787" s="366"/>
      <c r="N1787" s="309"/>
      <c r="O1787" s="366"/>
      <c r="P1787" s="418"/>
      <c r="Q1787" s="305"/>
      <c r="R1787" s="410"/>
      <c r="S1787" s="418">
        <v>50</v>
      </c>
    </row>
    <row r="1788" spans="1:19" ht="15">
      <c r="A1788" s="281" t="s">
        <v>386</v>
      </c>
      <c r="B1788" s="413">
        <v>191279</v>
      </c>
      <c r="C1788" s="366">
        <f t="shared" si="112"/>
        <v>3320.69</v>
      </c>
      <c r="D1788" s="366">
        <v>3320.69</v>
      </c>
      <c r="E1788" s="410" t="s">
        <v>1392</v>
      </c>
      <c r="F1788" s="366">
        <v>104.36</v>
      </c>
      <c r="G1788" s="366"/>
      <c r="H1788" s="305"/>
      <c r="I1788" s="366"/>
      <c r="J1788" s="366"/>
      <c r="K1788" s="309"/>
      <c r="L1788" s="366"/>
      <c r="M1788" s="366"/>
      <c r="N1788" s="309"/>
      <c r="O1788" s="366"/>
      <c r="P1788" s="426"/>
      <c r="Q1788" s="305"/>
      <c r="R1788" s="410"/>
      <c r="S1788" s="426">
        <v>42</v>
      </c>
    </row>
    <row r="1789" spans="1:19" ht="15">
      <c r="A1789" s="281" t="s">
        <v>1380</v>
      </c>
      <c r="B1789" s="413">
        <v>465187</v>
      </c>
      <c r="C1789" s="366">
        <f t="shared" si="112"/>
        <v>2348.73</v>
      </c>
      <c r="D1789" s="366">
        <v>2348.73</v>
      </c>
      <c r="E1789" s="410" t="s">
        <v>1393</v>
      </c>
      <c r="F1789" s="366">
        <v>359.28</v>
      </c>
      <c r="G1789" s="366"/>
      <c r="H1789" s="305"/>
      <c r="I1789" s="366"/>
      <c r="J1789" s="366"/>
      <c r="K1789" s="309"/>
      <c r="L1789" s="366"/>
      <c r="M1789" s="366"/>
      <c r="N1789" s="309"/>
      <c r="O1789" s="366"/>
      <c r="P1789" s="426"/>
      <c r="Q1789" s="305"/>
      <c r="R1789" s="410"/>
      <c r="S1789" s="426">
        <v>32</v>
      </c>
    </row>
    <row r="1790" spans="1:19" ht="15">
      <c r="A1790" s="408" t="s">
        <v>1041</v>
      </c>
      <c r="B1790" s="407" t="s">
        <v>1068</v>
      </c>
      <c r="C1790" s="366">
        <f t="shared" si="112"/>
        <v>2244</v>
      </c>
      <c r="D1790" s="366">
        <v>2244</v>
      </c>
      <c r="E1790" s="305">
        <v>569</v>
      </c>
      <c r="F1790" s="366">
        <v>0</v>
      </c>
      <c r="G1790" s="411"/>
      <c r="H1790" s="305"/>
      <c r="I1790" s="366"/>
      <c r="J1790" s="366"/>
      <c r="K1790" s="305"/>
      <c r="L1790" s="366"/>
      <c r="M1790" s="366"/>
      <c r="N1790" s="309"/>
      <c r="O1790" s="366"/>
      <c r="P1790" s="409"/>
      <c r="Q1790" s="305"/>
      <c r="R1790" s="410"/>
      <c r="S1790" s="409"/>
    </row>
    <row r="1791" spans="1:19" ht="15">
      <c r="A1791" s="408" t="s">
        <v>901</v>
      </c>
      <c r="B1791" s="407" t="s">
        <v>1152</v>
      </c>
      <c r="C1791" s="366">
        <f t="shared" si="112"/>
        <v>0</v>
      </c>
      <c r="D1791" s="366"/>
      <c r="E1791" s="410"/>
      <c r="F1791" s="366"/>
      <c r="G1791" s="411"/>
      <c r="H1791" s="305"/>
      <c r="I1791" s="366"/>
      <c r="J1791" s="366"/>
      <c r="K1791" s="305"/>
      <c r="L1791" s="366"/>
      <c r="M1791" s="366"/>
      <c r="N1791" s="309"/>
      <c r="O1791" s="366"/>
      <c r="P1791" s="409"/>
      <c r="Q1791" s="305"/>
      <c r="R1791" s="410"/>
      <c r="S1791" s="409">
        <v>27</v>
      </c>
    </row>
    <row r="1792" spans="1:19" ht="13">
      <c r="A1792" s="470" t="s">
        <v>860</v>
      </c>
      <c r="B1792" s="471"/>
      <c r="C1792" s="422" t="s">
        <v>89</v>
      </c>
      <c r="D1792" s="324" t="s">
        <v>676</v>
      </c>
      <c r="E1792" s="325" t="s">
        <v>861</v>
      </c>
      <c r="F1792" s="355" t="s">
        <v>862</v>
      </c>
      <c r="G1792" s="324" t="s">
        <v>676</v>
      </c>
      <c r="H1792" s="325" t="s">
        <v>861</v>
      </c>
      <c r="I1792" s="355" t="s">
        <v>862</v>
      </c>
      <c r="J1792" s="324" t="s">
        <v>676</v>
      </c>
      <c r="K1792" s="325" t="s">
        <v>861</v>
      </c>
      <c r="L1792" s="355" t="s">
        <v>862</v>
      </c>
      <c r="M1792" s="324" t="s">
        <v>676</v>
      </c>
      <c r="N1792" s="325" t="s">
        <v>861</v>
      </c>
      <c r="O1792" s="355" t="s">
        <v>862</v>
      </c>
      <c r="P1792" s="324" t="s">
        <v>881</v>
      </c>
      <c r="Q1792" s="325" t="s">
        <v>861</v>
      </c>
      <c r="R1792" s="325" t="s">
        <v>865</v>
      </c>
      <c r="S1792" s="412" t="s">
        <v>1031</v>
      </c>
    </row>
    <row r="1793" spans="1:19" ht="13">
      <c r="A1793" s="470" t="s">
        <v>863</v>
      </c>
      <c r="B1793" s="471"/>
      <c r="C1793" s="326">
        <f t="shared" ref="C1793:F1793" si="113">SUM(C1771:C1791)</f>
        <v>39787.630000000005</v>
      </c>
      <c r="D1793" s="326">
        <f t="shared" si="113"/>
        <v>39787.630000000005</v>
      </c>
      <c r="E1793" s="443">
        <f t="shared" si="113"/>
        <v>4674.83</v>
      </c>
      <c r="F1793" s="326">
        <f t="shared" si="113"/>
        <v>2452.5299999999997</v>
      </c>
      <c r="G1793" s="329"/>
      <c r="H1793" s="329"/>
      <c r="I1793" s="329"/>
      <c r="J1793" s="329"/>
      <c r="K1793" s="329"/>
      <c r="L1793" s="329"/>
      <c r="M1793" s="329"/>
      <c r="N1793" s="329"/>
      <c r="O1793" s="329"/>
      <c r="P1793" s="329"/>
      <c r="Q1793" s="329"/>
      <c r="R1793" s="329"/>
    </row>
    <row r="1794" spans="1:19" ht="13">
      <c r="A1794" s="282"/>
      <c r="B1794" s="282"/>
      <c r="C1794" s="282"/>
      <c r="D1794" s="282"/>
      <c r="E1794" s="282"/>
      <c r="F1794" s="282"/>
      <c r="G1794" s="329"/>
      <c r="H1794" s="329"/>
      <c r="I1794" s="329"/>
      <c r="J1794" s="329"/>
      <c r="K1794" s="329"/>
      <c r="L1794" s="329"/>
      <c r="M1794" s="329"/>
      <c r="N1794" s="329"/>
      <c r="O1794" s="329"/>
      <c r="P1794" s="329"/>
      <c r="Q1794" s="329"/>
      <c r="R1794" s="329"/>
    </row>
    <row r="1795" spans="1:19" ht="13">
      <c r="A1795" s="476" t="s">
        <v>1394</v>
      </c>
      <c r="B1795" s="466"/>
      <c r="C1795" s="466"/>
      <c r="D1795" s="466"/>
      <c r="E1795" s="466"/>
      <c r="F1795" s="466"/>
      <c r="G1795" s="466"/>
      <c r="H1795" s="466"/>
      <c r="I1795" s="466"/>
      <c r="J1795" s="466"/>
      <c r="K1795" s="466"/>
      <c r="L1795" s="466"/>
      <c r="M1795" s="466"/>
      <c r="N1795" s="466"/>
      <c r="O1795" s="466"/>
      <c r="P1795" s="466"/>
      <c r="Q1795" s="466"/>
      <c r="R1795" s="466"/>
      <c r="S1795" s="466"/>
    </row>
    <row r="1796" spans="1:19" ht="13">
      <c r="A1796" s="356" t="s">
        <v>849</v>
      </c>
      <c r="B1796" s="356" t="s">
        <v>1</v>
      </c>
      <c r="C1796" s="356" t="s">
        <v>89</v>
      </c>
      <c r="D1796" s="473" t="s">
        <v>850</v>
      </c>
      <c r="E1796" s="466"/>
      <c r="F1796" s="467"/>
      <c r="G1796" s="465" t="s">
        <v>852</v>
      </c>
      <c r="H1796" s="466"/>
      <c r="I1796" s="467"/>
      <c r="J1796" s="465" t="s">
        <v>1013</v>
      </c>
      <c r="K1796" s="466"/>
      <c r="L1796" s="467"/>
      <c r="M1796" s="465" t="s">
        <v>1093</v>
      </c>
      <c r="N1796" s="466"/>
      <c r="O1796" s="467"/>
      <c r="P1796" s="465" t="s">
        <v>865</v>
      </c>
      <c r="Q1796" s="466"/>
      <c r="R1796" s="467"/>
      <c r="S1796" s="356" t="s">
        <v>1028</v>
      </c>
    </row>
    <row r="1797" spans="1:19" ht="15">
      <c r="A1797" s="398" t="s">
        <v>1124</v>
      </c>
      <c r="B1797" s="413">
        <v>191274</v>
      </c>
      <c r="C1797" s="366">
        <f t="shared" ref="C1797:C1817" si="114">D1797+G1797+J1797+M1797</f>
        <v>0</v>
      </c>
      <c r="D1797" s="366"/>
      <c r="E1797" s="305"/>
      <c r="F1797" s="366"/>
      <c r="G1797" s="366"/>
      <c r="H1797" s="305"/>
      <c r="I1797" s="366"/>
      <c r="J1797" s="366"/>
      <c r="K1797" s="309"/>
      <c r="L1797" s="366"/>
      <c r="M1797" s="366"/>
      <c r="N1797" s="309"/>
      <c r="O1797" s="366"/>
      <c r="P1797" s="418"/>
      <c r="Q1797" s="305"/>
      <c r="R1797" s="410"/>
      <c r="S1797" s="418">
        <v>41</v>
      </c>
    </row>
    <row r="1798" spans="1:19" ht="15">
      <c r="A1798" s="431" t="s">
        <v>1348</v>
      </c>
      <c r="B1798" s="413">
        <v>191277</v>
      </c>
      <c r="C1798" s="366">
        <f t="shared" si="114"/>
        <v>0</v>
      </c>
      <c r="D1798" s="366"/>
      <c r="E1798" s="305"/>
      <c r="F1798" s="366"/>
      <c r="G1798" s="366"/>
      <c r="H1798" s="305"/>
      <c r="I1798" s="366"/>
      <c r="J1798" s="366"/>
      <c r="K1798" s="309"/>
      <c r="L1798" s="366"/>
      <c r="M1798" s="366"/>
      <c r="N1798" s="309"/>
      <c r="O1798" s="366"/>
      <c r="P1798" s="418"/>
      <c r="Q1798" s="305"/>
      <c r="R1798" s="410"/>
      <c r="S1798" s="418">
        <v>61</v>
      </c>
    </row>
    <row r="1799" spans="1:19" ht="15">
      <c r="A1799" s="398" t="s">
        <v>1286</v>
      </c>
      <c r="B1799" s="413">
        <v>191280</v>
      </c>
      <c r="C1799" s="366">
        <f t="shared" si="114"/>
        <v>0</v>
      </c>
      <c r="D1799" s="432"/>
      <c r="E1799" s="433"/>
      <c r="F1799" s="434"/>
      <c r="G1799" s="366"/>
      <c r="H1799" s="305"/>
      <c r="I1799" s="366"/>
      <c r="J1799" s="366"/>
      <c r="K1799" s="309"/>
      <c r="L1799" s="366"/>
      <c r="M1799" s="366"/>
      <c r="N1799" s="309"/>
      <c r="O1799" s="366"/>
      <c r="P1799" s="418"/>
      <c r="Q1799" s="305"/>
      <c r="R1799" s="410"/>
      <c r="S1799" s="418">
        <v>16</v>
      </c>
    </row>
    <row r="1800" spans="1:19" ht="15">
      <c r="A1800" s="398" t="s">
        <v>1225</v>
      </c>
      <c r="B1800" s="413">
        <v>191281</v>
      </c>
      <c r="C1800" s="366">
        <f t="shared" si="114"/>
        <v>0</v>
      </c>
      <c r="D1800" s="432"/>
      <c r="E1800" s="433"/>
      <c r="F1800" s="434"/>
      <c r="G1800" s="366"/>
      <c r="H1800" s="305"/>
      <c r="I1800" s="366"/>
      <c r="J1800" s="366"/>
      <c r="K1800" s="309"/>
      <c r="L1800" s="366"/>
      <c r="M1800" s="366"/>
      <c r="N1800" s="309"/>
      <c r="O1800" s="366"/>
      <c r="P1800" s="418"/>
      <c r="Q1800" s="305"/>
      <c r="R1800" s="410"/>
      <c r="S1800" s="418">
        <v>76</v>
      </c>
    </row>
    <row r="1801" spans="1:19" ht="15">
      <c r="A1801" s="431"/>
      <c r="B1801" s="413">
        <v>191283</v>
      </c>
      <c r="C1801" s="366">
        <f t="shared" si="114"/>
        <v>0</v>
      </c>
      <c r="D1801" s="366"/>
      <c r="E1801" s="305"/>
      <c r="F1801" s="366"/>
      <c r="G1801" s="366"/>
      <c r="H1801" s="305"/>
      <c r="I1801" s="366"/>
      <c r="J1801" s="366"/>
      <c r="K1801" s="309"/>
      <c r="L1801" s="366"/>
      <c r="M1801" s="366"/>
      <c r="N1801" s="309"/>
      <c r="O1801" s="366"/>
      <c r="P1801" s="418"/>
      <c r="Q1801" s="305"/>
      <c r="R1801" s="410"/>
      <c r="S1801" s="418">
        <v>66</v>
      </c>
    </row>
    <row r="1802" spans="1:19" ht="15">
      <c r="A1802" s="398" t="s">
        <v>634</v>
      </c>
      <c r="B1802" s="413">
        <v>465180</v>
      </c>
      <c r="C1802" s="366">
        <f t="shared" si="114"/>
        <v>0</v>
      </c>
      <c r="D1802" s="432"/>
      <c r="E1802" s="433"/>
      <c r="F1802" s="434"/>
      <c r="G1802" s="366"/>
      <c r="H1802" s="305"/>
      <c r="I1802" s="366"/>
      <c r="J1802" s="366"/>
      <c r="K1802" s="309"/>
      <c r="L1802" s="366"/>
      <c r="M1802" s="366"/>
      <c r="N1802" s="309"/>
      <c r="O1802" s="366"/>
      <c r="P1802" s="418"/>
      <c r="Q1802" s="305"/>
      <c r="R1802" s="410"/>
      <c r="S1802" s="418">
        <v>31</v>
      </c>
    </row>
    <row r="1803" spans="1:19" ht="15">
      <c r="A1803" s="398" t="s">
        <v>1301</v>
      </c>
      <c r="B1803" s="413">
        <v>465182</v>
      </c>
      <c r="C1803" s="366">
        <f t="shared" si="114"/>
        <v>0</v>
      </c>
      <c r="D1803" s="432"/>
      <c r="E1803" s="433"/>
      <c r="F1803" s="434"/>
      <c r="G1803" s="366"/>
      <c r="H1803" s="305"/>
      <c r="I1803" s="366"/>
      <c r="J1803" s="366"/>
      <c r="K1803" s="309"/>
      <c r="L1803" s="366"/>
      <c r="M1803" s="366"/>
      <c r="N1803" s="309"/>
      <c r="O1803" s="366"/>
      <c r="P1803" s="418"/>
      <c r="Q1803" s="305"/>
      <c r="R1803" s="410"/>
      <c r="S1803" s="418">
        <v>50</v>
      </c>
    </row>
    <row r="1804" spans="1:19" ht="15">
      <c r="A1804" s="398" t="s">
        <v>1190</v>
      </c>
      <c r="B1804" s="413">
        <v>465183</v>
      </c>
      <c r="C1804" s="366">
        <f t="shared" si="114"/>
        <v>0</v>
      </c>
      <c r="D1804" s="366"/>
      <c r="E1804" s="305"/>
      <c r="F1804" s="366"/>
      <c r="G1804" s="366"/>
      <c r="H1804" s="305"/>
      <c r="I1804" s="366"/>
      <c r="J1804" s="366"/>
      <c r="K1804" s="309"/>
      <c r="L1804" s="366"/>
      <c r="M1804" s="366"/>
      <c r="N1804" s="309"/>
      <c r="O1804" s="366"/>
      <c r="P1804" s="418"/>
      <c r="Q1804" s="305"/>
      <c r="R1804" s="410"/>
      <c r="S1804" s="418">
        <v>49</v>
      </c>
    </row>
    <row r="1805" spans="1:19" ht="15">
      <c r="A1805" s="398" t="s">
        <v>1291</v>
      </c>
      <c r="B1805" s="413">
        <v>465185</v>
      </c>
      <c r="C1805" s="366">
        <f t="shared" si="114"/>
        <v>0</v>
      </c>
      <c r="D1805" s="432"/>
      <c r="E1805" s="433"/>
      <c r="F1805" s="434"/>
      <c r="G1805" s="366"/>
      <c r="H1805" s="305"/>
      <c r="I1805" s="366"/>
      <c r="J1805" s="366"/>
      <c r="K1805" s="309"/>
      <c r="L1805" s="366"/>
      <c r="M1805" s="366"/>
      <c r="N1805" s="309"/>
      <c r="O1805" s="366"/>
      <c r="P1805" s="418"/>
      <c r="Q1805" s="305"/>
      <c r="R1805" s="410"/>
      <c r="S1805" s="418">
        <v>24</v>
      </c>
    </row>
    <row r="1806" spans="1:19" ht="15">
      <c r="A1806" s="398" t="s">
        <v>1376</v>
      </c>
      <c r="B1806" s="413">
        <v>465186</v>
      </c>
      <c r="C1806" s="366">
        <f t="shared" si="114"/>
        <v>0</v>
      </c>
      <c r="D1806" s="366"/>
      <c r="E1806" s="305"/>
      <c r="F1806" s="366"/>
      <c r="G1806" s="366"/>
      <c r="H1806" s="305"/>
      <c r="I1806" s="366"/>
      <c r="J1806" s="366"/>
      <c r="K1806" s="309"/>
      <c r="L1806" s="366"/>
      <c r="M1806" s="366"/>
      <c r="N1806" s="309"/>
      <c r="O1806" s="366"/>
      <c r="P1806" s="418"/>
      <c r="Q1806" s="305"/>
      <c r="R1806" s="410"/>
      <c r="S1806" s="418">
        <v>100</v>
      </c>
    </row>
    <row r="1807" spans="1:19" ht="15">
      <c r="A1807" s="400" t="s">
        <v>1356</v>
      </c>
      <c r="B1807" s="413">
        <v>465189</v>
      </c>
      <c r="C1807" s="366">
        <f t="shared" si="114"/>
        <v>0</v>
      </c>
      <c r="D1807" s="432"/>
      <c r="E1807" s="433"/>
      <c r="F1807" s="434"/>
      <c r="G1807" s="366"/>
      <c r="H1807" s="305"/>
      <c r="I1807" s="366"/>
      <c r="J1807" s="366"/>
      <c r="K1807" s="309"/>
      <c r="L1807" s="366"/>
      <c r="M1807" s="366"/>
      <c r="N1807" s="309"/>
      <c r="O1807" s="366"/>
      <c r="P1807" s="418"/>
      <c r="Q1807" s="305"/>
      <c r="R1807" s="410"/>
      <c r="S1807" s="418">
        <v>55</v>
      </c>
    </row>
    <row r="1808" spans="1:19" ht="15">
      <c r="A1808" s="441" t="s">
        <v>411</v>
      </c>
      <c r="B1808" s="413">
        <v>191275</v>
      </c>
      <c r="C1808" s="366">
        <f t="shared" si="114"/>
        <v>0</v>
      </c>
      <c r="D1808" s="432"/>
      <c r="E1808" s="433"/>
      <c r="F1808" s="434"/>
      <c r="G1808" s="366"/>
      <c r="H1808" s="305"/>
      <c r="I1808" s="366"/>
      <c r="J1808" s="366"/>
      <c r="K1808" s="309"/>
      <c r="L1808" s="366"/>
      <c r="M1808" s="366"/>
      <c r="N1808" s="309"/>
      <c r="O1808" s="366"/>
      <c r="P1808" s="418"/>
      <c r="Q1808" s="305"/>
      <c r="R1808" s="410"/>
      <c r="S1808" s="418">
        <v>30</v>
      </c>
    </row>
    <row r="1809" spans="1:19" ht="15">
      <c r="A1809" s="441" t="s">
        <v>1357</v>
      </c>
      <c r="B1809" s="413">
        <v>191276</v>
      </c>
      <c r="C1809" s="366">
        <f t="shared" si="114"/>
        <v>0</v>
      </c>
      <c r="D1809" s="366"/>
      <c r="E1809" s="305"/>
      <c r="F1809" s="366"/>
      <c r="G1809" s="366"/>
      <c r="H1809" s="305"/>
      <c r="I1809" s="366"/>
      <c r="J1809" s="366"/>
      <c r="K1809" s="309"/>
      <c r="L1809" s="366"/>
      <c r="M1809" s="366"/>
      <c r="N1809" s="309"/>
      <c r="O1809" s="366"/>
      <c r="P1809" s="418"/>
      <c r="Q1809" s="305"/>
      <c r="R1809" s="410"/>
      <c r="S1809" s="418">
        <v>44</v>
      </c>
    </row>
    <row r="1810" spans="1:19" ht="15">
      <c r="A1810" s="439" t="s">
        <v>1265</v>
      </c>
      <c r="B1810" s="413">
        <v>465184</v>
      </c>
      <c r="C1810" s="366">
        <f t="shared" si="114"/>
        <v>0</v>
      </c>
      <c r="D1810" s="366"/>
      <c r="E1810" s="305"/>
      <c r="F1810" s="366"/>
      <c r="G1810" s="366"/>
      <c r="H1810" s="305"/>
      <c r="I1810" s="366"/>
      <c r="J1810" s="366"/>
      <c r="K1810" s="309"/>
      <c r="L1810" s="366"/>
      <c r="M1810" s="366"/>
      <c r="N1810" s="309"/>
      <c r="O1810" s="366"/>
      <c r="P1810" s="418"/>
      <c r="Q1810" s="305"/>
      <c r="R1810" s="410"/>
      <c r="S1810" s="418">
        <v>17</v>
      </c>
    </row>
    <row r="1811" spans="1:19" ht="15">
      <c r="A1811" s="429" t="s">
        <v>1266</v>
      </c>
      <c r="B1811" s="407" t="s">
        <v>507</v>
      </c>
      <c r="C1811" s="366">
        <f t="shared" si="114"/>
        <v>0</v>
      </c>
      <c r="D1811" s="366"/>
      <c r="E1811" s="305"/>
      <c r="F1811" s="366"/>
      <c r="G1811" s="366"/>
      <c r="H1811" s="305"/>
      <c r="I1811" s="366"/>
      <c r="J1811" s="366"/>
      <c r="K1811" s="309"/>
      <c r="L1811" s="366"/>
      <c r="M1811" s="366"/>
      <c r="N1811" s="309"/>
      <c r="O1811" s="366"/>
      <c r="P1811" s="418"/>
      <c r="Q1811" s="305"/>
      <c r="R1811" s="410"/>
      <c r="S1811" s="418">
        <v>87</v>
      </c>
    </row>
    <row r="1812" spans="1:19" ht="15">
      <c r="A1812" s="281" t="s">
        <v>386</v>
      </c>
      <c r="B1812" s="413">
        <v>191279</v>
      </c>
      <c r="C1812" s="366">
        <f t="shared" si="114"/>
        <v>0</v>
      </c>
      <c r="D1812" s="366"/>
      <c r="E1812" s="410"/>
      <c r="F1812" s="366"/>
      <c r="G1812" s="366"/>
      <c r="H1812" s="305"/>
      <c r="I1812" s="366"/>
      <c r="J1812" s="366"/>
      <c r="K1812" s="309"/>
      <c r="L1812" s="366"/>
      <c r="M1812" s="366"/>
      <c r="N1812" s="309"/>
      <c r="O1812" s="366"/>
      <c r="P1812" s="426"/>
      <c r="Q1812" s="305"/>
      <c r="R1812" s="410"/>
      <c r="S1812" s="426">
        <v>21</v>
      </c>
    </row>
    <row r="1813" spans="1:19" ht="15">
      <c r="A1813" s="281" t="s">
        <v>1380</v>
      </c>
      <c r="B1813" s="413">
        <v>465187</v>
      </c>
      <c r="C1813" s="366">
        <f t="shared" si="114"/>
        <v>0</v>
      </c>
      <c r="D1813" s="366"/>
      <c r="E1813" s="410"/>
      <c r="F1813" s="366"/>
      <c r="G1813" s="366"/>
      <c r="H1813" s="305"/>
      <c r="I1813" s="366"/>
      <c r="J1813" s="366"/>
      <c r="K1813" s="309"/>
      <c r="L1813" s="366"/>
      <c r="M1813" s="366"/>
      <c r="N1813" s="309"/>
      <c r="O1813" s="366"/>
      <c r="P1813" s="426"/>
      <c r="Q1813" s="305"/>
      <c r="R1813" s="410"/>
      <c r="S1813" s="426">
        <v>45</v>
      </c>
    </row>
    <row r="1814" spans="1:19" ht="15">
      <c r="A1814" s="429" t="s">
        <v>1121</v>
      </c>
      <c r="B1814" s="413">
        <v>465181</v>
      </c>
      <c r="C1814" s="366">
        <f t="shared" si="114"/>
        <v>0</v>
      </c>
      <c r="D1814" s="366"/>
      <c r="E1814" s="305"/>
      <c r="F1814" s="366"/>
      <c r="G1814" s="366"/>
      <c r="H1814" s="305"/>
      <c r="I1814" s="366"/>
      <c r="J1814" s="366"/>
      <c r="K1814" s="309"/>
      <c r="L1814" s="366"/>
      <c r="M1814" s="366"/>
      <c r="N1814" s="309"/>
      <c r="O1814" s="366"/>
      <c r="P1814" s="418"/>
      <c r="Q1814" s="305"/>
      <c r="R1814" s="410"/>
      <c r="S1814" s="418">
        <v>100</v>
      </c>
    </row>
    <row r="1815" spans="1:19" ht="15">
      <c r="A1815" s="408" t="s">
        <v>408</v>
      </c>
      <c r="B1815" s="413">
        <v>1122</v>
      </c>
      <c r="C1815" s="366">
        <f t="shared" si="114"/>
        <v>0</v>
      </c>
      <c r="D1815" s="366"/>
      <c r="E1815" s="410"/>
      <c r="F1815" s="366"/>
      <c r="G1815" s="366"/>
      <c r="H1815" s="305"/>
      <c r="I1815" s="366"/>
      <c r="J1815" s="366"/>
      <c r="K1815" s="309"/>
      <c r="L1815" s="366"/>
      <c r="M1815" s="366"/>
      <c r="N1815" s="309"/>
      <c r="O1815" s="366"/>
      <c r="P1815" s="426"/>
      <c r="Q1815" s="305"/>
      <c r="R1815" s="410"/>
      <c r="S1815" s="426"/>
    </row>
    <row r="1816" spans="1:19" ht="15">
      <c r="A1816" s="408" t="s">
        <v>1041</v>
      </c>
      <c r="B1816" s="407" t="s">
        <v>1068</v>
      </c>
      <c r="C1816" s="366">
        <f t="shared" si="114"/>
        <v>0</v>
      </c>
      <c r="D1816" s="366"/>
      <c r="E1816" s="305"/>
      <c r="F1816" s="366"/>
      <c r="G1816" s="411"/>
      <c r="H1816" s="305"/>
      <c r="I1816" s="366"/>
      <c r="J1816" s="366"/>
      <c r="K1816" s="305"/>
      <c r="L1816" s="366"/>
      <c r="M1816" s="366"/>
      <c r="N1816" s="309"/>
      <c r="O1816" s="366"/>
      <c r="P1816" s="409"/>
      <c r="Q1816" s="305"/>
      <c r="R1816" s="410"/>
      <c r="S1816" s="409"/>
    </row>
    <row r="1817" spans="1:19" ht="15">
      <c r="A1817" s="408" t="s">
        <v>901</v>
      </c>
      <c r="B1817" s="407" t="s">
        <v>1152</v>
      </c>
      <c r="C1817" s="366">
        <f t="shared" si="114"/>
        <v>0</v>
      </c>
      <c r="D1817" s="366"/>
      <c r="E1817" s="410"/>
      <c r="F1817" s="366"/>
      <c r="G1817" s="411"/>
      <c r="H1817" s="305"/>
      <c r="I1817" s="366"/>
      <c r="J1817" s="366"/>
      <c r="K1817" s="305"/>
      <c r="L1817" s="366"/>
      <c r="M1817" s="366"/>
      <c r="N1817" s="309"/>
      <c r="O1817" s="366"/>
      <c r="P1817" s="409"/>
      <c r="Q1817" s="305"/>
      <c r="R1817" s="410"/>
      <c r="S1817" s="409">
        <v>24</v>
      </c>
    </row>
    <row r="1818" spans="1:19" ht="13">
      <c r="A1818" s="470" t="s">
        <v>860</v>
      </c>
      <c r="B1818" s="471"/>
      <c r="C1818" s="422" t="s">
        <v>89</v>
      </c>
      <c r="D1818" s="324" t="s">
        <v>676</v>
      </c>
      <c r="E1818" s="325" t="s">
        <v>861</v>
      </c>
      <c r="F1818" s="355" t="s">
        <v>862</v>
      </c>
      <c r="G1818" s="324" t="s">
        <v>676</v>
      </c>
      <c r="H1818" s="325" t="s">
        <v>861</v>
      </c>
      <c r="I1818" s="355" t="s">
        <v>862</v>
      </c>
      <c r="J1818" s="324" t="s">
        <v>676</v>
      </c>
      <c r="K1818" s="325" t="s">
        <v>861</v>
      </c>
      <c r="L1818" s="355" t="s">
        <v>862</v>
      </c>
      <c r="M1818" s="324" t="s">
        <v>676</v>
      </c>
      <c r="N1818" s="325" t="s">
        <v>861</v>
      </c>
      <c r="O1818" s="355" t="s">
        <v>862</v>
      </c>
      <c r="P1818" s="324" t="s">
        <v>881</v>
      </c>
      <c r="Q1818" s="325" t="s">
        <v>861</v>
      </c>
      <c r="R1818" s="325" t="s">
        <v>865</v>
      </c>
      <c r="S1818" s="412" t="s">
        <v>1031</v>
      </c>
    </row>
    <row r="1819" spans="1:19" ht="13">
      <c r="A1819" s="470" t="s">
        <v>863</v>
      </c>
      <c r="B1819" s="471"/>
      <c r="C1819" s="326">
        <f t="shared" ref="C1819:F1819" si="115">SUM(C1797:C1817)</f>
        <v>0</v>
      </c>
      <c r="D1819" s="326">
        <f t="shared" si="115"/>
        <v>0</v>
      </c>
      <c r="E1819" s="443">
        <f t="shared" si="115"/>
        <v>0</v>
      </c>
      <c r="F1819" s="326">
        <f t="shared" si="115"/>
        <v>0</v>
      </c>
      <c r="G1819" s="329"/>
      <c r="H1819" s="329"/>
      <c r="I1819" s="329"/>
      <c r="J1819" s="329"/>
      <c r="K1819" s="329"/>
      <c r="L1819" s="329"/>
      <c r="M1819" s="329"/>
      <c r="N1819" s="329"/>
      <c r="O1819" s="329"/>
      <c r="P1819" s="329"/>
      <c r="Q1819" s="329"/>
      <c r="R1819" s="329"/>
    </row>
    <row r="1820" spans="1:19" ht="13">
      <c r="A1820" s="282"/>
      <c r="B1820" s="282"/>
      <c r="C1820" s="282"/>
      <c r="D1820" s="282"/>
      <c r="E1820" s="282"/>
      <c r="F1820" s="282"/>
      <c r="G1820" s="329"/>
      <c r="H1820" s="329"/>
      <c r="I1820" s="329"/>
      <c r="J1820" s="329"/>
      <c r="K1820" s="329"/>
      <c r="L1820" s="329"/>
      <c r="M1820" s="329"/>
      <c r="N1820" s="329"/>
      <c r="O1820" s="329"/>
      <c r="P1820" s="329"/>
      <c r="Q1820" s="329"/>
      <c r="R1820" s="329"/>
    </row>
    <row r="1821" spans="1:19" ht="13">
      <c r="A1821" s="282"/>
      <c r="B1821" s="282"/>
      <c r="C1821" s="282"/>
      <c r="D1821" s="282"/>
      <c r="E1821" s="282"/>
      <c r="F1821" s="282"/>
      <c r="G1821" s="329"/>
      <c r="H1821" s="329"/>
      <c r="I1821" s="329"/>
      <c r="J1821" s="329"/>
      <c r="K1821" s="329"/>
      <c r="L1821" s="329"/>
      <c r="M1821" s="329"/>
      <c r="N1821" s="329"/>
      <c r="O1821" s="329"/>
      <c r="P1821" s="329"/>
      <c r="Q1821" s="329"/>
      <c r="R1821" s="329"/>
    </row>
    <row r="1822" spans="1:19" ht="13">
      <c r="A1822" s="282"/>
      <c r="B1822" s="282"/>
      <c r="C1822" s="282"/>
      <c r="D1822" s="282"/>
      <c r="E1822" s="282"/>
      <c r="F1822" s="282"/>
      <c r="G1822" s="329"/>
      <c r="H1822" s="329"/>
      <c r="I1822" s="329"/>
      <c r="J1822" s="329"/>
      <c r="K1822" s="329"/>
      <c r="L1822" s="329"/>
      <c r="M1822" s="329"/>
      <c r="N1822" s="329"/>
      <c r="O1822" s="329"/>
      <c r="P1822" s="329"/>
      <c r="Q1822" s="329"/>
      <c r="R1822" s="329"/>
    </row>
    <row r="1823" spans="1:19" ht="13">
      <c r="A1823" s="282"/>
      <c r="B1823" s="282"/>
      <c r="C1823" s="282"/>
      <c r="D1823" s="282"/>
      <c r="E1823" s="282"/>
      <c r="F1823" s="282"/>
      <c r="G1823" s="329"/>
      <c r="H1823" s="329"/>
      <c r="I1823" s="329"/>
      <c r="J1823" s="329"/>
      <c r="K1823" s="329"/>
      <c r="L1823" s="329"/>
      <c r="M1823" s="329"/>
      <c r="N1823" s="329"/>
      <c r="O1823" s="329"/>
      <c r="P1823" s="329"/>
      <c r="Q1823" s="329"/>
      <c r="R1823" s="329"/>
    </row>
    <row r="1824" spans="1:19" ht="13">
      <c r="A1824" s="282"/>
      <c r="B1824" s="282"/>
      <c r="C1824" s="282"/>
      <c r="D1824" s="282"/>
      <c r="E1824" s="282"/>
      <c r="F1824" s="282"/>
      <c r="G1824" s="329"/>
      <c r="H1824" s="329"/>
      <c r="I1824" s="329"/>
      <c r="J1824" s="329"/>
      <c r="K1824" s="329"/>
      <c r="L1824" s="329"/>
      <c r="M1824" s="329"/>
      <c r="N1824" s="329"/>
      <c r="O1824" s="329"/>
      <c r="P1824" s="329"/>
      <c r="Q1824" s="329"/>
      <c r="R1824" s="329"/>
    </row>
    <row r="1825" spans="1:18" ht="13">
      <c r="A1825" s="282"/>
      <c r="B1825" s="282"/>
      <c r="C1825" s="282"/>
      <c r="D1825" s="282"/>
      <c r="E1825" s="282"/>
      <c r="F1825" s="282"/>
      <c r="G1825" s="329"/>
      <c r="H1825" s="329"/>
      <c r="I1825" s="329"/>
      <c r="J1825" s="329"/>
      <c r="K1825" s="329"/>
      <c r="L1825" s="329"/>
      <c r="M1825" s="329"/>
      <c r="N1825" s="329"/>
      <c r="O1825" s="329"/>
      <c r="P1825" s="329"/>
      <c r="Q1825" s="329"/>
      <c r="R1825" s="329"/>
    </row>
    <row r="1826" spans="1:18" ht="13">
      <c r="A1826" s="282"/>
      <c r="B1826" s="282"/>
      <c r="C1826" s="282"/>
      <c r="D1826" s="282"/>
      <c r="E1826" s="282"/>
      <c r="F1826" s="282"/>
      <c r="G1826" s="329"/>
      <c r="H1826" s="329"/>
      <c r="I1826" s="329"/>
      <c r="J1826" s="329"/>
      <c r="K1826" s="329"/>
      <c r="L1826" s="329"/>
      <c r="M1826" s="329"/>
      <c r="N1826" s="329"/>
      <c r="O1826" s="329"/>
      <c r="P1826" s="329"/>
      <c r="Q1826" s="329"/>
      <c r="R1826" s="329"/>
    </row>
    <row r="1827" spans="1:18" ht="13">
      <c r="A1827" s="282"/>
      <c r="B1827" s="282"/>
      <c r="C1827" s="282"/>
      <c r="D1827" s="282"/>
      <c r="E1827" s="282"/>
      <c r="F1827" s="282"/>
      <c r="G1827" s="329"/>
      <c r="H1827" s="329"/>
      <c r="I1827" s="329"/>
      <c r="J1827" s="329"/>
      <c r="K1827" s="329"/>
      <c r="L1827" s="329"/>
      <c r="M1827" s="329"/>
      <c r="N1827" s="329"/>
      <c r="O1827" s="329"/>
      <c r="P1827" s="329"/>
      <c r="Q1827" s="329"/>
      <c r="R1827" s="329"/>
    </row>
    <row r="1828" spans="1:18" ht="13">
      <c r="A1828" s="282"/>
      <c r="B1828" s="282"/>
      <c r="C1828" s="282"/>
      <c r="D1828" s="282"/>
      <c r="E1828" s="282"/>
      <c r="F1828" s="282"/>
      <c r="G1828" s="329"/>
      <c r="H1828" s="329"/>
      <c r="I1828" s="329"/>
      <c r="J1828" s="329"/>
      <c r="K1828" s="329"/>
      <c r="L1828" s="329"/>
      <c r="M1828" s="329"/>
      <c r="N1828" s="329"/>
      <c r="O1828" s="329"/>
      <c r="P1828" s="329"/>
      <c r="Q1828" s="329"/>
      <c r="R1828" s="329"/>
    </row>
    <row r="1829" spans="1:18" ht="13">
      <c r="A1829" s="282"/>
      <c r="B1829" s="282"/>
      <c r="C1829" s="282"/>
      <c r="D1829" s="282"/>
      <c r="E1829" s="282"/>
      <c r="F1829" s="282"/>
      <c r="G1829" s="329"/>
      <c r="H1829" s="329"/>
      <c r="I1829" s="329"/>
      <c r="J1829" s="329"/>
      <c r="K1829" s="329"/>
      <c r="L1829" s="329"/>
      <c r="M1829" s="329"/>
      <c r="N1829" s="329"/>
      <c r="O1829" s="329"/>
      <c r="P1829" s="329"/>
      <c r="Q1829" s="329"/>
      <c r="R1829" s="329"/>
    </row>
    <row r="1830" spans="1:18" ht="13">
      <c r="A1830" s="282"/>
      <c r="B1830" s="282"/>
      <c r="C1830" s="282"/>
      <c r="D1830" s="282"/>
      <c r="E1830" s="282"/>
      <c r="F1830" s="282"/>
      <c r="G1830" s="329"/>
      <c r="H1830" s="329"/>
      <c r="I1830" s="329"/>
      <c r="J1830" s="329"/>
      <c r="K1830" s="329"/>
      <c r="L1830" s="329"/>
      <c r="M1830" s="329"/>
      <c r="N1830" s="329"/>
      <c r="O1830" s="329"/>
      <c r="P1830" s="329"/>
      <c r="Q1830" s="329"/>
      <c r="R1830" s="329"/>
    </row>
    <row r="1831" spans="1:18" ht="13">
      <c r="A1831" s="282"/>
      <c r="B1831" s="282"/>
      <c r="C1831" s="282"/>
      <c r="D1831" s="282"/>
      <c r="E1831" s="282"/>
      <c r="F1831" s="282"/>
      <c r="G1831" s="329"/>
      <c r="H1831" s="329"/>
      <c r="I1831" s="329"/>
      <c r="J1831" s="329"/>
      <c r="K1831" s="329"/>
      <c r="L1831" s="329"/>
      <c r="M1831" s="329"/>
      <c r="N1831" s="329"/>
      <c r="O1831" s="329"/>
      <c r="P1831" s="329"/>
      <c r="Q1831" s="329"/>
      <c r="R1831" s="329"/>
    </row>
    <row r="1832" spans="1:18" ht="13">
      <c r="A1832" s="282"/>
      <c r="B1832" s="282"/>
      <c r="C1832" s="282"/>
      <c r="D1832" s="282"/>
      <c r="E1832" s="282"/>
      <c r="F1832" s="282"/>
      <c r="G1832" s="329"/>
      <c r="H1832" s="329"/>
      <c r="I1832" s="329"/>
      <c r="J1832" s="329"/>
      <c r="K1832" s="329"/>
      <c r="L1832" s="329"/>
      <c r="M1832" s="329"/>
      <c r="N1832" s="329"/>
      <c r="O1832" s="329"/>
      <c r="P1832" s="329"/>
      <c r="Q1832" s="329"/>
      <c r="R1832" s="329"/>
    </row>
    <row r="1833" spans="1:18" ht="13">
      <c r="A1833" s="282"/>
      <c r="B1833" s="282"/>
      <c r="C1833" s="282"/>
      <c r="D1833" s="282"/>
      <c r="E1833" s="282"/>
      <c r="F1833" s="282"/>
      <c r="G1833" s="329"/>
      <c r="H1833" s="329"/>
      <c r="I1833" s="329"/>
      <c r="J1833" s="329"/>
      <c r="K1833" s="329"/>
      <c r="L1833" s="329"/>
      <c r="M1833" s="329"/>
      <c r="N1833" s="329"/>
      <c r="O1833" s="329"/>
      <c r="P1833" s="329"/>
      <c r="Q1833" s="329"/>
      <c r="R1833" s="329"/>
    </row>
    <row r="1834" spans="1:18" ht="13">
      <c r="A1834" s="282"/>
      <c r="B1834" s="282"/>
      <c r="C1834" s="282"/>
      <c r="D1834" s="282"/>
      <c r="E1834" s="282"/>
      <c r="F1834" s="282"/>
      <c r="G1834" s="329"/>
      <c r="H1834" s="329"/>
      <c r="I1834" s="329"/>
      <c r="J1834" s="329"/>
      <c r="K1834" s="329"/>
      <c r="L1834" s="329"/>
      <c r="M1834" s="329"/>
      <c r="N1834" s="329"/>
      <c r="O1834" s="329"/>
      <c r="P1834" s="329"/>
      <c r="Q1834" s="329"/>
      <c r="R1834" s="329"/>
    </row>
    <row r="1835" spans="1:18" ht="13">
      <c r="A1835" s="282"/>
      <c r="B1835" s="282"/>
      <c r="C1835" s="282"/>
      <c r="D1835" s="282"/>
      <c r="E1835" s="282"/>
      <c r="F1835" s="282"/>
      <c r="G1835" s="329"/>
      <c r="H1835" s="329"/>
      <c r="I1835" s="329"/>
      <c r="J1835" s="329"/>
      <c r="K1835" s="329"/>
      <c r="L1835" s="329"/>
      <c r="M1835" s="329"/>
      <c r="N1835" s="329"/>
      <c r="O1835" s="329"/>
      <c r="P1835" s="329"/>
      <c r="Q1835" s="329"/>
      <c r="R1835" s="329"/>
    </row>
    <row r="1836" spans="1:18" ht="13">
      <c r="A1836" s="282"/>
      <c r="B1836" s="282"/>
      <c r="C1836" s="282"/>
      <c r="D1836" s="282"/>
      <c r="E1836" s="282"/>
      <c r="F1836" s="282"/>
      <c r="G1836" s="329"/>
      <c r="H1836" s="329"/>
      <c r="I1836" s="329"/>
      <c r="J1836" s="329"/>
      <c r="K1836" s="329"/>
      <c r="L1836" s="329"/>
      <c r="M1836" s="329"/>
      <c r="N1836" s="329"/>
      <c r="O1836" s="329"/>
      <c r="P1836" s="329"/>
      <c r="Q1836" s="329"/>
      <c r="R1836" s="329"/>
    </row>
    <row r="1837" spans="1:18" ht="13">
      <c r="A1837" s="282"/>
      <c r="B1837" s="282"/>
      <c r="C1837" s="282"/>
      <c r="D1837" s="282"/>
      <c r="E1837" s="282"/>
      <c r="F1837" s="282"/>
      <c r="G1837" s="329"/>
      <c r="H1837" s="329"/>
      <c r="I1837" s="329"/>
      <c r="J1837" s="329"/>
      <c r="K1837" s="329"/>
      <c r="L1837" s="329"/>
      <c r="M1837" s="329"/>
      <c r="N1837" s="329"/>
      <c r="O1837" s="329"/>
      <c r="P1837" s="329"/>
      <c r="Q1837" s="329"/>
      <c r="R1837" s="329"/>
    </row>
    <row r="1838" spans="1:18" ht="13">
      <c r="A1838" s="282"/>
      <c r="B1838" s="282"/>
      <c r="C1838" s="282"/>
      <c r="D1838" s="282"/>
      <c r="E1838" s="282"/>
      <c r="F1838" s="282"/>
      <c r="G1838" s="329"/>
      <c r="H1838" s="329"/>
      <c r="I1838" s="329"/>
      <c r="J1838" s="329"/>
      <c r="K1838" s="329"/>
      <c r="L1838" s="329"/>
      <c r="M1838" s="329"/>
      <c r="N1838" s="329"/>
      <c r="O1838" s="329"/>
      <c r="P1838" s="329"/>
      <c r="Q1838" s="329"/>
      <c r="R1838" s="329"/>
    </row>
    <row r="1839" spans="1:18" ht="13">
      <c r="A1839" s="282"/>
      <c r="B1839" s="282"/>
      <c r="C1839" s="282"/>
      <c r="D1839" s="282"/>
      <c r="E1839" s="282"/>
      <c r="F1839" s="282"/>
      <c r="G1839" s="329"/>
      <c r="H1839" s="329"/>
      <c r="I1839" s="329"/>
      <c r="J1839" s="329"/>
      <c r="K1839" s="329"/>
      <c r="L1839" s="329"/>
      <c r="M1839" s="329"/>
      <c r="N1839" s="329"/>
      <c r="O1839" s="329"/>
      <c r="P1839" s="329"/>
      <c r="Q1839" s="329"/>
      <c r="R1839" s="329"/>
    </row>
    <row r="1840" spans="1:18" ht="13">
      <c r="A1840" s="282"/>
      <c r="B1840" s="282"/>
      <c r="C1840" s="282"/>
      <c r="D1840" s="282"/>
      <c r="E1840" s="282"/>
      <c r="F1840" s="282"/>
      <c r="G1840" s="329"/>
      <c r="H1840" s="329"/>
      <c r="I1840" s="329"/>
      <c r="J1840" s="329"/>
      <c r="K1840" s="329"/>
      <c r="L1840" s="329"/>
      <c r="M1840" s="329"/>
      <c r="N1840" s="329"/>
      <c r="O1840" s="329"/>
      <c r="P1840" s="329"/>
      <c r="Q1840" s="329"/>
      <c r="R1840" s="329"/>
    </row>
    <row r="1841" spans="1:18" ht="13">
      <c r="A1841" s="282"/>
      <c r="B1841" s="282"/>
      <c r="C1841" s="282"/>
      <c r="D1841" s="282"/>
      <c r="E1841" s="282"/>
      <c r="F1841" s="282"/>
      <c r="G1841" s="329"/>
      <c r="H1841" s="329"/>
      <c r="I1841" s="329"/>
      <c r="J1841" s="329"/>
      <c r="K1841" s="329"/>
      <c r="L1841" s="329"/>
      <c r="M1841" s="329"/>
      <c r="N1841" s="329"/>
      <c r="O1841" s="329"/>
      <c r="P1841" s="329"/>
      <c r="Q1841" s="329"/>
      <c r="R1841" s="329"/>
    </row>
    <row r="1842" spans="1:18" ht="13">
      <c r="A1842" s="282"/>
      <c r="B1842" s="282"/>
      <c r="C1842" s="282"/>
      <c r="D1842" s="282"/>
      <c r="E1842" s="282"/>
      <c r="F1842" s="282"/>
      <c r="G1842" s="329"/>
      <c r="H1842" s="329"/>
      <c r="I1842" s="329"/>
      <c r="J1842" s="329"/>
      <c r="K1842" s="329"/>
      <c r="L1842" s="329"/>
      <c r="M1842" s="329"/>
      <c r="N1842" s="329"/>
      <c r="O1842" s="329"/>
      <c r="P1842" s="329"/>
      <c r="Q1842" s="329"/>
      <c r="R1842" s="329"/>
    </row>
    <row r="1843" spans="1:18" ht="13">
      <c r="A1843" s="282"/>
      <c r="B1843" s="282"/>
      <c r="C1843" s="282"/>
      <c r="D1843" s="282"/>
      <c r="E1843" s="282"/>
      <c r="F1843" s="282"/>
      <c r="G1843" s="329"/>
      <c r="H1843" s="329"/>
      <c r="I1843" s="329"/>
      <c r="J1843" s="329"/>
      <c r="K1843" s="329"/>
      <c r="L1843" s="329"/>
      <c r="M1843" s="329"/>
      <c r="N1843" s="329"/>
      <c r="O1843" s="329"/>
      <c r="P1843" s="329"/>
      <c r="Q1843" s="329"/>
      <c r="R1843" s="329"/>
    </row>
    <row r="1844" spans="1:18" ht="13">
      <c r="A1844" s="282"/>
      <c r="B1844" s="282"/>
      <c r="C1844" s="282"/>
      <c r="D1844" s="282"/>
      <c r="E1844" s="282"/>
      <c r="F1844" s="282"/>
      <c r="G1844" s="329"/>
      <c r="H1844" s="329"/>
      <c r="I1844" s="329"/>
      <c r="J1844" s="329"/>
      <c r="K1844" s="329"/>
      <c r="L1844" s="329"/>
      <c r="M1844" s="329"/>
      <c r="N1844" s="329"/>
      <c r="O1844" s="329"/>
      <c r="P1844" s="329"/>
      <c r="Q1844" s="329"/>
      <c r="R1844" s="329"/>
    </row>
    <row r="1845" spans="1:18" ht="13">
      <c r="A1845" s="282"/>
      <c r="B1845" s="282"/>
      <c r="C1845" s="282"/>
      <c r="D1845" s="282"/>
      <c r="E1845" s="282"/>
      <c r="F1845" s="282"/>
      <c r="G1845" s="329"/>
      <c r="H1845" s="329"/>
      <c r="I1845" s="329"/>
      <c r="J1845" s="329"/>
      <c r="K1845" s="329"/>
      <c r="L1845" s="329"/>
      <c r="M1845" s="329"/>
      <c r="N1845" s="329"/>
      <c r="O1845" s="329"/>
      <c r="P1845" s="329"/>
      <c r="Q1845" s="329"/>
      <c r="R1845" s="329"/>
    </row>
    <row r="1846" spans="1:18" ht="13">
      <c r="A1846" s="282"/>
      <c r="B1846" s="282"/>
      <c r="C1846" s="282"/>
      <c r="D1846" s="282"/>
      <c r="E1846" s="282"/>
      <c r="F1846" s="282"/>
      <c r="G1846" s="329"/>
      <c r="H1846" s="329"/>
      <c r="I1846" s="329"/>
      <c r="J1846" s="329"/>
      <c r="K1846" s="329"/>
      <c r="L1846" s="329"/>
      <c r="M1846" s="329"/>
      <c r="N1846" s="329"/>
      <c r="O1846" s="329"/>
      <c r="P1846" s="329"/>
      <c r="Q1846" s="329"/>
      <c r="R1846" s="329"/>
    </row>
    <row r="1847" spans="1:18" ht="13">
      <c r="A1847" s="282"/>
      <c r="B1847" s="282"/>
      <c r="C1847" s="282"/>
      <c r="D1847" s="282"/>
      <c r="E1847" s="282"/>
      <c r="F1847" s="282"/>
      <c r="G1847" s="329"/>
      <c r="H1847" s="329"/>
      <c r="I1847" s="329"/>
      <c r="J1847" s="329"/>
      <c r="K1847" s="329"/>
      <c r="L1847" s="329"/>
      <c r="M1847" s="329"/>
      <c r="N1847" s="329"/>
      <c r="O1847" s="329"/>
      <c r="P1847" s="329"/>
      <c r="Q1847" s="329"/>
      <c r="R1847" s="329"/>
    </row>
    <row r="1848" spans="1:18" ht="13">
      <c r="A1848" s="282"/>
      <c r="B1848" s="282"/>
      <c r="C1848" s="282"/>
      <c r="D1848" s="282"/>
      <c r="E1848" s="282"/>
      <c r="F1848" s="282"/>
      <c r="G1848" s="329"/>
      <c r="H1848" s="329"/>
      <c r="I1848" s="329"/>
      <c r="J1848" s="329"/>
      <c r="K1848" s="329"/>
      <c r="L1848" s="329"/>
      <c r="M1848" s="329"/>
      <c r="N1848" s="329"/>
      <c r="O1848" s="329"/>
      <c r="P1848" s="329"/>
      <c r="Q1848" s="329"/>
      <c r="R1848" s="329"/>
    </row>
    <row r="1849" spans="1:18" ht="13">
      <c r="A1849" s="282"/>
      <c r="B1849" s="282"/>
      <c r="C1849" s="282"/>
      <c r="D1849" s="282"/>
      <c r="E1849" s="282"/>
      <c r="F1849" s="282"/>
      <c r="G1849" s="329"/>
      <c r="H1849" s="329"/>
      <c r="I1849" s="329"/>
      <c r="J1849" s="329"/>
      <c r="K1849" s="329"/>
      <c r="L1849" s="329"/>
      <c r="M1849" s="329"/>
      <c r="N1849" s="329"/>
      <c r="O1849" s="329"/>
      <c r="P1849" s="329"/>
      <c r="Q1849" s="329"/>
      <c r="R1849" s="329"/>
    </row>
    <row r="1850" spans="1:18" ht="13">
      <c r="A1850" s="282"/>
      <c r="B1850" s="282"/>
      <c r="C1850" s="282"/>
      <c r="D1850" s="282"/>
      <c r="E1850" s="282"/>
      <c r="F1850" s="282"/>
      <c r="G1850" s="329"/>
      <c r="H1850" s="329"/>
      <c r="I1850" s="329"/>
      <c r="J1850" s="329"/>
      <c r="K1850" s="329"/>
      <c r="L1850" s="329"/>
      <c r="M1850" s="329"/>
      <c r="N1850" s="329"/>
      <c r="O1850" s="329"/>
      <c r="P1850" s="329"/>
      <c r="Q1850" s="329"/>
      <c r="R1850" s="329"/>
    </row>
    <row r="1851" spans="1:18" ht="13">
      <c r="A1851" s="282"/>
      <c r="B1851" s="282"/>
      <c r="C1851" s="282"/>
      <c r="D1851" s="282"/>
      <c r="E1851" s="282"/>
      <c r="F1851" s="282"/>
      <c r="G1851" s="329"/>
      <c r="H1851" s="329"/>
      <c r="I1851" s="329"/>
      <c r="J1851" s="329"/>
      <c r="K1851" s="329"/>
      <c r="L1851" s="329"/>
      <c r="M1851" s="329"/>
      <c r="N1851" s="329"/>
      <c r="O1851" s="329"/>
      <c r="P1851" s="329"/>
      <c r="Q1851" s="329"/>
      <c r="R1851" s="329"/>
    </row>
    <row r="1852" spans="1:18" ht="13">
      <c r="A1852" s="282"/>
      <c r="B1852" s="282"/>
      <c r="C1852" s="282"/>
      <c r="D1852" s="282"/>
      <c r="E1852" s="282"/>
      <c r="F1852" s="282"/>
      <c r="G1852" s="329"/>
      <c r="H1852" s="329"/>
      <c r="I1852" s="329"/>
      <c r="J1852" s="329"/>
      <c r="K1852" s="329"/>
      <c r="L1852" s="329"/>
      <c r="M1852" s="329"/>
      <c r="N1852" s="329"/>
      <c r="O1852" s="329"/>
      <c r="P1852" s="329"/>
      <c r="Q1852" s="329"/>
      <c r="R1852" s="329"/>
    </row>
    <row r="1853" spans="1:18" ht="13">
      <c r="A1853" s="282"/>
      <c r="B1853" s="282"/>
      <c r="C1853" s="282"/>
      <c r="D1853" s="282"/>
      <c r="E1853" s="282"/>
      <c r="F1853" s="282"/>
      <c r="G1853" s="329"/>
      <c r="H1853" s="329"/>
      <c r="I1853" s="329"/>
      <c r="J1853" s="329"/>
      <c r="K1853" s="329"/>
      <c r="L1853" s="329"/>
      <c r="M1853" s="329"/>
      <c r="N1853" s="329"/>
      <c r="O1853" s="329"/>
      <c r="P1853" s="329"/>
      <c r="Q1853" s="329"/>
      <c r="R1853" s="329"/>
    </row>
    <row r="1854" spans="1:18" ht="13">
      <c r="A1854" s="282"/>
      <c r="B1854" s="282"/>
      <c r="C1854" s="282"/>
      <c r="D1854" s="282"/>
      <c r="E1854" s="282"/>
      <c r="F1854" s="282"/>
      <c r="G1854" s="329"/>
      <c r="H1854" s="329"/>
      <c r="I1854" s="329"/>
      <c r="J1854" s="329"/>
      <c r="K1854" s="329"/>
      <c r="L1854" s="329"/>
      <c r="M1854" s="329"/>
      <c r="N1854" s="329"/>
      <c r="O1854" s="329"/>
      <c r="P1854" s="329"/>
      <c r="Q1854" s="329"/>
      <c r="R1854" s="329"/>
    </row>
    <row r="1855" spans="1:18" ht="13">
      <c r="A1855" s="282"/>
      <c r="B1855" s="282"/>
      <c r="C1855" s="282"/>
      <c r="D1855" s="282"/>
      <c r="E1855" s="282"/>
      <c r="F1855" s="282"/>
      <c r="G1855" s="329"/>
      <c r="H1855" s="329"/>
      <c r="I1855" s="329"/>
      <c r="J1855" s="329"/>
      <c r="K1855" s="329"/>
      <c r="L1855" s="329"/>
      <c r="M1855" s="329"/>
      <c r="N1855" s="329"/>
      <c r="O1855" s="329"/>
      <c r="P1855" s="329"/>
      <c r="Q1855" s="329"/>
      <c r="R1855" s="329"/>
    </row>
    <row r="1856" spans="1:18" ht="13">
      <c r="A1856" s="282"/>
      <c r="B1856" s="282"/>
      <c r="C1856" s="282"/>
      <c r="D1856" s="282"/>
      <c r="E1856" s="282"/>
      <c r="F1856" s="282"/>
      <c r="G1856" s="329"/>
      <c r="H1856" s="329"/>
      <c r="I1856" s="329"/>
      <c r="J1856" s="329"/>
      <c r="K1856" s="329"/>
      <c r="L1856" s="329"/>
      <c r="M1856" s="329"/>
      <c r="N1856" s="329"/>
      <c r="O1856" s="329"/>
      <c r="P1856" s="329"/>
      <c r="Q1856" s="329"/>
      <c r="R1856" s="329"/>
    </row>
    <row r="1857" spans="1:18" ht="13">
      <c r="A1857" s="282"/>
      <c r="B1857" s="282"/>
      <c r="C1857" s="282"/>
      <c r="D1857" s="282"/>
      <c r="E1857" s="282"/>
      <c r="F1857" s="282"/>
      <c r="G1857" s="329"/>
      <c r="H1857" s="329"/>
      <c r="I1857" s="329"/>
      <c r="J1857" s="329"/>
      <c r="K1857" s="329"/>
      <c r="L1857" s="329"/>
      <c r="M1857" s="329"/>
      <c r="N1857" s="329"/>
      <c r="O1857" s="329"/>
      <c r="P1857" s="329"/>
      <c r="Q1857" s="329"/>
      <c r="R1857" s="329"/>
    </row>
    <row r="1858" spans="1:18" ht="13">
      <c r="A1858" s="282"/>
      <c r="B1858" s="282"/>
      <c r="C1858" s="282"/>
      <c r="D1858" s="282"/>
      <c r="E1858" s="282"/>
      <c r="F1858" s="282"/>
      <c r="G1858" s="329"/>
      <c r="H1858" s="329"/>
      <c r="I1858" s="329"/>
      <c r="J1858" s="329"/>
      <c r="K1858" s="329"/>
      <c r="L1858" s="329"/>
      <c r="M1858" s="329"/>
      <c r="N1858" s="329"/>
      <c r="O1858" s="329"/>
      <c r="P1858" s="329"/>
      <c r="Q1858" s="329"/>
      <c r="R1858" s="329"/>
    </row>
    <row r="1859" spans="1:18" ht="13">
      <c r="A1859" s="282"/>
      <c r="B1859" s="282"/>
      <c r="C1859" s="282"/>
      <c r="D1859" s="282"/>
      <c r="E1859" s="282"/>
      <c r="F1859" s="282"/>
      <c r="G1859" s="329"/>
      <c r="H1859" s="329"/>
      <c r="I1859" s="329"/>
      <c r="J1859" s="329"/>
      <c r="K1859" s="329"/>
      <c r="L1859" s="329"/>
      <c r="M1859" s="329"/>
      <c r="N1859" s="329"/>
      <c r="O1859" s="329"/>
      <c r="P1859" s="329"/>
      <c r="Q1859" s="329"/>
      <c r="R1859" s="329"/>
    </row>
    <row r="1860" spans="1:18" ht="13">
      <c r="A1860" s="282"/>
      <c r="B1860" s="282"/>
      <c r="C1860" s="282"/>
      <c r="D1860" s="282"/>
      <c r="E1860" s="282"/>
      <c r="F1860" s="282"/>
      <c r="G1860" s="329"/>
      <c r="H1860" s="329"/>
      <c r="I1860" s="329"/>
      <c r="J1860" s="329"/>
      <c r="K1860" s="329"/>
      <c r="L1860" s="329"/>
      <c r="M1860" s="329"/>
      <c r="N1860" s="329"/>
      <c r="O1860" s="329"/>
      <c r="P1860" s="329"/>
      <c r="Q1860" s="329"/>
      <c r="R1860" s="329"/>
    </row>
    <row r="1861" spans="1:18" ht="13">
      <c r="A1861" s="282"/>
      <c r="B1861" s="282"/>
      <c r="C1861" s="282"/>
      <c r="D1861" s="282"/>
      <c r="E1861" s="282"/>
      <c r="F1861" s="282"/>
      <c r="G1861" s="329"/>
      <c r="H1861" s="329"/>
      <c r="I1861" s="329"/>
      <c r="J1861" s="329"/>
      <c r="K1861" s="329"/>
      <c r="L1861" s="329"/>
      <c r="M1861" s="329"/>
      <c r="N1861" s="329"/>
      <c r="O1861" s="329"/>
      <c r="P1861" s="329"/>
      <c r="Q1861" s="329"/>
      <c r="R1861" s="329"/>
    </row>
    <row r="1862" spans="1:18" ht="13">
      <c r="A1862" s="282"/>
      <c r="B1862" s="282"/>
      <c r="C1862" s="282"/>
      <c r="D1862" s="282"/>
      <c r="E1862" s="282"/>
      <c r="F1862" s="282"/>
      <c r="G1862" s="329"/>
      <c r="H1862" s="329"/>
      <c r="I1862" s="329"/>
      <c r="J1862" s="329"/>
      <c r="K1862" s="329"/>
      <c r="L1862" s="329"/>
      <c r="M1862" s="329"/>
      <c r="N1862" s="329"/>
      <c r="O1862" s="329"/>
      <c r="P1862" s="329"/>
      <c r="Q1862" s="329"/>
      <c r="R1862" s="329"/>
    </row>
    <row r="1863" spans="1:18" ht="13">
      <c r="A1863" s="282"/>
      <c r="B1863" s="282"/>
      <c r="C1863" s="282"/>
      <c r="D1863" s="282"/>
      <c r="E1863" s="282"/>
      <c r="F1863" s="282"/>
      <c r="G1863" s="329"/>
      <c r="H1863" s="329"/>
      <c r="I1863" s="329"/>
      <c r="J1863" s="329"/>
      <c r="K1863" s="329"/>
      <c r="L1863" s="329"/>
      <c r="M1863" s="329"/>
      <c r="N1863" s="329"/>
      <c r="O1863" s="329"/>
      <c r="P1863" s="329"/>
      <c r="Q1863" s="329"/>
      <c r="R1863" s="329"/>
    </row>
    <row r="1864" spans="1:18" ht="13">
      <c r="A1864" s="282"/>
      <c r="B1864" s="282"/>
      <c r="C1864" s="282"/>
      <c r="D1864" s="282"/>
      <c r="E1864" s="282"/>
      <c r="F1864" s="282"/>
      <c r="G1864" s="329"/>
      <c r="H1864" s="329"/>
      <c r="I1864" s="329"/>
      <c r="J1864" s="329"/>
      <c r="K1864" s="329"/>
      <c r="L1864" s="329"/>
      <c r="M1864" s="329"/>
      <c r="N1864" s="329"/>
      <c r="O1864" s="329"/>
      <c r="P1864" s="329"/>
      <c r="Q1864" s="329"/>
      <c r="R1864" s="329"/>
    </row>
    <row r="1865" spans="1:18" ht="13">
      <c r="A1865" s="282"/>
      <c r="B1865" s="282"/>
      <c r="C1865" s="282"/>
      <c r="D1865" s="282"/>
      <c r="E1865" s="282"/>
      <c r="F1865" s="282"/>
      <c r="G1865" s="329"/>
      <c r="H1865" s="329"/>
      <c r="I1865" s="329"/>
      <c r="J1865" s="329"/>
      <c r="K1865" s="329"/>
      <c r="L1865" s="329"/>
      <c r="M1865" s="329"/>
      <c r="N1865" s="329"/>
      <c r="O1865" s="329"/>
      <c r="P1865" s="329"/>
      <c r="Q1865" s="329"/>
      <c r="R1865" s="329"/>
    </row>
    <row r="1866" spans="1:18" ht="13">
      <c r="A1866" s="282"/>
      <c r="B1866" s="282"/>
      <c r="C1866" s="282"/>
      <c r="D1866" s="282"/>
      <c r="E1866" s="282"/>
      <c r="F1866" s="282"/>
      <c r="G1866" s="329"/>
      <c r="H1866" s="329"/>
      <c r="I1866" s="329"/>
      <c r="J1866" s="329"/>
      <c r="K1866" s="329"/>
      <c r="L1866" s="329"/>
      <c r="M1866" s="329"/>
      <c r="N1866" s="329"/>
      <c r="O1866" s="329"/>
      <c r="P1866" s="329"/>
      <c r="Q1866" s="329"/>
      <c r="R1866" s="329"/>
    </row>
    <row r="1867" spans="1:18" ht="13">
      <c r="A1867" s="282"/>
      <c r="B1867" s="282"/>
      <c r="C1867" s="282"/>
      <c r="D1867" s="282"/>
      <c r="E1867" s="282"/>
      <c r="F1867" s="282"/>
      <c r="G1867" s="329"/>
      <c r="H1867" s="329"/>
      <c r="I1867" s="329"/>
      <c r="J1867" s="329"/>
      <c r="K1867" s="329"/>
      <c r="L1867" s="329"/>
      <c r="M1867" s="329"/>
      <c r="N1867" s="329"/>
      <c r="O1867" s="329"/>
      <c r="P1867" s="329"/>
      <c r="Q1867" s="329"/>
      <c r="R1867" s="329"/>
    </row>
    <row r="1868" spans="1:18" ht="13">
      <c r="A1868" s="282"/>
      <c r="B1868" s="282"/>
      <c r="C1868" s="282"/>
      <c r="D1868" s="282"/>
      <c r="E1868" s="282"/>
      <c r="F1868" s="282"/>
      <c r="G1868" s="329"/>
      <c r="H1868" s="329"/>
      <c r="I1868" s="329"/>
      <c r="J1868" s="329"/>
      <c r="K1868" s="329"/>
      <c r="L1868" s="329"/>
      <c r="M1868" s="329"/>
      <c r="N1868" s="329"/>
      <c r="O1868" s="329"/>
      <c r="P1868" s="329"/>
      <c r="Q1868" s="329"/>
      <c r="R1868" s="329"/>
    </row>
    <row r="1869" spans="1:18" ht="13">
      <c r="A1869" s="282"/>
      <c r="B1869" s="282"/>
      <c r="C1869" s="282"/>
      <c r="D1869" s="282"/>
      <c r="E1869" s="282"/>
      <c r="F1869" s="282"/>
      <c r="G1869" s="329"/>
      <c r="H1869" s="329"/>
      <c r="I1869" s="329"/>
      <c r="J1869" s="329"/>
      <c r="K1869" s="329"/>
      <c r="L1869" s="329"/>
      <c r="M1869" s="329"/>
      <c r="N1869" s="329"/>
      <c r="O1869" s="329"/>
      <c r="P1869" s="329"/>
      <c r="Q1869" s="329"/>
      <c r="R1869" s="329"/>
    </row>
    <row r="1870" spans="1:18" ht="13">
      <c r="A1870" s="282"/>
      <c r="B1870" s="282"/>
      <c r="C1870" s="282"/>
      <c r="D1870" s="282"/>
      <c r="E1870" s="282"/>
      <c r="F1870" s="282"/>
      <c r="G1870" s="329"/>
      <c r="H1870" s="329"/>
      <c r="I1870" s="329"/>
      <c r="J1870" s="329"/>
      <c r="K1870" s="329"/>
      <c r="L1870" s="329"/>
      <c r="M1870" s="329"/>
      <c r="N1870" s="329"/>
      <c r="O1870" s="329"/>
      <c r="P1870" s="329"/>
      <c r="Q1870" s="329"/>
      <c r="R1870" s="329"/>
    </row>
    <row r="1871" spans="1:18" ht="13">
      <c r="A1871" s="282"/>
      <c r="B1871" s="282"/>
      <c r="C1871" s="282"/>
      <c r="D1871" s="282"/>
      <c r="E1871" s="282"/>
      <c r="F1871" s="282"/>
      <c r="G1871" s="329"/>
      <c r="H1871" s="329"/>
      <c r="I1871" s="329"/>
      <c r="J1871" s="329"/>
      <c r="K1871" s="329"/>
      <c r="L1871" s="329"/>
      <c r="M1871" s="329"/>
      <c r="N1871" s="329"/>
      <c r="O1871" s="329"/>
      <c r="P1871" s="329"/>
      <c r="Q1871" s="329"/>
      <c r="R1871" s="329"/>
    </row>
    <row r="1872" spans="1:18" ht="13">
      <c r="A1872" s="282"/>
      <c r="B1872" s="282"/>
      <c r="C1872" s="282"/>
      <c r="D1872" s="282"/>
      <c r="E1872" s="282"/>
      <c r="F1872" s="282"/>
      <c r="G1872" s="329"/>
      <c r="H1872" s="329"/>
      <c r="I1872" s="329"/>
      <c r="J1872" s="329"/>
      <c r="K1872" s="329"/>
      <c r="L1872" s="329"/>
      <c r="M1872" s="329"/>
      <c r="N1872" s="329"/>
      <c r="O1872" s="329"/>
      <c r="P1872" s="329"/>
      <c r="Q1872" s="329"/>
      <c r="R1872" s="329"/>
    </row>
    <row r="1873" spans="1:18" ht="13">
      <c r="A1873" s="282"/>
      <c r="B1873" s="282"/>
      <c r="C1873" s="282"/>
      <c r="D1873" s="282"/>
      <c r="E1873" s="282"/>
      <c r="F1873" s="282"/>
      <c r="G1873" s="329"/>
      <c r="H1873" s="329"/>
      <c r="I1873" s="329"/>
      <c r="J1873" s="329"/>
      <c r="K1873" s="329"/>
      <c r="L1873" s="329"/>
      <c r="M1873" s="329"/>
      <c r="N1873" s="329"/>
      <c r="O1873" s="329"/>
      <c r="P1873" s="329"/>
      <c r="Q1873" s="329"/>
      <c r="R1873" s="329"/>
    </row>
    <row r="1874" spans="1:18" ht="13">
      <c r="A1874" s="282"/>
      <c r="B1874" s="282"/>
      <c r="C1874" s="282"/>
      <c r="D1874" s="282"/>
      <c r="E1874" s="282"/>
      <c r="F1874" s="282"/>
      <c r="G1874" s="329"/>
      <c r="H1874" s="329"/>
      <c r="I1874" s="329"/>
      <c r="J1874" s="329"/>
      <c r="K1874" s="329"/>
      <c r="L1874" s="329"/>
      <c r="M1874" s="329"/>
      <c r="N1874" s="329"/>
      <c r="O1874" s="329"/>
      <c r="P1874" s="329"/>
      <c r="Q1874" s="329"/>
      <c r="R1874" s="329"/>
    </row>
    <row r="1875" spans="1:18" ht="13">
      <c r="A1875" s="282"/>
      <c r="B1875" s="282"/>
      <c r="C1875" s="282"/>
      <c r="D1875" s="282"/>
      <c r="E1875" s="282"/>
      <c r="F1875" s="282"/>
      <c r="G1875" s="329"/>
      <c r="H1875" s="329"/>
      <c r="I1875" s="329"/>
      <c r="J1875" s="329"/>
      <c r="K1875" s="329"/>
      <c r="L1875" s="329"/>
      <c r="M1875" s="329"/>
      <c r="N1875" s="329"/>
      <c r="O1875" s="329"/>
      <c r="P1875" s="329"/>
      <c r="Q1875" s="329"/>
      <c r="R1875" s="329"/>
    </row>
    <row r="1876" spans="1:18" ht="13">
      <c r="A1876" s="282"/>
      <c r="B1876" s="282"/>
      <c r="C1876" s="282"/>
      <c r="D1876" s="282"/>
      <c r="E1876" s="282"/>
      <c r="F1876" s="282"/>
      <c r="G1876" s="329"/>
      <c r="H1876" s="329"/>
      <c r="I1876" s="329"/>
      <c r="J1876" s="329"/>
      <c r="K1876" s="329"/>
      <c r="L1876" s="329"/>
      <c r="M1876" s="329"/>
      <c r="N1876" s="329"/>
      <c r="O1876" s="329"/>
      <c r="P1876" s="329"/>
      <c r="Q1876" s="329"/>
      <c r="R1876" s="329"/>
    </row>
    <row r="1877" spans="1:18" ht="13">
      <c r="A1877" s="282"/>
      <c r="B1877" s="282"/>
      <c r="C1877" s="282"/>
      <c r="D1877" s="282"/>
      <c r="E1877" s="282"/>
      <c r="F1877" s="282"/>
      <c r="G1877" s="329"/>
      <c r="H1877" s="329"/>
      <c r="I1877" s="329"/>
      <c r="J1877" s="329"/>
      <c r="K1877" s="329"/>
      <c r="L1877" s="329"/>
      <c r="M1877" s="329"/>
      <c r="N1877" s="329"/>
      <c r="O1877" s="329"/>
      <c r="P1877" s="329"/>
      <c r="Q1877" s="329"/>
      <c r="R1877" s="329"/>
    </row>
    <row r="1878" spans="1:18" ht="13">
      <c r="A1878" s="282"/>
      <c r="B1878" s="282"/>
      <c r="C1878" s="282"/>
      <c r="D1878" s="282"/>
      <c r="E1878" s="282"/>
      <c r="F1878" s="282"/>
      <c r="G1878" s="329"/>
      <c r="H1878" s="329"/>
      <c r="I1878" s="329"/>
      <c r="J1878" s="329"/>
      <c r="K1878" s="329"/>
      <c r="L1878" s="329"/>
      <c r="M1878" s="329"/>
      <c r="N1878" s="329"/>
      <c r="O1878" s="329"/>
      <c r="P1878" s="329"/>
      <c r="Q1878" s="329"/>
      <c r="R1878" s="329"/>
    </row>
    <row r="1879" spans="1:18" ht="13">
      <c r="A1879" s="282"/>
      <c r="B1879" s="282"/>
      <c r="C1879" s="282"/>
      <c r="D1879" s="282"/>
      <c r="E1879" s="282"/>
      <c r="F1879" s="282"/>
      <c r="G1879" s="329"/>
      <c r="H1879" s="329"/>
      <c r="I1879" s="329"/>
      <c r="J1879" s="329"/>
      <c r="K1879" s="329"/>
      <c r="L1879" s="329"/>
      <c r="M1879" s="329"/>
      <c r="N1879" s="329"/>
      <c r="O1879" s="329"/>
      <c r="P1879" s="329"/>
      <c r="Q1879" s="329"/>
      <c r="R1879" s="329"/>
    </row>
    <row r="1880" spans="1:18" ht="13">
      <c r="A1880" s="282"/>
      <c r="B1880" s="282"/>
      <c r="C1880" s="282"/>
      <c r="D1880" s="282"/>
      <c r="E1880" s="282"/>
      <c r="F1880" s="282"/>
      <c r="G1880" s="329"/>
      <c r="H1880" s="329"/>
      <c r="I1880" s="329"/>
      <c r="J1880" s="329"/>
      <c r="K1880" s="329"/>
      <c r="L1880" s="329"/>
      <c r="M1880" s="329"/>
      <c r="N1880" s="329"/>
      <c r="O1880" s="329"/>
      <c r="P1880" s="329"/>
      <c r="Q1880" s="329"/>
      <c r="R1880" s="329"/>
    </row>
    <row r="1881" spans="1:18" ht="13">
      <c r="A1881" s="282"/>
      <c r="B1881" s="282"/>
      <c r="C1881" s="282"/>
      <c r="D1881" s="282"/>
      <c r="E1881" s="282"/>
      <c r="F1881" s="282"/>
      <c r="G1881" s="329"/>
      <c r="H1881" s="329"/>
      <c r="I1881" s="329"/>
      <c r="J1881" s="329"/>
      <c r="K1881" s="329"/>
      <c r="L1881" s="329"/>
      <c r="M1881" s="329"/>
      <c r="N1881" s="329"/>
      <c r="O1881" s="329"/>
      <c r="P1881" s="329"/>
      <c r="Q1881" s="329"/>
      <c r="R1881" s="329"/>
    </row>
    <row r="1882" spans="1:18" ht="13">
      <c r="A1882" s="282"/>
      <c r="B1882" s="282"/>
      <c r="C1882" s="282"/>
      <c r="D1882" s="282"/>
      <c r="E1882" s="282"/>
      <c r="F1882" s="282"/>
      <c r="G1882" s="329"/>
      <c r="H1882" s="329"/>
      <c r="I1882" s="329"/>
      <c r="J1882" s="329"/>
      <c r="K1882" s="329"/>
      <c r="L1882" s="329"/>
      <c r="M1882" s="329"/>
      <c r="N1882" s="329"/>
      <c r="O1882" s="329"/>
      <c r="P1882" s="329"/>
      <c r="Q1882" s="329"/>
      <c r="R1882" s="329"/>
    </row>
    <row r="1883" spans="1:18" ht="13">
      <c r="A1883" s="282"/>
      <c r="B1883" s="282"/>
      <c r="C1883" s="282"/>
      <c r="D1883" s="282"/>
      <c r="E1883" s="282"/>
      <c r="F1883" s="282"/>
      <c r="G1883" s="329"/>
      <c r="H1883" s="329"/>
      <c r="I1883" s="329"/>
      <c r="J1883" s="329"/>
      <c r="K1883" s="329"/>
      <c r="L1883" s="329"/>
      <c r="M1883" s="329"/>
      <c r="N1883" s="329"/>
      <c r="O1883" s="329"/>
      <c r="P1883" s="329"/>
      <c r="Q1883" s="329"/>
      <c r="R1883" s="329"/>
    </row>
    <row r="1884" spans="1:18" ht="13">
      <c r="A1884" s="282"/>
      <c r="B1884" s="282"/>
      <c r="C1884" s="282"/>
      <c r="D1884" s="282"/>
      <c r="E1884" s="282"/>
      <c r="F1884" s="282"/>
      <c r="G1884" s="329"/>
      <c r="H1884" s="329"/>
      <c r="I1884" s="329"/>
      <c r="J1884" s="329"/>
      <c r="K1884" s="329"/>
      <c r="L1884" s="329"/>
      <c r="M1884" s="329"/>
      <c r="N1884" s="329"/>
      <c r="O1884" s="329"/>
      <c r="P1884" s="329"/>
      <c r="Q1884" s="329"/>
      <c r="R1884" s="329"/>
    </row>
    <row r="1885" spans="1:18" ht="13">
      <c r="A1885" s="282"/>
      <c r="B1885" s="282"/>
      <c r="C1885" s="282"/>
      <c r="D1885" s="282"/>
      <c r="E1885" s="282"/>
      <c r="F1885" s="282"/>
      <c r="G1885" s="329"/>
      <c r="H1885" s="329"/>
      <c r="I1885" s="329"/>
      <c r="J1885" s="329"/>
      <c r="K1885" s="329"/>
      <c r="L1885" s="329"/>
      <c r="M1885" s="329"/>
      <c r="N1885" s="329"/>
      <c r="O1885" s="329"/>
      <c r="P1885" s="329"/>
      <c r="Q1885" s="329"/>
      <c r="R1885" s="329"/>
    </row>
    <row r="1886" spans="1:18" ht="13">
      <c r="A1886" s="282"/>
      <c r="B1886" s="282"/>
      <c r="C1886" s="282"/>
      <c r="D1886" s="282"/>
      <c r="E1886" s="282"/>
      <c r="F1886" s="282"/>
      <c r="G1886" s="329"/>
      <c r="H1886" s="329"/>
      <c r="I1886" s="329"/>
      <c r="J1886" s="329"/>
      <c r="K1886" s="329"/>
      <c r="L1886" s="329"/>
      <c r="M1886" s="329"/>
      <c r="N1886" s="329"/>
      <c r="O1886" s="329"/>
      <c r="P1886" s="329"/>
      <c r="Q1886" s="329"/>
      <c r="R1886" s="329"/>
    </row>
    <row r="1887" spans="1:18" ht="13">
      <c r="A1887" s="282"/>
      <c r="B1887" s="282"/>
      <c r="C1887" s="282"/>
      <c r="D1887" s="282"/>
      <c r="E1887" s="282"/>
      <c r="F1887" s="282"/>
      <c r="G1887" s="329"/>
      <c r="H1887" s="329"/>
      <c r="I1887" s="329"/>
      <c r="J1887" s="329"/>
      <c r="K1887" s="329"/>
      <c r="L1887" s="329"/>
      <c r="M1887" s="329"/>
      <c r="N1887" s="329"/>
      <c r="O1887" s="329"/>
      <c r="P1887" s="329"/>
      <c r="Q1887" s="329"/>
      <c r="R1887" s="329"/>
    </row>
    <row r="1888" spans="1:18" ht="13">
      <c r="A1888" s="282"/>
      <c r="B1888" s="282"/>
      <c r="C1888" s="282"/>
      <c r="D1888" s="282"/>
      <c r="E1888" s="282"/>
      <c r="F1888" s="282"/>
      <c r="G1888" s="329"/>
      <c r="H1888" s="329"/>
      <c r="I1888" s="329"/>
      <c r="J1888" s="329"/>
      <c r="K1888" s="329"/>
      <c r="L1888" s="329"/>
      <c r="M1888" s="329"/>
      <c r="N1888" s="329"/>
      <c r="O1888" s="329"/>
      <c r="P1888" s="329"/>
      <c r="Q1888" s="329"/>
      <c r="R1888" s="329"/>
    </row>
    <row r="1889" spans="1:18" ht="13">
      <c r="A1889" s="282"/>
      <c r="B1889" s="282"/>
      <c r="C1889" s="282"/>
      <c r="D1889" s="282"/>
      <c r="E1889" s="282"/>
      <c r="F1889" s="282"/>
      <c r="G1889" s="329"/>
      <c r="H1889" s="329"/>
      <c r="I1889" s="329"/>
      <c r="J1889" s="329"/>
      <c r="K1889" s="329"/>
      <c r="L1889" s="329"/>
      <c r="M1889" s="329"/>
      <c r="N1889" s="329"/>
      <c r="O1889" s="329"/>
      <c r="P1889" s="329"/>
      <c r="Q1889" s="329"/>
      <c r="R1889" s="329"/>
    </row>
    <row r="1890" spans="1:18" ht="13">
      <c r="A1890" s="282"/>
      <c r="B1890" s="282"/>
      <c r="C1890" s="282"/>
      <c r="D1890" s="282"/>
      <c r="E1890" s="282"/>
      <c r="F1890" s="282"/>
      <c r="G1890" s="329"/>
      <c r="H1890" s="329"/>
      <c r="I1890" s="329"/>
      <c r="J1890" s="329"/>
      <c r="K1890" s="329"/>
      <c r="L1890" s="329"/>
      <c r="M1890" s="329"/>
      <c r="N1890" s="329"/>
      <c r="O1890" s="329"/>
      <c r="P1890" s="329"/>
      <c r="Q1890" s="329"/>
      <c r="R1890" s="329"/>
    </row>
    <row r="1891" spans="1:18" ht="13">
      <c r="A1891" s="282"/>
      <c r="B1891" s="282"/>
      <c r="C1891" s="282"/>
      <c r="D1891" s="282"/>
      <c r="E1891" s="282"/>
      <c r="F1891" s="282"/>
      <c r="G1891" s="329"/>
      <c r="H1891" s="329"/>
      <c r="I1891" s="329"/>
      <c r="J1891" s="329"/>
      <c r="K1891" s="329"/>
      <c r="L1891" s="329"/>
      <c r="M1891" s="329"/>
      <c r="N1891" s="329"/>
      <c r="O1891" s="329"/>
      <c r="P1891" s="329"/>
      <c r="Q1891" s="329"/>
      <c r="R1891" s="329"/>
    </row>
    <row r="1892" spans="1:18" ht="13">
      <c r="A1892" s="282"/>
      <c r="B1892" s="282"/>
      <c r="C1892" s="282"/>
      <c r="D1892" s="282"/>
      <c r="E1892" s="282"/>
      <c r="F1892" s="282"/>
      <c r="G1892" s="329"/>
      <c r="H1892" s="329"/>
      <c r="I1892" s="329"/>
      <c r="J1892" s="329"/>
      <c r="K1892" s="329"/>
      <c r="L1892" s="329"/>
      <c r="M1892" s="329"/>
      <c r="N1892" s="329"/>
      <c r="O1892" s="329"/>
      <c r="P1892" s="329"/>
      <c r="Q1892" s="329"/>
      <c r="R1892" s="329"/>
    </row>
    <row r="1893" spans="1:18" ht="13">
      <c r="A1893" s="282"/>
      <c r="B1893" s="282"/>
      <c r="C1893" s="282"/>
      <c r="D1893" s="282"/>
      <c r="E1893" s="282"/>
      <c r="F1893" s="282"/>
      <c r="G1893" s="329"/>
      <c r="H1893" s="329"/>
      <c r="I1893" s="329"/>
      <c r="J1893" s="329"/>
      <c r="K1893" s="329"/>
      <c r="L1893" s="329"/>
      <c r="M1893" s="329"/>
      <c r="N1893" s="329"/>
      <c r="O1893" s="329"/>
      <c r="P1893" s="329"/>
      <c r="Q1893" s="329"/>
      <c r="R1893" s="329"/>
    </row>
    <row r="1894" spans="1:18" ht="13">
      <c r="A1894" s="282"/>
      <c r="B1894" s="282"/>
      <c r="C1894" s="282"/>
      <c r="D1894" s="282"/>
      <c r="E1894" s="282"/>
      <c r="F1894" s="282"/>
      <c r="G1894" s="329"/>
      <c r="H1894" s="329"/>
      <c r="I1894" s="329"/>
      <c r="J1894" s="329"/>
      <c r="K1894" s="329"/>
      <c r="L1894" s="329"/>
      <c r="M1894" s="329"/>
      <c r="N1894" s="329"/>
      <c r="O1894" s="329"/>
      <c r="P1894" s="329"/>
      <c r="Q1894" s="329"/>
      <c r="R1894" s="329"/>
    </row>
    <row r="1895" spans="1:18" ht="13">
      <c r="A1895" s="282"/>
      <c r="B1895" s="282"/>
      <c r="C1895" s="282"/>
      <c r="D1895" s="282"/>
      <c r="E1895" s="282"/>
      <c r="F1895" s="282"/>
      <c r="G1895" s="329"/>
      <c r="H1895" s="329"/>
      <c r="I1895" s="329"/>
      <c r="J1895" s="329"/>
      <c r="K1895" s="329"/>
      <c r="L1895" s="329"/>
      <c r="M1895" s="329"/>
      <c r="N1895" s="329"/>
      <c r="O1895" s="329"/>
      <c r="P1895" s="329"/>
      <c r="Q1895" s="329"/>
      <c r="R1895" s="329"/>
    </row>
    <row r="1896" spans="1:18" ht="13">
      <c r="A1896" s="282"/>
      <c r="B1896" s="282"/>
      <c r="C1896" s="282"/>
      <c r="D1896" s="282"/>
      <c r="E1896" s="282"/>
      <c r="F1896" s="282"/>
      <c r="G1896" s="329"/>
      <c r="H1896" s="329"/>
      <c r="I1896" s="329"/>
      <c r="J1896" s="329"/>
      <c r="K1896" s="329"/>
      <c r="L1896" s="329"/>
      <c r="M1896" s="329"/>
      <c r="N1896" s="329"/>
      <c r="O1896" s="329"/>
      <c r="P1896" s="329"/>
      <c r="Q1896" s="329"/>
      <c r="R1896" s="329"/>
    </row>
    <row r="1897" spans="1:18" ht="13">
      <c r="A1897" s="282"/>
      <c r="B1897" s="282"/>
      <c r="C1897" s="282"/>
      <c r="D1897" s="282"/>
      <c r="E1897" s="282"/>
      <c r="F1897" s="282"/>
      <c r="G1897" s="329"/>
      <c r="H1897" s="329"/>
      <c r="I1897" s="329"/>
      <c r="J1897" s="329"/>
      <c r="K1897" s="329"/>
      <c r="L1897" s="329"/>
      <c r="M1897" s="329"/>
      <c r="N1897" s="329"/>
      <c r="O1897" s="329"/>
      <c r="P1897" s="329"/>
      <c r="Q1897" s="329"/>
      <c r="R1897" s="329"/>
    </row>
    <row r="1898" spans="1:18" ht="13">
      <c r="A1898" s="282"/>
      <c r="B1898" s="282"/>
      <c r="C1898" s="282"/>
      <c r="D1898" s="282"/>
      <c r="E1898" s="282"/>
      <c r="F1898" s="282"/>
      <c r="G1898" s="329"/>
      <c r="H1898" s="329"/>
      <c r="I1898" s="329"/>
      <c r="J1898" s="329"/>
      <c r="K1898" s="329"/>
      <c r="L1898" s="329"/>
      <c r="M1898" s="329"/>
      <c r="N1898" s="329"/>
      <c r="O1898" s="329"/>
      <c r="P1898" s="329"/>
      <c r="Q1898" s="329"/>
      <c r="R1898" s="329"/>
    </row>
    <row r="1899" spans="1:18" ht="13">
      <c r="A1899" s="282"/>
      <c r="B1899" s="282"/>
      <c r="C1899" s="282"/>
      <c r="D1899" s="282"/>
      <c r="E1899" s="282"/>
      <c r="F1899" s="282"/>
      <c r="G1899" s="329"/>
      <c r="H1899" s="329"/>
      <c r="I1899" s="329"/>
      <c r="J1899" s="329"/>
      <c r="K1899" s="329"/>
      <c r="L1899" s="329"/>
      <c r="M1899" s="329"/>
      <c r="N1899" s="329"/>
      <c r="O1899" s="329"/>
      <c r="P1899" s="329"/>
      <c r="Q1899" s="329"/>
      <c r="R1899" s="329"/>
    </row>
    <row r="1900" spans="1:18" ht="13">
      <c r="A1900" s="282"/>
      <c r="B1900" s="282"/>
      <c r="C1900" s="282"/>
      <c r="D1900" s="282"/>
      <c r="E1900" s="282"/>
      <c r="F1900" s="282"/>
      <c r="G1900" s="329"/>
      <c r="H1900" s="329"/>
      <c r="I1900" s="329"/>
      <c r="J1900" s="329"/>
      <c r="K1900" s="329"/>
      <c r="L1900" s="329"/>
      <c r="M1900" s="329"/>
      <c r="N1900" s="329"/>
      <c r="O1900" s="329"/>
      <c r="P1900" s="329"/>
      <c r="Q1900" s="329"/>
      <c r="R1900" s="329"/>
    </row>
    <row r="1901" spans="1:18" ht="13">
      <c r="A1901" s="282"/>
      <c r="B1901" s="282"/>
      <c r="C1901" s="282"/>
      <c r="D1901" s="282"/>
      <c r="E1901" s="282"/>
      <c r="F1901" s="282"/>
      <c r="G1901" s="329"/>
      <c r="H1901" s="329"/>
      <c r="I1901" s="329"/>
      <c r="J1901" s="329"/>
      <c r="K1901" s="329"/>
      <c r="L1901" s="329"/>
      <c r="M1901" s="329"/>
      <c r="N1901" s="329"/>
      <c r="O1901" s="329"/>
      <c r="P1901" s="329"/>
      <c r="Q1901" s="329"/>
      <c r="R1901" s="329"/>
    </row>
    <row r="1902" spans="1:18" ht="13">
      <c r="A1902" s="282"/>
      <c r="B1902" s="282"/>
      <c r="C1902" s="282"/>
      <c r="D1902" s="282"/>
      <c r="E1902" s="282"/>
      <c r="F1902" s="282"/>
      <c r="G1902" s="329"/>
      <c r="H1902" s="329"/>
      <c r="I1902" s="329"/>
      <c r="J1902" s="329"/>
      <c r="K1902" s="329"/>
      <c r="L1902" s="329"/>
      <c r="M1902" s="329"/>
      <c r="N1902" s="329"/>
      <c r="O1902" s="329"/>
      <c r="P1902" s="329"/>
      <c r="Q1902" s="329"/>
      <c r="R1902" s="329"/>
    </row>
    <row r="1903" spans="1:18" ht="13">
      <c r="A1903" s="282"/>
      <c r="B1903" s="282"/>
      <c r="C1903" s="282"/>
      <c r="D1903" s="282"/>
      <c r="E1903" s="282"/>
      <c r="F1903" s="282"/>
      <c r="G1903" s="329"/>
      <c r="H1903" s="329"/>
      <c r="I1903" s="329"/>
      <c r="J1903" s="329"/>
      <c r="K1903" s="329"/>
      <c r="L1903" s="329"/>
      <c r="M1903" s="329"/>
      <c r="N1903" s="329"/>
      <c r="O1903" s="329"/>
      <c r="P1903" s="329"/>
      <c r="Q1903" s="329"/>
      <c r="R1903" s="329"/>
    </row>
    <row r="1904" spans="1:18" ht="13">
      <c r="A1904" s="282"/>
      <c r="B1904" s="282"/>
      <c r="C1904" s="282"/>
      <c r="D1904" s="282"/>
      <c r="E1904" s="282"/>
      <c r="F1904" s="282"/>
      <c r="G1904" s="329"/>
      <c r="H1904" s="329"/>
      <c r="I1904" s="329"/>
      <c r="J1904" s="329"/>
      <c r="K1904" s="329"/>
      <c r="L1904" s="329"/>
      <c r="M1904" s="329"/>
      <c r="N1904" s="329"/>
      <c r="O1904" s="329"/>
      <c r="P1904" s="329"/>
      <c r="Q1904" s="329"/>
      <c r="R1904" s="329"/>
    </row>
    <row r="1905" spans="1:18" ht="13">
      <c r="A1905" s="282"/>
      <c r="B1905" s="282"/>
      <c r="C1905" s="282"/>
      <c r="D1905" s="282"/>
      <c r="E1905" s="282"/>
      <c r="F1905" s="282"/>
      <c r="G1905" s="329"/>
      <c r="H1905" s="329"/>
      <c r="I1905" s="329"/>
      <c r="J1905" s="329"/>
      <c r="K1905" s="329"/>
      <c r="L1905" s="329"/>
      <c r="M1905" s="329"/>
      <c r="N1905" s="329"/>
      <c r="O1905" s="329"/>
      <c r="P1905" s="329"/>
      <c r="Q1905" s="329"/>
      <c r="R1905" s="329"/>
    </row>
    <row r="1906" spans="1:18" ht="13">
      <c r="A1906" s="282"/>
      <c r="B1906" s="282"/>
      <c r="C1906" s="282"/>
      <c r="D1906" s="282"/>
      <c r="E1906" s="282"/>
      <c r="F1906" s="282"/>
      <c r="G1906" s="329"/>
      <c r="H1906" s="329"/>
      <c r="I1906" s="329"/>
      <c r="J1906" s="329"/>
      <c r="K1906" s="329"/>
      <c r="L1906" s="329"/>
      <c r="M1906" s="329"/>
      <c r="N1906" s="329"/>
      <c r="O1906" s="329"/>
      <c r="P1906" s="329"/>
      <c r="Q1906" s="329"/>
      <c r="R1906" s="329"/>
    </row>
    <row r="1907" spans="1:18" ht="13">
      <c r="A1907" s="282"/>
      <c r="B1907" s="282"/>
      <c r="C1907" s="282"/>
      <c r="D1907" s="282"/>
      <c r="E1907" s="282"/>
      <c r="F1907" s="282"/>
      <c r="G1907" s="329"/>
      <c r="H1907" s="329"/>
      <c r="I1907" s="329"/>
      <c r="J1907" s="329"/>
      <c r="K1907" s="329"/>
      <c r="L1907" s="329"/>
      <c r="M1907" s="329"/>
      <c r="N1907" s="329"/>
      <c r="O1907" s="329"/>
      <c r="P1907" s="329"/>
      <c r="Q1907" s="329"/>
      <c r="R1907" s="329"/>
    </row>
    <row r="1908" spans="1:18" ht="13">
      <c r="A1908" s="282"/>
      <c r="B1908" s="282"/>
      <c r="C1908" s="282"/>
      <c r="D1908" s="282"/>
      <c r="E1908" s="282"/>
      <c r="F1908" s="282"/>
      <c r="G1908" s="329"/>
      <c r="H1908" s="329"/>
      <c r="I1908" s="329"/>
      <c r="J1908" s="329"/>
      <c r="K1908" s="329"/>
      <c r="L1908" s="329"/>
      <c r="M1908" s="329"/>
      <c r="N1908" s="329"/>
      <c r="O1908" s="329"/>
      <c r="P1908" s="329"/>
      <c r="Q1908" s="329"/>
      <c r="R1908" s="329"/>
    </row>
    <row r="1909" spans="1:18" ht="13">
      <c r="A1909" s="282"/>
      <c r="B1909" s="282"/>
      <c r="C1909" s="282"/>
      <c r="D1909" s="282"/>
      <c r="E1909" s="282"/>
      <c r="F1909" s="282"/>
      <c r="G1909" s="329"/>
      <c r="H1909" s="329"/>
      <c r="I1909" s="329"/>
      <c r="J1909" s="329"/>
      <c r="K1909" s="329"/>
      <c r="L1909" s="329"/>
      <c r="M1909" s="329"/>
      <c r="N1909" s="329"/>
      <c r="O1909" s="329"/>
      <c r="P1909" s="329"/>
      <c r="Q1909" s="329"/>
      <c r="R1909" s="329"/>
    </row>
    <row r="1910" spans="1:18" ht="13">
      <c r="A1910" s="282"/>
      <c r="B1910" s="282"/>
      <c r="C1910" s="282"/>
      <c r="D1910" s="282"/>
      <c r="E1910" s="282"/>
      <c r="F1910" s="282"/>
      <c r="G1910" s="329"/>
      <c r="H1910" s="329"/>
      <c r="I1910" s="329"/>
      <c r="J1910" s="329"/>
      <c r="K1910" s="329"/>
      <c r="L1910" s="329"/>
      <c r="M1910" s="329"/>
      <c r="N1910" s="329"/>
      <c r="O1910" s="329"/>
      <c r="P1910" s="329"/>
      <c r="Q1910" s="329"/>
      <c r="R1910" s="329"/>
    </row>
    <row r="1911" spans="1:18" ht="13">
      <c r="A1911" s="282"/>
      <c r="B1911" s="282"/>
      <c r="C1911" s="282"/>
      <c r="D1911" s="282"/>
      <c r="E1911" s="282"/>
      <c r="F1911" s="282"/>
      <c r="G1911" s="329"/>
      <c r="H1911" s="329"/>
      <c r="I1911" s="329"/>
      <c r="J1911" s="329"/>
      <c r="K1911" s="329"/>
      <c r="L1911" s="329"/>
      <c r="M1911" s="329"/>
      <c r="N1911" s="329"/>
      <c r="O1911" s="329"/>
      <c r="P1911" s="329"/>
      <c r="Q1911" s="329"/>
      <c r="R1911" s="329"/>
    </row>
    <row r="1912" spans="1:18" ht="13">
      <c r="A1912" s="282"/>
      <c r="B1912" s="282"/>
      <c r="C1912" s="282"/>
      <c r="D1912" s="282"/>
      <c r="E1912" s="282"/>
      <c r="F1912" s="282"/>
      <c r="G1912" s="329"/>
      <c r="H1912" s="329"/>
      <c r="I1912" s="329"/>
      <c r="J1912" s="329"/>
      <c r="K1912" s="329"/>
      <c r="L1912" s="329"/>
      <c r="M1912" s="329"/>
      <c r="N1912" s="329"/>
      <c r="O1912" s="329"/>
      <c r="P1912" s="329"/>
      <c r="Q1912" s="329"/>
      <c r="R1912" s="329"/>
    </row>
    <row r="1913" spans="1:18" ht="13">
      <c r="A1913" s="282"/>
      <c r="B1913" s="282"/>
      <c r="C1913" s="282"/>
      <c r="D1913" s="282"/>
      <c r="E1913" s="282"/>
      <c r="F1913" s="282"/>
      <c r="G1913" s="329"/>
      <c r="H1913" s="329"/>
      <c r="I1913" s="329"/>
      <c r="J1913" s="329"/>
      <c r="K1913" s="329"/>
      <c r="L1913" s="329"/>
      <c r="M1913" s="329"/>
      <c r="N1913" s="329"/>
      <c r="O1913" s="329"/>
      <c r="P1913" s="329"/>
      <c r="Q1913" s="329"/>
      <c r="R1913" s="329"/>
    </row>
    <row r="1914" spans="1:18" ht="13">
      <c r="A1914" s="282"/>
      <c r="B1914" s="282"/>
      <c r="C1914" s="282"/>
      <c r="D1914" s="282"/>
      <c r="E1914" s="282"/>
      <c r="F1914" s="282"/>
      <c r="G1914" s="329"/>
      <c r="H1914" s="329"/>
      <c r="I1914" s="329"/>
      <c r="J1914" s="329"/>
      <c r="K1914" s="329"/>
      <c r="L1914" s="329"/>
      <c r="M1914" s="329"/>
      <c r="N1914" s="329"/>
      <c r="O1914" s="329"/>
      <c r="P1914" s="329"/>
      <c r="Q1914" s="329"/>
      <c r="R1914" s="329"/>
    </row>
    <row r="1915" spans="1:18" ht="13">
      <c r="A1915" s="282"/>
      <c r="B1915" s="282"/>
      <c r="C1915" s="282"/>
      <c r="D1915" s="282"/>
      <c r="E1915" s="282"/>
      <c r="F1915" s="282"/>
      <c r="G1915" s="329"/>
      <c r="H1915" s="329"/>
      <c r="I1915" s="329"/>
      <c r="J1915" s="329"/>
      <c r="K1915" s="329"/>
      <c r="L1915" s="329"/>
      <c r="M1915" s="329"/>
      <c r="N1915" s="329"/>
      <c r="O1915" s="329"/>
      <c r="P1915" s="329"/>
      <c r="Q1915" s="329"/>
      <c r="R1915" s="329"/>
    </row>
    <row r="1916" spans="1:18" ht="13">
      <c r="A1916" s="282"/>
      <c r="B1916" s="282"/>
      <c r="C1916" s="282"/>
      <c r="D1916" s="282"/>
      <c r="E1916" s="282"/>
      <c r="F1916" s="282"/>
      <c r="G1916" s="329"/>
      <c r="H1916" s="329"/>
      <c r="I1916" s="329"/>
      <c r="J1916" s="329"/>
      <c r="K1916" s="329"/>
      <c r="L1916" s="329"/>
      <c r="M1916" s="329"/>
      <c r="N1916" s="329"/>
      <c r="O1916" s="329"/>
      <c r="P1916" s="329"/>
      <c r="Q1916" s="329"/>
      <c r="R1916" s="329"/>
    </row>
    <row r="1917" spans="1:18" ht="13">
      <c r="A1917" s="282"/>
      <c r="B1917" s="282"/>
      <c r="C1917" s="282"/>
      <c r="D1917" s="282"/>
      <c r="E1917" s="282"/>
      <c r="F1917" s="282"/>
      <c r="G1917" s="329"/>
      <c r="H1917" s="329"/>
      <c r="I1917" s="329"/>
      <c r="J1917" s="329"/>
      <c r="K1917" s="329"/>
      <c r="L1917" s="329"/>
      <c r="M1917" s="329"/>
      <c r="N1917" s="329"/>
      <c r="O1917" s="329"/>
      <c r="P1917" s="329"/>
      <c r="Q1917" s="329"/>
      <c r="R1917" s="329"/>
    </row>
    <row r="1918" spans="1:18" ht="13">
      <c r="A1918" s="282"/>
      <c r="B1918" s="282"/>
      <c r="C1918" s="282"/>
      <c r="D1918" s="282"/>
      <c r="E1918" s="282"/>
      <c r="F1918" s="282"/>
      <c r="G1918" s="329"/>
      <c r="H1918" s="329"/>
      <c r="I1918" s="329"/>
      <c r="J1918" s="329"/>
      <c r="K1918" s="329"/>
      <c r="L1918" s="329"/>
      <c r="M1918" s="329"/>
      <c r="N1918" s="329"/>
      <c r="O1918" s="329"/>
      <c r="P1918" s="329"/>
      <c r="Q1918" s="329"/>
      <c r="R1918" s="329"/>
    </row>
    <row r="1919" spans="1:18" ht="13">
      <c r="A1919" s="282"/>
      <c r="B1919" s="282"/>
      <c r="C1919" s="282"/>
      <c r="D1919" s="282"/>
      <c r="E1919" s="282"/>
      <c r="F1919" s="282"/>
      <c r="G1919" s="329"/>
      <c r="H1919" s="329"/>
      <c r="I1919" s="329"/>
      <c r="J1919" s="329"/>
      <c r="K1919" s="329"/>
      <c r="L1919" s="329"/>
      <c r="M1919" s="329"/>
      <c r="N1919" s="329"/>
      <c r="O1919" s="329"/>
      <c r="P1919" s="329"/>
      <c r="Q1919" s="329"/>
      <c r="R1919" s="329"/>
    </row>
    <row r="1920" spans="1:18" ht="13">
      <c r="A1920" s="282"/>
      <c r="B1920" s="282"/>
      <c r="C1920" s="282"/>
      <c r="D1920" s="282"/>
      <c r="E1920" s="282"/>
      <c r="F1920" s="282"/>
      <c r="G1920" s="329"/>
      <c r="H1920" s="329"/>
      <c r="I1920" s="329"/>
      <c r="J1920" s="329"/>
      <c r="K1920" s="329"/>
      <c r="L1920" s="329"/>
      <c r="M1920" s="329"/>
      <c r="N1920" s="329"/>
      <c r="O1920" s="329"/>
      <c r="P1920" s="329"/>
      <c r="Q1920" s="329"/>
      <c r="R1920" s="329"/>
    </row>
    <row r="1921" spans="1:18" ht="13">
      <c r="A1921" s="282"/>
      <c r="B1921" s="282"/>
      <c r="C1921" s="282"/>
      <c r="D1921" s="282"/>
      <c r="E1921" s="282"/>
      <c r="F1921" s="282"/>
      <c r="G1921" s="329"/>
      <c r="H1921" s="329"/>
      <c r="I1921" s="329"/>
      <c r="J1921" s="329"/>
      <c r="K1921" s="329"/>
      <c r="L1921" s="329"/>
      <c r="M1921" s="329"/>
      <c r="N1921" s="329"/>
      <c r="O1921" s="329"/>
      <c r="P1921" s="329"/>
      <c r="Q1921" s="329"/>
      <c r="R1921" s="329"/>
    </row>
    <row r="1922" spans="1:18" ht="13">
      <c r="A1922" s="282"/>
      <c r="B1922" s="282"/>
      <c r="C1922" s="282"/>
      <c r="D1922" s="282"/>
      <c r="E1922" s="282"/>
      <c r="F1922" s="282"/>
      <c r="G1922" s="329"/>
      <c r="H1922" s="329"/>
      <c r="I1922" s="329"/>
      <c r="J1922" s="329"/>
      <c r="K1922" s="329"/>
      <c r="L1922" s="329"/>
      <c r="M1922" s="329"/>
      <c r="N1922" s="329"/>
      <c r="O1922" s="329"/>
      <c r="P1922" s="329"/>
      <c r="Q1922" s="329"/>
      <c r="R1922" s="329"/>
    </row>
    <row r="1923" spans="1:18" ht="13">
      <c r="A1923" s="282"/>
      <c r="B1923" s="282"/>
      <c r="C1923" s="282"/>
      <c r="D1923" s="282"/>
      <c r="E1923" s="282"/>
      <c r="F1923" s="282"/>
      <c r="G1923" s="329"/>
      <c r="H1923" s="329"/>
      <c r="I1923" s="329"/>
      <c r="J1923" s="329"/>
      <c r="K1923" s="329"/>
      <c r="L1923" s="329"/>
      <c r="M1923" s="329"/>
      <c r="N1923" s="329"/>
      <c r="O1923" s="329"/>
      <c r="P1923" s="329"/>
      <c r="Q1923" s="329"/>
      <c r="R1923" s="329"/>
    </row>
    <row r="1924" spans="1:18" ht="13">
      <c r="A1924" s="282"/>
      <c r="B1924" s="282"/>
      <c r="C1924" s="282"/>
      <c r="D1924" s="282"/>
      <c r="E1924" s="282"/>
      <c r="F1924" s="282"/>
      <c r="G1924" s="329"/>
      <c r="H1924" s="329"/>
      <c r="I1924" s="329"/>
      <c r="J1924" s="329"/>
      <c r="K1924" s="329"/>
      <c r="L1924" s="329"/>
      <c r="M1924" s="329"/>
      <c r="N1924" s="329"/>
      <c r="O1924" s="329"/>
      <c r="P1924" s="329"/>
      <c r="Q1924" s="329"/>
      <c r="R1924" s="329"/>
    </row>
    <row r="1925" spans="1:18" ht="13">
      <c r="A1925" s="282"/>
      <c r="B1925" s="282"/>
      <c r="C1925" s="282"/>
      <c r="D1925" s="282"/>
      <c r="E1925" s="282"/>
      <c r="F1925" s="282"/>
      <c r="G1925" s="329"/>
      <c r="H1925" s="329"/>
      <c r="I1925" s="329"/>
      <c r="J1925" s="329"/>
      <c r="K1925" s="329"/>
      <c r="L1925" s="329"/>
      <c r="M1925" s="329"/>
      <c r="N1925" s="329"/>
      <c r="O1925" s="329"/>
      <c r="P1925" s="329"/>
      <c r="Q1925" s="329"/>
      <c r="R1925" s="329"/>
    </row>
    <row r="1926" spans="1:18" ht="13">
      <c r="A1926" s="282"/>
      <c r="B1926" s="282"/>
      <c r="C1926" s="282"/>
      <c r="D1926" s="282"/>
      <c r="E1926" s="282"/>
      <c r="F1926" s="282"/>
      <c r="G1926" s="329"/>
      <c r="H1926" s="329"/>
      <c r="I1926" s="329"/>
      <c r="J1926" s="329"/>
      <c r="K1926" s="329"/>
      <c r="L1926" s="329"/>
      <c r="M1926" s="329"/>
      <c r="N1926" s="329"/>
      <c r="O1926" s="329"/>
      <c r="P1926" s="329"/>
      <c r="Q1926" s="329"/>
      <c r="R1926" s="329"/>
    </row>
    <row r="1927" spans="1:18" ht="13">
      <c r="A1927" s="282"/>
      <c r="B1927" s="282"/>
      <c r="C1927" s="282"/>
      <c r="D1927" s="282"/>
      <c r="E1927" s="282"/>
      <c r="F1927" s="282"/>
      <c r="G1927" s="329"/>
      <c r="H1927" s="329"/>
      <c r="I1927" s="329"/>
      <c r="J1927" s="329"/>
      <c r="K1927" s="329"/>
      <c r="L1927" s="329"/>
      <c r="M1927" s="329"/>
      <c r="N1927" s="329"/>
      <c r="O1927" s="329"/>
      <c r="P1927" s="329"/>
      <c r="Q1927" s="329"/>
      <c r="R1927" s="329"/>
    </row>
    <row r="1928" spans="1:18" ht="13">
      <c r="A1928" s="282"/>
      <c r="B1928" s="282"/>
      <c r="C1928" s="282"/>
      <c r="D1928" s="282"/>
      <c r="E1928" s="282"/>
      <c r="F1928" s="282"/>
      <c r="G1928" s="329"/>
      <c r="H1928" s="329"/>
      <c r="I1928" s="329"/>
      <c r="J1928" s="329"/>
      <c r="K1928" s="329"/>
      <c r="L1928" s="329"/>
      <c r="M1928" s="329"/>
      <c r="N1928" s="329"/>
      <c r="O1928" s="329"/>
      <c r="P1928" s="329"/>
      <c r="Q1928" s="329"/>
      <c r="R1928" s="329"/>
    </row>
    <row r="1929" spans="1:18" ht="13">
      <c r="A1929" s="282"/>
      <c r="B1929" s="282"/>
      <c r="C1929" s="282"/>
      <c r="D1929" s="282"/>
      <c r="E1929" s="282"/>
      <c r="F1929" s="282"/>
      <c r="G1929" s="329"/>
      <c r="H1929" s="329"/>
      <c r="I1929" s="329"/>
      <c r="J1929" s="329"/>
      <c r="K1929" s="329"/>
      <c r="L1929" s="329"/>
      <c r="M1929" s="329"/>
      <c r="N1929" s="329"/>
      <c r="O1929" s="329"/>
      <c r="P1929" s="329"/>
      <c r="Q1929" s="329"/>
      <c r="R1929" s="329"/>
    </row>
    <row r="1930" spans="1:18" ht="13">
      <c r="A1930" s="282"/>
      <c r="B1930" s="282"/>
      <c r="C1930" s="282"/>
      <c r="D1930" s="282"/>
      <c r="E1930" s="282"/>
      <c r="F1930" s="282"/>
      <c r="G1930" s="329"/>
      <c r="H1930" s="329"/>
      <c r="I1930" s="329"/>
      <c r="J1930" s="329"/>
      <c r="K1930" s="329"/>
      <c r="L1930" s="329"/>
      <c r="M1930" s="329"/>
      <c r="N1930" s="329"/>
      <c r="O1930" s="329"/>
      <c r="P1930" s="329"/>
      <c r="Q1930" s="329"/>
      <c r="R1930" s="329"/>
    </row>
    <row r="1931" spans="1:18" ht="13">
      <c r="A1931" s="282"/>
      <c r="B1931" s="282"/>
      <c r="C1931" s="282"/>
      <c r="D1931" s="282"/>
      <c r="E1931" s="282"/>
      <c r="F1931" s="282"/>
      <c r="G1931" s="329"/>
      <c r="H1931" s="329"/>
      <c r="I1931" s="329"/>
      <c r="J1931" s="329"/>
      <c r="K1931" s="329"/>
      <c r="L1931" s="329"/>
      <c r="M1931" s="329"/>
      <c r="N1931" s="329"/>
      <c r="O1931" s="329"/>
      <c r="P1931" s="329"/>
      <c r="Q1931" s="329"/>
      <c r="R1931" s="329"/>
    </row>
    <row r="1932" spans="1:18" ht="13">
      <c r="A1932" s="282"/>
      <c r="B1932" s="282"/>
      <c r="C1932" s="282"/>
      <c r="D1932" s="282"/>
      <c r="E1932" s="282"/>
      <c r="F1932" s="282"/>
      <c r="G1932" s="329"/>
      <c r="H1932" s="329"/>
      <c r="I1932" s="329"/>
      <c r="J1932" s="329"/>
      <c r="K1932" s="329"/>
      <c r="L1932" s="329"/>
      <c r="M1932" s="329"/>
      <c r="N1932" s="329"/>
      <c r="O1932" s="329"/>
      <c r="P1932" s="329"/>
      <c r="Q1932" s="329"/>
      <c r="R1932" s="329"/>
    </row>
    <row r="1933" spans="1:18" ht="13">
      <c r="A1933" s="282"/>
      <c r="B1933" s="282"/>
      <c r="C1933" s="282"/>
      <c r="D1933" s="282"/>
      <c r="E1933" s="282"/>
      <c r="F1933" s="282"/>
      <c r="G1933" s="329"/>
      <c r="H1933" s="329"/>
      <c r="I1933" s="329"/>
      <c r="J1933" s="329"/>
      <c r="K1933" s="329"/>
      <c r="L1933" s="329"/>
      <c r="M1933" s="329"/>
      <c r="N1933" s="329"/>
      <c r="O1933" s="329"/>
      <c r="P1933" s="329"/>
      <c r="Q1933" s="329"/>
      <c r="R1933" s="329"/>
    </row>
    <row r="1934" spans="1:18" ht="13">
      <c r="A1934" s="282"/>
      <c r="B1934" s="282"/>
      <c r="C1934" s="282"/>
      <c r="D1934" s="282"/>
      <c r="E1934" s="282"/>
      <c r="F1934" s="282"/>
      <c r="G1934" s="329"/>
      <c r="H1934" s="329"/>
      <c r="I1934" s="329"/>
      <c r="J1934" s="329"/>
      <c r="K1934" s="329"/>
      <c r="L1934" s="329"/>
      <c r="M1934" s="329"/>
      <c r="N1934" s="329"/>
      <c r="O1934" s="329"/>
      <c r="P1934" s="329"/>
      <c r="Q1934" s="329"/>
      <c r="R1934" s="329"/>
    </row>
    <row r="1935" spans="1:18" ht="13">
      <c r="A1935" s="282"/>
      <c r="B1935" s="282"/>
      <c r="C1935" s="282"/>
      <c r="D1935" s="282"/>
      <c r="E1935" s="282"/>
      <c r="F1935" s="282"/>
      <c r="G1935" s="329"/>
      <c r="H1935" s="329"/>
      <c r="I1935" s="329"/>
      <c r="J1935" s="329"/>
      <c r="K1935" s="329"/>
      <c r="L1935" s="329"/>
      <c r="M1935" s="329"/>
      <c r="N1935" s="329"/>
      <c r="O1935" s="329"/>
      <c r="P1935" s="329"/>
      <c r="Q1935" s="329"/>
      <c r="R1935" s="329"/>
    </row>
    <row r="1936" spans="1:18" ht="13">
      <c r="A1936" s="282"/>
      <c r="B1936" s="282"/>
      <c r="C1936" s="282"/>
      <c r="D1936" s="282"/>
      <c r="E1936" s="282"/>
      <c r="F1936" s="282"/>
      <c r="G1936" s="329"/>
      <c r="H1936" s="329"/>
      <c r="I1936" s="329"/>
      <c r="J1936" s="329"/>
      <c r="K1936" s="329"/>
      <c r="L1936" s="329"/>
      <c r="M1936" s="329"/>
      <c r="N1936" s="329"/>
      <c r="O1936" s="329"/>
      <c r="P1936" s="329"/>
      <c r="Q1936" s="329"/>
      <c r="R1936" s="329"/>
    </row>
    <row r="1937" spans="1:18" ht="13">
      <c r="A1937" s="282"/>
      <c r="B1937" s="282"/>
      <c r="C1937" s="282"/>
      <c r="D1937" s="282"/>
      <c r="E1937" s="282"/>
      <c r="F1937" s="282"/>
      <c r="G1937" s="329"/>
      <c r="H1937" s="329"/>
      <c r="I1937" s="329"/>
      <c r="J1937" s="329"/>
      <c r="K1937" s="329"/>
      <c r="L1937" s="329"/>
      <c r="M1937" s="329"/>
      <c r="N1937" s="329"/>
      <c r="O1937" s="329"/>
      <c r="P1937" s="329"/>
      <c r="Q1937" s="329"/>
      <c r="R1937" s="329"/>
    </row>
    <row r="1938" spans="1:18" ht="13">
      <c r="A1938" s="282"/>
      <c r="B1938" s="282"/>
      <c r="C1938" s="282"/>
      <c r="D1938" s="282"/>
      <c r="E1938" s="282"/>
      <c r="F1938" s="282"/>
      <c r="G1938" s="329"/>
      <c r="H1938" s="329"/>
      <c r="I1938" s="329"/>
      <c r="J1938" s="329"/>
      <c r="K1938" s="329"/>
      <c r="L1938" s="329"/>
      <c r="M1938" s="329"/>
      <c r="N1938" s="329"/>
      <c r="O1938" s="329"/>
      <c r="P1938" s="329"/>
      <c r="Q1938" s="329"/>
      <c r="R1938" s="329"/>
    </row>
    <row r="1939" spans="1:18" ht="13">
      <c r="A1939" s="282"/>
      <c r="B1939" s="282"/>
      <c r="C1939" s="282"/>
      <c r="D1939" s="282"/>
      <c r="E1939" s="282"/>
      <c r="F1939" s="282"/>
      <c r="G1939" s="329"/>
      <c r="H1939" s="329"/>
      <c r="I1939" s="329"/>
      <c r="J1939" s="329"/>
      <c r="K1939" s="329"/>
      <c r="L1939" s="329"/>
      <c r="M1939" s="329"/>
      <c r="N1939" s="329"/>
      <c r="O1939" s="329"/>
      <c r="P1939" s="329"/>
      <c r="Q1939" s="329"/>
      <c r="R1939" s="329"/>
    </row>
    <row r="1940" spans="1:18" ht="13">
      <c r="A1940" s="282"/>
      <c r="B1940" s="282"/>
      <c r="C1940" s="282"/>
      <c r="D1940" s="282"/>
      <c r="E1940" s="282"/>
      <c r="F1940" s="282"/>
      <c r="G1940" s="329"/>
      <c r="H1940" s="329"/>
      <c r="I1940" s="329"/>
      <c r="J1940" s="329"/>
      <c r="K1940" s="329"/>
      <c r="L1940" s="329"/>
      <c r="M1940" s="329"/>
      <c r="N1940" s="329"/>
      <c r="O1940" s="329"/>
      <c r="P1940" s="329"/>
      <c r="Q1940" s="329"/>
      <c r="R1940" s="329"/>
    </row>
    <row r="1941" spans="1:18" ht="13">
      <c r="A1941" s="282"/>
      <c r="B1941" s="282"/>
      <c r="C1941" s="282"/>
      <c r="D1941" s="282"/>
      <c r="E1941" s="282"/>
      <c r="F1941" s="282"/>
      <c r="G1941" s="329"/>
      <c r="H1941" s="329"/>
      <c r="I1941" s="329"/>
      <c r="J1941" s="329"/>
      <c r="K1941" s="329"/>
      <c r="L1941" s="329"/>
      <c r="M1941" s="329"/>
      <c r="N1941" s="329"/>
      <c r="O1941" s="329"/>
      <c r="P1941" s="329"/>
      <c r="Q1941" s="329"/>
      <c r="R1941" s="329"/>
    </row>
    <row r="1942" spans="1:18" ht="13">
      <c r="A1942" s="282"/>
      <c r="B1942" s="282"/>
      <c r="C1942" s="282"/>
      <c r="D1942" s="282"/>
      <c r="E1942" s="282"/>
      <c r="F1942" s="282"/>
      <c r="G1942" s="329"/>
      <c r="H1942" s="329"/>
      <c r="I1942" s="329"/>
      <c r="J1942" s="329"/>
      <c r="K1942" s="329"/>
      <c r="L1942" s="329"/>
      <c r="M1942" s="329"/>
      <c r="N1942" s="329"/>
      <c r="O1942" s="329"/>
      <c r="P1942" s="329"/>
      <c r="Q1942" s="329"/>
      <c r="R1942" s="329"/>
    </row>
    <row r="1943" spans="1:18" ht="13">
      <c r="A1943" s="282"/>
      <c r="B1943" s="282"/>
      <c r="C1943" s="282"/>
      <c r="D1943" s="282"/>
      <c r="E1943" s="282"/>
      <c r="F1943" s="282"/>
      <c r="G1943" s="329"/>
      <c r="H1943" s="329"/>
      <c r="I1943" s="329"/>
      <c r="J1943" s="329"/>
      <c r="K1943" s="329"/>
      <c r="L1943" s="329"/>
      <c r="M1943" s="329"/>
      <c r="N1943" s="329"/>
      <c r="O1943" s="329"/>
      <c r="P1943" s="329"/>
      <c r="Q1943" s="329"/>
      <c r="R1943" s="329"/>
    </row>
    <row r="1944" spans="1:18" ht="13">
      <c r="A1944" s="282"/>
      <c r="B1944" s="282"/>
      <c r="C1944" s="282"/>
      <c r="D1944" s="282"/>
      <c r="E1944" s="282"/>
      <c r="F1944" s="282"/>
      <c r="G1944" s="329"/>
      <c r="H1944" s="329"/>
      <c r="I1944" s="329"/>
      <c r="J1944" s="329"/>
      <c r="K1944" s="329"/>
      <c r="L1944" s="329"/>
      <c r="M1944" s="329"/>
      <c r="N1944" s="329"/>
      <c r="O1944" s="329"/>
      <c r="P1944" s="329"/>
      <c r="Q1944" s="329"/>
      <c r="R1944" s="329"/>
    </row>
    <row r="1945" spans="1:18" ht="13">
      <c r="A1945" s="282"/>
      <c r="B1945" s="282"/>
      <c r="C1945" s="282"/>
      <c r="D1945" s="282"/>
      <c r="E1945" s="282"/>
      <c r="F1945" s="282"/>
      <c r="G1945" s="329"/>
      <c r="H1945" s="329"/>
      <c r="I1945" s="329"/>
      <c r="J1945" s="329"/>
      <c r="K1945" s="329"/>
      <c r="L1945" s="329"/>
      <c r="M1945" s="329"/>
      <c r="N1945" s="329"/>
      <c r="O1945" s="329"/>
      <c r="P1945" s="329"/>
      <c r="Q1945" s="329"/>
      <c r="R1945" s="329"/>
    </row>
    <row r="1946" spans="1:18" ht="13">
      <c r="A1946" s="282"/>
      <c r="B1946" s="282"/>
      <c r="C1946" s="282"/>
      <c r="D1946" s="282"/>
      <c r="E1946" s="282"/>
      <c r="F1946" s="282"/>
      <c r="G1946" s="329"/>
      <c r="H1946" s="329"/>
      <c r="I1946" s="329"/>
      <c r="J1946" s="329"/>
      <c r="K1946" s="329"/>
      <c r="L1946" s="329"/>
      <c r="M1946" s="329"/>
      <c r="N1946" s="329"/>
      <c r="O1946" s="329"/>
      <c r="P1946" s="329"/>
      <c r="Q1946" s="329"/>
      <c r="R1946" s="329"/>
    </row>
    <row r="1947" spans="1:18" ht="13">
      <c r="A1947" s="282"/>
      <c r="B1947" s="282"/>
      <c r="C1947" s="282"/>
      <c r="D1947" s="282"/>
      <c r="E1947" s="282"/>
      <c r="F1947" s="282"/>
      <c r="G1947" s="329"/>
      <c r="H1947" s="329"/>
      <c r="I1947" s="329"/>
      <c r="J1947" s="329"/>
      <c r="K1947" s="329"/>
      <c r="L1947" s="329"/>
      <c r="M1947" s="329"/>
      <c r="N1947" s="329"/>
      <c r="O1947" s="329"/>
      <c r="P1947" s="329"/>
      <c r="Q1947" s="329"/>
      <c r="R1947" s="329"/>
    </row>
    <row r="1948" spans="1:18" ht="13">
      <c r="A1948" s="282"/>
      <c r="B1948" s="282"/>
      <c r="C1948" s="282"/>
      <c r="D1948" s="282"/>
      <c r="E1948" s="282"/>
      <c r="F1948" s="282"/>
      <c r="G1948" s="329"/>
      <c r="H1948" s="329"/>
      <c r="I1948" s="329"/>
      <c r="J1948" s="329"/>
      <c r="K1948" s="329"/>
      <c r="L1948" s="329"/>
      <c r="M1948" s="329"/>
      <c r="N1948" s="329"/>
      <c r="O1948" s="329"/>
      <c r="P1948" s="329"/>
      <c r="Q1948" s="329"/>
      <c r="R1948" s="329"/>
    </row>
    <row r="1949" spans="1:18" ht="13">
      <c r="A1949" s="282"/>
      <c r="B1949" s="282"/>
      <c r="C1949" s="282"/>
      <c r="D1949" s="282"/>
      <c r="E1949" s="282"/>
      <c r="F1949" s="282"/>
      <c r="G1949" s="329"/>
      <c r="H1949" s="329"/>
      <c r="I1949" s="329"/>
      <c r="J1949" s="329"/>
      <c r="K1949" s="329"/>
      <c r="L1949" s="329"/>
      <c r="M1949" s="329"/>
      <c r="N1949" s="329"/>
      <c r="O1949" s="329"/>
      <c r="P1949" s="329"/>
      <c r="Q1949" s="329"/>
      <c r="R1949" s="329"/>
    </row>
    <row r="1950" spans="1:18" ht="13">
      <c r="A1950" s="282"/>
      <c r="B1950" s="282"/>
      <c r="C1950" s="282"/>
      <c r="D1950" s="282"/>
      <c r="E1950" s="282"/>
      <c r="F1950" s="282"/>
      <c r="G1950" s="329"/>
      <c r="H1950" s="329"/>
      <c r="I1950" s="329"/>
      <c r="J1950" s="329"/>
      <c r="K1950" s="329"/>
      <c r="L1950" s="329"/>
      <c r="M1950" s="329"/>
      <c r="N1950" s="329"/>
      <c r="O1950" s="329"/>
      <c r="P1950" s="329"/>
      <c r="Q1950" s="329"/>
      <c r="R1950" s="329"/>
    </row>
    <row r="1951" spans="1:18" ht="13">
      <c r="A1951" s="282"/>
      <c r="B1951" s="282"/>
      <c r="C1951" s="282"/>
      <c r="D1951" s="282"/>
      <c r="E1951" s="282"/>
      <c r="F1951" s="282"/>
      <c r="G1951" s="329"/>
      <c r="H1951" s="329"/>
      <c r="I1951" s="329"/>
      <c r="J1951" s="329"/>
      <c r="K1951" s="329"/>
      <c r="L1951" s="329"/>
      <c r="M1951" s="329"/>
      <c r="N1951" s="329"/>
      <c r="O1951" s="329"/>
      <c r="P1951" s="329"/>
      <c r="Q1951" s="329"/>
      <c r="R1951" s="329"/>
    </row>
    <row r="1952" spans="1:18" ht="13">
      <c r="A1952" s="282"/>
      <c r="B1952" s="282"/>
      <c r="C1952" s="282"/>
      <c r="D1952" s="282"/>
      <c r="E1952" s="282"/>
      <c r="F1952" s="282"/>
      <c r="G1952" s="329"/>
      <c r="H1952" s="329"/>
      <c r="I1952" s="329"/>
      <c r="J1952" s="329"/>
      <c r="K1952" s="329"/>
      <c r="L1952" s="329"/>
      <c r="M1952" s="329"/>
      <c r="N1952" s="329"/>
      <c r="O1952" s="329"/>
      <c r="P1952" s="329"/>
      <c r="Q1952" s="329"/>
      <c r="R1952" s="329"/>
    </row>
    <row r="1953" spans="1:18" ht="13">
      <c r="A1953" s="282"/>
      <c r="B1953" s="282"/>
      <c r="C1953" s="282"/>
      <c r="D1953" s="282"/>
      <c r="E1953" s="282"/>
      <c r="F1953" s="282"/>
      <c r="G1953" s="329"/>
      <c r="H1953" s="329"/>
      <c r="I1953" s="329"/>
      <c r="J1953" s="329"/>
      <c r="K1953" s="329"/>
      <c r="L1953" s="329"/>
      <c r="M1953" s="329"/>
      <c r="N1953" s="329"/>
      <c r="O1953" s="329"/>
      <c r="P1953" s="329"/>
      <c r="Q1953" s="329"/>
      <c r="R1953" s="329"/>
    </row>
    <row r="1954" spans="1:18" ht="13">
      <c r="A1954" s="282"/>
      <c r="B1954" s="282"/>
      <c r="C1954" s="282"/>
      <c r="D1954" s="282"/>
      <c r="E1954" s="282"/>
      <c r="F1954" s="282"/>
      <c r="G1954" s="329"/>
      <c r="H1954" s="329"/>
      <c r="I1954" s="329"/>
      <c r="J1954" s="329"/>
      <c r="K1954" s="329"/>
      <c r="L1954" s="329"/>
      <c r="M1954" s="329"/>
      <c r="N1954" s="329"/>
      <c r="O1954" s="329"/>
      <c r="P1954" s="329"/>
      <c r="Q1954" s="329"/>
      <c r="R1954" s="329"/>
    </row>
    <row r="1955" spans="1:18" ht="13">
      <c r="A1955" s="282"/>
      <c r="B1955" s="282"/>
      <c r="C1955" s="282"/>
      <c r="D1955" s="282"/>
      <c r="E1955" s="282"/>
      <c r="F1955" s="282"/>
      <c r="G1955" s="329"/>
      <c r="H1955" s="329"/>
      <c r="I1955" s="329"/>
      <c r="J1955" s="329"/>
      <c r="K1955" s="329"/>
      <c r="L1955" s="329"/>
      <c r="M1955" s="329"/>
      <c r="N1955" s="329"/>
      <c r="O1955" s="329"/>
      <c r="P1955" s="329"/>
      <c r="Q1955" s="329"/>
      <c r="R1955" s="329"/>
    </row>
    <row r="1956" spans="1:18" ht="13">
      <c r="A1956" s="282"/>
      <c r="B1956" s="282"/>
      <c r="C1956" s="282"/>
      <c r="D1956" s="282"/>
      <c r="E1956" s="282"/>
      <c r="F1956" s="282"/>
      <c r="G1956" s="329"/>
      <c r="H1956" s="329"/>
      <c r="I1956" s="329"/>
      <c r="J1956" s="329"/>
      <c r="K1956" s="329"/>
      <c r="L1956" s="329"/>
      <c r="M1956" s="329"/>
      <c r="N1956" s="329"/>
      <c r="O1956" s="329"/>
      <c r="P1956" s="329"/>
      <c r="Q1956" s="329"/>
      <c r="R1956" s="329"/>
    </row>
    <row r="1957" spans="1:18" ht="13">
      <c r="A1957" s="282"/>
      <c r="B1957" s="282"/>
      <c r="C1957" s="282"/>
      <c r="D1957" s="282"/>
      <c r="E1957" s="282"/>
      <c r="F1957" s="282"/>
      <c r="G1957" s="329"/>
      <c r="H1957" s="329"/>
      <c r="I1957" s="329"/>
      <c r="J1957" s="329"/>
      <c r="K1957" s="329"/>
      <c r="L1957" s="329"/>
      <c r="M1957" s="329"/>
      <c r="N1957" s="329"/>
      <c r="O1957" s="329"/>
      <c r="P1957" s="329"/>
      <c r="Q1957" s="329"/>
      <c r="R1957" s="329"/>
    </row>
    <row r="1958" spans="1:18" ht="13">
      <c r="A1958" s="282"/>
      <c r="B1958" s="282"/>
      <c r="C1958" s="282"/>
      <c r="D1958" s="282"/>
      <c r="E1958" s="282"/>
      <c r="F1958" s="282"/>
      <c r="G1958" s="329"/>
      <c r="H1958" s="329"/>
      <c r="I1958" s="329"/>
      <c r="J1958" s="329"/>
      <c r="K1958" s="329"/>
      <c r="L1958" s="329"/>
      <c r="M1958" s="329"/>
      <c r="N1958" s="329"/>
      <c r="O1958" s="329"/>
      <c r="P1958" s="329"/>
      <c r="Q1958" s="329"/>
      <c r="R1958" s="329"/>
    </row>
    <row r="1959" spans="1:18" ht="13">
      <c r="A1959" s="282"/>
      <c r="B1959" s="282"/>
      <c r="C1959" s="282"/>
      <c r="D1959" s="282"/>
      <c r="E1959" s="282"/>
      <c r="F1959" s="282"/>
      <c r="G1959" s="329"/>
      <c r="H1959" s="329"/>
      <c r="I1959" s="329"/>
      <c r="J1959" s="329"/>
      <c r="K1959" s="329"/>
      <c r="L1959" s="329"/>
      <c r="M1959" s="329"/>
      <c r="N1959" s="329"/>
      <c r="O1959" s="329"/>
      <c r="P1959" s="329"/>
      <c r="Q1959" s="329"/>
      <c r="R1959" s="329"/>
    </row>
    <row r="1960" spans="1:18" ht="13">
      <c r="A1960" s="282"/>
      <c r="B1960" s="282"/>
      <c r="C1960" s="282"/>
      <c r="D1960" s="282"/>
      <c r="E1960" s="282"/>
      <c r="F1960" s="282"/>
      <c r="G1960" s="329"/>
      <c r="H1960" s="329"/>
      <c r="I1960" s="329"/>
      <c r="J1960" s="329"/>
      <c r="K1960" s="329"/>
      <c r="L1960" s="329"/>
      <c r="M1960" s="329"/>
      <c r="N1960" s="329"/>
      <c r="O1960" s="329"/>
      <c r="P1960" s="329"/>
      <c r="Q1960" s="329"/>
      <c r="R1960" s="329"/>
    </row>
    <row r="1961" spans="1:18" ht="13">
      <c r="A1961" s="282"/>
      <c r="B1961" s="282"/>
      <c r="C1961" s="282"/>
      <c r="D1961" s="282"/>
      <c r="E1961" s="282"/>
      <c r="F1961" s="282"/>
      <c r="G1961" s="329"/>
      <c r="H1961" s="329"/>
      <c r="I1961" s="329"/>
      <c r="J1961" s="329"/>
      <c r="K1961" s="329"/>
      <c r="L1961" s="329"/>
      <c r="M1961" s="329"/>
      <c r="N1961" s="329"/>
      <c r="O1961" s="329"/>
      <c r="P1961" s="329"/>
      <c r="Q1961" s="329"/>
      <c r="R1961" s="329"/>
    </row>
    <row r="1962" spans="1:18" ht="13">
      <c r="A1962" s="282"/>
      <c r="B1962" s="282"/>
      <c r="C1962" s="282"/>
      <c r="D1962" s="282"/>
      <c r="E1962" s="282"/>
      <c r="F1962" s="282"/>
      <c r="G1962" s="329"/>
      <c r="H1962" s="329"/>
      <c r="I1962" s="329"/>
      <c r="J1962" s="329"/>
      <c r="K1962" s="329"/>
      <c r="L1962" s="329"/>
      <c r="M1962" s="329"/>
      <c r="N1962" s="329"/>
      <c r="O1962" s="329"/>
      <c r="P1962" s="329"/>
      <c r="Q1962" s="329"/>
      <c r="R1962" s="329"/>
    </row>
    <row r="1963" spans="1:18" ht="13">
      <c r="A1963" s="282"/>
      <c r="B1963" s="282"/>
      <c r="C1963" s="282"/>
      <c r="D1963" s="282"/>
      <c r="E1963" s="282"/>
      <c r="F1963" s="282"/>
      <c r="G1963" s="329"/>
      <c r="H1963" s="329"/>
      <c r="I1963" s="329"/>
      <c r="J1963" s="329"/>
      <c r="K1963" s="329"/>
      <c r="L1963" s="329"/>
      <c r="M1963" s="329"/>
      <c r="N1963" s="329"/>
      <c r="O1963" s="329"/>
      <c r="P1963" s="329"/>
      <c r="Q1963" s="329"/>
      <c r="R1963" s="329"/>
    </row>
    <row r="1964" spans="1:18" ht="13">
      <c r="A1964" s="282"/>
      <c r="B1964" s="282"/>
      <c r="C1964" s="282"/>
      <c r="D1964" s="282"/>
      <c r="E1964" s="282"/>
      <c r="F1964" s="282"/>
      <c r="G1964" s="329"/>
      <c r="H1964" s="329"/>
      <c r="I1964" s="329"/>
      <c r="J1964" s="329"/>
      <c r="K1964" s="329"/>
      <c r="L1964" s="329"/>
      <c r="M1964" s="329"/>
      <c r="N1964" s="329"/>
      <c r="O1964" s="329"/>
      <c r="P1964" s="329"/>
      <c r="Q1964" s="329"/>
      <c r="R1964" s="329"/>
    </row>
    <row r="1965" spans="1:18" ht="13">
      <c r="A1965" s="282"/>
      <c r="B1965" s="282"/>
      <c r="C1965" s="282"/>
      <c r="D1965" s="282"/>
      <c r="E1965" s="282"/>
      <c r="F1965" s="282"/>
      <c r="G1965" s="329"/>
      <c r="H1965" s="329"/>
      <c r="I1965" s="329"/>
      <c r="J1965" s="329"/>
      <c r="K1965" s="329"/>
      <c r="L1965" s="329"/>
      <c r="M1965" s="329"/>
      <c r="N1965" s="329"/>
      <c r="O1965" s="329"/>
      <c r="P1965" s="329"/>
      <c r="Q1965" s="329"/>
      <c r="R1965" s="329"/>
    </row>
    <row r="1966" spans="1:18" ht="13">
      <c r="A1966" s="282"/>
      <c r="B1966" s="282"/>
      <c r="C1966" s="282"/>
      <c r="D1966" s="282"/>
      <c r="E1966" s="282"/>
      <c r="F1966" s="282"/>
      <c r="G1966" s="329"/>
      <c r="H1966" s="329"/>
      <c r="I1966" s="329"/>
      <c r="J1966" s="329"/>
      <c r="K1966" s="329"/>
      <c r="L1966" s="329"/>
      <c r="M1966" s="329"/>
      <c r="N1966" s="329"/>
      <c r="O1966" s="329"/>
      <c r="P1966" s="329"/>
      <c r="Q1966" s="329"/>
      <c r="R1966" s="329"/>
    </row>
    <row r="1967" spans="1:18" ht="13">
      <c r="A1967" s="282"/>
      <c r="B1967" s="282"/>
      <c r="C1967" s="282"/>
      <c r="D1967" s="282"/>
      <c r="E1967" s="282"/>
      <c r="F1967" s="282"/>
      <c r="G1967" s="329"/>
      <c r="H1967" s="329"/>
      <c r="I1967" s="329"/>
      <c r="J1967" s="329"/>
      <c r="K1967" s="329"/>
      <c r="L1967" s="329"/>
      <c r="M1967" s="329"/>
      <c r="N1967" s="329"/>
      <c r="O1967" s="329"/>
      <c r="P1967" s="329"/>
      <c r="Q1967" s="329"/>
      <c r="R1967" s="329"/>
    </row>
    <row r="1968" spans="1:18" ht="13">
      <c r="A1968" s="282"/>
      <c r="B1968" s="282"/>
      <c r="C1968" s="282"/>
      <c r="D1968" s="282"/>
      <c r="E1968" s="282"/>
      <c r="F1968" s="282"/>
      <c r="G1968" s="329"/>
      <c r="H1968" s="329"/>
      <c r="I1968" s="329"/>
      <c r="J1968" s="329"/>
      <c r="K1968" s="329"/>
      <c r="L1968" s="329"/>
      <c r="M1968" s="329"/>
      <c r="N1968" s="329"/>
      <c r="O1968" s="329"/>
      <c r="P1968" s="329"/>
      <c r="Q1968" s="329"/>
      <c r="R1968" s="329"/>
    </row>
    <row r="1969" spans="1:18" ht="13">
      <c r="A1969" s="282"/>
      <c r="B1969" s="282"/>
      <c r="C1969" s="282"/>
      <c r="D1969" s="282"/>
      <c r="E1969" s="282"/>
      <c r="F1969" s="282"/>
      <c r="G1969" s="329"/>
      <c r="H1969" s="329"/>
      <c r="I1969" s="329"/>
      <c r="J1969" s="329"/>
      <c r="K1969" s="329"/>
      <c r="L1969" s="329"/>
      <c r="M1969" s="329"/>
      <c r="N1969" s="329"/>
      <c r="O1969" s="329"/>
      <c r="P1969" s="329"/>
      <c r="Q1969" s="329"/>
      <c r="R1969" s="329"/>
    </row>
    <row r="1970" spans="1:18" ht="13">
      <c r="A1970" s="282"/>
      <c r="B1970" s="282"/>
      <c r="C1970" s="282"/>
      <c r="D1970" s="282"/>
      <c r="E1970" s="282"/>
      <c r="F1970" s="282"/>
      <c r="G1970" s="329"/>
      <c r="H1970" s="329"/>
      <c r="I1970" s="329"/>
      <c r="J1970" s="329"/>
      <c r="K1970" s="329"/>
      <c r="L1970" s="329"/>
      <c r="M1970" s="329"/>
      <c r="N1970" s="329"/>
      <c r="O1970" s="329"/>
      <c r="P1970" s="329"/>
      <c r="Q1970" s="329"/>
      <c r="R1970" s="329"/>
    </row>
    <row r="1971" spans="1:18" ht="13">
      <c r="A1971" s="282"/>
      <c r="B1971" s="282"/>
      <c r="C1971" s="282"/>
      <c r="D1971" s="282"/>
      <c r="E1971" s="282"/>
      <c r="F1971" s="282"/>
      <c r="G1971" s="329"/>
      <c r="H1971" s="329"/>
      <c r="I1971" s="329"/>
      <c r="J1971" s="329"/>
      <c r="K1971" s="329"/>
      <c r="L1971" s="329"/>
      <c r="M1971" s="329"/>
      <c r="N1971" s="329"/>
      <c r="O1971" s="329"/>
      <c r="P1971" s="329"/>
      <c r="Q1971" s="329"/>
      <c r="R1971" s="329"/>
    </row>
    <row r="1972" spans="1:18" ht="13">
      <c r="A1972" s="282"/>
      <c r="B1972" s="282"/>
      <c r="C1972" s="282"/>
      <c r="D1972" s="282"/>
      <c r="E1972" s="282"/>
      <c r="F1972" s="282"/>
      <c r="G1972" s="329"/>
      <c r="H1972" s="329"/>
      <c r="I1972" s="329"/>
      <c r="J1972" s="329"/>
      <c r="K1972" s="329"/>
      <c r="L1972" s="329"/>
      <c r="M1972" s="329"/>
      <c r="N1972" s="329"/>
      <c r="O1972" s="329"/>
      <c r="P1972" s="329"/>
      <c r="Q1972" s="329"/>
      <c r="R1972" s="329"/>
    </row>
    <row r="1973" spans="1:18" ht="13">
      <c r="A1973" s="282"/>
      <c r="B1973" s="282"/>
      <c r="C1973" s="282"/>
      <c r="D1973" s="282"/>
      <c r="E1973" s="282"/>
      <c r="F1973" s="282"/>
      <c r="G1973" s="329"/>
      <c r="H1973" s="329"/>
      <c r="I1973" s="329"/>
      <c r="J1973" s="329"/>
      <c r="K1973" s="329"/>
      <c r="L1973" s="329"/>
      <c r="M1973" s="329"/>
      <c r="N1973" s="329"/>
      <c r="O1973" s="329"/>
      <c r="P1973" s="329"/>
      <c r="Q1973" s="329"/>
      <c r="R1973" s="329"/>
    </row>
    <row r="1974" spans="1:18" ht="13">
      <c r="A1974" s="282"/>
      <c r="B1974" s="282"/>
      <c r="C1974" s="282"/>
      <c r="D1974" s="282"/>
      <c r="E1974" s="282"/>
      <c r="F1974" s="282"/>
      <c r="G1974" s="329"/>
      <c r="H1974" s="329"/>
      <c r="I1974" s="329"/>
      <c r="J1974" s="329"/>
      <c r="K1974" s="329"/>
      <c r="L1974" s="329"/>
      <c r="M1974" s="329"/>
      <c r="N1974" s="329"/>
      <c r="O1974" s="329"/>
      <c r="P1974" s="329"/>
      <c r="Q1974" s="329"/>
      <c r="R1974" s="329"/>
    </row>
    <row r="1975" spans="1:18" ht="13">
      <c r="A1975" s="282"/>
      <c r="B1975" s="282"/>
      <c r="C1975" s="282"/>
      <c r="D1975" s="282"/>
      <c r="E1975" s="282"/>
      <c r="F1975" s="282"/>
      <c r="G1975" s="329"/>
      <c r="H1975" s="329"/>
      <c r="I1975" s="329"/>
      <c r="J1975" s="329"/>
      <c r="K1975" s="329"/>
      <c r="L1975" s="329"/>
      <c r="M1975" s="329"/>
      <c r="N1975" s="329"/>
      <c r="O1975" s="329"/>
      <c r="P1975" s="329"/>
      <c r="Q1975" s="329"/>
      <c r="R1975" s="329"/>
    </row>
    <row r="1976" spans="1:18" ht="13">
      <c r="A1976" s="282"/>
      <c r="B1976" s="282"/>
      <c r="C1976" s="282"/>
      <c r="D1976" s="282"/>
      <c r="E1976" s="282"/>
      <c r="F1976" s="282"/>
      <c r="G1976" s="329"/>
      <c r="H1976" s="329"/>
      <c r="I1976" s="329"/>
      <c r="J1976" s="329"/>
      <c r="K1976" s="329"/>
      <c r="L1976" s="329"/>
      <c r="M1976" s="329"/>
      <c r="N1976" s="329"/>
      <c r="O1976" s="329"/>
      <c r="P1976" s="329"/>
      <c r="Q1976" s="329"/>
      <c r="R1976" s="329"/>
    </row>
    <row r="1977" spans="1:18" ht="13">
      <c r="A1977" s="282"/>
      <c r="B1977" s="282"/>
      <c r="C1977" s="282"/>
      <c r="D1977" s="282"/>
      <c r="E1977" s="282"/>
      <c r="F1977" s="282"/>
      <c r="G1977" s="329"/>
      <c r="H1977" s="329"/>
      <c r="I1977" s="329"/>
      <c r="J1977" s="329"/>
      <c r="K1977" s="329"/>
      <c r="L1977" s="329"/>
      <c r="M1977" s="329"/>
      <c r="N1977" s="329"/>
      <c r="O1977" s="329"/>
      <c r="P1977" s="329"/>
      <c r="Q1977" s="329"/>
      <c r="R1977" s="329"/>
    </row>
    <row r="1978" spans="1:18" ht="13">
      <c r="A1978" s="282"/>
      <c r="B1978" s="282"/>
      <c r="C1978" s="282"/>
      <c r="D1978" s="282"/>
      <c r="E1978" s="282"/>
      <c r="F1978" s="282"/>
      <c r="G1978" s="329"/>
      <c r="H1978" s="329"/>
      <c r="I1978" s="329"/>
      <c r="J1978" s="329"/>
      <c r="K1978" s="329"/>
      <c r="L1978" s="329"/>
      <c r="M1978" s="329"/>
      <c r="N1978" s="329"/>
      <c r="O1978" s="329"/>
      <c r="P1978" s="329"/>
      <c r="Q1978" s="329"/>
      <c r="R1978" s="329"/>
    </row>
    <row r="1979" spans="1:18" ht="13">
      <c r="A1979" s="282"/>
      <c r="B1979" s="282"/>
      <c r="C1979" s="282"/>
      <c r="D1979" s="282"/>
      <c r="E1979" s="282"/>
      <c r="F1979" s="282"/>
      <c r="G1979" s="329"/>
      <c r="H1979" s="329"/>
      <c r="I1979" s="329"/>
      <c r="J1979" s="329"/>
      <c r="K1979" s="329"/>
      <c r="L1979" s="329"/>
      <c r="M1979" s="329"/>
      <c r="N1979" s="329"/>
      <c r="O1979" s="329"/>
      <c r="P1979" s="329"/>
      <c r="Q1979" s="329"/>
      <c r="R1979" s="329"/>
    </row>
    <row r="1980" spans="1:18" ht="13">
      <c r="A1980" s="282"/>
      <c r="B1980" s="282"/>
      <c r="C1980" s="282"/>
      <c r="D1980" s="282"/>
      <c r="E1980" s="282"/>
      <c r="F1980" s="282"/>
      <c r="G1980" s="329"/>
      <c r="H1980" s="329"/>
      <c r="I1980" s="329"/>
      <c r="J1980" s="329"/>
      <c r="K1980" s="329"/>
      <c r="L1980" s="329"/>
      <c r="M1980" s="329"/>
      <c r="N1980" s="329"/>
      <c r="O1980" s="329"/>
      <c r="P1980" s="329"/>
      <c r="Q1980" s="329"/>
      <c r="R1980" s="329"/>
    </row>
    <row r="1981" spans="1:18" ht="13">
      <c r="A1981" s="282"/>
      <c r="B1981" s="282"/>
      <c r="C1981" s="282"/>
      <c r="D1981" s="282"/>
      <c r="E1981" s="282"/>
      <c r="F1981" s="282"/>
      <c r="G1981" s="329"/>
      <c r="H1981" s="329"/>
      <c r="I1981" s="329"/>
      <c r="J1981" s="329"/>
      <c r="K1981" s="329"/>
      <c r="L1981" s="329"/>
      <c r="M1981" s="329"/>
      <c r="N1981" s="329"/>
      <c r="O1981" s="329"/>
      <c r="P1981" s="329"/>
      <c r="Q1981" s="329"/>
      <c r="R1981" s="329"/>
    </row>
    <row r="1982" spans="1:18" ht="13">
      <c r="A1982" s="282"/>
      <c r="B1982" s="282"/>
      <c r="C1982" s="282"/>
      <c r="D1982" s="282"/>
      <c r="E1982" s="282"/>
      <c r="F1982" s="282"/>
      <c r="G1982" s="329"/>
      <c r="H1982" s="329"/>
      <c r="I1982" s="329"/>
      <c r="J1982" s="329"/>
      <c r="K1982" s="329"/>
      <c r="L1982" s="329"/>
      <c r="M1982" s="329"/>
      <c r="N1982" s="329"/>
      <c r="O1982" s="329"/>
      <c r="P1982" s="329"/>
      <c r="Q1982" s="329"/>
      <c r="R1982" s="329"/>
    </row>
    <row r="1983" spans="1:18" ht="13">
      <c r="A1983" s="282"/>
      <c r="B1983" s="282"/>
      <c r="C1983" s="282"/>
      <c r="D1983" s="282"/>
      <c r="E1983" s="282"/>
      <c r="F1983" s="282"/>
      <c r="G1983" s="329"/>
      <c r="H1983" s="329"/>
      <c r="I1983" s="329"/>
      <c r="J1983" s="329"/>
      <c r="K1983" s="329"/>
      <c r="L1983" s="329"/>
      <c r="M1983" s="329"/>
      <c r="N1983" s="329"/>
      <c r="O1983" s="329"/>
      <c r="P1983" s="329"/>
      <c r="Q1983" s="329"/>
      <c r="R1983" s="329"/>
    </row>
    <row r="1984" spans="1:18" ht="13">
      <c r="A1984" s="282"/>
      <c r="B1984" s="282"/>
      <c r="C1984" s="282"/>
      <c r="D1984" s="282"/>
      <c r="E1984" s="282"/>
      <c r="F1984" s="282"/>
      <c r="G1984" s="329"/>
      <c r="H1984" s="329"/>
      <c r="I1984" s="329"/>
      <c r="J1984" s="329"/>
      <c r="K1984" s="329"/>
      <c r="L1984" s="329"/>
      <c r="M1984" s="329"/>
      <c r="N1984" s="329"/>
      <c r="O1984" s="329"/>
      <c r="P1984" s="329"/>
      <c r="Q1984" s="329"/>
      <c r="R1984" s="329"/>
    </row>
    <row r="1985" spans="1:18" ht="13">
      <c r="A1985" s="282"/>
      <c r="B1985" s="282"/>
      <c r="C1985" s="282"/>
      <c r="D1985" s="282"/>
      <c r="E1985" s="282"/>
      <c r="F1985" s="282"/>
      <c r="G1985" s="329"/>
      <c r="H1985" s="329"/>
      <c r="I1985" s="329"/>
      <c r="J1985" s="329"/>
      <c r="K1985" s="329"/>
      <c r="L1985" s="329"/>
      <c r="M1985" s="329"/>
      <c r="N1985" s="329"/>
      <c r="O1985" s="329"/>
      <c r="P1985" s="329"/>
      <c r="Q1985" s="329"/>
      <c r="R1985" s="329"/>
    </row>
    <row r="1986" spans="1:18" ht="13">
      <c r="A1986" s="282"/>
      <c r="B1986" s="282"/>
      <c r="C1986" s="282"/>
      <c r="D1986" s="282"/>
      <c r="E1986" s="282"/>
      <c r="F1986" s="282"/>
      <c r="G1986" s="329"/>
      <c r="H1986" s="329"/>
      <c r="I1986" s="329"/>
      <c r="J1986" s="329"/>
      <c r="K1986" s="329"/>
      <c r="L1986" s="329"/>
      <c r="M1986" s="329"/>
      <c r="N1986" s="329"/>
      <c r="O1986" s="329"/>
      <c r="P1986" s="329"/>
      <c r="Q1986" s="329"/>
      <c r="R1986" s="329"/>
    </row>
    <row r="1987" spans="1:18" ht="13">
      <c r="A1987" s="282"/>
      <c r="B1987" s="282"/>
      <c r="C1987" s="282"/>
      <c r="D1987" s="282"/>
      <c r="E1987" s="282"/>
      <c r="F1987" s="282"/>
      <c r="G1987" s="329"/>
      <c r="H1987" s="329"/>
      <c r="I1987" s="329"/>
      <c r="J1987" s="329"/>
      <c r="K1987" s="329"/>
      <c r="L1987" s="329"/>
      <c r="M1987" s="329"/>
      <c r="N1987" s="329"/>
      <c r="O1987" s="329"/>
      <c r="P1987" s="329"/>
      <c r="Q1987" s="329"/>
      <c r="R1987" s="329"/>
    </row>
    <row r="1988" spans="1:18" ht="13">
      <c r="A1988" s="282"/>
      <c r="B1988" s="282"/>
      <c r="C1988" s="282"/>
      <c r="D1988" s="282"/>
      <c r="E1988" s="282"/>
      <c r="F1988" s="282"/>
      <c r="G1988" s="329"/>
      <c r="H1988" s="329"/>
      <c r="I1988" s="329"/>
      <c r="J1988" s="329"/>
      <c r="K1988" s="329"/>
      <c r="L1988" s="329"/>
      <c r="M1988" s="329"/>
      <c r="N1988" s="329"/>
      <c r="O1988" s="329"/>
      <c r="P1988" s="329"/>
      <c r="Q1988" s="329"/>
      <c r="R1988" s="329"/>
    </row>
    <row r="1989" spans="1:18" ht="13">
      <c r="A1989" s="282"/>
      <c r="B1989" s="282"/>
      <c r="C1989" s="282"/>
      <c r="D1989" s="282"/>
      <c r="E1989" s="282"/>
      <c r="F1989" s="282"/>
      <c r="G1989" s="329"/>
      <c r="H1989" s="329"/>
      <c r="I1989" s="329"/>
      <c r="J1989" s="329"/>
      <c r="K1989" s="329"/>
      <c r="L1989" s="329"/>
      <c r="M1989" s="329"/>
      <c r="N1989" s="329"/>
      <c r="O1989" s="329"/>
      <c r="P1989" s="329"/>
      <c r="Q1989" s="329"/>
      <c r="R1989" s="329"/>
    </row>
    <row r="1990" spans="1:18" ht="13">
      <c r="A1990" s="282"/>
      <c r="B1990" s="282"/>
      <c r="C1990" s="282"/>
      <c r="D1990" s="282"/>
      <c r="E1990" s="282"/>
      <c r="F1990" s="282"/>
      <c r="G1990" s="329"/>
      <c r="H1990" s="329"/>
      <c r="I1990" s="329"/>
      <c r="J1990" s="329"/>
      <c r="K1990" s="329"/>
      <c r="L1990" s="329"/>
      <c r="M1990" s="329"/>
      <c r="N1990" s="329"/>
      <c r="O1990" s="329"/>
      <c r="P1990" s="329"/>
      <c r="Q1990" s="329"/>
      <c r="R1990" s="329"/>
    </row>
    <row r="1991" spans="1:18" ht="13">
      <c r="A1991" s="282"/>
      <c r="B1991" s="282"/>
      <c r="C1991" s="282"/>
      <c r="D1991" s="282"/>
      <c r="E1991" s="282"/>
      <c r="F1991" s="282"/>
      <c r="G1991" s="329"/>
      <c r="H1991" s="329"/>
      <c r="I1991" s="329"/>
      <c r="J1991" s="329"/>
      <c r="K1991" s="329"/>
      <c r="L1991" s="329"/>
      <c r="M1991" s="329"/>
      <c r="N1991" s="329"/>
      <c r="O1991" s="329"/>
      <c r="P1991" s="329"/>
      <c r="Q1991" s="329"/>
      <c r="R1991" s="329"/>
    </row>
    <row r="1992" spans="1:18" ht="13">
      <c r="A1992" s="282"/>
      <c r="B1992" s="282"/>
      <c r="C1992" s="282"/>
      <c r="D1992" s="282"/>
      <c r="E1992" s="282"/>
      <c r="F1992" s="282"/>
      <c r="G1992" s="329"/>
      <c r="H1992" s="329"/>
      <c r="I1992" s="329"/>
      <c r="J1992" s="329"/>
      <c r="K1992" s="329"/>
      <c r="L1992" s="329"/>
      <c r="M1992" s="329"/>
      <c r="N1992" s="329"/>
      <c r="O1992" s="329"/>
      <c r="P1992" s="329"/>
      <c r="Q1992" s="329"/>
      <c r="R1992" s="329"/>
    </row>
    <row r="1993" spans="1:18" ht="13">
      <c r="A1993" s="282"/>
      <c r="B1993" s="282"/>
      <c r="C1993" s="282"/>
      <c r="D1993" s="282"/>
      <c r="E1993" s="282"/>
      <c r="F1993" s="282"/>
      <c r="G1993" s="329"/>
      <c r="H1993" s="329"/>
      <c r="I1993" s="329"/>
      <c r="J1993" s="329"/>
      <c r="K1993" s="329"/>
      <c r="L1993" s="329"/>
      <c r="M1993" s="329"/>
      <c r="N1993" s="329"/>
      <c r="O1993" s="329"/>
      <c r="P1993" s="329"/>
      <c r="Q1993" s="329"/>
      <c r="R1993" s="329"/>
    </row>
    <row r="1994" spans="1:18" ht="13">
      <c r="A1994" s="282"/>
      <c r="B1994" s="282"/>
      <c r="C1994" s="282"/>
      <c r="D1994" s="282"/>
      <c r="E1994" s="282"/>
      <c r="F1994" s="282"/>
      <c r="G1994" s="329"/>
      <c r="H1994" s="329"/>
      <c r="I1994" s="329"/>
      <c r="J1994" s="329"/>
      <c r="K1994" s="329"/>
      <c r="L1994" s="329"/>
      <c r="M1994" s="329"/>
      <c r="N1994" s="329"/>
      <c r="O1994" s="329"/>
      <c r="P1994" s="329"/>
      <c r="Q1994" s="329"/>
      <c r="R1994" s="329"/>
    </row>
    <row r="1995" spans="1:18" ht="13">
      <c r="A1995" s="282"/>
      <c r="B1995" s="282"/>
      <c r="C1995" s="282"/>
      <c r="D1995" s="282"/>
      <c r="E1995" s="282"/>
      <c r="F1995" s="282"/>
      <c r="G1995" s="329"/>
      <c r="H1995" s="329"/>
      <c r="I1995" s="329"/>
      <c r="J1995" s="329"/>
      <c r="K1995" s="329"/>
      <c r="L1995" s="329"/>
      <c r="M1995" s="329"/>
      <c r="N1995" s="329"/>
      <c r="O1995" s="329"/>
      <c r="P1995" s="329"/>
      <c r="Q1995" s="329"/>
      <c r="R1995" s="329"/>
    </row>
    <row r="1996" spans="1:18" ht="13">
      <c r="A1996" s="282"/>
      <c r="B1996" s="282"/>
      <c r="C1996" s="282"/>
      <c r="D1996" s="282"/>
      <c r="E1996" s="282"/>
      <c r="F1996" s="282"/>
      <c r="G1996" s="329"/>
      <c r="H1996" s="329"/>
      <c r="I1996" s="329"/>
      <c r="J1996" s="329"/>
      <c r="K1996" s="329"/>
      <c r="L1996" s="329"/>
      <c r="M1996" s="329"/>
      <c r="N1996" s="329"/>
      <c r="O1996" s="329"/>
      <c r="P1996" s="329"/>
      <c r="Q1996" s="329"/>
      <c r="R1996" s="329"/>
    </row>
    <row r="1997" spans="1:18" ht="13">
      <c r="A1997" s="282"/>
      <c r="B1997" s="282"/>
      <c r="C1997" s="282"/>
      <c r="D1997" s="282"/>
      <c r="E1997" s="282"/>
      <c r="F1997" s="282"/>
      <c r="G1997" s="329"/>
      <c r="H1997" s="329"/>
      <c r="I1997" s="329"/>
      <c r="J1997" s="329"/>
      <c r="K1997" s="329"/>
      <c r="L1997" s="329"/>
      <c r="M1997" s="329"/>
      <c r="N1997" s="329"/>
      <c r="O1997" s="329"/>
      <c r="P1997" s="329"/>
      <c r="Q1997" s="329"/>
      <c r="R1997" s="329"/>
    </row>
    <row r="1998" spans="1:18" ht="13">
      <c r="A1998" s="282"/>
      <c r="B1998" s="282"/>
      <c r="C1998" s="282"/>
      <c r="D1998" s="282"/>
      <c r="E1998" s="282"/>
      <c r="F1998" s="282"/>
      <c r="G1998" s="329"/>
      <c r="H1998" s="329"/>
      <c r="I1998" s="329"/>
      <c r="J1998" s="329"/>
      <c r="K1998" s="329"/>
      <c r="L1998" s="329"/>
      <c r="M1998" s="329"/>
      <c r="N1998" s="329"/>
      <c r="O1998" s="329"/>
      <c r="P1998" s="329"/>
      <c r="Q1998" s="329"/>
      <c r="R1998" s="329"/>
    </row>
    <row r="1999" spans="1:18" ht="13">
      <c r="A1999" s="282"/>
      <c r="B1999" s="282"/>
      <c r="C1999" s="282"/>
      <c r="D1999" s="282"/>
      <c r="E1999" s="282"/>
      <c r="F1999" s="282"/>
      <c r="G1999" s="329"/>
      <c r="H1999" s="329"/>
      <c r="I1999" s="329"/>
      <c r="J1999" s="329"/>
      <c r="K1999" s="329"/>
      <c r="L1999" s="329"/>
      <c r="M1999" s="329"/>
      <c r="N1999" s="329"/>
      <c r="O1999" s="329"/>
      <c r="P1999" s="329"/>
      <c r="Q1999" s="329"/>
      <c r="R1999" s="329"/>
    </row>
    <row r="2000" spans="1:18" ht="13">
      <c r="A2000" s="282"/>
      <c r="B2000" s="282"/>
      <c r="C2000" s="282"/>
      <c r="D2000" s="282"/>
      <c r="E2000" s="282"/>
      <c r="F2000" s="282"/>
      <c r="G2000" s="329"/>
      <c r="H2000" s="329"/>
      <c r="I2000" s="329"/>
      <c r="J2000" s="329"/>
      <c r="K2000" s="329"/>
      <c r="L2000" s="329"/>
      <c r="M2000" s="329"/>
      <c r="N2000" s="329"/>
      <c r="O2000" s="329"/>
      <c r="P2000" s="329"/>
      <c r="Q2000" s="329"/>
      <c r="R2000" s="329"/>
    </row>
    <row r="2001" spans="1:18" ht="13">
      <c r="A2001" s="282"/>
      <c r="B2001" s="282"/>
      <c r="C2001" s="282"/>
      <c r="D2001" s="282"/>
      <c r="E2001" s="282"/>
      <c r="F2001" s="282"/>
      <c r="G2001" s="329"/>
      <c r="H2001" s="329"/>
      <c r="I2001" s="329"/>
      <c r="J2001" s="329"/>
      <c r="K2001" s="329"/>
      <c r="L2001" s="329"/>
      <c r="M2001" s="329"/>
      <c r="N2001" s="329"/>
      <c r="O2001" s="329"/>
      <c r="P2001" s="329"/>
      <c r="Q2001" s="329"/>
      <c r="R2001" s="329"/>
    </row>
    <row r="2002" spans="1:18" ht="13">
      <c r="A2002" s="282"/>
      <c r="B2002" s="282"/>
      <c r="C2002" s="282"/>
      <c r="D2002" s="282"/>
      <c r="E2002" s="282"/>
      <c r="F2002" s="282"/>
      <c r="G2002" s="329"/>
      <c r="H2002" s="329"/>
      <c r="I2002" s="329"/>
      <c r="J2002" s="329"/>
      <c r="K2002" s="329"/>
      <c r="L2002" s="329"/>
      <c r="M2002" s="329"/>
      <c r="N2002" s="329"/>
      <c r="O2002" s="329"/>
      <c r="P2002" s="329"/>
      <c r="Q2002" s="329"/>
      <c r="R2002" s="329"/>
    </row>
    <row r="2003" spans="1:18" ht="13">
      <c r="A2003" s="282"/>
      <c r="B2003" s="282"/>
      <c r="C2003" s="282"/>
      <c r="D2003" s="282"/>
      <c r="E2003" s="282"/>
      <c r="F2003" s="282"/>
      <c r="G2003" s="329"/>
      <c r="H2003" s="329"/>
      <c r="I2003" s="329"/>
      <c r="J2003" s="329"/>
      <c r="K2003" s="329"/>
      <c r="L2003" s="329"/>
      <c r="M2003" s="329"/>
      <c r="N2003" s="329"/>
      <c r="O2003" s="329"/>
      <c r="P2003" s="329"/>
      <c r="Q2003" s="329"/>
      <c r="R2003" s="329"/>
    </row>
    <row r="2004" spans="1:18" ht="13">
      <c r="A2004" s="282"/>
      <c r="B2004" s="282"/>
      <c r="C2004" s="282"/>
      <c r="D2004" s="282"/>
      <c r="E2004" s="282"/>
      <c r="F2004" s="282"/>
      <c r="G2004" s="329"/>
      <c r="H2004" s="329"/>
      <c r="I2004" s="329"/>
      <c r="J2004" s="329"/>
      <c r="K2004" s="329"/>
      <c r="L2004" s="329"/>
      <c r="M2004" s="329"/>
      <c r="N2004" s="329"/>
      <c r="O2004" s="329"/>
      <c r="P2004" s="329"/>
      <c r="Q2004" s="329"/>
      <c r="R2004" s="329"/>
    </row>
    <row r="2005" spans="1:18" ht="13">
      <c r="A2005" s="282"/>
      <c r="B2005" s="282"/>
      <c r="C2005" s="282"/>
      <c r="D2005" s="282"/>
      <c r="E2005" s="282"/>
      <c r="F2005" s="282"/>
      <c r="G2005" s="329"/>
      <c r="H2005" s="329"/>
      <c r="I2005" s="329"/>
      <c r="J2005" s="329"/>
      <c r="K2005" s="329"/>
      <c r="L2005" s="329"/>
      <c r="M2005" s="329"/>
      <c r="N2005" s="329"/>
      <c r="O2005" s="329"/>
      <c r="P2005" s="329"/>
      <c r="Q2005" s="329"/>
      <c r="R2005" s="329"/>
    </row>
    <row r="2006" spans="1:18" ht="13">
      <c r="A2006" s="282"/>
      <c r="B2006" s="282"/>
      <c r="C2006" s="282"/>
      <c r="D2006" s="282"/>
      <c r="E2006" s="282"/>
      <c r="F2006" s="282"/>
      <c r="G2006" s="329"/>
      <c r="H2006" s="329"/>
      <c r="I2006" s="329"/>
      <c r="J2006" s="329"/>
      <c r="K2006" s="329"/>
      <c r="L2006" s="329"/>
      <c r="M2006" s="329"/>
      <c r="N2006" s="329"/>
      <c r="O2006" s="329"/>
      <c r="P2006" s="329"/>
      <c r="Q2006" s="329"/>
      <c r="R2006" s="329"/>
    </row>
    <row r="2007" spans="1:18" ht="13">
      <c r="A2007" s="282"/>
      <c r="B2007" s="282"/>
      <c r="C2007" s="282"/>
      <c r="D2007" s="282"/>
      <c r="E2007" s="282"/>
      <c r="F2007" s="282"/>
      <c r="G2007" s="329"/>
      <c r="H2007" s="329"/>
      <c r="I2007" s="329"/>
      <c r="J2007" s="329"/>
      <c r="K2007" s="329"/>
      <c r="L2007" s="329"/>
      <c r="M2007" s="329"/>
      <c r="N2007" s="329"/>
      <c r="O2007" s="329"/>
      <c r="P2007" s="329"/>
      <c r="Q2007" s="329"/>
      <c r="R2007" s="329"/>
    </row>
    <row r="2008" spans="1:18" ht="13">
      <c r="A2008" s="282"/>
      <c r="B2008" s="282"/>
      <c r="C2008" s="282"/>
      <c r="D2008" s="282"/>
      <c r="E2008" s="282"/>
      <c r="F2008" s="282"/>
      <c r="G2008" s="329"/>
      <c r="H2008" s="329"/>
      <c r="I2008" s="329"/>
      <c r="J2008" s="329"/>
      <c r="K2008" s="329"/>
      <c r="L2008" s="329"/>
      <c r="M2008" s="329"/>
      <c r="N2008" s="329"/>
      <c r="O2008" s="329"/>
      <c r="P2008" s="329"/>
      <c r="Q2008" s="329"/>
      <c r="R2008" s="329"/>
    </row>
    <row r="2009" spans="1:18" ht="13">
      <c r="A2009" s="282"/>
      <c r="B2009" s="282"/>
      <c r="C2009" s="282"/>
      <c r="D2009" s="282"/>
      <c r="E2009" s="282"/>
      <c r="F2009" s="282"/>
      <c r="G2009" s="329"/>
      <c r="H2009" s="329"/>
      <c r="I2009" s="329"/>
      <c r="J2009" s="329"/>
      <c r="K2009" s="329"/>
      <c r="L2009" s="329"/>
      <c r="M2009" s="329"/>
      <c r="N2009" s="329"/>
      <c r="O2009" s="329"/>
      <c r="P2009" s="329"/>
      <c r="Q2009" s="329"/>
      <c r="R2009" s="329"/>
    </row>
    <row r="2010" spans="1:18" ht="13">
      <c r="A2010" s="282"/>
      <c r="B2010" s="282"/>
      <c r="C2010" s="282"/>
      <c r="D2010" s="282"/>
      <c r="E2010" s="282"/>
      <c r="F2010" s="282"/>
      <c r="G2010" s="329"/>
      <c r="H2010" s="329"/>
      <c r="I2010" s="329"/>
      <c r="J2010" s="329"/>
      <c r="K2010" s="329"/>
      <c r="L2010" s="329"/>
      <c r="M2010" s="329"/>
      <c r="N2010" s="329"/>
      <c r="O2010" s="329"/>
      <c r="P2010" s="329"/>
      <c r="Q2010" s="329"/>
      <c r="R2010" s="329"/>
    </row>
    <row r="2011" spans="1:18" ht="13">
      <c r="A2011" s="282"/>
      <c r="B2011" s="282"/>
      <c r="C2011" s="282"/>
      <c r="D2011" s="282"/>
      <c r="E2011" s="282"/>
      <c r="F2011" s="282"/>
      <c r="G2011" s="329"/>
      <c r="H2011" s="329"/>
      <c r="I2011" s="329"/>
      <c r="J2011" s="329"/>
      <c r="K2011" s="329"/>
      <c r="L2011" s="329"/>
      <c r="M2011" s="329"/>
      <c r="N2011" s="329"/>
      <c r="O2011" s="329"/>
      <c r="P2011" s="329"/>
      <c r="Q2011" s="329"/>
      <c r="R2011" s="329"/>
    </row>
    <row r="2012" spans="1:18" ht="13">
      <c r="A2012" s="282"/>
      <c r="B2012" s="282"/>
      <c r="C2012" s="282"/>
      <c r="D2012" s="282"/>
      <c r="E2012" s="282"/>
      <c r="F2012" s="282"/>
      <c r="G2012" s="329"/>
      <c r="H2012" s="329"/>
      <c r="I2012" s="329"/>
      <c r="J2012" s="329"/>
      <c r="K2012" s="329"/>
      <c r="L2012" s="329"/>
      <c r="M2012" s="329"/>
      <c r="N2012" s="329"/>
      <c r="O2012" s="329"/>
      <c r="P2012" s="329"/>
      <c r="Q2012" s="329"/>
      <c r="R2012" s="329"/>
    </row>
    <row r="2013" spans="1:18" ht="13">
      <c r="A2013" s="282"/>
      <c r="B2013" s="282"/>
      <c r="C2013" s="282"/>
      <c r="D2013" s="282"/>
      <c r="E2013" s="282"/>
      <c r="F2013" s="282"/>
      <c r="G2013" s="329"/>
      <c r="H2013" s="329"/>
      <c r="I2013" s="329"/>
      <c r="J2013" s="329"/>
      <c r="K2013" s="329"/>
      <c r="L2013" s="329"/>
      <c r="M2013" s="329"/>
      <c r="N2013" s="329"/>
      <c r="O2013" s="329"/>
      <c r="P2013" s="329"/>
      <c r="Q2013" s="329"/>
      <c r="R2013" s="329"/>
    </row>
    <row r="2014" spans="1:18" ht="13">
      <c r="A2014" s="282"/>
      <c r="B2014" s="282"/>
      <c r="C2014" s="282"/>
      <c r="D2014" s="282"/>
      <c r="E2014" s="282"/>
      <c r="F2014" s="282"/>
      <c r="G2014" s="329"/>
      <c r="H2014" s="329"/>
      <c r="I2014" s="329"/>
      <c r="J2014" s="329"/>
      <c r="K2014" s="329"/>
      <c r="L2014" s="329"/>
      <c r="M2014" s="329"/>
      <c r="N2014" s="329"/>
      <c r="O2014" s="329"/>
      <c r="P2014" s="329"/>
      <c r="Q2014" s="329"/>
      <c r="R2014" s="329"/>
    </row>
    <row r="2015" spans="1:18" ht="13">
      <c r="A2015" s="282"/>
      <c r="B2015" s="282"/>
      <c r="C2015" s="282"/>
      <c r="D2015" s="282"/>
      <c r="E2015" s="282"/>
      <c r="F2015" s="282"/>
      <c r="G2015" s="329"/>
      <c r="H2015" s="329"/>
      <c r="I2015" s="329"/>
      <c r="J2015" s="329"/>
      <c r="K2015" s="329"/>
      <c r="L2015" s="329"/>
      <c r="M2015" s="329"/>
      <c r="N2015" s="329"/>
      <c r="O2015" s="329"/>
      <c r="P2015" s="329"/>
      <c r="Q2015" s="329"/>
      <c r="R2015" s="329"/>
    </row>
    <row r="2016" spans="1:18" ht="13">
      <c r="A2016" s="282"/>
      <c r="B2016" s="282"/>
      <c r="C2016" s="282"/>
      <c r="D2016" s="282"/>
      <c r="E2016" s="282"/>
      <c r="F2016" s="282"/>
      <c r="G2016" s="329"/>
      <c r="H2016" s="329"/>
      <c r="I2016" s="329"/>
      <c r="J2016" s="329"/>
      <c r="K2016" s="329"/>
      <c r="L2016" s="329"/>
      <c r="M2016" s="329"/>
      <c r="N2016" s="329"/>
      <c r="O2016" s="329"/>
      <c r="P2016" s="329"/>
      <c r="Q2016" s="329"/>
      <c r="R2016" s="329"/>
    </row>
    <row r="2017" spans="1:18" ht="13">
      <c r="A2017" s="282"/>
      <c r="B2017" s="282"/>
      <c r="C2017" s="282"/>
      <c r="D2017" s="282"/>
      <c r="E2017" s="282"/>
      <c r="F2017" s="282"/>
      <c r="G2017" s="329"/>
      <c r="H2017" s="329"/>
      <c r="I2017" s="329"/>
      <c r="J2017" s="329"/>
      <c r="K2017" s="329"/>
      <c r="L2017" s="329"/>
      <c r="M2017" s="329"/>
      <c r="N2017" s="329"/>
      <c r="O2017" s="329"/>
      <c r="P2017" s="329"/>
      <c r="Q2017" s="329"/>
      <c r="R2017" s="329"/>
    </row>
    <row r="2018" spans="1:18" ht="13">
      <c r="A2018" s="282"/>
      <c r="B2018" s="282"/>
      <c r="C2018" s="282"/>
      <c r="D2018" s="282"/>
      <c r="E2018" s="282"/>
      <c r="F2018" s="282"/>
      <c r="G2018" s="329"/>
      <c r="H2018" s="329"/>
      <c r="I2018" s="329"/>
      <c r="J2018" s="329"/>
      <c r="K2018" s="329"/>
      <c r="L2018" s="329"/>
      <c r="M2018" s="329"/>
      <c r="N2018" s="329"/>
      <c r="O2018" s="329"/>
      <c r="P2018" s="329"/>
      <c r="Q2018" s="329"/>
      <c r="R2018" s="329"/>
    </row>
    <row r="2019" spans="1:18" ht="13">
      <c r="A2019" s="282"/>
      <c r="B2019" s="282"/>
      <c r="C2019" s="282"/>
      <c r="D2019" s="282"/>
      <c r="E2019" s="282"/>
      <c r="F2019" s="282"/>
      <c r="G2019" s="329"/>
      <c r="H2019" s="329"/>
      <c r="I2019" s="329"/>
      <c r="J2019" s="329"/>
      <c r="K2019" s="329"/>
      <c r="L2019" s="329"/>
      <c r="M2019" s="329"/>
      <c r="N2019" s="329"/>
      <c r="O2019" s="329"/>
      <c r="P2019" s="329"/>
      <c r="Q2019" s="329"/>
      <c r="R2019" s="329"/>
    </row>
    <row r="2020" spans="1:18" ht="13">
      <c r="A2020" s="282"/>
      <c r="B2020" s="282"/>
      <c r="C2020" s="282"/>
      <c r="D2020" s="282"/>
      <c r="E2020" s="282"/>
      <c r="F2020" s="282"/>
      <c r="G2020" s="329"/>
      <c r="H2020" s="329"/>
      <c r="I2020" s="329"/>
      <c r="J2020" s="329"/>
      <c r="K2020" s="329"/>
      <c r="L2020" s="329"/>
      <c r="M2020" s="329"/>
      <c r="N2020" s="329"/>
      <c r="O2020" s="329"/>
      <c r="P2020" s="329"/>
      <c r="Q2020" s="329"/>
      <c r="R2020" s="329"/>
    </row>
    <row r="2021" spans="1:18" ht="13">
      <c r="A2021" s="282"/>
      <c r="B2021" s="282"/>
      <c r="C2021" s="282"/>
      <c r="D2021" s="282"/>
      <c r="E2021" s="282"/>
      <c r="F2021" s="282"/>
      <c r="G2021" s="329"/>
      <c r="H2021" s="329"/>
      <c r="I2021" s="329"/>
      <c r="J2021" s="329"/>
      <c r="K2021" s="329"/>
      <c r="L2021" s="329"/>
      <c r="M2021" s="329"/>
      <c r="N2021" s="329"/>
      <c r="O2021" s="329"/>
      <c r="P2021" s="329"/>
      <c r="Q2021" s="329"/>
      <c r="R2021" s="329"/>
    </row>
    <row r="2022" spans="1:18" ht="13">
      <c r="A2022" s="282"/>
      <c r="B2022" s="282"/>
      <c r="C2022" s="282"/>
      <c r="D2022" s="282"/>
      <c r="E2022" s="282"/>
      <c r="F2022" s="282"/>
      <c r="G2022" s="329"/>
      <c r="H2022" s="329"/>
      <c r="I2022" s="329"/>
      <c r="J2022" s="329"/>
      <c r="K2022" s="329"/>
      <c r="L2022" s="329"/>
      <c r="M2022" s="329"/>
      <c r="N2022" s="329"/>
      <c r="O2022" s="329"/>
      <c r="P2022" s="329"/>
      <c r="Q2022" s="329"/>
      <c r="R2022" s="329"/>
    </row>
    <row r="2023" spans="1:18" ht="13">
      <c r="A2023" s="282"/>
      <c r="B2023" s="282"/>
      <c r="C2023" s="282"/>
      <c r="D2023" s="282"/>
      <c r="E2023" s="282"/>
      <c r="F2023" s="282"/>
      <c r="G2023" s="329"/>
      <c r="H2023" s="329"/>
      <c r="I2023" s="329"/>
      <c r="J2023" s="329"/>
      <c r="K2023" s="329"/>
      <c r="L2023" s="329"/>
      <c r="M2023" s="329"/>
      <c r="N2023" s="329"/>
      <c r="O2023" s="329"/>
      <c r="P2023" s="329"/>
      <c r="Q2023" s="329"/>
      <c r="R2023" s="329"/>
    </row>
    <row r="2024" spans="1:18" ht="13">
      <c r="A2024" s="282"/>
      <c r="B2024" s="282"/>
      <c r="C2024" s="282"/>
      <c r="D2024" s="282"/>
      <c r="E2024" s="282"/>
      <c r="F2024" s="282"/>
      <c r="G2024" s="329"/>
      <c r="H2024" s="329"/>
      <c r="I2024" s="329"/>
      <c r="J2024" s="329"/>
      <c r="K2024" s="329"/>
      <c r="L2024" s="329"/>
      <c r="M2024" s="329"/>
      <c r="N2024" s="329"/>
      <c r="O2024" s="329"/>
      <c r="P2024" s="329"/>
      <c r="Q2024" s="329"/>
      <c r="R2024" s="329"/>
    </row>
    <row r="2025" spans="1:18" ht="13">
      <c r="A2025" s="282"/>
      <c r="B2025" s="282"/>
      <c r="C2025" s="282"/>
      <c r="D2025" s="282"/>
      <c r="E2025" s="282"/>
      <c r="F2025" s="282"/>
      <c r="G2025" s="329"/>
      <c r="H2025" s="329"/>
      <c r="I2025" s="329"/>
      <c r="J2025" s="329"/>
      <c r="K2025" s="329"/>
      <c r="L2025" s="329"/>
      <c r="M2025" s="329"/>
      <c r="N2025" s="329"/>
      <c r="O2025" s="329"/>
      <c r="P2025" s="329"/>
      <c r="Q2025" s="329"/>
      <c r="R2025" s="329"/>
    </row>
    <row r="2026" spans="1:18" ht="13">
      <c r="A2026" s="282"/>
      <c r="B2026" s="282"/>
      <c r="C2026" s="282"/>
      <c r="D2026" s="282"/>
      <c r="E2026" s="282"/>
      <c r="F2026" s="282"/>
      <c r="G2026" s="329"/>
      <c r="H2026" s="329"/>
      <c r="I2026" s="329"/>
      <c r="J2026" s="329"/>
      <c r="K2026" s="329"/>
      <c r="L2026" s="329"/>
      <c r="M2026" s="329"/>
      <c r="N2026" s="329"/>
      <c r="O2026" s="329"/>
      <c r="P2026" s="329"/>
      <c r="Q2026" s="329"/>
      <c r="R2026" s="329"/>
    </row>
    <row r="2027" spans="1:18" ht="13">
      <c r="A2027" s="282"/>
      <c r="B2027" s="282"/>
      <c r="C2027" s="282"/>
      <c r="D2027" s="282"/>
      <c r="E2027" s="282"/>
      <c r="F2027" s="282"/>
      <c r="G2027" s="329"/>
      <c r="H2027" s="329"/>
      <c r="I2027" s="329"/>
      <c r="J2027" s="329"/>
      <c r="K2027" s="329"/>
      <c r="L2027" s="329"/>
      <c r="M2027" s="329"/>
      <c r="N2027" s="329"/>
      <c r="O2027" s="329"/>
      <c r="P2027" s="329"/>
      <c r="Q2027" s="329"/>
      <c r="R2027" s="329"/>
    </row>
    <row r="2028" spans="1:18" ht="13">
      <c r="A2028" s="282"/>
      <c r="B2028" s="282"/>
      <c r="C2028" s="282"/>
      <c r="D2028" s="282"/>
      <c r="E2028" s="282"/>
      <c r="F2028" s="282"/>
      <c r="G2028" s="329"/>
      <c r="H2028" s="329"/>
      <c r="I2028" s="329"/>
      <c r="J2028" s="329"/>
      <c r="K2028" s="329"/>
      <c r="L2028" s="329"/>
      <c r="M2028" s="329"/>
      <c r="N2028" s="329"/>
      <c r="O2028" s="329"/>
      <c r="P2028" s="329"/>
      <c r="Q2028" s="329"/>
      <c r="R2028" s="329"/>
    </row>
    <row r="2029" spans="1:18" ht="13">
      <c r="A2029" s="282"/>
      <c r="B2029" s="282"/>
      <c r="C2029" s="282"/>
      <c r="D2029" s="282"/>
      <c r="E2029" s="282"/>
      <c r="F2029" s="282"/>
      <c r="G2029" s="329"/>
      <c r="H2029" s="329"/>
      <c r="I2029" s="329"/>
      <c r="J2029" s="329"/>
      <c r="K2029" s="329"/>
      <c r="L2029" s="329"/>
      <c r="M2029" s="329"/>
      <c r="N2029" s="329"/>
      <c r="O2029" s="329"/>
      <c r="P2029" s="329"/>
      <c r="Q2029" s="329"/>
      <c r="R2029" s="329"/>
    </row>
    <row r="2030" spans="1:18" ht="13">
      <c r="A2030" s="282"/>
      <c r="B2030" s="282"/>
      <c r="C2030" s="282"/>
      <c r="D2030" s="282"/>
      <c r="E2030" s="282"/>
      <c r="F2030" s="282"/>
      <c r="G2030" s="329"/>
      <c r="H2030" s="329"/>
      <c r="I2030" s="329"/>
      <c r="J2030" s="329"/>
      <c r="K2030" s="329"/>
      <c r="L2030" s="329"/>
      <c r="M2030" s="329"/>
      <c r="N2030" s="329"/>
      <c r="O2030" s="329"/>
      <c r="P2030" s="329"/>
      <c r="Q2030" s="329"/>
      <c r="R2030" s="329"/>
    </row>
    <row r="2031" spans="1:18" ht="13">
      <c r="A2031" s="282"/>
      <c r="B2031" s="282"/>
      <c r="C2031" s="282"/>
      <c r="D2031" s="282"/>
      <c r="E2031" s="282"/>
      <c r="F2031" s="282"/>
      <c r="G2031" s="329"/>
      <c r="H2031" s="329"/>
      <c r="I2031" s="329"/>
      <c r="J2031" s="329"/>
      <c r="K2031" s="329"/>
      <c r="L2031" s="329"/>
      <c r="M2031" s="329"/>
      <c r="N2031" s="329"/>
      <c r="O2031" s="329"/>
      <c r="P2031" s="329"/>
      <c r="Q2031" s="329"/>
      <c r="R2031" s="329"/>
    </row>
    <row r="2032" spans="1:18" ht="13">
      <c r="A2032" s="282"/>
      <c r="B2032" s="282"/>
      <c r="C2032" s="282"/>
      <c r="D2032" s="282"/>
      <c r="E2032" s="282"/>
      <c r="F2032" s="282"/>
      <c r="G2032" s="329"/>
      <c r="H2032" s="329"/>
      <c r="I2032" s="329"/>
      <c r="J2032" s="329"/>
      <c r="K2032" s="329"/>
      <c r="L2032" s="329"/>
      <c r="M2032" s="329"/>
      <c r="N2032" s="329"/>
      <c r="O2032" s="329"/>
      <c r="P2032" s="329"/>
      <c r="Q2032" s="329"/>
      <c r="R2032" s="329"/>
    </row>
    <row r="2033" spans="1:18" ht="13">
      <c r="A2033" s="282"/>
      <c r="B2033" s="282"/>
      <c r="C2033" s="282"/>
      <c r="D2033" s="282"/>
      <c r="E2033" s="282"/>
      <c r="F2033" s="282"/>
      <c r="G2033" s="329"/>
      <c r="H2033" s="329"/>
      <c r="I2033" s="329"/>
      <c r="J2033" s="329"/>
      <c r="K2033" s="329"/>
      <c r="L2033" s="329"/>
      <c r="M2033" s="329"/>
      <c r="N2033" s="329"/>
      <c r="O2033" s="329"/>
      <c r="P2033" s="329"/>
      <c r="Q2033" s="329"/>
      <c r="R2033" s="329"/>
    </row>
    <row r="2034" spans="1:18" ht="13">
      <c r="A2034" s="282"/>
      <c r="B2034" s="282"/>
      <c r="C2034" s="282"/>
      <c r="D2034" s="282"/>
      <c r="E2034" s="282"/>
      <c r="F2034" s="282"/>
      <c r="G2034" s="329"/>
      <c r="H2034" s="329"/>
      <c r="I2034" s="329"/>
      <c r="J2034" s="329"/>
      <c r="K2034" s="329"/>
      <c r="L2034" s="329"/>
      <c r="M2034" s="329"/>
      <c r="N2034" s="329"/>
      <c r="O2034" s="329"/>
      <c r="P2034" s="329"/>
      <c r="Q2034" s="329"/>
      <c r="R2034" s="329"/>
    </row>
    <row r="2035" spans="1:18" ht="13">
      <c r="A2035" s="282"/>
      <c r="B2035" s="282"/>
      <c r="C2035" s="282"/>
      <c r="D2035" s="282"/>
      <c r="E2035" s="282"/>
      <c r="F2035" s="282"/>
      <c r="G2035" s="329"/>
      <c r="H2035" s="329"/>
      <c r="I2035" s="329"/>
      <c r="J2035" s="329"/>
      <c r="K2035" s="329"/>
      <c r="L2035" s="329"/>
      <c r="M2035" s="329"/>
      <c r="N2035" s="329"/>
      <c r="O2035" s="329"/>
      <c r="P2035" s="329"/>
      <c r="Q2035" s="329"/>
      <c r="R2035" s="329"/>
    </row>
    <row r="2036" spans="1:18" ht="13">
      <c r="A2036" s="282"/>
      <c r="B2036" s="282"/>
      <c r="C2036" s="282"/>
      <c r="D2036" s="282"/>
      <c r="E2036" s="282"/>
      <c r="F2036" s="282"/>
      <c r="G2036" s="329"/>
      <c r="H2036" s="329"/>
      <c r="I2036" s="329"/>
      <c r="J2036" s="329"/>
      <c r="K2036" s="329"/>
      <c r="L2036" s="329"/>
      <c r="M2036" s="329"/>
      <c r="N2036" s="329"/>
      <c r="O2036" s="329"/>
      <c r="P2036" s="329"/>
      <c r="Q2036" s="329"/>
      <c r="R2036" s="329"/>
    </row>
    <row r="2037" spans="1:18" ht="13">
      <c r="A2037" s="282"/>
      <c r="B2037" s="282"/>
      <c r="C2037" s="282"/>
      <c r="D2037" s="282"/>
      <c r="E2037" s="282"/>
      <c r="F2037" s="282"/>
      <c r="G2037" s="329"/>
      <c r="H2037" s="329"/>
      <c r="I2037" s="329"/>
      <c r="J2037" s="329"/>
      <c r="K2037" s="329"/>
      <c r="L2037" s="329"/>
      <c r="M2037" s="329"/>
      <c r="N2037" s="329"/>
      <c r="O2037" s="329"/>
      <c r="P2037" s="329"/>
      <c r="Q2037" s="329"/>
      <c r="R2037" s="329"/>
    </row>
    <row r="2038" spans="1:18" ht="13">
      <c r="A2038" s="282"/>
      <c r="B2038" s="282"/>
      <c r="C2038" s="282"/>
      <c r="D2038" s="282"/>
      <c r="E2038" s="282"/>
      <c r="F2038" s="282"/>
      <c r="G2038" s="329"/>
      <c r="H2038" s="329"/>
      <c r="I2038" s="329"/>
      <c r="J2038" s="329"/>
      <c r="K2038" s="329"/>
      <c r="L2038" s="329"/>
      <c r="M2038" s="329"/>
      <c r="N2038" s="329"/>
      <c r="O2038" s="329"/>
      <c r="P2038" s="329"/>
      <c r="Q2038" s="329"/>
      <c r="R2038" s="329"/>
    </row>
    <row r="2039" spans="1:18" ht="13">
      <c r="A2039" s="282"/>
      <c r="B2039" s="282"/>
      <c r="C2039" s="282"/>
      <c r="D2039" s="282"/>
      <c r="E2039" s="282"/>
      <c r="F2039" s="282"/>
      <c r="G2039" s="329"/>
      <c r="H2039" s="329"/>
      <c r="I2039" s="329"/>
      <c r="J2039" s="329"/>
      <c r="K2039" s="329"/>
      <c r="L2039" s="329"/>
      <c r="M2039" s="329"/>
      <c r="N2039" s="329"/>
      <c r="O2039" s="329"/>
      <c r="P2039" s="329"/>
      <c r="Q2039" s="329"/>
      <c r="R2039" s="329"/>
    </row>
    <row r="2040" spans="1:18" ht="13">
      <c r="A2040" s="282"/>
      <c r="B2040" s="282"/>
      <c r="C2040" s="282"/>
      <c r="D2040" s="282"/>
      <c r="E2040" s="282"/>
      <c r="F2040" s="282"/>
      <c r="G2040" s="329"/>
      <c r="H2040" s="329"/>
      <c r="I2040" s="329"/>
      <c r="J2040" s="329"/>
      <c r="K2040" s="329"/>
      <c r="L2040" s="329"/>
      <c r="M2040" s="329"/>
      <c r="N2040" s="329"/>
      <c r="O2040" s="329"/>
      <c r="P2040" s="329"/>
      <c r="Q2040" s="329"/>
      <c r="R2040" s="329"/>
    </row>
    <row r="2041" spans="1:18" ht="13">
      <c r="A2041" s="282"/>
      <c r="B2041" s="282"/>
      <c r="C2041" s="282"/>
      <c r="D2041" s="282"/>
      <c r="E2041" s="282"/>
      <c r="F2041" s="282"/>
      <c r="G2041" s="329"/>
      <c r="H2041" s="329"/>
      <c r="I2041" s="329"/>
      <c r="J2041" s="329"/>
      <c r="K2041" s="329"/>
      <c r="L2041" s="329"/>
      <c r="M2041" s="329"/>
      <c r="N2041" s="329"/>
      <c r="O2041" s="329"/>
      <c r="P2041" s="329"/>
      <c r="Q2041" s="329"/>
      <c r="R2041" s="329"/>
    </row>
    <row r="2042" spans="1:18" ht="13">
      <c r="A2042" s="282"/>
      <c r="B2042" s="282"/>
      <c r="C2042" s="282"/>
      <c r="D2042" s="282"/>
      <c r="E2042" s="282"/>
      <c r="F2042" s="282"/>
      <c r="G2042" s="329"/>
      <c r="H2042" s="329"/>
      <c r="I2042" s="329"/>
      <c r="J2042" s="329"/>
      <c r="K2042" s="329"/>
      <c r="L2042" s="329"/>
      <c r="M2042" s="329"/>
      <c r="N2042" s="329"/>
      <c r="O2042" s="329"/>
      <c r="P2042" s="329"/>
      <c r="Q2042" s="329"/>
      <c r="R2042" s="329"/>
    </row>
    <row r="2043" spans="1:18" ht="13">
      <c r="A2043" s="282"/>
      <c r="B2043" s="282"/>
      <c r="C2043" s="282"/>
      <c r="D2043" s="282"/>
      <c r="E2043" s="282"/>
      <c r="F2043" s="282"/>
      <c r="G2043" s="329"/>
      <c r="H2043" s="329"/>
      <c r="I2043" s="329"/>
      <c r="J2043" s="329"/>
      <c r="K2043" s="329"/>
      <c r="L2043" s="329"/>
      <c r="M2043" s="329"/>
      <c r="N2043" s="329"/>
      <c r="O2043" s="329"/>
      <c r="P2043" s="329"/>
      <c r="Q2043" s="329"/>
      <c r="R2043" s="329"/>
    </row>
    <row r="2044" spans="1:18" ht="13">
      <c r="A2044" s="282"/>
      <c r="B2044" s="282"/>
      <c r="C2044" s="282"/>
      <c r="D2044" s="282"/>
      <c r="E2044" s="282"/>
      <c r="F2044" s="282"/>
      <c r="G2044" s="329"/>
      <c r="H2044" s="329"/>
      <c r="I2044" s="329"/>
      <c r="J2044" s="329"/>
      <c r="K2044" s="329"/>
      <c r="L2044" s="329"/>
      <c r="M2044" s="329"/>
      <c r="N2044" s="329"/>
      <c r="O2044" s="329"/>
      <c r="P2044" s="329"/>
      <c r="Q2044" s="329"/>
      <c r="R2044" s="329"/>
    </row>
    <row r="2045" spans="1:18" ht="13">
      <c r="A2045" s="282"/>
      <c r="B2045" s="282"/>
      <c r="C2045" s="282"/>
      <c r="D2045" s="282"/>
      <c r="E2045" s="282"/>
      <c r="F2045" s="282"/>
      <c r="G2045" s="329"/>
      <c r="H2045" s="329"/>
      <c r="I2045" s="329"/>
      <c r="J2045" s="329"/>
      <c r="K2045" s="329"/>
      <c r="L2045" s="329"/>
      <c r="M2045" s="329"/>
      <c r="N2045" s="329"/>
      <c r="O2045" s="329"/>
      <c r="P2045" s="329"/>
      <c r="Q2045" s="329"/>
      <c r="R2045" s="329"/>
    </row>
    <row r="2046" spans="1:18" ht="13">
      <c r="A2046" s="282"/>
      <c r="B2046" s="282"/>
      <c r="C2046" s="282"/>
      <c r="D2046" s="282"/>
      <c r="E2046" s="282"/>
      <c r="F2046" s="282"/>
      <c r="G2046" s="329"/>
      <c r="H2046" s="329"/>
      <c r="I2046" s="329"/>
      <c r="J2046" s="329"/>
      <c r="K2046" s="329"/>
      <c r="L2046" s="329"/>
      <c r="M2046" s="329"/>
      <c r="N2046" s="329"/>
      <c r="O2046" s="329"/>
      <c r="P2046" s="329"/>
      <c r="Q2046" s="329"/>
      <c r="R2046" s="329"/>
    </row>
    <row r="2047" spans="1:18" ht="13">
      <c r="A2047" s="282"/>
      <c r="B2047" s="282"/>
      <c r="C2047" s="282"/>
      <c r="D2047" s="282"/>
      <c r="E2047" s="282"/>
      <c r="F2047" s="282"/>
      <c r="G2047" s="329"/>
      <c r="H2047" s="329"/>
      <c r="I2047" s="329"/>
      <c r="J2047" s="329"/>
      <c r="K2047" s="329"/>
      <c r="L2047" s="329"/>
      <c r="M2047" s="329"/>
      <c r="N2047" s="329"/>
      <c r="O2047" s="329"/>
      <c r="P2047" s="329"/>
      <c r="Q2047" s="329"/>
      <c r="R2047" s="329"/>
    </row>
    <row r="2048" spans="1:18" ht="13">
      <c r="A2048" s="282"/>
      <c r="B2048" s="282"/>
      <c r="C2048" s="282"/>
      <c r="D2048" s="282"/>
      <c r="E2048" s="282"/>
      <c r="F2048" s="282"/>
      <c r="G2048" s="329"/>
      <c r="H2048" s="329"/>
      <c r="I2048" s="329"/>
      <c r="J2048" s="329"/>
      <c r="K2048" s="329"/>
      <c r="L2048" s="329"/>
      <c r="M2048" s="329"/>
      <c r="N2048" s="329"/>
      <c r="O2048" s="329"/>
      <c r="P2048" s="329"/>
      <c r="Q2048" s="329"/>
      <c r="R2048" s="329"/>
    </row>
    <row r="2049" spans="1:18" ht="13">
      <c r="A2049" s="282"/>
      <c r="B2049" s="282"/>
      <c r="C2049" s="282"/>
      <c r="D2049" s="282"/>
      <c r="E2049" s="282"/>
      <c r="F2049" s="282"/>
      <c r="G2049" s="329"/>
      <c r="H2049" s="329"/>
      <c r="I2049" s="329"/>
      <c r="J2049" s="329"/>
      <c r="K2049" s="329"/>
      <c r="L2049" s="329"/>
      <c r="M2049" s="329"/>
      <c r="N2049" s="329"/>
      <c r="O2049" s="329"/>
      <c r="P2049" s="329"/>
      <c r="Q2049" s="329"/>
      <c r="R2049" s="329"/>
    </row>
    <row r="2050" spans="1:18" ht="13">
      <c r="A2050" s="282"/>
      <c r="B2050" s="282"/>
      <c r="C2050" s="282"/>
      <c r="D2050" s="282"/>
      <c r="E2050" s="282"/>
      <c r="F2050" s="282"/>
      <c r="G2050" s="329"/>
      <c r="H2050" s="329"/>
      <c r="I2050" s="329"/>
      <c r="J2050" s="329"/>
      <c r="K2050" s="329"/>
      <c r="L2050" s="329"/>
      <c r="M2050" s="329"/>
      <c r="N2050" s="329"/>
      <c r="O2050" s="329"/>
      <c r="P2050" s="329"/>
      <c r="Q2050" s="329"/>
      <c r="R2050" s="329"/>
    </row>
    <row r="2051" spans="1:18" ht="13">
      <c r="A2051" s="282"/>
      <c r="B2051" s="282"/>
      <c r="C2051" s="282"/>
      <c r="D2051" s="282"/>
      <c r="E2051" s="282"/>
      <c r="F2051" s="282"/>
      <c r="G2051" s="329"/>
      <c r="H2051" s="329"/>
      <c r="I2051" s="329"/>
      <c r="J2051" s="329"/>
      <c r="K2051" s="329"/>
      <c r="L2051" s="329"/>
      <c r="M2051" s="329"/>
      <c r="N2051" s="329"/>
      <c r="O2051" s="329"/>
      <c r="P2051" s="329"/>
      <c r="Q2051" s="329"/>
      <c r="R2051" s="329"/>
    </row>
    <row r="2052" spans="1:18" ht="13">
      <c r="A2052" s="282"/>
      <c r="B2052" s="282"/>
      <c r="C2052" s="282"/>
      <c r="D2052" s="282"/>
      <c r="E2052" s="282"/>
      <c r="F2052" s="282"/>
      <c r="G2052" s="329"/>
      <c r="H2052" s="329"/>
      <c r="I2052" s="329"/>
      <c r="J2052" s="329"/>
      <c r="K2052" s="329"/>
      <c r="L2052" s="329"/>
      <c r="M2052" s="329"/>
      <c r="N2052" s="329"/>
      <c r="O2052" s="329"/>
      <c r="P2052" s="329"/>
      <c r="Q2052" s="329"/>
      <c r="R2052" s="329"/>
    </row>
    <row r="2053" spans="1:18" ht="13">
      <c r="A2053" s="282"/>
      <c r="B2053" s="282"/>
      <c r="C2053" s="282"/>
      <c r="D2053" s="282"/>
      <c r="E2053" s="282"/>
      <c r="F2053" s="282"/>
      <c r="G2053" s="329"/>
      <c r="H2053" s="329"/>
      <c r="I2053" s="329"/>
      <c r="J2053" s="329"/>
      <c r="K2053" s="329"/>
      <c r="L2053" s="329"/>
      <c r="M2053" s="329"/>
      <c r="N2053" s="329"/>
      <c r="O2053" s="329"/>
      <c r="P2053" s="329"/>
      <c r="Q2053" s="329"/>
      <c r="R2053" s="329"/>
    </row>
    <row r="2054" spans="1:18" ht="13">
      <c r="A2054" s="282"/>
      <c r="B2054" s="282"/>
      <c r="C2054" s="282"/>
      <c r="D2054" s="282"/>
      <c r="E2054" s="282"/>
      <c r="F2054" s="282"/>
      <c r="G2054" s="329"/>
      <c r="H2054" s="329"/>
      <c r="I2054" s="329"/>
      <c r="J2054" s="329"/>
      <c r="K2054" s="329"/>
      <c r="L2054" s="329"/>
      <c r="M2054" s="329"/>
      <c r="N2054" s="329"/>
      <c r="O2054" s="329"/>
      <c r="P2054" s="329"/>
      <c r="Q2054" s="329"/>
      <c r="R2054" s="329"/>
    </row>
    <row r="2055" spans="1:18" ht="13">
      <c r="A2055" s="282"/>
      <c r="B2055" s="282"/>
      <c r="C2055" s="282"/>
      <c r="D2055" s="282"/>
      <c r="E2055" s="282"/>
      <c r="F2055" s="282"/>
      <c r="G2055" s="329"/>
      <c r="H2055" s="329"/>
      <c r="I2055" s="329"/>
      <c r="J2055" s="329"/>
      <c r="K2055" s="329"/>
      <c r="L2055" s="329"/>
      <c r="M2055" s="329"/>
      <c r="N2055" s="329"/>
      <c r="O2055" s="329"/>
      <c r="P2055" s="329"/>
      <c r="Q2055" s="329"/>
      <c r="R2055" s="329"/>
    </row>
    <row r="2056" spans="1:18" ht="13">
      <c r="A2056" s="282"/>
      <c r="B2056" s="282"/>
      <c r="C2056" s="282"/>
      <c r="D2056" s="282"/>
      <c r="E2056" s="282"/>
      <c r="F2056" s="282"/>
      <c r="G2056" s="329"/>
      <c r="H2056" s="329"/>
      <c r="I2056" s="329"/>
      <c r="J2056" s="329"/>
      <c r="K2056" s="329"/>
      <c r="L2056" s="329"/>
      <c r="M2056" s="329"/>
      <c r="N2056" s="329"/>
      <c r="O2056" s="329"/>
      <c r="P2056" s="329"/>
      <c r="Q2056" s="329"/>
      <c r="R2056" s="329"/>
    </row>
    <row r="2057" spans="1:18" ht="13">
      <c r="A2057" s="282"/>
      <c r="B2057" s="282"/>
      <c r="C2057" s="282"/>
      <c r="D2057" s="282"/>
      <c r="E2057" s="282"/>
      <c r="F2057" s="282"/>
      <c r="G2057" s="329"/>
      <c r="H2057" s="329"/>
      <c r="I2057" s="329"/>
      <c r="J2057" s="329"/>
      <c r="K2057" s="329"/>
      <c r="L2057" s="329"/>
      <c r="M2057" s="329"/>
      <c r="N2057" s="329"/>
      <c r="O2057" s="329"/>
      <c r="P2057" s="329"/>
      <c r="Q2057" s="329"/>
      <c r="R2057" s="329"/>
    </row>
    <row r="2058" spans="1:18" ht="13">
      <c r="A2058" s="282"/>
      <c r="B2058" s="282"/>
      <c r="C2058" s="282"/>
      <c r="D2058" s="282"/>
      <c r="E2058" s="282"/>
      <c r="F2058" s="282"/>
      <c r="G2058" s="329"/>
      <c r="H2058" s="329"/>
      <c r="I2058" s="329"/>
      <c r="J2058" s="329"/>
      <c r="K2058" s="329"/>
      <c r="L2058" s="329"/>
      <c r="M2058" s="329"/>
      <c r="N2058" s="329"/>
      <c r="O2058" s="329"/>
      <c r="P2058" s="329"/>
      <c r="Q2058" s="329"/>
      <c r="R2058" s="329"/>
    </row>
    <row r="2059" spans="1:18" ht="13">
      <c r="A2059" s="282"/>
      <c r="B2059" s="282"/>
      <c r="C2059" s="282"/>
      <c r="D2059" s="282"/>
      <c r="E2059" s="282"/>
      <c r="F2059" s="282"/>
      <c r="G2059" s="329"/>
      <c r="H2059" s="329"/>
      <c r="I2059" s="329"/>
      <c r="J2059" s="329"/>
      <c r="K2059" s="329"/>
      <c r="L2059" s="329"/>
      <c r="M2059" s="329"/>
      <c r="N2059" s="329"/>
      <c r="O2059" s="329"/>
      <c r="P2059" s="329"/>
      <c r="Q2059" s="329"/>
      <c r="R2059" s="329"/>
    </row>
    <row r="2060" spans="1:18" ht="13">
      <c r="A2060" s="282"/>
      <c r="B2060" s="282"/>
      <c r="C2060" s="282"/>
      <c r="D2060" s="282"/>
      <c r="E2060" s="282"/>
      <c r="F2060" s="282"/>
      <c r="G2060" s="329"/>
      <c r="H2060" s="329"/>
      <c r="I2060" s="329"/>
      <c r="J2060" s="329"/>
      <c r="K2060" s="329"/>
      <c r="L2060" s="329"/>
      <c r="M2060" s="329"/>
      <c r="N2060" s="329"/>
      <c r="O2060" s="329"/>
      <c r="P2060" s="329"/>
      <c r="Q2060" s="329"/>
      <c r="R2060" s="329"/>
    </row>
    <row r="2061" spans="1:18" ht="13">
      <c r="A2061" s="282"/>
      <c r="B2061" s="282"/>
      <c r="C2061" s="282"/>
      <c r="D2061" s="282"/>
      <c r="E2061" s="282"/>
      <c r="F2061" s="282"/>
      <c r="G2061" s="329"/>
      <c r="H2061" s="329"/>
      <c r="I2061" s="329"/>
      <c r="J2061" s="329"/>
      <c r="K2061" s="329"/>
      <c r="L2061" s="329"/>
      <c r="M2061" s="329"/>
      <c r="N2061" s="329"/>
      <c r="O2061" s="329"/>
      <c r="P2061" s="329"/>
      <c r="Q2061" s="329"/>
      <c r="R2061" s="329"/>
    </row>
    <row r="2062" spans="1:18" ht="13">
      <c r="A2062" s="282"/>
      <c r="B2062" s="282"/>
      <c r="C2062" s="282"/>
      <c r="D2062" s="282"/>
      <c r="E2062" s="282"/>
      <c r="F2062" s="282"/>
      <c r="G2062" s="329"/>
      <c r="H2062" s="329"/>
      <c r="I2062" s="329"/>
      <c r="J2062" s="329"/>
      <c r="K2062" s="329"/>
      <c r="L2062" s="329"/>
      <c r="M2062" s="329"/>
      <c r="N2062" s="329"/>
      <c r="O2062" s="329"/>
      <c r="P2062" s="329"/>
      <c r="Q2062" s="329"/>
      <c r="R2062" s="329"/>
    </row>
    <row r="2063" spans="1:18" ht="13">
      <c r="A2063" s="282"/>
      <c r="B2063" s="282"/>
      <c r="C2063" s="282"/>
      <c r="D2063" s="282"/>
      <c r="E2063" s="282"/>
      <c r="F2063" s="282"/>
      <c r="G2063" s="329"/>
      <c r="H2063" s="329"/>
      <c r="I2063" s="329"/>
      <c r="J2063" s="329"/>
      <c r="K2063" s="329"/>
      <c r="L2063" s="329"/>
      <c r="M2063" s="329"/>
      <c r="N2063" s="329"/>
      <c r="O2063" s="329"/>
      <c r="P2063" s="329"/>
      <c r="Q2063" s="329"/>
      <c r="R2063" s="329"/>
    </row>
    <row r="2064" spans="1:18" ht="13">
      <c r="A2064" s="282"/>
      <c r="B2064" s="282"/>
      <c r="C2064" s="282"/>
      <c r="D2064" s="282"/>
      <c r="E2064" s="282"/>
      <c r="F2064" s="282"/>
      <c r="G2064" s="329"/>
      <c r="H2064" s="329"/>
      <c r="I2064" s="329"/>
      <c r="J2064" s="329"/>
      <c r="K2064" s="329"/>
      <c r="L2064" s="329"/>
      <c r="M2064" s="329"/>
      <c r="N2064" s="329"/>
      <c r="O2064" s="329"/>
      <c r="P2064" s="329"/>
      <c r="Q2064" s="329"/>
      <c r="R2064" s="329"/>
    </row>
    <row r="2065" spans="1:18" ht="13">
      <c r="A2065" s="282"/>
      <c r="B2065" s="282"/>
      <c r="C2065" s="282"/>
      <c r="D2065" s="282"/>
      <c r="E2065" s="282"/>
      <c r="F2065" s="282"/>
      <c r="G2065" s="329"/>
      <c r="H2065" s="329"/>
      <c r="I2065" s="329"/>
      <c r="J2065" s="329"/>
      <c r="K2065" s="329"/>
      <c r="L2065" s="329"/>
      <c r="M2065" s="329"/>
      <c r="N2065" s="329"/>
      <c r="O2065" s="329"/>
      <c r="P2065" s="329"/>
      <c r="Q2065" s="329"/>
      <c r="R2065" s="329"/>
    </row>
    <row r="2066" spans="1:18" ht="13">
      <c r="A2066" s="282"/>
      <c r="B2066" s="282"/>
      <c r="C2066" s="282"/>
      <c r="D2066" s="282"/>
      <c r="E2066" s="282"/>
      <c r="F2066" s="282"/>
      <c r="G2066" s="329"/>
      <c r="H2066" s="329"/>
      <c r="I2066" s="329"/>
      <c r="J2066" s="329"/>
      <c r="K2066" s="329"/>
      <c r="L2066" s="329"/>
      <c r="M2066" s="329"/>
      <c r="N2066" s="329"/>
      <c r="O2066" s="329"/>
      <c r="P2066" s="329"/>
      <c r="Q2066" s="329"/>
      <c r="R2066" s="329"/>
    </row>
    <row r="2067" spans="1:18" ht="13">
      <c r="A2067" s="282"/>
      <c r="B2067" s="282"/>
      <c r="C2067" s="282"/>
      <c r="D2067" s="282"/>
      <c r="E2067" s="282"/>
      <c r="F2067" s="282"/>
      <c r="G2067" s="329"/>
      <c r="H2067" s="329"/>
      <c r="I2067" s="329"/>
      <c r="J2067" s="329"/>
      <c r="K2067" s="329"/>
      <c r="L2067" s="329"/>
      <c r="M2067" s="329"/>
      <c r="N2067" s="329"/>
      <c r="O2067" s="329"/>
      <c r="P2067" s="329"/>
      <c r="Q2067" s="329"/>
      <c r="R2067" s="329"/>
    </row>
    <row r="2068" spans="1:18" ht="13">
      <c r="A2068" s="282"/>
      <c r="B2068" s="282"/>
      <c r="C2068" s="282"/>
      <c r="D2068" s="282"/>
      <c r="E2068" s="282"/>
      <c r="F2068" s="282"/>
      <c r="G2068" s="329"/>
      <c r="H2068" s="329"/>
      <c r="I2068" s="329"/>
      <c r="J2068" s="329"/>
      <c r="K2068" s="329"/>
      <c r="L2068" s="329"/>
      <c r="M2068" s="329"/>
      <c r="N2068" s="329"/>
      <c r="O2068" s="329"/>
      <c r="P2068" s="329"/>
      <c r="Q2068" s="329"/>
      <c r="R2068" s="329"/>
    </row>
    <row r="2069" spans="1:18" ht="13">
      <c r="A2069" s="282"/>
      <c r="B2069" s="282"/>
      <c r="C2069" s="282"/>
      <c r="D2069" s="282"/>
      <c r="E2069" s="282"/>
      <c r="F2069" s="282"/>
      <c r="G2069" s="329"/>
      <c r="H2069" s="329"/>
      <c r="I2069" s="329"/>
      <c r="J2069" s="329"/>
      <c r="K2069" s="329"/>
      <c r="L2069" s="329"/>
      <c r="M2069" s="329"/>
      <c r="N2069" s="329"/>
      <c r="O2069" s="329"/>
      <c r="P2069" s="329"/>
      <c r="Q2069" s="329"/>
      <c r="R2069" s="329"/>
    </row>
    <row r="2070" spans="1:18" ht="13">
      <c r="A2070" s="282"/>
      <c r="B2070" s="282"/>
      <c r="C2070" s="282"/>
      <c r="D2070" s="282"/>
      <c r="E2070" s="282"/>
      <c r="F2070" s="282"/>
      <c r="G2070" s="329"/>
      <c r="H2070" s="329"/>
      <c r="I2070" s="329"/>
      <c r="J2070" s="329"/>
      <c r="K2070" s="329"/>
      <c r="L2070" s="329"/>
      <c r="M2070" s="329"/>
      <c r="N2070" s="329"/>
      <c r="O2070" s="329"/>
      <c r="P2070" s="329"/>
      <c r="Q2070" s="329"/>
      <c r="R2070" s="329"/>
    </row>
    <row r="2071" spans="1:18" ht="13">
      <c r="A2071" s="282"/>
      <c r="B2071" s="282"/>
      <c r="C2071" s="282"/>
      <c r="D2071" s="282"/>
      <c r="E2071" s="282"/>
      <c r="F2071" s="282"/>
      <c r="G2071" s="329"/>
      <c r="H2071" s="329"/>
      <c r="I2071" s="329"/>
      <c r="J2071" s="329"/>
      <c r="K2071" s="329"/>
      <c r="L2071" s="329"/>
      <c r="M2071" s="329"/>
      <c r="N2071" s="329"/>
      <c r="O2071" s="329"/>
      <c r="P2071" s="329"/>
      <c r="Q2071" s="329"/>
      <c r="R2071" s="329"/>
    </row>
    <row r="2072" spans="1:18" ht="13">
      <c r="A2072" s="282"/>
      <c r="B2072" s="282"/>
      <c r="C2072" s="282"/>
      <c r="D2072" s="282"/>
      <c r="E2072" s="282"/>
      <c r="F2072" s="282"/>
      <c r="G2072" s="329"/>
      <c r="H2072" s="329"/>
      <c r="I2072" s="329"/>
      <c r="J2072" s="329"/>
      <c r="K2072" s="329"/>
      <c r="L2072" s="329"/>
      <c r="M2072" s="329"/>
      <c r="N2072" s="329"/>
      <c r="O2072" s="329"/>
      <c r="P2072" s="329"/>
      <c r="Q2072" s="329"/>
      <c r="R2072" s="329"/>
    </row>
    <row r="2073" spans="1:18" ht="13">
      <c r="A2073" s="282"/>
      <c r="B2073" s="282"/>
      <c r="C2073" s="282"/>
      <c r="D2073" s="282"/>
      <c r="E2073" s="282"/>
      <c r="F2073" s="282"/>
      <c r="G2073" s="329"/>
      <c r="H2073" s="329"/>
      <c r="I2073" s="329"/>
      <c r="J2073" s="329"/>
      <c r="K2073" s="329"/>
      <c r="L2073" s="329"/>
      <c r="M2073" s="329"/>
      <c r="N2073" s="329"/>
      <c r="O2073" s="329"/>
      <c r="P2073" s="329"/>
      <c r="Q2073" s="329"/>
      <c r="R2073" s="329"/>
    </row>
    <row r="2074" spans="1:18" ht="13">
      <c r="A2074" s="282"/>
      <c r="B2074" s="282"/>
      <c r="C2074" s="282"/>
      <c r="D2074" s="282"/>
      <c r="E2074" s="282"/>
      <c r="F2074" s="282"/>
      <c r="G2074" s="329"/>
      <c r="H2074" s="329"/>
      <c r="I2074" s="329"/>
      <c r="J2074" s="329"/>
      <c r="K2074" s="329"/>
      <c r="L2074" s="329"/>
      <c r="M2074" s="329"/>
      <c r="N2074" s="329"/>
      <c r="O2074" s="329"/>
      <c r="P2074" s="329"/>
      <c r="Q2074" s="329"/>
      <c r="R2074" s="329"/>
    </row>
    <row r="2075" spans="1:18" ht="13">
      <c r="A2075" s="282"/>
      <c r="B2075" s="282"/>
      <c r="C2075" s="282"/>
      <c r="D2075" s="282"/>
      <c r="E2075" s="282"/>
      <c r="F2075" s="282"/>
      <c r="G2075" s="329"/>
      <c r="H2075" s="329"/>
      <c r="I2075" s="329"/>
      <c r="J2075" s="329"/>
      <c r="K2075" s="329"/>
      <c r="L2075" s="329"/>
      <c r="M2075" s="329"/>
      <c r="N2075" s="329"/>
      <c r="O2075" s="329"/>
      <c r="P2075" s="329"/>
      <c r="Q2075" s="329"/>
      <c r="R2075" s="329"/>
    </row>
    <row r="2076" spans="1:18" ht="13">
      <c r="A2076" s="282"/>
      <c r="B2076" s="282"/>
      <c r="C2076" s="282"/>
      <c r="D2076" s="282"/>
      <c r="E2076" s="282"/>
      <c r="F2076" s="282"/>
      <c r="G2076" s="329"/>
      <c r="H2076" s="329"/>
      <c r="I2076" s="329"/>
      <c r="J2076" s="329"/>
      <c r="K2076" s="329"/>
      <c r="L2076" s="329"/>
      <c r="M2076" s="329"/>
      <c r="N2076" s="329"/>
      <c r="O2076" s="329"/>
      <c r="P2076" s="329"/>
      <c r="Q2076" s="329"/>
      <c r="R2076" s="329"/>
    </row>
    <row r="2077" spans="1:18" ht="13">
      <c r="A2077" s="282"/>
      <c r="B2077" s="282"/>
      <c r="C2077" s="282"/>
      <c r="D2077" s="282"/>
      <c r="E2077" s="282"/>
      <c r="F2077" s="282"/>
      <c r="G2077" s="329"/>
      <c r="H2077" s="329"/>
      <c r="I2077" s="329"/>
      <c r="J2077" s="329"/>
      <c r="K2077" s="329"/>
      <c r="L2077" s="329"/>
      <c r="M2077" s="329"/>
      <c r="N2077" s="329"/>
      <c r="O2077" s="329"/>
      <c r="P2077" s="329"/>
      <c r="Q2077" s="329"/>
      <c r="R2077" s="329"/>
    </row>
    <row r="2078" spans="1:18" ht="13">
      <c r="A2078" s="282"/>
      <c r="B2078" s="282"/>
      <c r="C2078" s="282"/>
      <c r="D2078" s="282"/>
      <c r="E2078" s="282"/>
      <c r="F2078" s="282"/>
      <c r="G2078" s="329"/>
      <c r="H2078" s="329"/>
      <c r="I2078" s="329"/>
      <c r="J2078" s="329"/>
      <c r="K2078" s="329"/>
      <c r="L2078" s="329"/>
      <c r="M2078" s="329"/>
      <c r="N2078" s="329"/>
      <c r="O2078" s="329"/>
      <c r="P2078" s="329"/>
      <c r="Q2078" s="329"/>
      <c r="R2078" s="329"/>
    </row>
    <row r="2079" spans="1:18" ht="13">
      <c r="A2079" s="282"/>
      <c r="B2079" s="282"/>
      <c r="C2079" s="282"/>
      <c r="D2079" s="282"/>
      <c r="E2079" s="282"/>
      <c r="F2079" s="282"/>
      <c r="G2079" s="329"/>
      <c r="H2079" s="329"/>
      <c r="I2079" s="329"/>
      <c r="J2079" s="329"/>
      <c r="K2079" s="329"/>
      <c r="L2079" s="329"/>
      <c r="M2079" s="329"/>
      <c r="N2079" s="329"/>
      <c r="O2079" s="329"/>
      <c r="P2079" s="329"/>
      <c r="Q2079" s="329"/>
      <c r="R2079" s="329"/>
    </row>
    <row r="2080" spans="1:18" ht="13">
      <c r="A2080" s="282"/>
      <c r="B2080" s="282"/>
      <c r="C2080" s="282"/>
      <c r="D2080" s="282"/>
      <c r="E2080" s="282"/>
      <c r="F2080" s="282"/>
      <c r="G2080" s="329"/>
      <c r="H2080" s="329"/>
      <c r="I2080" s="329"/>
      <c r="J2080" s="329"/>
      <c r="K2080" s="329"/>
      <c r="L2080" s="329"/>
      <c r="M2080" s="329"/>
      <c r="N2080" s="329"/>
      <c r="O2080" s="329"/>
      <c r="P2080" s="329"/>
      <c r="Q2080" s="329"/>
      <c r="R2080" s="329"/>
    </row>
    <row r="2081" spans="1:18" ht="13">
      <c r="A2081" s="282"/>
      <c r="B2081" s="282"/>
      <c r="C2081" s="282"/>
      <c r="D2081" s="282"/>
      <c r="E2081" s="282"/>
      <c r="F2081" s="282"/>
      <c r="G2081" s="329"/>
      <c r="H2081" s="329"/>
      <c r="I2081" s="329"/>
      <c r="J2081" s="329"/>
      <c r="K2081" s="329"/>
      <c r="L2081" s="329"/>
      <c r="M2081" s="329"/>
      <c r="N2081" s="329"/>
      <c r="O2081" s="329"/>
      <c r="P2081" s="329"/>
      <c r="Q2081" s="329"/>
      <c r="R2081" s="329"/>
    </row>
    <row r="2082" spans="1:18" ht="13">
      <c r="A2082" s="282"/>
      <c r="B2082" s="282"/>
      <c r="C2082" s="282"/>
      <c r="D2082" s="282"/>
      <c r="E2082" s="282"/>
      <c r="F2082" s="282"/>
      <c r="G2082" s="329"/>
      <c r="H2082" s="329"/>
      <c r="I2082" s="329"/>
      <c r="J2082" s="329"/>
      <c r="K2082" s="329"/>
      <c r="L2082" s="329"/>
      <c r="M2082" s="329"/>
      <c r="N2082" s="329"/>
      <c r="O2082" s="329"/>
      <c r="P2082" s="329"/>
      <c r="Q2082" s="329"/>
      <c r="R2082" s="329"/>
    </row>
    <row r="2083" spans="1:18" ht="13">
      <c r="A2083" s="282"/>
      <c r="B2083" s="282"/>
      <c r="C2083" s="282"/>
      <c r="D2083" s="282"/>
      <c r="E2083" s="282"/>
      <c r="F2083" s="282"/>
      <c r="G2083" s="329"/>
      <c r="H2083" s="329"/>
      <c r="I2083" s="329"/>
      <c r="J2083" s="329"/>
      <c r="K2083" s="329"/>
      <c r="L2083" s="329"/>
      <c r="M2083" s="329"/>
      <c r="N2083" s="329"/>
      <c r="O2083" s="329"/>
      <c r="P2083" s="329"/>
      <c r="Q2083" s="329"/>
      <c r="R2083" s="329"/>
    </row>
    <row r="2084" spans="1:18" ht="13">
      <c r="A2084" s="282"/>
      <c r="B2084" s="282"/>
      <c r="C2084" s="282"/>
      <c r="D2084" s="282"/>
      <c r="E2084" s="282"/>
      <c r="F2084" s="282"/>
      <c r="G2084" s="329"/>
      <c r="H2084" s="329"/>
      <c r="I2084" s="329"/>
      <c r="J2084" s="329"/>
      <c r="K2084" s="329"/>
      <c r="L2084" s="329"/>
      <c r="M2084" s="329"/>
      <c r="N2084" s="329"/>
      <c r="O2084" s="329"/>
      <c r="P2084" s="329"/>
      <c r="Q2084" s="329"/>
      <c r="R2084" s="329"/>
    </row>
    <row r="2085" spans="1:18" ht="13">
      <c r="A2085" s="282"/>
      <c r="B2085" s="282"/>
      <c r="C2085" s="282"/>
      <c r="D2085" s="282"/>
      <c r="E2085" s="282"/>
      <c r="F2085" s="282"/>
      <c r="G2085" s="329"/>
      <c r="H2085" s="329"/>
      <c r="I2085" s="329"/>
      <c r="J2085" s="329"/>
      <c r="K2085" s="329"/>
      <c r="L2085" s="329"/>
      <c r="M2085" s="329"/>
      <c r="N2085" s="329"/>
      <c r="O2085" s="329"/>
      <c r="P2085" s="329"/>
      <c r="Q2085" s="329"/>
      <c r="R2085" s="329"/>
    </row>
    <row r="2086" spans="1:18" ht="13">
      <c r="A2086" s="282"/>
      <c r="B2086" s="282"/>
      <c r="C2086" s="282"/>
      <c r="D2086" s="282"/>
      <c r="E2086" s="282"/>
      <c r="F2086" s="282"/>
      <c r="G2086" s="329"/>
      <c r="H2086" s="329"/>
      <c r="I2086" s="329"/>
      <c r="J2086" s="329"/>
      <c r="K2086" s="329"/>
      <c r="L2086" s="329"/>
      <c r="M2086" s="329"/>
      <c r="N2086" s="329"/>
      <c r="O2086" s="329"/>
      <c r="P2086" s="329"/>
      <c r="Q2086" s="329"/>
      <c r="R2086" s="329"/>
    </row>
    <row r="2087" spans="1:18" ht="13">
      <c r="A2087" s="282"/>
      <c r="B2087" s="282"/>
      <c r="C2087" s="282"/>
      <c r="D2087" s="282"/>
      <c r="E2087" s="282"/>
      <c r="F2087" s="282"/>
      <c r="G2087" s="329"/>
      <c r="H2087" s="329"/>
      <c r="I2087" s="329"/>
      <c r="J2087" s="329"/>
      <c r="K2087" s="329"/>
      <c r="L2087" s="329"/>
      <c r="M2087" s="329"/>
      <c r="N2087" s="329"/>
      <c r="O2087" s="329"/>
      <c r="P2087" s="329"/>
      <c r="Q2087" s="329"/>
      <c r="R2087" s="329"/>
    </row>
    <row r="2088" spans="1:18" ht="13">
      <c r="A2088" s="282"/>
      <c r="B2088" s="282"/>
      <c r="C2088" s="282"/>
      <c r="D2088" s="282"/>
      <c r="E2088" s="282"/>
      <c r="F2088" s="282"/>
      <c r="G2088" s="329"/>
      <c r="H2088" s="329"/>
      <c r="I2088" s="329"/>
      <c r="J2088" s="329"/>
      <c r="K2088" s="329"/>
      <c r="L2088" s="329"/>
      <c r="M2088" s="329"/>
      <c r="N2088" s="329"/>
      <c r="O2088" s="329"/>
      <c r="P2088" s="329"/>
      <c r="Q2088" s="329"/>
      <c r="R2088" s="329"/>
    </row>
    <row r="2089" spans="1:18" ht="13">
      <c r="A2089" s="282"/>
      <c r="B2089" s="282"/>
      <c r="C2089" s="282"/>
      <c r="D2089" s="282"/>
      <c r="E2089" s="282"/>
      <c r="F2089" s="282"/>
      <c r="G2089" s="329"/>
      <c r="H2089" s="329"/>
      <c r="I2089" s="329"/>
      <c r="J2089" s="329"/>
      <c r="K2089" s="329"/>
      <c r="L2089" s="329"/>
      <c r="M2089" s="329"/>
      <c r="N2089" s="329"/>
      <c r="O2089" s="329"/>
      <c r="P2089" s="329"/>
      <c r="Q2089" s="329"/>
      <c r="R2089" s="329"/>
    </row>
    <row r="2090" spans="1:18" ht="13">
      <c r="A2090" s="282"/>
      <c r="B2090" s="282"/>
      <c r="C2090" s="282"/>
      <c r="D2090" s="282"/>
      <c r="E2090" s="282"/>
      <c r="F2090" s="282"/>
      <c r="G2090" s="329"/>
      <c r="H2090" s="329"/>
      <c r="I2090" s="329"/>
      <c r="J2090" s="329"/>
      <c r="K2090" s="329"/>
      <c r="L2090" s="329"/>
      <c r="M2090" s="329"/>
      <c r="N2090" s="329"/>
      <c r="O2090" s="329"/>
      <c r="P2090" s="329"/>
      <c r="Q2090" s="329"/>
      <c r="R2090" s="329"/>
    </row>
    <row r="2091" spans="1:18" ht="13">
      <c r="A2091" s="282"/>
      <c r="B2091" s="282"/>
      <c r="C2091" s="282"/>
      <c r="D2091" s="282"/>
      <c r="E2091" s="282"/>
      <c r="F2091" s="282"/>
      <c r="G2091" s="329"/>
      <c r="H2091" s="329"/>
      <c r="I2091" s="329"/>
      <c r="J2091" s="329"/>
      <c r="K2091" s="329"/>
      <c r="L2091" s="329"/>
      <c r="M2091" s="329"/>
      <c r="N2091" s="329"/>
      <c r="O2091" s="329"/>
      <c r="P2091" s="329"/>
      <c r="Q2091" s="329"/>
      <c r="R2091" s="329"/>
    </row>
    <row r="2092" spans="1:18" ht="13">
      <c r="A2092" s="282"/>
      <c r="B2092" s="282"/>
      <c r="C2092" s="282"/>
      <c r="D2092" s="282"/>
      <c r="E2092" s="282"/>
      <c r="F2092" s="282"/>
      <c r="G2092" s="329"/>
      <c r="H2092" s="329"/>
      <c r="I2092" s="329"/>
      <c r="J2092" s="329"/>
      <c r="K2092" s="329"/>
      <c r="L2092" s="329"/>
      <c r="M2092" s="329"/>
      <c r="N2092" s="329"/>
      <c r="O2092" s="329"/>
      <c r="P2092" s="329"/>
      <c r="Q2092" s="329"/>
      <c r="R2092" s="329"/>
    </row>
    <row r="2093" spans="1:18" ht="13">
      <c r="A2093" s="282"/>
      <c r="B2093" s="282"/>
      <c r="C2093" s="282"/>
      <c r="D2093" s="282"/>
      <c r="E2093" s="282"/>
      <c r="F2093" s="282"/>
      <c r="G2093" s="329"/>
      <c r="H2093" s="329"/>
      <c r="I2093" s="329"/>
      <c r="J2093" s="329"/>
      <c r="K2093" s="329"/>
      <c r="L2093" s="329"/>
      <c r="M2093" s="329"/>
      <c r="N2093" s="329"/>
      <c r="O2093" s="329"/>
      <c r="P2093" s="329"/>
      <c r="Q2093" s="329"/>
      <c r="R2093" s="329"/>
    </row>
    <row r="2094" spans="1:18" ht="13">
      <c r="A2094" s="282"/>
      <c r="B2094" s="282"/>
      <c r="C2094" s="282"/>
      <c r="D2094" s="282"/>
      <c r="E2094" s="282"/>
      <c r="F2094" s="282"/>
      <c r="G2094" s="329"/>
      <c r="H2094" s="329"/>
      <c r="I2094" s="329"/>
      <c r="J2094" s="329"/>
      <c r="K2094" s="329"/>
      <c r="L2094" s="329"/>
      <c r="M2094" s="329"/>
      <c r="N2094" s="329"/>
      <c r="O2094" s="329"/>
      <c r="P2094" s="329"/>
      <c r="Q2094" s="329"/>
      <c r="R2094" s="329"/>
    </row>
    <row r="2095" spans="1:18" ht="13">
      <c r="A2095" s="282"/>
      <c r="B2095" s="282"/>
      <c r="C2095" s="282"/>
      <c r="D2095" s="282"/>
      <c r="E2095" s="282"/>
      <c r="F2095" s="282"/>
      <c r="G2095" s="329"/>
      <c r="H2095" s="329"/>
      <c r="I2095" s="329"/>
      <c r="J2095" s="329"/>
      <c r="K2095" s="329"/>
      <c r="L2095" s="329"/>
      <c r="M2095" s="329"/>
      <c r="N2095" s="329"/>
      <c r="O2095" s="329"/>
      <c r="P2095" s="329"/>
      <c r="Q2095" s="329"/>
      <c r="R2095" s="329"/>
    </row>
    <row r="2096" spans="1:18" ht="13">
      <c r="A2096" s="282"/>
      <c r="B2096" s="282"/>
      <c r="C2096" s="282"/>
      <c r="D2096" s="282"/>
      <c r="E2096" s="282"/>
      <c r="F2096" s="282"/>
      <c r="G2096" s="329"/>
      <c r="H2096" s="329"/>
      <c r="I2096" s="329"/>
      <c r="J2096" s="329"/>
      <c r="K2096" s="329"/>
      <c r="L2096" s="329"/>
      <c r="M2096" s="329"/>
      <c r="N2096" s="329"/>
      <c r="O2096" s="329"/>
      <c r="P2096" s="329"/>
      <c r="Q2096" s="329"/>
      <c r="R2096" s="329"/>
    </row>
    <row r="2097" spans="1:18" ht="13">
      <c r="A2097" s="282"/>
      <c r="B2097" s="282"/>
      <c r="C2097" s="282"/>
      <c r="D2097" s="282"/>
      <c r="E2097" s="282"/>
      <c r="F2097" s="282"/>
      <c r="G2097" s="329"/>
      <c r="H2097" s="329"/>
      <c r="I2097" s="329"/>
      <c r="J2097" s="329"/>
      <c r="K2097" s="329"/>
      <c r="L2097" s="329"/>
      <c r="M2097" s="329"/>
      <c r="N2097" s="329"/>
      <c r="O2097" s="329"/>
      <c r="P2097" s="329"/>
      <c r="Q2097" s="329"/>
      <c r="R2097" s="329"/>
    </row>
    <row r="2098" spans="1:18" ht="13">
      <c r="A2098" s="282"/>
      <c r="B2098" s="282"/>
      <c r="C2098" s="282"/>
      <c r="D2098" s="282"/>
      <c r="E2098" s="282"/>
      <c r="F2098" s="282"/>
      <c r="G2098" s="329"/>
      <c r="H2098" s="329"/>
      <c r="I2098" s="329"/>
      <c r="J2098" s="329"/>
      <c r="K2098" s="329"/>
      <c r="L2098" s="329"/>
      <c r="M2098" s="329"/>
      <c r="N2098" s="329"/>
      <c r="O2098" s="329"/>
      <c r="P2098" s="329"/>
      <c r="Q2098" s="329"/>
      <c r="R2098" s="329"/>
    </row>
    <row r="2099" spans="1:18" ht="13">
      <c r="A2099" s="282"/>
      <c r="B2099" s="282"/>
      <c r="C2099" s="282"/>
      <c r="D2099" s="282"/>
      <c r="E2099" s="282"/>
      <c r="F2099" s="282"/>
      <c r="G2099" s="329"/>
      <c r="H2099" s="329"/>
      <c r="I2099" s="329"/>
      <c r="J2099" s="329"/>
      <c r="K2099" s="329"/>
      <c r="L2099" s="329"/>
      <c r="M2099" s="329"/>
      <c r="N2099" s="329"/>
      <c r="O2099" s="329"/>
      <c r="P2099" s="329"/>
      <c r="Q2099" s="329"/>
      <c r="R2099" s="329"/>
    </row>
    <row r="2100" spans="1:18" ht="13">
      <c r="A2100" s="282"/>
      <c r="B2100" s="282"/>
      <c r="C2100" s="282"/>
      <c r="D2100" s="282"/>
      <c r="E2100" s="282"/>
      <c r="F2100" s="282"/>
      <c r="G2100" s="329"/>
      <c r="H2100" s="329"/>
      <c r="I2100" s="329"/>
      <c r="J2100" s="329"/>
      <c r="K2100" s="329"/>
      <c r="L2100" s="329"/>
      <c r="M2100" s="329"/>
      <c r="N2100" s="329"/>
      <c r="O2100" s="329"/>
      <c r="P2100" s="329"/>
      <c r="Q2100" s="329"/>
      <c r="R2100" s="329"/>
    </row>
    <row r="2101" spans="1:18" ht="13">
      <c r="A2101" s="282"/>
      <c r="B2101" s="282"/>
      <c r="C2101" s="282"/>
      <c r="D2101" s="282"/>
      <c r="E2101" s="282"/>
      <c r="F2101" s="282"/>
      <c r="G2101" s="329"/>
      <c r="H2101" s="329"/>
      <c r="I2101" s="329"/>
      <c r="J2101" s="329"/>
      <c r="K2101" s="329"/>
      <c r="L2101" s="329"/>
      <c r="M2101" s="329"/>
      <c r="N2101" s="329"/>
      <c r="O2101" s="329"/>
      <c r="P2101" s="329"/>
      <c r="Q2101" s="329"/>
      <c r="R2101" s="329"/>
    </row>
    <row r="2102" spans="1:18" ht="13">
      <c r="A2102" s="282"/>
      <c r="B2102" s="282"/>
      <c r="C2102" s="282"/>
      <c r="D2102" s="282"/>
      <c r="E2102" s="282"/>
      <c r="F2102" s="282"/>
      <c r="G2102" s="329"/>
      <c r="H2102" s="329"/>
      <c r="I2102" s="329"/>
      <c r="J2102" s="329"/>
      <c r="K2102" s="329"/>
      <c r="L2102" s="329"/>
      <c r="M2102" s="329"/>
      <c r="N2102" s="329"/>
      <c r="O2102" s="329"/>
      <c r="P2102" s="329"/>
      <c r="Q2102" s="329"/>
      <c r="R2102" s="329"/>
    </row>
    <row r="2103" spans="1:18" ht="13">
      <c r="A2103" s="282"/>
      <c r="B2103" s="282"/>
      <c r="C2103" s="282"/>
      <c r="D2103" s="282"/>
      <c r="E2103" s="282"/>
      <c r="F2103" s="282"/>
      <c r="G2103" s="329"/>
      <c r="H2103" s="329"/>
      <c r="I2103" s="329"/>
      <c r="J2103" s="329"/>
      <c r="K2103" s="329"/>
      <c r="L2103" s="329"/>
      <c r="M2103" s="329"/>
      <c r="N2103" s="329"/>
      <c r="O2103" s="329"/>
      <c r="P2103" s="329"/>
      <c r="Q2103" s="329"/>
      <c r="R2103" s="329"/>
    </row>
    <row r="2104" spans="1:18" ht="13">
      <c r="A2104" s="282"/>
      <c r="B2104" s="282"/>
      <c r="C2104" s="282"/>
      <c r="D2104" s="282"/>
      <c r="E2104" s="282"/>
      <c r="F2104" s="282"/>
      <c r="G2104" s="329"/>
      <c r="H2104" s="329"/>
      <c r="I2104" s="329"/>
      <c r="J2104" s="329"/>
      <c r="K2104" s="329"/>
      <c r="L2104" s="329"/>
      <c r="M2104" s="329"/>
      <c r="N2104" s="329"/>
      <c r="O2104" s="329"/>
      <c r="P2104" s="329"/>
      <c r="Q2104" s="329"/>
      <c r="R2104" s="329"/>
    </row>
    <row r="2105" spans="1:18" ht="13">
      <c r="A2105" s="282"/>
      <c r="B2105" s="282"/>
      <c r="C2105" s="282"/>
      <c r="D2105" s="282"/>
      <c r="E2105" s="282"/>
      <c r="F2105" s="282"/>
      <c r="G2105" s="329"/>
      <c r="H2105" s="329"/>
      <c r="I2105" s="329"/>
      <c r="J2105" s="329"/>
      <c r="K2105" s="329"/>
      <c r="L2105" s="329"/>
      <c r="M2105" s="329"/>
      <c r="N2105" s="329"/>
      <c r="O2105" s="329"/>
      <c r="P2105" s="329"/>
      <c r="Q2105" s="329"/>
      <c r="R2105" s="329"/>
    </row>
    <row r="2106" spans="1:18" ht="13">
      <c r="A2106" s="282"/>
      <c r="B2106" s="282"/>
      <c r="C2106" s="282"/>
      <c r="D2106" s="282"/>
      <c r="E2106" s="282"/>
      <c r="F2106" s="282"/>
      <c r="G2106" s="329"/>
      <c r="H2106" s="329"/>
      <c r="I2106" s="329"/>
      <c r="J2106" s="329"/>
      <c r="K2106" s="329"/>
      <c r="L2106" s="329"/>
      <c r="M2106" s="329"/>
      <c r="N2106" s="329"/>
      <c r="O2106" s="329"/>
      <c r="P2106" s="329"/>
      <c r="Q2106" s="329"/>
      <c r="R2106" s="329"/>
    </row>
    <row r="2107" spans="1:18" ht="13">
      <c r="A2107" s="282"/>
      <c r="B2107" s="282"/>
      <c r="C2107" s="282"/>
      <c r="D2107" s="282"/>
      <c r="E2107" s="282"/>
      <c r="F2107" s="282"/>
      <c r="G2107" s="329"/>
      <c r="H2107" s="329"/>
      <c r="I2107" s="329"/>
      <c r="J2107" s="329"/>
      <c r="K2107" s="329"/>
      <c r="L2107" s="329"/>
      <c r="M2107" s="329"/>
      <c r="N2107" s="329"/>
      <c r="O2107" s="329"/>
      <c r="P2107" s="329"/>
      <c r="Q2107" s="329"/>
      <c r="R2107" s="329"/>
    </row>
    <row r="2108" spans="1:18" ht="13">
      <c r="A2108" s="282"/>
      <c r="B2108" s="282"/>
      <c r="C2108" s="282"/>
      <c r="D2108" s="282"/>
      <c r="E2108" s="282"/>
      <c r="F2108" s="282"/>
      <c r="G2108" s="329"/>
      <c r="H2108" s="329"/>
      <c r="I2108" s="329"/>
      <c r="J2108" s="329"/>
      <c r="K2108" s="329"/>
      <c r="L2108" s="329"/>
      <c r="M2108" s="329"/>
      <c r="N2108" s="329"/>
      <c r="O2108" s="329"/>
      <c r="P2108" s="329"/>
      <c r="Q2108" s="329"/>
      <c r="R2108" s="329"/>
    </row>
    <row r="2109" spans="1:18" ht="13">
      <c r="A2109" s="282"/>
      <c r="B2109" s="282"/>
      <c r="C2109" s="282"/>
      <c r="D2109" s="282"/>
      <c r="E2109" s="282"/>
      <c r="F2109" s="282"/>
      <c r="G2109" s="329"/>
      <c r="H2109" s="329"/>
      <c r="I2109" s="329"/>
      <c r="J2109" s="329"/>
      <c r="K2109" s="329"/>
      <c r="L2109" s="329"/>
      <c r="M2109" s="329"/>
      <c r="N2109" s="329"/>
      <c r="O2109" s="329"/>
      <c r="P2109" s="329"/>
      <c r="Q2109" s="329"/>
      <c r="R2109" s="329"/>
    </row>
    <row r="2110" spans="1:18" ht="13">
      <c r="A2110" s="282"/>
      <c r="B2110" s="282"/>
      <c r="C2110" s="282"/>
      <c r="D2110" s="282"/>
      <c r="E2110" s="282"/>
      <c r="F2110" s="282"/>
      <c r="G2110" s="329"/>
      <c r="H2110" s="329"/>
      <c r="I2110" s="329"/>
      <c r="J2110" s="329"/>
      <c r="K2110" s="329"/>
      <c r="L2110" s="329"/>
      <c r="M2110" s="329"/>
      <c r="N2110" s="329"/>
      <c r="O2110" s="329"/>
      <c r="P2110" s="329"/>
      <c r="Q2110" s="329"/>
      <c r="R2110" s="329"/>
    </row>
    <row r="2111" spans="1:18" ht="13">
      <c r="A2111" s="282"/>
      <c r="B2111" s="282"/>
      <c r="C2111" s="282"/>
      <c r="D2111" s="282"/>
      <c r="E2111" s="282"/>
      <c r="F2111" s="282"/>
      <c r="G2111" s="329"/>
      <c r="H2111" s="329"/>
      <c r="I2111" s="329"/>
      <c r="J2111" s="329"/>
      <c r="K2111" s="329"/>
      <c r="L2111" s="329"/>
      <c r="M2111" s="329"/>
      <c r="N2111" s="329"/>
      <c r="O2111" s="329"/>
      <c r="P2111" s="329"/>
      <c r="Q2111" s="329"/>
      <c r="R2111" s="329"/>
    </row>
    <row r="2112" spans="1:18" ht="13">
      <c r="A2112" s="282"/>
      <c r="B2112" s="282"/>
      <c r="C2112" s="282"/>
      <c r="D2112" s="282"/>
      <c r="E2112" s="282"/>
      <c r="F2112" s="282"/>
      <c r="G2112" s="329"/>
      <c r="H2112" s="329"/>
      <c r="I2112" s="329"/>
      <c r="J2112" s="329"/>
      <c r="K2112" s="329"/>
      <c r="L2112" s="329"/>
      <c r="M2112" s="329"/>
      <c r="N2112" s="329"/>
      <c r="O2112" s="329"/>
      <c r="P2112" s="329"/>
      <c r="Q2112" s="329"/>
      <c r="R2112" s="329"/>
    </row>
    <row r="2113" spans="1:18" ht="13">
      <c r="A2113" s="282"/>
      <c r="B2113" s="282"/>
      <c r="C2113" s="282"/>
      <c r="D2113" s="282"/>
      <c r="E2113" s="282"/>
      <c r="F2113" s="282"/>
      <c r="G2113" s="329"/>
      <c r="H2113" s="329"/>
      <c r="I2113" s="329"/>
      <c r="J2113" s="329"/>
      <c r="K2113" s="329"/>
      <c r="L2113" s="329"/>
      <c r="M2113" s="329"/>
      <c r="N2113" s="329"/>
      <c r="O2113" s="329"/>
      <c r="P2113" s="329"/>
      <c r="Q2113" s="329"/>
      <c r="R2113" s="329"/>
    </row>
    <row r="2114" spans="1:18" ht="13">
      <c r="A2114" s="282"/>
      <c r="B2114" s="282"/>
      <c r="C2114" s="282"/>
      <c r="D2114" s="282"/>
      <c r="E2114" s="282"/>
      <c r="F2114" s="282"/>
      <c r="G2114" s="329"/>
      <c r="H2114" s="329"/>
      <c r="I2114" s="329"/>
      <c r="J2114" s="329"/>
      <c r="K2114" s="329"/>
      <c r="L2114" s="329"/>
      <c r="M2114" s="329"/>
      <c r="N2114" s="329"/>
      <c r="O2114" s="329"/>
      <c r="P2114" s="329"/>
      <c r="Q2114" s="329"/>
      <c r="R2114" s="329"/>
    </row>
    <row r="2115" spans="1:18" ht="13">
      <c r="A2115" s="282"/>
      <c r="B2115" s="282"/>
      <c r="C2115" s="282"/>
      <c r="D2115" s="282"/>
      <c r="E2115" s="282"/>
      <c r="F2115" s="282"/>
      <c r="G2115" s="329"/>
      <c r="H2115" s="329"/>
      <c r="I2115" s="329"/>
      <c r="J2115" s="329"/>
      <c r="K2115" s="329"/>
      <c r="L2115" s="329"/>
      <c r="M2115" s="329"/>
      <c r="N2115" s="329"/>
      <c r="O2115" s="329"/>
      <c r="P2115" s="329"/>
      <c r="Q2115" s="329"/>
      <c r="R2115" s="329"/>
    </row>
    <row r="2116" spans="1:18" ht="13">
      <c r="A2116" s="282"/>
      <c r="B2116" s="282"/>
      <c r="C2116" s="282"/>
      <c r="D2116" s="282"/>
      <c r="E2116" s="282"/>
      <c r="F2116" s="282"/>
      <c r="G2116" s="329"/>
      <c r="H2116" s="329"/>
      <c r="I2116" s="329"/>
      <c r="J2116" s="329"/>
      <c r="K2116" s="329"/>
      <c r="L2116" s="329"/>
      <c r="M2116" s="329"/>
      <c r="N2116" s="329"/>
      <c r="O2116" s="329"/>
      <c r="P2116" s="329"/>
      <c r="Q2116" s="329"/>
      <c r="R2116" s="329"/>
    </row>
    <row r="2117" spans="1:18" ht="13">
      <c r="A2117" s="282"/>
      <c r="B2117" s="282"/>
      <c r="C2117" s="282"/>
      <c r="D2117" s="282"/>
      <c r="E2117" s="282"/>
      <c r="F2117" s="282"/>
      <c r="G2117" s="329"/>
      <c r="H2117" s="329"/>
      <c r="I2117" s="329"/>
      <c r="J2117" s="329"/>
      <c r="K2117" s="329"/>
      <c r="L2117" s="329"/>
      <c r="M2117" s="329"/>
      <c r="N2117" s="329"/>
      <c r="O2117" s="329"/>
      <c r="P2117" s="329"/>
      <c r="Q2117" s="329"/>
      <c r="R2117" s="329"/>
    </row>
    <row r="2118" spans="1:18" ht="13">
      <c r="A2118" s="282"/>
      <c r="B2118" s="282"/>
      <c r="C2118" s="282"/>
      <c r="D2118" s="282"/>
      <c r="E2118" s="282"/>
      <c r="F2118" s="282"/>
      <c r="G2118" s="329"/>
      <c r="H2118" s="329"/>
      <c r="I2118" s="329"/>
      <c r="J2118" s="329"/>
      <c r="K2118" s="329"/>
      <c r="L2118" s="329"/>
      <c r="M2118" s="329"/>
      <c r="N2118" s="329"/>
      <c r="O2118" s="329"/>
      <c r="P2118" s="329"/>
      <c r="Q2118" s="329"/>
      <c r="R2118" s="329"/>
    </row>
    <row r="2119" spans="1:18" ht="13">
      <c r="A2119" s="282"/>
      <c r="B2119" s="282"/>
      <c r="C2119" s="282"/>
      <c r="D2119" s="282"/>
      <c r="E2119" s="282"/>
      <c r="F2119" s="282"/>
      <c r="G2119" s="329"/>
      <c r="H2119" s="329"/>
      <c r="I2119" s="329"/>
      <c r="J2119" s="329"/>
      <c r="K2119" s="329"/>
      <c r="L2119" s="329"/>
      <c r="M2119" s="329"/>
      <c r="N2119" s="329"/>
      <c r="O2119" s="329"/>
      <c r="P2119" s="329"/>
      <c r="Q2119" s="329"/>
      <c r="R2119" s="329"/>
    </row>
    <row r="2120" spans="1:18" ht="13">
      <c r="A2120" s="282"/>
      <c r="B2120" s="282"/>
      <c r="C2120" s="282"/>
      <c r="D2120" s="282"/>
      <c r="E2120" s="282"/>
      <c r="F2120" s="282"/>
      <c r="G2120" s="329"/>
      <c r="H2120" s="329"/>
      <c r="I2120" s="329"/>
      <c r="J2120" s="329"/>
      <c r="K2120" s="329"/>
      <c r="L2120" s="329"/>
      <c r="M2120" s="329"/>
      <c r="N2120" s="329"/>
      <c r="O2120" s="329"/>
      <c r="P2120" s="329"/>
      <c r="Q2120" s="329"/>
      <c r="R2120" s="329"/>
    </row>
    <row r="2121" spans="1:18" ht="13">
      <c r="A2121" s="282"/>
      <c r="B2121" s="282"/>
      <c r="C2121" s="282"/>
      <c r="D2121" s="282"/>
      <c r="E2121" s="282"/>
      <c r="F2121" s="282"/>
      <c r="G2121" s="329"/>
      <c r="H2121" s="329"/>
      <c r="I2121" s="329"/>
      <c r="J2121" s="329"/>
      <c r="K2121" s="329"/>
      <c r="L2121" s="329"/>
      <c r="M2121" s="329"/>
      <c r="N2121" s="329"/>
      <c r="O2121" s="329"/>
      <c r="P2121" s="329"/>
      <c r="Q2121" s="329"/>
      <c r="R2121" s="329"/>
    </row>
    <row r="2122" spans="1:18" ht="13">
      <c r="A2122" s="282"/>
      <c r="B2122" s="282"/>
      <c r="C2122" s="282"/>
      <c r="D2122" s="282"/>
      <c r="E2122" s="282"/>
      <c r="F2122" s="282"/>
      <c r="G2122" s="329"/>
      <c r="H2122" s="329"/>
      <c r="I2122" s="329"/>
      <c r="J2122" s="329"/>
      <c r="K2122" s="329"/>
      <c r="L2122" s="329"/>
      <c r="M2122" s="329"/>
      <c r="N2122" s="329"/>
      <c r="O2122" s="329"/>
      <c r="P2122" s="329"/>
      <c r="Q2122" s="329"/>
      <c r="R2122" s="329"/>
    </row>
    <row r="2123" spans="1:18" ht="13">
      <c r="A2123" s="282"/>
      <c r="B2123" s="282"/>
      <c r="C2123" s="282"/>
      <c r="D2123" s="282"/>
      <c r="E2123" s="282"/>
      <c r="F2123" s="282"/>
      <c r="G2123" s="329"/>
      <c r="H2123" s="329"/>
      <c r="I2123" s="329"/>
      <c r="J2123" s="329"/>
      <c r="K2123" s="329"/>
      <c r="L2123" s="329"/>
      <c r="M2123" s="329"/>
      <c r="N2123" s="329"/>
      <c r="O2123" s="329"/>
      <c r="P2123" s="329"/>
      <c r="Q2123" s="329"/>
      <c r="R2123" s="329"/>
    </row>
    <row r="2124" spans="1:18" ht="13">
      <c r="A2124" s="282"/>
      <c r="B2124" s="282"/>
      <c r="C2124" s="282"/>
      <c r="D2124" s="282"/>
      <c r="E2124" s="282"/>
      <c r="F2124" s="282"/>
      <c r="G2124" s="329"/>
      <c r="H2124" s="329"/>
      <c r="I2124" s="329"/>
      <c r="J2124" s="329"/>
      <c r="K2124" s="329"/>
      <c r="L2124" s="329"/>
      <c r="M2124" s="329"/>
      <c r="N2124" s="329"/>
      <c r="O2124" s="329"/>
      <c r="P2124" s="329"/>
      <c r="Q2124" s="329"/>
      <c r="R2124" s="329"/>
    </row>
    <row r="2125" spans="1:18" ht="13">
      <c r="A2125" s="282"/>
      <c r="B2125" s="282"/>
      <c r="C2125" s="282"/>
      <c r="D2125" s="282"/>
      <c r="E2125" s="282"/>
      <c r="F2125" s="282"/>
      <c r="G2125" s="329"/>
      <c r="H2125" s="329"/>
      <c r="I2125" s="329"/>
      <c r="J2125" s="329"/>
      <c r="K2125" s="329"/>
      <c r="L2125" s="329"/>
      <c r="M2125" s="329"/>
      <c r="N2125" s="329"/>
      <c r="O2125" s="329"/>
      <c r="P2125" s="329"/>
      <c r="Q2125" s="329"/>
      <c r="R2125" s="329"/>
    </row>
    <row r="2126" spans="1:18" ht="13">
      <c r="A2126" s="282"/>
      <c r="B2126" s="282"/>
      <c r="C2126" s="282"/>
      <c r="D2126" s="282"/>
      <c r="E2126" s="282"/>
      <c r="F2126" s="282"/>
      <c r="G2126" s="329"/>
      <c r="H2126" s="329"/>
      <c r="I2126" s="329"/>
      <c r="J2126" s="329"/>
      <c r="K2126" s="329"/>
      <c r="L2126" s="329"/>
      <c r="M2126" s="329"/>
      <c r="N2126" s="329"/>
      <c r="O2126" s="329"/>
      <c r="P2126" s="329"/>
      <c r="Q2126" s="329"/>
      <c r="R2126" s="329"/>
    </row>
    <row r="2127" spans="1:18" ht="13">
      <c r="A2127" s="282"/>
      <c r="B2127" s="282"/>
      <c r="C2127" s="282"/>
      <c r="D2127" s="282"/>
      <c r="E2127" s="282"/>
      <c r="F2127" s="282"/>
      <c r="G2127" s="329"/>
      <c r="H2127" s="329"/>
      <c r="I2127" s="329"/>
      <c r="J2127" s="329"/>
      <c r="K2127" s="329"/>
      <c r="L2127" s="329"/>
      <c r="M2127" s="329"/>
      <c r="N2127" s="329"/>
      <c r="O2127" s="329"/>
      <c r="P2127" s="329"/>
      <c r="Q2127" s="329"/>
      <c r="R2127" s="329"/>
    </row>
    <row r="2128" spans="1:18" ht="13">
      <c r="A2128" s="282"/>
      <c r="B2128" s="282"/>
      <c r="C2128" s="282"/>
      <c r="D2128" s="282"/>
      <c r="E2128" s="282"/>
      <c r="F2128" s="282"/>
      <c r="G2128" s="329"/>
      <c r="H2128" s="329"/>
      <c r="I2128" s="329"/>
      <c r="J2128" s="329"/>
      <c r="K2128" s="329"/>
      <c r="L2128" s="329"/>
      <c r="M2128" s="329"/>
      <c r="N2128" s="329"/>
      <c r="O2128" s="329"/>
      <c r="P2128" s="329"/>
      <c r="Q2128" s="329"/>
      <c r="R2128" s="329"/>
    </row>
    <row r="2129" spans="1:18" ht="13">
      <c r="A2129" s="282"/>
      <c r="B2129" s="282"/>
      <c r="C2129" s="282"/>
      <c r="D2129" s="282"/>
      <c r="E2129" s="282"/>
      <c r="F2129" s="282"/>
      <c r="G2129" s="329"/>
      <c r="H2129" s="329"/>
      <c r="I2129" s="329"/>
      <c r="J2129" s="329"/>
      <c r="K2129" s="329"/>
      <c r="L2129" s="329"/>
      <c r="M2129" s="329"/>
      <c r="N2129" s="329"/>
      <c r="O2129" s="329"/>
      <c r="P2129" s="329"/>
      <c r="Q2129" s="329"/>
      <c r="R2129" s="329"/>
    </row>
    <row r="2130" spans="1:18" ht="13">
      <c r="A2130" s="282"/>
      <c r="B2130" s="282"/>
      <c r="C2130" s="282"/>
      <c r="D2130" s="282"/>
      <c r="E2130" s="282"/>
      <c r="F2130" s="282"/>
      <c r="G2130" s="329"/>
      <c r="H2130" s="329"/>
      <c r="I2130" s="329"/>
      <c r="J2130" s="329"/>
      <c r="K2130" s="329"/>
      <c r="L2130" s="329"/>
      <c r="M2130" s="329"/>
      <c r="N2130" s="329"/>
      <c r="O2130" s="329"/>
      <c r="P2130" s="329"/>
      <c r="Q2130" s="329"/>
      <c r="R2130" s="329"/>
    </row>
    <row r="2131" spans="1:18" ht="13">
      <c r="A2131" s="282"/>
      <c r="B2131" s="282"/>
      <c r="C2131" s="282"/>
      <c r="D2131" s="282"/>
      <c r="E2131" s="282"/>
      <c r="F2131" s="282"/>
      <c r="G2131" s="329"/>
      <c r="H2131" s="329"/>
      <c r="I2131" s="329"/>
      <c r="J2131" s="329"/>
      <c r="K2131" s="329"/>
      <c r="L2131" s="329"/>
      <c r="M2131" s="329"/>
      <c r="N2131" s="329"/>
      <c r="O2131" s="329"/>
      <c r="P2131" s="329"/>
      <c r="Q2131" s="329"/>
      <c r="R2131" s="329"/>
    </row>
    <row r="2132" spans="1:18" ht="13">
      <c r="A2132" s="282"/>
      <c r="B2132" s="282"/>
      <c r="C2132" s="282"/>
      <c r="D2132" s="282"/>
      <c r="E2132" s="282"/>
      <c r="F2132" s="282"/>
      <c r="G2132" s="329"/>
      <c r="H2132" s="329"/>
      <c r="I2132" s="329"/>
      <c r="J2132" s="329"/>
      <c r="K2132" s="329"/>
      <c r="L2132" s="329"/>
      <c r="M2132" s="329"/>
      <c r="N2132" s="329"/>
      <c r="O2132" s="329"/>
      <c r="P2132" s="329"/>
      <c r="Q2132" s="329"/>
      <c r="R2132" s="329"/>
    </row>
    <row r="2133" spans="1:18" ht="13">
      <c r="A2133" s="282"/>
      <c r="B2133" s="282"/>
      <c r="C2133" s="282"/>
      <c r="D2133" s="282"/>
      <c r="E2133" s="282"/>
      <c r="F2133" s="282"/>
      <c r="G2133" s="329"/>
      <c r="H2133" s="329"/>
      <c r="I2133" s="329"/>
      <c r="J2133" s="329"/>
      <c r="K2133" s="329"/>
      <c r="L2133" s="329"/>
      <c r="M2133" s="329"/>
      <c r="N2133" s="329"/>
      <c r="O2133" s="329"/>
      <c r="P2133" s="329"/>
      <c r="Q2133" s="329"/>
      <c r="R2133" s="329"/>
    </row>
    <row r="2134" spans="1:18" ht="13">
      <c r="A2134" s="282"/>
      <c r="B2134" s="282"/>
      <c r="C2134" s="282"/>
      <c r="D2134" s="282"/>
      <c r="E2134" s="282"/>
      <c r="F2134" s="282"/>
      <c r="G2134" s="329"/>
      <c r="H2134" s="329"/>
      <c r="I2134" s="329"/>
      <c r="J2134" s="329"/>
      <c r="K2134" s="329"/>
      <c r="L2134" s="329"/>
      <c r="M2134" s="329"/>
      <c r="N2134" s="329"/>
      <c r="O2134" s="329"/>
      <c r="P2134" s="329"/>
      <c r="Q2134" s="329"/>
      <c r="R2134" s="329"/>
    </row>
    <row r="2135" spans="1:18" ht="13">
      <c r="A2135" s="282"/>
      <c r="B2135" s="282"/>
      <c r="C2135" s="282"/>
      <c r="D2135" s="282"/>
      <c r="E2135" s="282"/>
      <c r="F2135" s="282"/>
      <c r="G2135" s="329"/>
      <c r="H2135" s="329"/>
      <c r="I2135" s="329"/>
      <c r="J2135" s="329"/>
      <c r="K2135" s="329"/>
      <c r="L2135" s="329"/>
      <c r="M2135" s="329"/>
      <c r="N2135" s="329"/>
      <c r="O2135" s="329"/>
      <c r="P2135" s="329"/>
      <c r="Q2135" s="329"/>
      <c r="R2135" s="329"/>
    </row>
    <row r="2136" spans="1:18" ht="13">
      <c r="A2136" s="282"/>
      <c r="B2136" s="282"/>
      <c r="C2136" s="282"/>
      <c r="D2136" s="282"/>
      <c r="E2136" s="282"/>
      <c r="F2136" s="282"/>
      <c r="G2136" s="329"/>
      <c r="H2136" s="329"/>
      <c r="I2136" s="329"/>
      <c r="J2136" s="329"/>
      <c r="K2136" s="329"/>
      <c r="L2136" s="329"/>
      <c r="M2136" s="329"/>
      <c r="N2136" s="329"/>
      <c r="O2136" s="329"/>
      <c r="P2136" s="329"/>
      <c r="Q2136" s="329"/>
      <c r="R2136" s="329"/>
    </row>
    <row r="2137" spans="1:18" ht="13">
      <c r="A2137" s="282"/>
      <c r="B2137" s="282"/>
      <c r="C2137" s="282"/>
      <c r="D2137" s="282"/>
      <c r="E2137" s="282"/>
      <c r="F2137" s="282"/>
      <c r="G2137" s="329"/>
      <c r="H2137" s="329"/>
      <c r="I2137" s="329"/>
      <c r="J2137" s="329"/>
      <c r="K2137" s="329"/>
      <c r="L2137" s="329"/>
      <c r="M2137" s="329"/>
      <c r="N2137" s="329"/>
      <c r="O2137" s="329"/>
      <c r="P2137" s="329"/>
      <c r="Q2137" s="329"/>
      <c r="R2137" s="329"/>
    </row>
    <row r="2138" spans="1:18" ht="13">
      <c r="A2138" s="282"/>
      <c r="B2138" s="282"/>
      <c r="C2138" s="282"/>
      <c r="D2138" s="282"/>
      <c r="E2138" s="282"/>
      <c r="F2138" s="282"/>
      <c r="G2138" s="329"/>
      <c r="H2138" s="329"/>
      <c r="I2138" s="329"/>
      <c r="J2138" s="329"/>
      <c r="K2138" s="329"/>
      <c r="L2138" s="329"/>
      <c r="M2138" s="329"/>
      <c r="N2138" s="329"/>
      <c r="O2138" s="329"/>
      <c r="P2138" s="329"/>
      <c r="Q2138" s="329"/>
      <c r="R2138" s="329"/>
    </row>
    <row r="2139" spans="1:18" ht="13">
      <c r="A2139" s="282"/>
      <c r="B2139" s="282"/>
      <c r="C2139" s="282"/>
      <c r="D2139" s="282"/>
      <c r="E2139" s="282"/>
      <c r="F2139" s="282"/>
      <c r="G2139" s="329"/>
      <c r="H2139" s="329"/>
      <c r="I2139" s="329"/>
      <c r="J2139" s="329"/>
      <c r="K2139" s="329"/>
      <c r="L2139" s="329"/>
      <c r="M2139" s="329"/>
      <c r="N2139" s="329"/>
      <c r="O2139" s="329"/>
      <c r="P2139" s="329"/>
      <c r="Q2139" s="329"/>
      <c r="R2139" s="329"/>
    </row>
    <row r="2140" spans="1:18" ht="13">
      <c r="A2140" s="282"/>
      <c r="B2140" s="282"/>
      <c r="C2140" s="282"/>
      <c r="D2140" s="282"/>
      <c r="E2140" s="282"/>
      <c r="F2140" s="282"/>
      <c r="G2140" s="329"/>
      <c r="H2140" s="329"/>
      <c r="I2140" s="329"/>
      <c r="J2140" s="329"/>
      <c r="K2140" s="329"/>
      <c r="L2140" s="329"/>
      <c r="M2140" s="329"/>
      <c r="N2140" s="329"/>
      <c r="O2140" s="329"/>
      <c r="P2140" s="329"/>
      <c r="Q2140" s="329"/>
      <c r="R2140" s="329"/>
    </row>
    <row r="2141" spans="1:18" ht="13">
      <c r="A2141" s="282"/>
      <c r="B2141" s="282"/>
      <c r="C2141" s="282"/>
      <c r="D2141" s="282"/>
      <c r="E2141" s="282"/>
      <c r="F2141" s="282"/>
      <c r="G2141" s="329"/>
      <c r="H2141" s="329"/>
      <c r="I2141" s="329"/>
      <c r="J2141" s="329"/>
      <c r="K2141" s="329"/>
      <c r="L2141" s="329"/>
      <c r="M2141" s="329"/>
      <c r="N2141" s="329"/>
      <c r="O2141" s="329"/>
      <c r="P2141" s="329"/>
      <c r="Q2141" s="329"/>
      <c r="R2141" s="329"/>
    </row>
    <row r="2142" spans="1:18" ht="13">
      <c r="A2142" s="282"/>
      <c r="B2142" s="282"/>
      <c r="C2142" s="282"/>
      <c r="D2142" s="282"/>
      <c r="E2142" s="282"/>
      <c r="F2142" s="282"/>
      <c r="G2142" s="329"/>
      <c r="H2142" s="329"/>
      <c r="I2142" s="329"/>
      <c r="J2142" s="329"/>
      <c r="K2142" s="329"/>
      <c r="L2142" s="329"/>
      <c r="M2142" s="329"/>
      <c r="N2142" s="329"/>
      <c r="O2142" s="329"/>
      <c r="P2142" s="329"/>
      <c r="Q2142" s="329"/>
      <c r="R2142" s="329"/>
    </row>
    <row r="2143" spans="1:18" ht="13">
      <c r="A2143" s="282"/>
      <c r="B2143" s="282"/>
      <c r="C2143" s="282"/>
      <c r="D2143" s="282"/>
      <c r="E2143" s="282"/>
      <c r="F2143" s="282"/>
      <c r="G2143" s="329"/>
      <c r="H2143" s="329"/>
      <c r="I2143" s="329"/>
      <c r="J2143" s="329"/>
      <c r="K2143" s="329"/>
      <c r="L2143" s="329"/>
      <c r="M2143" s="329"/>
      <c r="N2143" s="329"/>
      <c r="O2143" s="329"/>
      <c r="P2143" s="329"/>
      <c r="Q2143" s="329"/>
      <c r="R2143" s="329"/>
    </row>
    <row r="2144" spans="1:18" ht="13">
      <c r="A2144" s="282"/>
      <c r="B2144" s="282"/>
      <c r="C2144" s="282"/>
      <c r="D2144" s="282"/>
      <c r="E2144" s="282"/>
      <c r="F2144" s="282"/>
      <c r="G2144" s="329"/>
      <c r="H2144" s="329"/>
      <c r="I2144" s="329"/>
      <c r="J2144" s="329"/>
      <c r="K2144" s="329"/>
      <c r="L2144" s="329"/>
      <c r="M2144" s="329"/>
      <c r="N2144" s="329"/>
      <c r="O2144" s="329"/>
      <c r="P2144" s="329"/>
      <c r="Q2144" s="329"/>
      <c r="R2144" s="329"/>
    </row>
    <row r="2145" spans="1:18" ht="13">
      <c r="A2145" s="282"/>
      <c r="B2145" s="282"/>
      <c r="C2145" s="282"/>
      <c r="D2145" s="282"/>
      <c r="E2145" s="282"/>
      <c r="F2145" s="282"/>
      <c r="G2145" s="329"/>
      <c r="H2145" s="329"/>
      <c r="I2145" s="329"/>
      <c r="J2145" s="329"/>
      <c r="K2145" s="329"/>
      <c r="L2145" s="329"/>
      <c r="M2145" s="329"/>
      <c r="N2145" s="329"/>
      <c r="O2145" s="329"/>
      <c r="P2145" s="329"/>
      <c r="Q2145" s="329"/>
      <c r="R2145" s="329"/>
    </row>
    <row r="2146" spans="1:18" ht="13">
      <c r="A2146" s="282"/>
      <c r="B2146" s="282"/>
      <c r="C2146" s="282"/>
      <c r="D2146" s="282"/>
      <c r="E2146" s="282"/>
      <c r="F2146" s="282"/>
      <c r="G2146" s="329"/>
      <c r="H2146" s="329"/>
      <c r="I2146" s="329"/>
      <c r="J2146" s="329"/>
      <c r="K2146" s="329"/>
      <c r="L2146" s="329"/>
      <c r="M2146" s="329"/>
      <c r="N2146" s="329"/>
      <c r="O2146" s="329"/>
      <c r="P2146" s="329"/>
      <c r="Q2146" s="329"/>
      <c r="R2146" s="329"/>
    </row>
    <row r="2147" spans="1:18" ht="13">
      <c r="A2147" s="282"/>
      <c r="B2147" s="282"/>
      <c r="C2147" s="282"/>
      <c r="D2147" s="282"/>
      <c r="E2147" s="282"/>
      <c r="F2147" s="282"/>
      <c r="G2147" s="329"/>
      <c r="H2147" s="329"/>
      <c r="I2147" s="329"/>
      <c r="J2147" s="329"/>
      <c r="K2147" s="329"/>
      <c r="L2147" s="329"/>
      <c r="M2147" s="329"/>
      <c r="N2147" s="329"/>
      <c r="O2147" s="329"/>
      <c r="P2147" s="329"/>
      <c r="Q2147" s="329"/>
      <c r="R2147" s="329"/>
    </row>
    <row r="2148" spans="1:18" ht="13">
      <c r="A2148" s="282"/>
      <c r="B2148" s="282"/>
      <c r="C2148" s="282"/>
      <c r="D2148" s="282"/>
      <c r="E2148" s="282"/>
      <c r="F2148" s="282"/>
      <c r="G2148" s="329"/>
      <c r="H2148" s="329"/>
      <c r="I2148" s="329"/>
      <c r="J2148" s="329"/>
      <c r="K2148" s="329"/>
      <c r="L2148" s="329"/>
      <c r="M2148" s="329"/>
      <c r="N2148" s="329"/>
      <c r="O2148" s="329"/>
      <c r="P2148" s="329"/>
      <c r="Q2148" s="329"/>
      <c r="R2148" s="329"/>
    </row>
    <row r="2149" spans="1:18" ht="13">
      <c r="A2149" s="282"/>
      <c r="B2149" s="282"/>
      <c r="C2149" s="282"/>
      <c r="D2149" s="282"/>
      <c r="E2149" s="282"/>
      <c r="F2149" s="282"/>
      <c r="G2149" s="329"/>
      <c r="H2149" s="329"/>
      <c r="I2149" s="329"/>
      <c r="J2149" s="329"/>
      <c r="K2149" s="329"/>
      <c r="L2149" s="329"/>
      <c r="M2149" s="329"/>
      <c r="N2149" s="329"/>
      <c r="O2149" s="329"/>
      <c r="P2149" s="329"/>
      <c r="Q2149" s="329"/>
      <c r="R2149" s="329"/>
    </row>
    <row r="2150" spans="1:18" ht="13">
      <c r="A2150" s="282"/>
      <c r="B2150" s="282"/>
      <c r="C2150" s="282"/>
      <c r="D2150" s="282"/>
      <c r="E2150" s="282"/>
      <c r="F2150" s="282"/>
      <c r="G2150" s="329"/>
      <c r="H2150" s="329"/>
      <c r="I2150" s="329"/>
      <c r="J2150" s="329"/>
      <c r="K2150" s="329"/>
      <c r="L2150" s="329"/>
      <c r="M2150" s="329"/>
      <c r="N2150" s="329"/>
      <c r="O2150" s="329"/>
      <c r="P2150" s="329"/>
      <c r="Q2150" s="329"/>
      <c r="R2150" s="329"/>
    </row>
    <row r="2151" spans="1:18" ht="13">
      <c r="A2151" s="282"/>
      <c r="B2151" s="282"/>
      <c r="C2151" s="282"/>
      <c r="D2151" s="282"/>
      <c r="E2151" s="282"/>
      <c r="F2151" s="282"/>
      <c r="G2151" s="329"/>
      <c r="H2151" s="329"/>
      <c r="I2151" s="329"/>
      <c r="J2151" s="329"/>
      <c r="K2151" s="329"/>
      <c r="L2151" s="329"/>
      <c r="M2151" s="329"/>
      <c r="N2151" s="329"/>
      <c r="O2151" s="329"/>
      <c r="P2151" s="329"/>
      <c r="Q2151" s="329"/>
      <c r="R2151" s="329"/>
    </row>
    <row r="2152" spans="1:18" ht="13">
      <c r="A2152" s="282"/>
      <c r="B2152" s="282"/>
      <c r="C2152" s="282"/>
      <c r="D2152" s="282"/>
      <c r="E2152" s="282"/>
      <c r="F2152" s="282"/>
      <c r="G2152" s="329"/>
      <c r="H2152" s="329"/>
      <c r="I2152" s="329"/>
      <c r="J2152" s="329"/>
      <c r="K2152" s="329"/>
      <c r="L2152" s="329"/>
      <c r="M2152" s="329"/>
      <c r="N2152" s="329"/>
      <c r="O2152" s="329"/>
      <c r="P2152" s="329"/>
      <c r="Q2152" s="329"/>
      <c r="R2152" s="329"/>
    </row>
    <row r="2153" spans="1:18" ht="13">
      <c r="A2153" s="282"/>
      <c r="B2153" s="282"/>
      <c r="C2153" s="282"/>
      <c r="D2153" s="282"/>
      <c r="E2153" s="282"/>
      <c r="F2153" s="282"/>
      <c r="G2153" s="329"/>
      <c r="H2153" s="329"/>
      <c r="I2153" s="329"/>
      <c r="J2153" s="329"/>
      <c r="K2153" s="329"/>
      <c r="L2153" s="329"/>
      <c r="M2153" s="329"/>
      <c r="N2153" s="329"/>
      <c r="O2153" s="329"/>
      <c r="P2153" s="329"/>
      <c r="Q2153" s="329"/>
      <c r="R2153" s="329"/>
    </row>
    <row r="2154" spans="1:18" ht="13">
      <c r="A2154" s="282"/>
      <c r="B2154" s="282"/>
      <c r="C2154" s="282"/>
      <c r="D2154" s="282"/>
      <c r="E2154" s="282"/>
      <c r="F2154" s="282"/>
      <c r="G2154" s="329"/>
      <c r="H2154" s="329"/>
      <c r="I2154" s="329"/>
      <c r="J2154" s="329"/>
      <c r="K2154" s="329"/>
      <c r="L2154" s="329"/>
      <c r="M2154" s="329"/>
      <c r="N2154" s="329"/>
      <c r="O2154" s="329"/>
      <c r="P2154" s="329"/>
      <c r="Q2154" s="329"/>
      <c r="R2154" s="329"/>
    </row>
    <row r="2155" spans="1:18" ht="13">
      <c r="A2155" s="282"/>
      <c r="B2155" s="282"/>
      <c r="C2155" s="282"/>
      <c r="D2155" s="282"/>
      <c r="E2155" s="282"/>
      <c r="F2155" s="282"/>
      <c r="G2155" s="329"/>
      <c r="H2155" s="329"/>
      <c r="I2155" s="329"/>
      <c r="J2155" s="329"/>
      <c r="K2155" s="329"/>
      <c r="L2155" s="329"/>
      <c r="M2155" s="329"/>
      <c r="N2155" s="329"/>
      <c r="O2155" s="329"/>
      <c r="P2155" s="329"/>
      <c r="Q2155" s="329"/>
      <c r="R2155" s="329"/>
    </row>
    <row r="2156" spans="1:18" ht="13">
      <c r="A2156" s="282"/>
      <c r="B2156" s="282"/>
      <c r="C2156" s="282"/>
      <c r="D2156" s="282"/>
      <c r="E2156" s="282"/>
      <c r="F2156" s="282"/>
      <c r="G2156" s="329"/>
      <c r="H2156" s="329"/>
      <c r="I2156" s="329"/>
      <c r="J2156" s="329"/>
      <c r="K2156" s="329"/>
      <c r="L2156" s="329"/>
      <c r="M2156" s="329"/>
      <c r="N2156" s="329"/>
      <c r="O2156" s="329"/>
      <c r="P2156" s="329"/>
      <c r="Q2156" s="329"/>
      <c r="R2156" s="329"/>
    </row>
    <row r="2157" spans="1:18" ht="13">
      <c r="A2157" s="282"/>
      <c r="B2157" s="282"/>
      <c r="C2157" s="282"/>
      <c r="D2157" s="282"/>
      <c r="E2157" s="282"/>
      <c r="F2157" s="282"/>
      <c r="G2157" s="329"/>
      <c r="H2157" s="329"/>
      <c r="I2157" s="329"/>
      <c r="J2157" s="329"/>
      <c r="K2157" s="329"/>
      <c r="L2157" s="329"/>
      <c r="M2157" s="329"/>
      <c r="N2157" s="329"/>
      <c r="O2157" s="329"/>
      <c r="P2157" s="329"/>
      <c r="Q2157" s="329"/>
      <c r="R2157" s="329"/>
    </row>
    <row r="2158" spans="1:18" ht="13">
      <c r="A2158" s="282"/>
      <c r="B2158" s="282"/>
      <c r="C2158" s="282"/>
      <c r="D2158" s="282"/>
      <c r="E2158" s="282"/>
      <c r="F2158" s="282"/>
      <c r="G2158" s="329"/>
      <c r="H2158" s="329"/>
      <c r="I2158" s="329"/>
      <c r="J2158" s="329"/>
      <c r="K2158" s="329"/>
      <c r="L2158" s="329"/>
      <c r="M2158" s="329"/>
      <c r="N2158" s="329"/>
      <c r="O2158" s="329"/>
      <c r="P2158" s="329"/>
      <c r="Q2158" s="329"/>
      <c r="R2158" s="329"/>
    </row>
    <row r="2159" spans="1:18" ht="13">
      <c r="A2159" s="282"/>
      <c r="B2159" s="282"/>
      <c r="C2159" s="282"/>
      <c r="D2159" s="282"/>
      <c r="E2159" s="282"/>
      <c r="F2159" s="282"/>
      <c r="G2159" s="329"/>
      <c r="H2159" s="329"/>
      <c r="I2159" s="329"/>
      <c r="J2159" s="329"/>
      <c r="K2159" s="329"/>
      <c r="L2159" s="329"/>
      <c r="M2159" s="329"/>
      <c r="N2159" s="329"/>
      <c r="O2159" s="329"/>
      <c r="P2159" s="329"/>
      <c r="Q2159" s="329"/>
      <c r="R2159" s="329"/>
    </row>
    <row r="2160" spans="1:18" ht="13">
      <c r="A2160" s="282"/>
      <c r="B2160" s="282"/>
      <c r="C2160" s="282"/>
      <c r="D2160" s="282"/>
      <c r="E2160" s="282"/>
      <c r="F2160" s="282"/>
      <c r="G2160" s="329"/>
      <c r="H2160" s="329"/>
      <c r="I2160" s="329"/>
      <c r="J2160" s="329"/>
      <c r="K2160" s="329"/>
      <c r="L2160" s="329"/>
      <c r="M2160" s="329"/>
      <c r="N2160" s="329"/>
      <c r="O2160" s="329"/>
      <c r="P2160" s="329"/>
      <c r="Q2160" s="329"/>
      <c r="R2160" s="329"/>
    </row>
    <row r="2161" spans="1:18" ht="13">
      <c r="A2161" s="282"/>
      <c r="B2161" s="282"/>
      <c r="C2161" s="282"/>
      <c r="D2161" s="282"/>
      <c r="E2161" s="282"/>
      <c r="F2161" s="282"/>
      <c r="G2161" s="329"/>
      <c r="H2161" s="329"/>
      <c r="I2161" s="329"/>
      <c r="J2161" s="329"/>
      <c r="K2161" s="329"/>
      <c r="L2161" s="329"/>
      <c r="M2161" s="329"/>
      <c r="N2161" s="329"/>
      <c r="O2161" s="329"/>
      <c r="P2161" s="329"/>
      <c r="Q2161" s="329"/>
      <c r="R2161" s="329"/>
    </row>
    <row r="2162" spans="1:18" ht="13">
      <c r="A2162" s="282"/>
      <c r="B2162" s="282"/>
      <c r="C2162" s="282"/>
      <c r="D2162" s="282"/>
      <c r="E2162" s="282"/>
      <c r="F2162" s="282"/>
      <c r="G2162" s="329"/>
      <c r="H2162" s="329"/>
      <c r="I2162" s="329"/>
      <c r="J2162" s="329"/>
      <c r="K2162" s="329"/>
      <c r="L2162" s="329"/>
      <c r="M2162" s="329"/>
      <c r="N2162" s="329"/>
      <c r="O2162" s="329"/>
      <c r="P2162" s="329"/>
      <c r="Q2162" s="329"/>
      <c r="R2162" s="329"/>
    </row>
    <row r="2163" spans="1:18" ht="13">
      <c r="A2163" s="282"/>
      <c r="B2163" s="282"/>
      <c r="C2163" s="282"/>
      <c r="D2163" s="282"/>
      <c r="E2163" s="282"/>
      <c r="F2163" s="282"/>
      <c r="G2163" s="329"/>
      <c r="H2163" s="329"/>
      <c r="I2163" s="329"/>
      <c r="J2163" s="329"/>
      <c r="K2163" s="329"/>
      <c r="L2163" s="329"/>
      <c r="M2163" s="329"/>
      <c r="N2163" s="329"/>
      <c r="O2163" s="329"/>
      <c r="P2163" s="329"/>
      <c r="Q2163" s="329"/>
      <c r="R2163" s="329"/>
    </row>
    <row r="2164" spans="1:18" ht="13">
      <c r="A2164" s="282"/>
      <c r="B2164" s="282"/>
      <c r="C2164" s="282"/>
      <c r="D2164" s="282"/>
      <c r="E2164" s="282"/>
      <c r="F2164" s="282"/>
      <c r="G2164" s="329"/>
      <c r="H2164" s="329"/>
      <c r="I2164" s="329"/>
      <c r="J2164" s="329"/>
      <c r="K2164" s="329"/>
      <c r="L2164" s="329"/>
      <c r="M2164" s="329"/>
      <c r="N2164" s="329"/>
      <c r="O2164" s="329"/>
      <c r="P2164" s="329"/>
      <c r="Q2164" s="329"/>
      <c r="R2164" s="329"/>
    </row>
    <row r="2165" spans="1:18" ht="13">
      <c r="A2165" s="282"/>
      <c r="B2165" s="282"/>
      <c r="C2165" s="282"/>
      <c r="D2165" s="282"/>
      <c r="E2165" s="282"/>
      <c r="F2165" s="282"/>
      <c r="G2165" s="329"/>
      <c r="H2165" s="329"/>
      <c r="I2165" s="329"/>
      <c r="J2165" s="329"/>
      <c r="K2165" s="329"/>
      <c r="L2165" s="329"/>
      <c r="M2165" s="329"/>
      <c r="N2165" s="329"/>
      <c r="O2165" s="329"/>
      <c r="P2165" s="329"/>
      <c r="Q2165" s="329"/>
      <c r="R2165" s="329"/>
    </row>
    <row r="2166" spans="1:18" ht="13">
      <c r="A2166" s="282"/>
      <c r="B2166" s="282"/>
      <c r="C2166" s="282"/>
      <c r="D2166" s="282"/>
      <c r="E2166" s="282"/>
      <c r="F2166" s="282"/>
      <c r="G2166" s="329"/>
      <c r="H2166" s="329"/>
      <c r="I2166" s="329"/>
      <c r="J2166" s="329"/>
      <c r="K2166" s="329"/>
      <c r="L2166" s="329"/>
      <c r="M2166" s="329"/>
      <c r="N2166" s="329"/>
      <c r="O2166" s="329"/>
      <c r="P2166" s="329"/>
      <c r="Q2166" s="329"/>
      <c r="R2166" s="329"/>
    </row>
    <row r="2167" spans="1:18" ht="13">
      <c r="A2167" s="282"/>
      <c r="B2167" s="282"/>
      <c r="C2167" s="282"/>
      <c r="D2167" s="282"/>
      <c r="E2167" s="282"/>
      <c r="F2167" s="282"/>
      <c r="G2167" s="329"/>
      <c r="H2167" s="329"/>
      <c r="I2167" s="329"/>
      <c r="J2167" s="329"/>
      <c r="K2167" s="329"/>
      <c r="L2167" s="329"/>
      <c r="M2167" s="329"/>
      <c r="N2167" s="329"/>
      <c r="O2167" s="329"/>
      <c r="P2167" s="329"/>
      <c r="Q2167" s="329"/>
      <c r="R2167" s="329"/>
    </row>
    <row r="2168" spans="1:18" ht="13">
      <c r="A2168" s="282"/>
      <c r="B2168" s="282"/>
      <c r="C2168" s="282"/>
      <c r="D2168" s="282"/>
      <c r="E2168" s="282"/>
      <c r="F2168" s="282"/>
      <c r="G2168" s="329"/>
      <c r="H2168" s="329"/>
      <c r="I2168" s="329"/>
      <c r="J2168" s="329"/>
      <c r="K2168" s="329"/>
      <c r="L2168" s="329"/>
      <c r="M2168" s="329"/>
      <c r="N2168" s="329"/>
      <c r="O2168" s="329"/>
      <c r="P2168" s="329"/>
      <c r="Q2168" s="329"/>
      <c r="R2168" s="329"/>
    </row>
    <row r="2169" spans="1:18" ht="13">
      <c r="A2169" s="282"/>
      <c r="B2169" s="282"/>
      <c r="C2169" s="282"/>
      <c r="D2169" s="282"/>
      <c r="E2169" s="282"/>
      <c r="F2169" s="282"/>
      <c r="G2169" s="329"/>
      <c r="H2169" s="329"/>
      <c r="I2169" s="329"/>
      <c r="J2169" s="329"/>
      <c r="K2169" s="329"/>
      <c r="L2169" s="329"/>
      <c r="M2169" s="329"/>
      <c r="N2169" s="329"/>
      <c r="O2169" s="329"/>
      <c r="P2169" s="329"/>
      <c r="Q2169" s="329"/>
      <c r="R2169" s="329"/>
    </row>
    <row r="2170" spans="1:18" ht="13">
      <c r="A2170" s="282"/>
      <c r="B2170" s="282"/>
      <c r="C2170" s="282"/>
      <c r="D2170" s="282"/>
      <c r="E2170" s="282"/>
      <c r="F2170" s="282"/>
      <c r="G2170" s="329"/>
      <c r="H2170" s="329"/>
      <c r="I2170" s="329"/>
      <c r="J2170" s="329"/>
      <c r="K2170" s="329"/>
      <c r="L2170" s="329"/>
      <c r="M2170" s="329"/>
      <c r="N2170" s="329"/>
      <c r="O2170" s="329"/>
      <c r="P2170" s="329"/>
      <c r="Q2170" s="329"/>
      <c r="R2170" s="329"/>
    </row>
    <row r="2171" spans="1:18" ht="13">
      <c r="A2171" s="282"/>
      <c r="B2171" s="282"/>
      <c r="C2171" s="282"/>
      <c r="D2171" s="282"/>
      <c r="E2171" s="282"/>
      <c r="F2171" s="282"/>
      <c r="G2171" s="329"/>
      <c r="H2171" s="329"/>
      <c r="I2171" s="329"/>
      <c r="J2171" s="329"/>
      <c r="K2171" s="329"/>
      <c r="L2171" s="329"/>
      <c r="M2171" s="329"/>
      <c r="N2171" s="329"/>
      <c r="O2171" s="329"/>
      <c r="P2171" s="329"/>
      <c r="Q2171" s="329"/>
      <c r="R2171" s="329"/>
    </row>
    <row r="2172" spans="1:18" ht="13">
      <c r="A2172" s="282"/>
      <c r="B2172" s="282"/>
      <c r="C2172" s="282"/>
      <c r="D2172" s="282"/>
      <c r="E2172" s="282"/>
      <c r="F2172" s="282"/>
      <c r="G2172" s="329"/>
      <c r="H2172" s="329"/>
      <c r="I2172" s="329"/>
      <c r="J2172" s="329"/>
      <c r="K2172" s="329"/>
      <c r="L2172" s="329"/>
      <c r="M2172" s="329"/>
      <c r="N2172" s="329"/>
      <c r="O2172" s="329"/>
      <c r="P2172" s="329"/>
      <c r="Q2172" s="329"/>
      <c r="R2172" s="329"/>
    </row>
    <row r="2173" spans="1:18" ht="13">
      <c r="A2173" s="282"/>
      <c r="B2173" s="282"/>
      <c r="C2173" s="282"/>
      <c r="D2173" s="282"/>
      <c r="E2173" s="282"/>
      <c r="F2173" s="282"/>
      <c r="G2173" s="329"/>
      <c r="H2173" s="329"/>
      <c r="I2173" s="329"/>
      <c r="J2173" s="329"/>
      <c r="K2173" s="329"/>
      <c r="L2173" s="329"/>
      <c r="M2173" s="329"/>
      <c r="N2173" s="329"/>
      <c r="O2173" s="329"/>
      <c r="P2173" s="329"/>
      <c r="Q2173" s="329"/>
      <c r="R2173" s="329"/>
    </row>
    <row r="2174" spans="1:18" ht="13">
      <c r="A2174" s="282"/>
      <c r="B2174" s="282"/>
      <c r="C2174" s="282"/>
      <c r="D2174" s="282"/>
      <c r="E2174" s="282"/>
      <c r="F2174" s="282"/>
      <c r="G2174" s="329"/>
      <c r="H2174" s="329"/>
      <c r="I2174" s="329"/>
      <c r="J2174" s="329"/>
      <c r="K2174" s="329"/>
      <c r="L2174" s="329"/>
      <c r="M2174" s="329"/>
      <c r="N2174" s="329"/>
      <c r="O2174" s="329"/>
      <c r="P2174" s="329"/>
      <c r="Q2174" s="329"/>
      <c r="R2174" s="329"/>
    </row>
    <row r="2175" spans="1:18" ht="13">
      <c r="A2175" s="282"/>
      <c r="B2175" s="282"/>
      <c r="C2175" s="282"/>
      <c r="D2175" s="282"/>
      <c r="E2175" s="282"/>
      <c r="F2175" s="282"/>
      <c r="G2175" s="329"/>
      <c r="H2175" s="329"/>
      <c r="I2175" s="329"/>
      <c r="J2175" s="329"/>
      <c r="K2175" s="329"/>
      <c r="L2175" s="329"/>
      <c r="M2175" s="329"/>
      <c r="N2175" s="329"/>
      <c r="O2175" s="329"/>
      <c r="P2175" s="329"/>
      <c r="Q2175" s="329"/>
      <c r="R2175" s="329"/>
    </row>
    <row r="2176" spans="1:18" ht="13">
      <c r="A2176" s="282"/>
      <c r="B2176" s="282"/>
      <c r="C2176" s="282"/>
      <c r="D2176" s="282"/>
      <c r="E2176" s="282"/>
      <c r="F2176" s="282"/>
      <c r="G2176" s="329"/>
      <c r="H2176" s="329"/>
      <c r="I2176" s="329"/>
      <c r="J2176" s="329"/>
      <c r="K2176" s="329"/>
      <c r="L2176" s="329"/>
      <c r="M2176" s="329"/>
      <c r="N2176" s="329"/>
      <c r="O2176" s="329"/>
      <c r="P2176" s="329"/>
      <c r="Q2176" s="329"/>
      <c r="R2176" s="329"/>
    </row>
    <row r="2177" spans="1:18" ht="13">
      <c r="A2177" s="282"/>
      <c r="B2177" s="282"/>
      <c r="C2177" s="282"/>
      <c r="D2177" s="282"/>
      <c r="E2177" s="282"/>
      <c r="F2177" s="282"/>
      <c r="G2177" s="329"/>
      <c r="H2177" s="329"/>
      <c r="I2177" s="329"/>
      <c r="J2177" s="329"/>
      <c r="K2177" s="329"/>
      <c r="L2177" s="329"/>
      <c r="M2177" s="329"/>
      <c r="N2177" s="329"/>
      <c r="O2177" s="329"/>
      <c r="P2177" s="329"/>
      <c r="Q2177" s="329"/>
      <c r="R2177" s="329"/>
    </row>
    <row r="2178" spans="1:18" ht="13">
      <c r="A2178" s="282"/>
      <c r="B2178" s="282"/>
      <c r="C2178" s="282"/>
      <c r="D2178" s="282"/>
      <c r="E2178" s="282"/>
      <c r="F2178" s="282"/>
      <c r="G2178" s="329"/>
      <c r="H2178" s="329"/>
      <c r="I2178" s="329"/>
      <c r="J2178" s="329"/>
      <c r="K2178" s="329"/>
      <c r="L2178" s="329"/>
      <c r="M2178" s="329"/>
      <c r="N2178" s="329"/>
      <c r="O2178" s="329"/>
      <c r="P2178" s="329"/>
      <c r="Q2178" s="329"/>
      <c r="R2178" s="329"/>
    </row>
    <row r="2179" spans="1:18" ht="13">
      <c r="A2179" s="282"/>
      <c r="B2179" s="282"/>
      <c r="C2179" s="282"/>
      <c r="D2179" s="282"/>
      <c r="E2179" s="282"/>
      <c r="F2179" s="282"/>
      <c r="G2179" s="329"/>
      <c r="H2179" s="329"/>
      <c r="I2179" s="329"/>
      <c r="J2179" s="329"/>
      <c r="K2179" s="329"/>
      <c r="L2179" s="329"/>
      <c r="M2179" s="329"/>
      <c r="N2179" s="329"/>
      <c r="O2179" s="329"/>
      <c r="P2179" s="329"/>
      <c r="Q2179" s="329"/>
      <c r="R2179" s="329"/>
    </row>
    <row r="2180" spans="1:18" ht="13">
      <c r="A2180" s="282"/>
      <c r="B2180" s="282"/>
      <c r="C2180" s="282"/>
      <c r="D2180" s="282"/>
      <c r="E2180" s="282"/>
      <c r="F2180" s="282"/>
      <c r="G2180" s="329"/>
      <c r="H2180" s="329"/>
      <c r="I2180" s="329"/>
      <c r="J2180" s="329"/>
      <c r="K2180" s="329"/>
      <c r="L2180" s="329"/>
      <c r="M2180" s="329"/>
      <c r="N2180" s="329"/>
      <c r="O2180" s="329"/>
      <c r="P2180" s="329"/>
      <c r="Q2180" s="329"/>
      <c r="R2180" s="329"/>
    </row>
    <row r="2181" spans="1:18" ht="13">
      <c r="A2181" s="282"/>
      <c r="B2181" s="282"/>
      <c r="C2181" s="282"/>
      <c r="D2181" s="282"/>
      <c r="E2181" s="282"/>
      <c r="F2181" s="282"/>
      <c r="G2181" s="329"/>
      <c r="H2181" s="329"/>
      <c r="I2181" s="329"/>
      <c r="J2181" s="329"/>
      <c r="K2181" s="329"/>
      <c r="L2181" s="329"/>
      <c r="M2181" s="329"/>
      <c r="N2181" s="329"/>
      <c r="O2181" s="329"/>
      <c r="P2181" s="329"/>
      <c r="Q2181" s="329"/>
      <c r="R2181" s="329"/>
    </row>
    <row r="2182" spans="1:18" ht="13">
      <c r="A2182" s="282"/>
      <c r="B2182" s="282"/>
      <c r="C2182" s="282"/>
      <c r="D2182" s="282"/>
      <c r="E2182" s="282"/>
      <c r="F2182" s="282"/>
      <c r="G2182" s="329"/>
      <c r="H2182" s="329"/>
      <c r="I2182" s="329"/>
      <c r="J2182" s="329"/>
      <c r="K2182" s="329"/>
      <c r="L2182" s="329"/>
      <c r="M2182" s="329"/>
      <c r="N2182" s="329"/>
      <c r="O2182" s="329"/>
      <c r="P2182" s="329"/>
      <c r="Q2182" s="329"/>
      <c r="R2182" s="329"/>
    </row>
    <row r="2183" spans="1:18" ht="13">
      <c r="A2183" s="282"/>
      <c r="B2183" s="282"/>
      <c r="C2183" s="282"/>
      <c r="D2183" s="282"/>
      <c r="E2183" s="282"/>
      <c r="F2183" s="282"/>
      <c r="G2183" s="329"/>
      <c r="H2183" s="329"/>
      <c r="I2183" s="329"/>
      <c r="J2183" s="329"/>
      <c r="K2183" s="329"/>
      <c r="L2183" s="329"/>
      <c r="M2183" s="329"/>
      <c r="N2183" s="329"/>
      <c r="O2183" s="329"/>
      <c r="P2183" s="329"/>
      <c r="Q2183" s="329"/>
      <c r="R2183" s="329"/>
    </row>
    <row r="2184" spans="1:18" ht="13">
      <c r="A2184" s="282"/>
      <c r="B2184" s="282"/>
      <c r="C2184" s="282"/>
      <c r="D2184" s="282"/>
      <c r="E2184" s="282"/>
      <c r="F2184" s="282"/>
      <c r="G2184" s="329"/>
      <c r="H2184" s="329"/>
      <c r="I2184" s="329"/>
      <c r="J2184" s="329"/>
      <c r="K2184" s="329"/>
      <c r="L2184" s="329"/>
      <c r="M2184" s="329"/>
      <c r="N2184" s="329"/>
      <c r="O2184" s="329"/>
      <c r="P2184" s="329"/>
      <c r="Q2184" s="329"/>
      <c r="R2184" s="329"/>
    </row>
    <row r="2185" spans="1:18" ht="13">
      <c r="A2185" s="282"/>
      <c r="B2185" s="282"/>
      <c r="C2185" s="282"/>
      <c r="D2185" s="282"/>
      <c r="E2185" s="282"/>
      <c r="F2185" s="282"/>
      <c r="G2185" s="329"/>
      <c r="H2185" s="329"/>
      <c r="I2185" s="329"/>
      <c r="J2185" s="329"/>
      <c r="K2185" s="329"/>
      <c r="L2185" s="329"/>
      <c r="M2185" s="329"/>
      <c r="N2185" s="329"/>
      <c r="O2185" s="329"/>
      <c r="P2185" s="329"/>
      <c r="Q2185" s="329"/>
      <c r="R2185" s="329"/>
    </row>
    <row r="2186" spans="1:18" ht="13">
      <c r="A2186" s="282"/>
      <c r="B2186" s="282"/>
      <c r="C2186" s="282"/>
      <c r="D2186" s="282"/>
      <c r="E2186" s="282"/>
      <c r="F2186" s="282"/>
      <c r="G2186" s="329"/>
      <c r="H2186" s="329"/>
      <c r="I2186" s="329"/>
      <c r="J2186" s="329"/>
      <c r="K2186" s="329"/>
      <c r="L2186" s="329"/>
      <c r="M2186" s="329"/>
      <c r="N2186" s="329"/>
      <c r="O2186" s="329"/>
      <c r="P2186" s="329"/>
      <c r="Q2186" s="329"/>
      <c r="R2186" s="329"/>
    </row>
    <row r="2187" spans="1:18" ht="13">
      <c r="A2187" s="282"/>
      <c r="B2187" s="282"/>
      <c r="C2187" s="282"/>
      <c r="D2187" s="282"/>
      <c r="E2187" s="282"/>
      <c r="F2187" s="282"/>
      <c r="G2187" s="329"/>
      <c r="H2187" s="329"/>
      <c r="I2187" s="329"/>
      <c r="J2187" s="329"/>
      <c r="K2187" s="329"/>
      <c r="L2187" s="329"/>
      <c r="M2187" s="329"/>
      <c r="N2187" s="329"/>
      <c r="O2187" s="329"/>
      <c r="P2187" s="329"/>
      <c r="Q2187" s="329"/>
      <c r="R2187" s="329"/>
    </row>
    <row r="2188" spans="1:18" ht="13">
      <c r="A2188" s="282"/>
      <c r="B2188" s="282"/>
      <c r="C2188" s="282"/>
      <c r="D2188" s="282"/>
      <c r="E2188" s="282"/>
      <c r="F2188" s="282"/>
      <c r="G2188" s="329"/>
      <c r="H2188" s="329"/>
      <c r="I2188" s="329"/>
      <c r="J2188" s="329"/>
      <c r="K2188" s="329"/>
      <c r="L2188" s="329"/>
      <c r="M2188" s="329"/>
      <c r="N2188" s="329"/>
      <c r="O2188" s="329"/>
      <c r="P2188" s="329"/>
      <c r="Q2188" s="329"/>
      <c r="R2188" s="329"/>
    </row>
    <row r="2189" spans="1:18" ht="13">
      <c r="A2189" s="282"/>
      <c r="B2189" s="282"/>
      <c r="C2189" s="282"/>
      <c r="D2189" s="282"/>
      <c r="E2189" s="282"/>
      <c r="F2189" s="282"/>
      <c r="G2189" s="329"/>
      <c r="H2189" s="329"/>
      <c r="I2189" s="329"/>
      <c r="J2189" s="329"/>
      <c r="K2189" s="329"/>
      <c r="L2189" s="329"/>
      <c r="M2189" s="329"/>
      <c r="N2189" s="329"/>
      <c r="O2189" s="329"/>
      <c r="P2189" s="329"/>
      <c r="Q2189" s="329"/>
      <c r="R2189" s="329"/>
    </row>
    <row r="2190" spans="1:18" ht="13">
      <c r="A2190" s="282"/>
      <c r="B2190" s="282"/>
      <c r="C2190" s="282"/>
      <c r="D2190" s="282"/>
      <c r="E2190" s="282"/>
      <c r="F2190" s="282"/>
      <c r="G2190" s="329"/>
      <c r="H2190" s="329"/>
      <c r="I2190" s="329"/>
      <c r="J2190" s="329"/>
      <c r="K2190" s="329"/>
      <c r="L2190" s="329"/>
      <c r="M2190" s="329"/>
      <c r="N2190" s="329"/>
      <c r="O2190" s="329"/>
      <c r="P2190" s="329"/>
      <c r="Q2190" s="329"/>
      <c r="R2190" s="329"/>
    </row>
    <row r="2191" spans="1:18" ht="13">
      <c r="A2191" s="282"/>
      <c r="B2191" s="282"/>
      <c r="C2191" s="282"/>
      <c r="D2191" s="282"/>
      <c r="E2191" s="282"/>
      <c r="F2191" s="282"/>
      <c r="G2191" s="329"/>
      <c r="H2191" s="329"/>
      <c r="I2191" s="329"/>
      <c r="J2191" s="329"/>
      <c r="K2191" s="329"/>
      <c r="L2191" s="329"/>
      <c r="M2191" s="329"/>
      <c r="N2191" s="329"/>
      <c r="O2191" s="329"/>
      <c r="P2191" s="329"/>
      <c r="Q2191" s="329"/>
      <c r="R2191" s="329"/>
    </row>
    <row r="2192" spans="1:18" ht="13">
      <c r="A2192" s="282"/>
      <c r="B2192" s="282"/>
      <c r="C2192" s="282"/>
      <c r="D2192" s="282"/>
      <c r="E2192" s="282"/>
      <c r="F2192" s="282"/>
      <c r="G2192" s="329"/>
      <c r="H2192" s="329"/>
      <c r="I2192" s="329"/>
      <c r="J2192" s="329"/>
      <c r="K2192" s="329"/>
      <c r="L2192" s="329"/>
      <c r="M2192" s="329"/>
      <c r="N2192" s="329"/>
      <c r="O2192" s="329"/>
      <c r="P2192" s="329"/>
      <c r="Q2192" s="329"/>
      <c r="R2192" s="329"/>
    </row>
    <row r="2193" spans="1:18" ht="13">
      <c r="A2193" s="282"/>
      <c r="B2193" s="282"/>
      <c r="C2193" s="282"/>
      <c r="D2193" s="282"/>
      <c r="E2193" s="282"/>
      <c r="F2193" s="282"/>
      <c r="G2193" s="329"/>
      <c r="H2193" s="329"/>
      <c r="I2193" s="329"/>
      <c r="J2193" s="329"/>
      <c r="K2193" s="329"/>
      <c r="L2193" s="329"/>
      <c r="M2193" s="329"/>
      <c r="N2193" s="329"/>
      <c r="O2193" s="329"/>
      <c r="P2193" s="329"/>
      <c r="Q2193" s="329"/>
      <c r="R2193" s="329"/>
    </row>
    <row r="2194" spans="1:18" ht="13">
      <c r="A2194" s="282"/>
      <c r="B2194" s="282"/>
      <c r="C2194" s="282"/>
      <c r="D2194" s="282"/>
      <c r="E2194" s="282"/>
      <c r="F2194" s="282"/>
      <c r="G2194" s="329"/>
      <c r="H2194" s="329"/>
      <c r="I2194" s="329"/>
      <c r="J2194" s="329"/>
      <c r="K2194" s="329"/>
      <c r="L2194" s="329"/>
      <c r="M2194" s="329"/>
      <c r="N2194" s="329"/>
      <c r="O2194" s="329"/>
      <c r="P2194" s="329"/>
      <c r="Q2194" s="329"/>
      <c r="R2194" s="329"/>
    </row>
    <row r="2195" spans="1:18" ht="13">
      <c r="A2195" s="282"/>
      <c r="B2195" s="282"/>
      <c r="C2195" s="282"/>
      <c r="D2195" s="282"/>
      <c r="E2195" s="282"/>
      <c r="F2195" s="282"/>
      <c r="G2195" s="329"/>
      <c r="H2195" s="329"/>
      <c r="I2195" s="329"/>
      <c r="J2195" s="329"/>
      <c r="K2195" s="329"/>
      <c r="L2195" s="329"/>
      <c r="M2195" s="329"/>
      <c r="N2195" s="329"/>
      <c r="O2195" s="329"/>
      <c r="P2195" s="329"/>
      <c r="Q2195" s="329"/>
      <c r="R2195" s="329"/>
    </row>
    <row r="2196" spans="1:18" ht="13">
      <c r="A2196" s="282"/>
      <c r="B2196" s="282"/>
      <c r="C2196" s="282"/>
      <c r="D2196" s="282"/>
      <c r="E2196" s="282"/>
      <c r="F2196" s="282"/>
      <c r="G2196" s="329"/>
      <c r="H2196" s="329"/>
      <c r="I2196" s="329"/>
      <c r="J2196" s="329"/>
      <c r="K2196" s="329"/>
      <c r="L2196" s="329"/>
      <c r="M2196" s="329"/>
      <c r="N2196" s="329"/>
      <c r="O2196" s="329"/>
      <c r="P2196" s="329"/>
      <c r="Q2196" s="329"/>
      <c r="R2196" s="329"/>
    </row>
    <row r="2197" spans="1:18" ht="13">
      <c r="A2197" s="282"/>
      <c r="B2197" s="282"/>
      <c r="C2197" s="282"/>
      <c r="D2197" s="282"/>
      <c r="E2197" s="282"/>
      <c r="F2197" s="282"/>
      <c r="G2197" s="329"/>
      <c r="H2197" s="329"/>
      <c r="I2197" s="329"/>
      <c r="J2197" s="329"/>
      <c r="K2197" s="329"/>
      <c r="L2197" s="329"/>
      <c r="M2197" s="329"/>
      <c r="N2197" s="329"/>
      <c r="O2197" s="329"/>
      <c r="P2197" s="329"/>
      <c r="Q2197" s="329"/>
      <c r="R2197" s="329"/>
    </row>
    <row r="2198" spans="1:18" ht="13">
      <c r="A2198" s="282"/>
      <c r="B2198" s="282"/>
      <c r="C2198" s="282"/>
      <c r="D2198" s="282"/>
      <c r="E2198" s="282"/>
      <c r="F2198" s="282"/>
      <c r="G2198" s="329"/>
      <c r="H2198" s="329"/>
      <c r="I2198" s="329"/>
      <c r="J2198" s="329"/>
      <c r="K2198" s="329"/>
      <c r="L2198" s="329"/>
      <c r="M2198" s="329"/>
      <c r="N2198" s="329"/>
      <c r="O2198" s="329"/>
      <c r="P2198" s="329"/>
      <c r="Q2198" s="329"/>
      <c r="R2198" s="329"/>
    </row>
    <row r="2199" spans="1:18" ht="13">
      <c r="A2199" s="282"/>
      <c r="B2199" s="282"/>
      <c r="C2199" s="282"/>
      <c r="D2199" s="282"/>
      <c r="E2199" s="282"/>
      <c r="F2199" s="282"/>
      <c r="G2199" s="329"/>
      <c r="H2199" s="329"/>
      <c r="I2199" s="329"/>
      <c r="J2199" s="329"/>
      <c r="K2199" s="329"/>
      <c r="L2199" s="329"/>
      <c r="M2199" s="329"/>
      <c r="N2199" s="329"/>
      <c r="O2199" s="329"/>
      <c r="P2199" s="329"/>
      <c r="Q2199" s="329"/>
      <c r="R2199" s="329"/>
    </row>
    <row r="2200" spans="1:18" ht="13">
      <c r="A2200" s="282"/>
      <c r="B2200" s="282"/>
      <c r="C2200" s="282"/>
      <c r="D2200" s="282"/>
      <c r="E2200" s="282"/>
      <c r="F2200" s="282"/>
      <c r="G2200" s="329"/>
      <c r="H2200" s="329"/>
      <c r="I2200" s="329"/>
      <c r="J2200" s="329"/>
      <c r="K2200" s="329"/>
      <c r="L2200" s="329"/>
      <c r="M2200" s="329"/>
      <c r="N2200" s="329"/>
      <c r="O2200" s="329"/>
      <c r="P2200" s="329"/>
      <c r="Q2200" s="329"/>
      <c r="R2200" s="329"/>
    </row>
    <row r="2201" spans="1:18" ht="13">
      <c r="A2201" s="282"/>
      <c r="B2201" s="282"/>
      <c r="C2201" s="282"/>
      <c r="D2201" s="282"/>
      <c r="E2201" s="282"/>
      <c r="F2201" s="282"/>
      <c r="G2201" s="329"/>
      <c r="H2201" s="329"/>
      <c r="I2201" s="329"/>
      <c r="J2201" s="329"/>
      <c r="K2201" s="329"/>
      <c r="L2201" s="329"/>
      <c r="M2201" s="329"/>
      <c r="N2201" s="329"/>
      <c r="O2201" s="329"/>
      <c r="P2201" s="329"/>
      <c r="Q2201" s="329"/>
      <c r="R2201" s="329"/>
    </row>
    <row r="2202" spans="1:18" ht="13">
      <c r="A2202" s="282"/>
      <c r="B2202" s="282"/>
      <c r="C2202" s="282"/>
      <c r="D2202" s="282"/>
      <c r="E2202" s="282"/>
      <c r="F2202" s="282"/>
      <c r="G2202" s="329"/>
      <c r="H2202" s="329"/>
      <c r="I2202" s="329"/>
      <c r="J2202" s="329"/>
      <c r="K2202" s="329"/>
      <c r="L2202" s="329"/>
      <c r="M2202" s="329"/>
      <c r="N2202" s="329"/>
      <c r="O2202" s="329"/>
      <c r="P2202" s="329"/>
      <c r="Q2202" s="329"/>
      <c r="R2202" s="329"/>
    </row>
    <row r="2203" spans="1:18" ht="13">
      <c r="A2203" s="282"/>
      <c r="B2203" s="282"/>
      <c r="C2203" s="282"/>
      <c r="D2203" s="282"/>
      <c r="E2203" s="282"/>
      <c r="F2203" s="282"/>
      <c r="G2203" s="329"/>
      <c r="H2203" s="329"/>
      <c r="I2203" s="329"/>
      <c r="J2203" s="329"/>
      <c r="K2203" s="329"/>
      <c r="L2203" s="329"/>
      <c r="M2203" s="329"/>
      <c r="N2203" s="329"/>
      <c r="O2203" s="329"/>
      <c r="P2203" s="329"/>
      <c r="Q2203" s="329"/>
      <c r="R2203" s="329"/>
    </row>
    <row r="2204" spans="1:18" ht="13">
      <c r="A2204" s="282"/>
      <c r="B2204" s="282"/>
      <c r="C2204" s="282"/>
      <c r="D2204" s="282"/>
      <c r="E2204" s="282"/>
      <c r="F2204" s="282"/>
      <c r="G2204" s="329"/>
      <c r="H2204" s="329"/>
      <c r="I2204" s="329"/>
      <c r="J2204" s="329"/>
      <c r="K2204" s="329"/>
      <c r="L2204" s="329"/>
      <c r="M2204" s="329"/>
      <c r="N2204" s="329"/>
      <c r="O2204" s="329"/>
      <c r="P2204" s="329"/>
      <c r="Q2204" s="329"/>
      <c r="R2204" s="329"/>
    </row>
    <row r="2205" spans="1:18" ht="13">
      <c r="A2205" s="282"/>
      <c r="B2205" s="282"/>
      <c r="C2205" s="282"/>
      <c r="D2205" s="282"/>
      <c r="E2205" s="282"/>
      <c r="F2205" s="282"/>
      <c r="G2205" s="329"/>
      <c r="H2205" s="329"/>
      <c r="I2205" s="329"/>
      <c r="J2205" s="329"/>
      <c r="K2205" s="329"/>
      <c r="L2205" s="329"/>
      <c r="M2205" s="329"/>
      <c r="N2205" s="329"/>
      <c r="O2205" s="329"/>
      <c r="P2205" s="329"/>
      <c r="Q2205" s="329"/>
      <c r="R2205" s="329"/>
    </row>
    <row r="2206" spans="1:18" ht="13">
      <c r="A2206" s="282"/>
      <c r="B2206" s="282"/>
      <c r="C2206" s="282"/>
      <c r="D2206" s="282"/>
      <c r="E2206" s="282"/>
      <c r="F2206" s="282"/>
      <c r="G2206" s="329"/>
      <c r="H2206" s="329"/>
      <c r="I2206" s="329"/>
      <c r="J2206" s="329"/>
      <c r="K2206" s="329"/>
      <c r="L2206" s="329"/>
      <c r="M2206" s="329"/>
      <c r="N2206" s="329"/>
      <c r="O2206" s="329"/>
      <c r="P2206" s="329"/>
      <c r="Q2206" s="329"/>
      <c r="R2206" s="329"/>
    </row>
    <row r="2207" spans="1:18" ht="13">
      <c r="A2207" s="282"/>
      <c r="B2207" s="282"/>
      <c r="C2207" s="282"/>
      <c r="D2207" s="282"/>
      <c r="E2207" s="282"/>
      <c r="F2207" s="282"/>
      <c r="G2207" s="329"/>
      <c r="H2207" s="329"/>
      <c r="I2207" s="329"/>
      <c r="J2207" s="329"/>
      <c r="K2207" s="329"/>
      <c r="L2207" s="329"/>
      <c r="M2207" s="329"/>
      <c r="N2207" s="329"/>
      <c r="O2207" s="329"/>
      <c r="P2207" s="329"/>
      <c r="Q2207" s="329"/>
      <c r="R2207" s="329"/>
    </row>
    <row r="2208" spans="1:18" ht="13">
      <c r="A2208" s="282"/>
      <c r="B2208" s="282"/>
      <c r="C2208" s="282"/>
      <c r="D2208" s="282"/>
      <c r="E2208" s="282"/>
      <c r="F2208" s="282"/>
      <c r="G2208" s="329"/>
      <c r="H2208" s="329"/>
      <c r="I2208" s="329"/>
      <c r="J2208" s="329"/>
      <c r="K2208" s="329"/>
      <c r="L2208" s="329"/>
      <c r="M2208" s="329"/>
      <c r="N2208" s="329"/>
      <c r="O2208" s="329"/>
      <c r="P2208" s="329"/>
      <c r="Q2208" s="329"/>
      <c r="R2208" s="329"/>
    </row>
    <row r="2209" spans="1:18" ht="13">
      <c r="A2209" s="282"/>
      <c r="B2209" s="282"/>
      <c r="C2209" s="282"/>
      <c r="D2209" s="282"/>
      <c r="E2209" s="282"/>
      <c r="F2209" s="282"/>
      <c r="G2209" s="329"/>
      <c r="H2209" s="329"/>
      <c r="I2209" s="329"/>
      <c r="J2209" s="329"/>
      <c r="K2209" s="329"/>
      <c r="L2209" s="329"/>
      <c r="M2209" s="329"/>
      <c r="N2209" s="329"/>
      <c r="O2209" s="329"/>
      <c r="P2209" s="329"/>
      <c r="Q2209" s="329"/>
      <c r="R2209" s="329"/>
    </row>
    <row r="2210" spans="1:18" ht="13">
      <c r="A2210" s="282"/>
      <c r="B2210" s="282"/>
      <c r="C2210" s="282"/>
      <c r="D2210" s="282"/>
      <c r="E2210" s="282"/>
      <c r="F2210" s="282"/>
      <c r="G2210" s="329"/>
      <c r="H2210" s="329"/>
      <c r="I2210" s="329"/>
      <c r="J2210" s="329"/>
      <c r="K2210" s="329"/>
      <c r="L2210" s="329"/>
      <c r="M2210" s="329"/>
      <c r="N2210" s="329"/>
      <c r="O2210" s="329"/>
      <c r="P2210" s="329"/>
      <c r="Q2210" s="329"/>
      <c r="R2210" s="329"/>
    </row>
    <row r="2211" spans="1:18" ht="13">
      <c r="A2211" s="282"/>
      <c r="B2211" s="282"/>
      <c r="C2211" s="282"/>
      <c r="D2211" s="282"/>
      <c r="E2211" s="282"/>
      <c r="F2211" s="282"/>
      <c r="G2211" s="329"/>
      <c r="H2211" s="329"/>
      <c r="I2211" s="329"/>
      <c r="J2211" s="329"/>
      <c r="K2211" s="329"/>
      <c r="L2211" s="329"/>
      <c r="M2211" s="329"/>
      <c r="N2211" s="329"/>
      <c r="O2211" s="329"/>
      <c r="P2211" s="329"/>
      <c r="Q2211" s="329"/>
      <c r="R2211" s="329"/>
    </row>
    <row r="2212" spans="1:18" ht="13">
      <c r="A2212" s="282"/>
      <c r="B2212" s="282"/>
      <c r="C2212" s="282"/>
      <c r="D2212" s="282"/>
      <c r="E2212" s="282"/>
      <c r="F2212" s="282"/>
      <c r="G2212" s="329"/>
      <c r="H2212" s="329"/>
      <c r="I2212" s="329"/>
      <c r="J2212" s="329"/>
      <c r="K2212" s="329"/>
      <c r="L2212" s="329"/>
      <c r="M2212" s="329"/>
      <c r="N2212" s="329"/>
      <c r="O2212" s="329"/>
      <c r="P2212" s="329"/>
      <c r="Q2212" s="329"/>
      <c r="R2212" s="329"/>
    </row>
    <row r="2213" spans="1:18" ht="13">
      <c r="A2213" s="282"/>
      <c r="B2213" s="282"/>
      <c r="C2213" s="282"/>
      <c r="D2213" s="282"/>
      <c r="E2213" s="282"/>
      <c r="F2213" s="282"/>
      <c r="G2213" s="329"/>
      <c r="H2213" s="329"/>
      <c r="I2213" s="329"/>
      <c r="J2213" s="329"/>
      <c r="K2213" s="329"/>
      <c r="L2213" s="329"/>
      <c r="M2213" s="329"/>
      <c r="N2213" s="329"/>
      <c r="O2213" s="329"/>
      <c r="P2213" s="329"/>
      <c r="Q2213" s="329"/>
      <c r="R2213" s="329"/>
    </row>
    <row r="2214" spans="1:18" ht="13">
      <c r="A2214" s="282"/>
      <c r="B2214" s="282"/>
      <c r="C2214" s="282"/>
      <c r="D2214" s="282"/>
      <c r="E2214" s="282"/>
      <c r="F2214" s="282"/>
      <c r="G2214" s="329"/>
      <c r="H2214" s="329"/>
      <c r="I2214" s="329"/>
      <c r="J2214" s="329"/>
      <c r="K2214" s="329"/>
      <c r="L2214" s="329"/>
      <c r="M2214" s="329"/>
      <c r="N2214" s="329"/>
      <c r="O2214" s="329"/>
      <c r="P2214" s="329"/>
      <c r="Q2214" s="329"/>
      <c r="R2214" s="329"/>
    </row>
    <row r="2215" spans="1:18" ht="13">
      <c r="A2215" s="282"/>
      <c r="B2215" s="282"/>
      <c r="C2215" s="282"/>
      <c r="D2215" s="282"/>
      <c r="E2215" s="282"/>
      <c r="F2215" s="282"/>
      <c r="G2215" s="329"/>
      <c r="H2215" s="329"/>
      <c r="I2215" s="329"/>
      <c r="J2215" s="329"/>
      <c r="K2215" s="329"/>
      <c r="L2215" s="329"/>
      <c r="M2215" s="329"/>
      <c r="N2215" s="329"/>
      <c r="O2215" s="329"/>
      <c r="P2215" s="329"/>
      <c r="Q2215" s="329"/>
      <c r="R2215" s="329"/>
    </row>
    <row r="2216" spans="1:18" ht="13">
      <c r="A2216" s="282"/>
      <c r="B2216" s="282"/>
      <c r="C2216" s="282"/>
      <c r="D2216" s="282"/>
      <c r="E2216" s="282"/>
      <c r="F2216" s="282"/>
      <c r="G2216" s="329"/>
      <c r="H2216" s="329"/>
      <c r="I2216" s="329"/>
      <c r="J2216" s="329"/>
      <c r="K2216" s="329"/>
      <c r="L2216" s="329"/>
      <c r="M2216" s="329"/>
      <c r="N2216" s="329"/>
      <c r="O2216" s="329"/>
      <c r="P2216" s="329"/>
      <c r="Q2216" s="329"/>
      <c r="R2216" s="329"/>
    </row>
    <row r="2217" spans="1:18" ht="13">
      <c r="A2217" s="282"/>
      <c r="B2217" s="282"/>
      <c r="C2217" s="282"/>
      <c r="D2217" s="282"/>
      <c r="E2217" s="282"/>
      <c r="F2217" s="282"/>
      <c r="G2217" s="329"/>
      <c r="H2217" s="329"/>
      <c r="I2217" s="329"/>
      <c r="J2217" s="329"/>
      <c r="K2217" s="329"/>
      <c r="L2217" s="329"/>
      <c r="M2217" s="329"/>
      <c r="N2217" s="329"/>
      <c r="O2217" s="329"/>
      <c r="P2217" s="329"/>
      <c r="Q2217" s="329"/>
      <c r="R2217" s="329"/>
    </row>
    <row r="2218" spans="1:18" ht="13">
      <c r="A2218" s="282"/>
      <c r="B2218" s="282"/>
      <c r="C2218" s="282"/>
      <c r="D2218" s="282"/>
      <c r="E2218" s="282"/>
      <c r="F2218" s="282"/>
      <c r="G2218" s="329"/>
      <c r="H2218" s="329"/>
      <c r="I2218" s="329"/>
      <c r="J2218" s="329"/>
      <c r="K2218" s="329"/>
      <c r="L2218" s="329"/>
      <c r="M2218" s="329"/>
      <c r="N2218" s="329"/>
      <c r="O2218" s="329"/>
      <c r="P2218" s="329"/>
      <c r="Q2218" s="329"/>
      <c r="R2218" s="329"/>
    </row>
    <row r="2219" spans="1:18" ht="13">
      <c r="A2219" s="282"/>
      <c r="B2219" s="282"/>
      <c r="C2219" s="282"/>
      <c r="D2219" s="282"/>
      <c r="E2219" s="282"/>
      <c r="F2219" s="282"/>
      <c r="G2219" s="329"/>
      <c r="H2219" s="329"/>
      <c r="I2219" s="329"/>
      <c r="J2219" s="329"/>
      <c r="K2219" s="329"/>
      <c r="L2219" s="329"/>
      <c r="M2219" s="329"/>
      <c r="N2219" s="329"/>
      <c r="O2219" s="329"/>
      <c r="P2219" s="329"/>
      <c r="Q2219" s="329"/>
      <c r="R2219" s="329"/>
    </row>
    <row r="2220" spans="1:18" ht="13">
      <c r="A2220" s="282"/>
      <c r="B2220" s="282"/>
      <c r="C2220" s="282"/>
      <c r="D2220" s="282"/>
      <c r="E2220" s="282"/>
      <c r="F2220" s="282"/>
      <c r="G2220" s="329"/>
      <c r="H2220" s="329"/>
      <c r="I2220" s="329"/>
      <c r="J2220" s="329"/>
      <c r="K2220" s="329"/>
      <c r="L2220" s="329"/>
      <c r="M2220" s="329"/>
      <c r="N2220" s="329"/>
      <c r="O2220" s="329"/>
      <c r="P2220" s="329"/>
      <c r="Q2220" s="329"/>
      <c r="R2220" s="329"/>
    </row>
    <row r="2221" spans="1:18" ht="13">
      <c r="A2221" s="282"/>
      <c r="B2221" s="282"/>
      <c r="C2221" s="282"/>
      <c r="D2221" s="282"/>
      <c r="E2221" s="282"/>
      <c r="F2221" s="282"/>
      <c r="G2221" s="329"/>
      <c r="H2221" s="329"/>
      <c r="I2221" s="329"/>
      <c r="J2221" s="329"/>
      <c r="K2221" s="329"/>
      <c r="L2221" s="329"/>
      <c r="M2221" s="329"/>
      <c r="N2221" s="329"/>
      <c r="O2221" s="329"/>
      <c r="P2221" s="329"/>
      <c r="Q2221" s="329"/>
      <c r="R2221" s="329"/>
    </row>
    <row r="2222" spans="1:18" ht="13">
      <c r="A2222" s="282"/>
      <c r="B2222" s="282"/>
      <c r="C2222" s="282"/>
      <c r="D2222" s="282"/>
      <c r="E2222" s="282"/>
      <c r="F2222" s="282"/>
      <c r="G2222" s="329"/>
      <c r="H2222" s="329"/>
      <c r="I2222" s="329"/>
      <c r="J2222" s="329"/>
      <c r="K2222" s="329"/>
      <c r="L2222" s="329"/>
      <c r="M2222" s="329"/>
      <c r="N2222" s="329"/>
      <c r="O2222" s="329"/>
      <c r="P2222" s="329"/>
      <c r="Q2222" s="329"/>
      <c r="R2222" s="329"/>
    </row>
    <row r="2223" spans="1:18" ht="13">
      <c r="A2223" s="282"/>
      <c r="B2223" s="282"/>
      <c r="C2223" s="282"/>
      <c r="D2223" s="282"/>
      <c r="E2223" s="282"/>
      <c r="F2223" s="282"/>
      <c r="G2223" s="329"/>
      <c r="H2223" s="329"/>
      <c r="I2223" s="329"/>
      <c r="J2223" s="329"/>
      <c r="K2223" s="329"/>
      <c r="L2223" s="329"/>
      <c r="M2223" s="329"/>
      <c r="N2223" s="329"/>
      <c r="O2223" s="329"/>
      <c r="P2223" s="329"/>
      <c r="Q2223" s="329"/>
      <c r="R2223" s="329"/>
    </row>
    <row r="2224" spans="1:18" ht="13">
      <c r="A2224" s="282"/>
      <c r="B2224" s="282"/>
      <c r="C2224" s="282"/>
      <c r="D2224" s="282"/>
      <c r="E2224" s="282"/>
      <c r="F2224" s="282"/>
      <c r="G2224" s="329"/>
      <c r="H2224" s="329"/>
      <c r="I2224" s="329"/>
      <c r="J2224" s="329"/>
      <c r="K2224" s="329"/>
      <c r="L2224" s="329"/>
      <c r="M2224" s="329"/>
      <c r="N2224" s="329"/>
      <c r="O2224" s="329"/>
      <c r="P2224" s="329"/>
      <c r="Q2224" s="329"/>
      <c r="R2224" s="329"/>
    </row>
    <row r="2225" spans="1:18" ht="13">
      <c r="A2225" s="282"/>
      <c r="B2225" s="282"/>
      <c r="C2225" s="282"/>
      <c r="D2225" s="282"/>
      <c r="E2225" s="282"/>
      <c r="F2225" s="282"/>
      <c r="G2225" s="329"/>
      <c r="H2225" s="329"/>
      <c r="I2225" s="329"/>
      <c r="J2225" s="329"/>
      <c r="K2225" s="329"/>
      <c r="L2225" s="329"/>
      <c r="M2225" s="329"/>
      <c r="N2225" s="329"/>
      <c r="O2225" s="329"/>
      <c r="P2225" s="329"/>
      <c r="Q2225" s="329"/>
      <c r="R2225" s="329"/>
    </row>
    <row r="2226" spans="1:18" ht="13">
      <c r="A2226" s="282"/>
      <c r="B2226" s="282"/>
      <c r="C2226" s="282"/>
      <c r="D2226" s="282"/>
      <c r="E2226" s="282"/>
      <c r="F2226" s="282"/>
      <c r="G2226" s="329"/>
      <c r="H2226" s="329"/>
      <c r="I2226" s="329"/>
      <c r="J2226" s="329"/>
      <c r="K2226" s="329"/>
      <c r="L2226" s="329"/>
      <c r="M2226" s="329"/>
      <c r="N2226" s="329"/>
      <c r="O2226" s="329"/>
      <c r="P2226" s="329"/>
      <c r="Q2226" s="329"/>
      <c r="R2226" s="329"/>
    </row>
    <row r="2227" spans="1:18" ht="13">
      <c r="A2227" s="282"/>
      <c r="B2227" s="282"/>
      <c r="C2227" s="282"/>
      <c r="D2227" s="282"/>
      <c r="E2227" s="282"/>
      <c r="F2227" s="282"/>
      <c r="G2227" s="329"/>
      <c r="H2227" s="329"/>
      <c r="I2227" s="329"/>
      <c r="J2227" s="329"/>
      <c r="K2227" s="329"/>
      <c r="L2227" s="329"/>
      <c r="M2227" s="329"/>
      <c r="N2227" s="329"/>
      <c r="O2227" s="329"/>
      <c r="P2227" s="329"/>
      <c r="Q2227" s="329"/>
      <c r="R2227" s="329"/>
    </row>
    <row r="2228" spans="1:18" ht="13">
      <c r="A2228" s="282"/>
      <c r="B2228" s="282"/>
      <c r="C2228" s="282"/>
      <c r="D2228" s="282"/>
      <c r="E2228" s="282"/>
      <c r="F2228" s="282"/>
      <c r="G2228" s="329"/>
      <c r="H2228" s="329"/>
      <c r="I2228" s="329"/>
      <c r="J2228" s="329"/>
      <c r="K2228" s="329"/>
      <c r="L2228" s="329"/>
      <c r="M2228" s="329"/>
      <c r="N2228" s="329"/>
      <c r="O2228" s="329"/>
      <c r="P2228" s="329"/>
      <c r="Q2228" s="329"/>
      <c r="R2228" s="329"/>
    </row>
    <row r="2229" spans="1:18" ht="13">
      <c r="A2229" s="282"/>
      <c r="B2229" s="282"/>
      <c r="C2229" s="282"/>
      <c r="D2229" s="282"/>
      <c r="E2229" s="282"/>
      <c r="F2229" s="282"/>
      <c r="G2229" s="329"/>
      <c r="H2229" s="329"/>
      <c r="I2229" s="329"/>
      <c r="J2229" s="329"/>
      <c r="K2229" s="329"/>
      <c r="L2229" s="329"/>
      <c r="M2229" s="329"/>
      <c r="N2229" s="329"/>
      <c r="O2229" s="329"/>
      <c r="P2229" s="329"/>
      <c r="Q2229" s="329"/>
      <c r="R2229" s="329"/>
    </row>
    <row r="2230" spans="1:18" ht="13">
      <c r="A2230" s="282"/>
      <c r="B2230" s="282"/>
      <c r="C2230" s="282"/>
      <c r="D2230" s="282"/>
      <c r="E2230" s="282"/>
      <c r="F2230" s="282"/>
      <c r="G2230" s="329"/>
      <c r="H2230" s="329"/>
      <c r="I2230" s="329"/>
      <c r="J2230" s="329"/>
      <c r="K2230" s="329"/>
      <c r="L2230" s="329"/>
      <c r="M2230" s="329"/>
      <c r="N2230" s="329"/>
      <c r="O2230" s="329"/>
      <c r="P2230" s="329"/>
      <c r="Q2230" s="329"/>
      <c r="R2230" s="329"/>
    </row>
    <row r="2231" spans="1:18" ht="13">
      <c r="A2231" s="282"/>
      <c r="B2231" s="282"/>
      <c r="C2231" s="282"/>
      <c r="D2231" s="282"/>
      <c r="E2231" s="282"/>
      <c r="F2231" s="282"/>
      <c r="G2231" s="329"/>
      <c r="H2231" s="329"/>
      <c r="I2231" s="329"/>
      <c r="J2231" s="329"/>
      <c r="K2231" s="329"/>
      <c r="L2231" s="329"/>
      <c r="M2231" s="329"/>
      <c r="N2231" s="329"/>
      <c r="O2231" s="329"/>
      <c r="P2231" s="329"/>
      <c r="Q2231" s="329"/>
      <c r="R2231" s="329"/>
    </row>
    <row r="2232" spans="1:18" ht="13">
      <c r="A2232" s="282"/>
      <c r="B2232" s="282"/>
      <c r="C2232" s="282"/>
      <c r="D2232" s="282"/>
      <c r="E2232" s="282"/>
      <c r="F2232" s="282"/>
      <c r="G2232" s="329"/>
      <c r="H2232" s="329"/>
      <c r="I2232" s="329"/>
      <c r="J2232" s="329"/>
      <c r="K2232" s="329"/>
      <c r="L2232" s="329"/>
      <c r="M2232" s="329"/>
      <c r="N2232" s="329"/>
      <c r="O2232" s="329"/>
      <c r="P2232" s="329"/>
      <c r="Q2232" s="329"/>
      <c r="R2232" s="329"/>
    </row>
    <row r="2233" spans="1:18" ht="13">
      <c r="A2233" s="282"/>
      <c r="B2233" s="282"/>
      <c r="C2233" s="282"/>
      <c r="D2233" s="282"/>
      <c r="E2233" s="282"/>
      <c r="F2233" s="282"/>
      <c r="G2233" s="329"/>
      <c r="H2233" s="329"/>
      <c r="I2233" s="329"/>
      <c r="J2233" s="329"/>
      <c r="K2233" s="329"/>
      <c r="L2233" s="329"/>
      <c r="M2233" s="329"/>
      <c r="N2233" s="329"/>
      <c r="O2233" s="329"/>
      <c r="P2233" s="329"/>
      <c r="Q2233" s="329"/>
      <c r="R2233" s="329"/>
    </row>
    <row r="2234" spans="1:18" ht="13">
      <c r="A2234" s="282"/>
      <c r="B2234" s="282"/>
      <c r="C2234" s="282"/>
      <c r="D2234" s="282"/>
      <c r="E2234" s="282"/>
      <c r="F2234" s="282"/>
      <c r="G2234" s="329"/>
      <c r="H2234" s="329"/>
      <c r="I2234" s="329"/>
      <c r="J2234" s="329"/>
      <c r="K2234" s="329"/>
      <c r="L2234" s="329"/>
      <c r="M2234" s="329"/>
      <c r="N2234" s="329"/>
      <c r="O2234" s="329"/>
      <c r="P2234" s="329"/>
      <c r="Q2234" s="329"/>
      <c r="R2234" s="329"/>
    </row>
    <row r="2235" spans="1:18" ht="13">
      <c r="A2235" s="282"/>
      <c r="B2235" s="282"/>
      <c r="C2235" s="282"/>
      <c r="D2235" s="282"/>
      <c r="E2235" s="282"/>
      <c r="F2235" s="282"/>
      <c r="G2235" s="329"/>
      <c r="H2235" s="329"/>
      <c r="I2235" s="329"/>
      <c r="J2235" s="329"/>
      <c r="K2235" s="329"/>
      <c r="L2235" s="329"/>
      <c r="M2235" s="329"/>
      <c r="N2235" s="329"/>
      <c r="O2235" s="329"/>
      <c r="P2235" s="329"/>
      <c r="Q2235" s="329"/>
      <c r="R2235" s="329"/>
    </row>
    <row r="2236" spans="1:18" ht="13">
      <c r="A2236" s="282"/>
      <c r="B2236" s="282"/>
      <c r="C2236" s="282"/>
      <c r="D2236" s="282"/>
      <c r="E2236" s="282"/>
      <c r="F2236" s="282"/>
      <c r="G2236" s="329"/>
      <c r="H2236" s="329"/>
      <c r="I2236" s="329"/>
      <c r="J2236" s="329"/>
      <c r="K2236" s="329"/>
      <c r="L2236" s="329"/>
      <c r="M2236" s="329"/>
      <c r="N2236" s="329"/>
      <c r="O2236" s="329"/>
      <c r="P2236" s="329"/>
      <c r="Q2236" s="329"/>
      <c r="R2236" s="329"/>
    </row>
    <row r="2237" spans="1:18" ht="13">
      <c r="A2237" s="282"/>
      <c r="B2237" s="282"/>
      <c r="C2237" s="282"/>
      <c r="D2237" s="282"/>
      <c r="E2237" s="282"/>
      <c r="F2237" s="282"/>
      <c r="G2237" s="329"/>
      <c r="H2237" s="329"/>
      <c r="I2237" s="329"/>
      <c r="J2237" s="329"/>
      <c r="K2237" s="329"/>
      <c r="L2237" s="329"/>
      <c r="M2237" s="329"/>
      <c r="N2237" s="329"/>
      <c r="O2237" s="329"/>
      <c r="P2237" s="329"/>
      <c r="Q2237" s="329"/>
      <c r="R2237" s="329"/>
    </row>
    <row r="2238" spans="1:18" ht="13">
      <c r="A2238" s="282"/>
      <c r="B2238" s="282"/>
      <c r="C2238" s="282"/>
      <c r="D2238" s="282"/>
      <c r="E2238" s="282"/>
      <c r="F2238" s="282"/>
      <c r="G2238" s="329"/>
      <c r="H2238" s="329"/>
      <c r="I2238" s="329"/>
      <c r="J2238" s="329"/>
      <c r="K2238" s="329"/>
      <c r="L2238" s="329"/>
      <c r="M2238" s="329"/>
      <c r="N2238" s="329"/>
      <c r="O2238" s="329"/>
      <c r="P2238" s="329"/>
      <c r="Q2238" s="329"/>
      <c r="R2238" s="329"/>
    </row>
    <row r="2239" spans="1:18" ht="13">
      <c r="A2239" s="282"/>
      <c r="B2239" s="282"/>
      <c r="C2239" s="282"/>
      <c r="D2239" s="282"/>
      <c r="E2239" s="282"/>
      <c r="F2239" s="282"/>
      <c r="G2239" s="329"/>
      <c r="H2239" s="329"/>
      <c r="I2239" s="329"/>
      <c r="J2239" s="329"/>
      <c r="K2239" s="329"/>
      <c r="L2239" s="329"/>
      <c r="M2239" s="329"/>
      <c r="N2239" s="329"/>
      <c r="O2239" s="329"/>
      <c r="P2239" s="329"/>
      <c r="Q2239" s="329"/>
      <c r="R2239" s="329"/>
    </row>
    <row r="2240" spans="1:18" ht="13">
      <c r="A2240" s="282"/>
      <c r="B2240" s="282"/>
      <c r="C2240" s="282"/>
      <c r="D2240" s="282"/>
      <c r="E2240" s="282"/>
      <c r="F2240" s="282"/>
      <c r="G2240" s="329"/>
      <c r="H2240" s="329"/>
      <c r="I2240" s="329"/>
      <c r="J2240" s="329"/>
      <c r="K2240" s="329"/>
      <c r="L2240" s="329"/>
      <c r="M2240" s="329"/>
      <c r="N2240" s="329"/>
      <c r="O2240" s="329"/>
      <c r="P2240" s="329"/>
      <c r="Q2240" s="329"/>
      <c r="R2240" s="329"/>
    </row>
    <row r="2241" spans="1:18" ht="13">
      <c r="A2241" s="282"/>
      <c r="B2241" s="282"/>
      <c r="C2241" s="282"/>
      <c r="D2241" s="282"/>
      <c r="E2241" s="282"/>
      <c r="F2241" s="282"/>
      <c r="G2241" s="329"/>
      <c r="H2241" s="329"/>
      <c r="I2241" s="329"/>
      <c r="J2241" s="329"/>
      <c r="K2241" s="329"/>
      <c r="L2241" s="329"/>
      <c r="M2241" s="329"/>
      <c r="N2241" s="329"/>
      <c r="O2241" s="329"/>
      <c r="P2241" s="329"/>
      <c r="Q2241" s="329"/>
      <c r="R2241" s="329"/>
    </row>
    <row r="2242" spans="1:18" ht="13">
      <c r="A2242" s="282"/>
      <c r="B2242" s="282"/>
      <c r="C2242" s="282"/>
      <c r="D2242" s="282"/>
      <c r="E2242" s="282"/>
      <c r="F2242" s="282"/>
      <c r="G2242" s="329"/>
      <c r="H2242" s="329"/>
      <c r="I2242" s="329"/>
      <c r="J2242" s="329"/>
      <c r="K2242" s="329"/>
      <c r="L2242" s="329"/>
      <c r="M2242" s="329"/>
      <c r="N2242" s="329"/>
      <c r="O2242" s="329"/>
      <c r="P2242" s="329"/>
      <c r="Q2242" s="329"/>
      <c r="R2242" s="329"/>
    </row>
    <row r="2243" spans="1:18" ht="13">
      <c r="A2243" s="282"/>
      <c r="B2243" s="282"/>
      <c r="C2243" s="282"/>
      <c r="D2243" s="282"/>
      <c r="E2243" s="282"/>
      <c r="F2243" s="282"/>
      <c r="G2243" s="329"/>
      <c r="H2243" s="329"/>
      <c r="I2243" s="329"/>
      <c r="J2243" s="329"/>
      <c r="K2243" s="329"/>
      <c r="L2243" s="329"/>
      <c r="M2243" s="329"/>
      <c r="N2243" s="329"/>
      <c r="O2243" s="329"/>
      <c r="P2243" s="329"/>
      <c r="Q2243" s="329"/>
      <c r="R2243" s="329"/>
    </row>
    <row r="2244" spans="1:18" ht="13">
      <c r="A2244" s="282"/>
      <c r="B2244" s="282"/>
      <c r="C2244" s="282"/>
      <c r="D2244" s="282"/>
      <c r="E2244" s="282"/>
      <c r="F2244" s="282"/>
      <c r="G2244" s="329"/>
      <c r="H2244" s="329"/>
      <c r="I2244" s="329"/>
      <c r="J2244" s="329"/>
      <c r="K2244" s="329"/>
      <c r="L2244" s="329"/>
      <c r="M2244" s="329"/>
      <c r="N2244" s="329"/>
      <c r="O2244" s="329"/>
      <c r="P2244" s="329"/>
      <c r="Q2244" s="329"/>
      <c r="R2244" s="329"/>
    </row>
    <row r="2245" spans="1:18" ht="13">
      <c r="A2245" s="282"/>
      <c r="B2245" s="282"/>
      <c r="C2245" s="282"/>
      <c r="D2245" s="282"/>
      <c r="E2245" s="282"/>
      <c r="F2245" s="282"/>
      <c r="G2245" s="329"/>
      <c r="H2245" s="329"/>
      <c r="I2245" s="329"/>
      <c r="J2245" s="329"/>
      <c r="K2245" s="329"/>
      <c r="L2245" s="329"/>
      <c r="M2245" s="329"/>
      <c r="N2245" s="329"/>
      <c r="O2245" s="329"/>
      <c r="P2245" s="329"/>
      <c r="Q2245" s="329"/>
      <c r="R2245" s="329"/>
    </row>
    <row r="2246" spans="1:18" ht="13">
      <c r="A2246" s="282"/>
      <c r="B2246" s="282"/>
      <c r="C2246" s="282"/>
      <c r="D2246" s="282"/>
      <c r="E2246" s="282"/>
      <c r="F2246" s="282"/>
      <c r="G2246" s="329"/>
      <c r="H2246" s="329"/>
      <c r="I2246" s="329"/>
      <c r="J2246" s="329"/>
      <c r="K2246" s="329"/>
      <c r="L2246" s="329"/>
      <c r="M2246" s="329"/>
      <c r="N2246" s="329"/>
      <c r="O2246" s="329"/>
      <c r="P2246" s="329"/>
      <c r="Q2246" s="329"/>
      <c r="R2246" s="329"/>
    </row>
    <row r="2247" spans="1:18" ht="13">
      <c r="A2247" s="282"/>
      <c r="B2247" s="282"/>
      <c r="C2247" s="282"/>
      <c r="D2247" s="282"/>
      <c r="E2247" s="282"/>
      <c r="F2247" s="282"/>
      <c r="G2247" s="329"/>
      <c r="H2247" s="329"/>
      <c r="I2247" s="329"/>
      <c r="J2247" s="329"/>
      <c r="K2247" s="329"/>
      <c r="L2247" s="329"/>
      <c r="M2247" s="329"/>
      <c r="N2247" s="329"/>
      <c r="O2247" s="329"/>
      <c r="P2247" s="329"/>
      <c r="Q2247" s="329"/>
      <c r="R2247" s="329"/>
    </row>
    <row r="2248" spans="1:18" ht="13">
      <c r="A2248" s="282"/>
      <c r="B2248" s="282"/>
      <c r="C2248" s="282"/>
      <c r="D2248" s="282"/>
      <c r="E2248" s="282"/>
      <c r="F2248" s="282"/>
      <c r="G2248" s="329"/>
      <c r="H2248" s="329"/>
      <c r="I2248" s="329"/>
      <c r="J2248" s="329"/>
      <c r="K2248" s="329"/>
      <c r="L2248" s="329"/>
      <c r="M2248" s="329"/>
      <c r="N2248" s="329"/>
      <c r="O2248" s="329"/>
      <c r="P2248" s="329"/>
      <c r="Q2248" s="329"/>
      <c r="R2248" s="329"/>
    </row>
    <row r="2249" spans="1:18" ht="13">
      <c r="A2249" s="282"/>
      <c r="B2249" s="282"/>
      <c r="C2249" s="282"/>
      <c r="D2249" s="282"/>
      <c r="E2249" s="282"/>
      <c r="F2249" s="282"/>
      <c r="G2249" s="329"/>
      <c r="H2249" s="329"/>
      <c r="I2249" s="329"/>
      <c r="J2249" s="329"/>
      <c r="K2249" s="329"/>
      <c r="L2249" s="329"/>
      <c r="M2249" s="329"/>
      <c r="N2249" s="329"/>
      <c r="O2249" s="329"/>
      <c r="P2249" s="329"/>
      <c r="Q2249" s="329"/>
      <c r="R2249" s="329"/>
    </row>
    <row r="2250" spans="1:18" ht="13">
      <c r="A2250" s="282"/>
      <c r="B2250" s="282"/>
      <c r="C2250" s="282"/>
      <c r="D2250" s="282"/>
      <c r="E2250" s="282"/>
      <c r="F2250" s="282"/>
      <c r="G2250" s="329"/>
      <c r="H2250" s="329"/>
      <c r="I2250" s="329"/>
      <c r="J2250" s="329"/>
      <c r="K2250" s="329"/>
      <c r="L2250" s="329"/>
      <c r="M2250" s="329"/>
      <c r="N2250" s="329"/>
      <c r="O2250" s="329"/>
      <c r="P2250" s="329"/>
      <c r="Q2250" s="329"/>
      <c r="R2250" s="329"/>
    </row>
    <row r="2251" spans="1:18" ht="13">
      <c r="A2251" s="282"/>
      <c r="B2251" s="282"/>
      <c r="C2251" s="282"/>
      <c r="D2251" s="282"/>
      <c r="E2251" s="282"/>
      <c r="F2251" s="282"/>
      <c r="G2251" s="329"/>
      <c r="H2251" s="329"/>
      <c r="I2251" s="329"/>
      <c r="J2251" s="329"/>
      <c r="K2251" s="329"/>
      <c r="L2251" s="329"/>
      <c r="M2251" s="329"/>
      <c r="N2251" s="329"/>
      <c r="O2251" s="329"/>
      <c r="P2251" s="329"/>
      <c r="Q2251" s="329"/>
      <c r="R2251" s="329"/>
    </row>
    <row r="2252" spans="1:18" ht="13">
      <c r="A2252" s="282"/>
      <c r="B2252" s="282"/>
      <c r="C2252" s="282"/>
      <c r="D2252" s="282"/>
      <c r="E2252" s="282"/>
      <c r="F2252" s="282"/>
      <c r="G2252" s="329"/>
      <c r="H2252" s="329"/>
      <c r="I2252" s="329"/>
      <c r="J2252" s="329"/>
      <c r="K2252" s="329"/>
      <c r="L2252" s="329"/>
      <c r="M2252" s="329"/>
      <c r="N2252" s="329"/>
      <c r="O2252" s="329"/>
      <c r="P2252" s="329"/>
      <c r="Q2252" s="329"/>
      <c r="R2252" s="329"/>
    </row>
    <row r="2253" spans="1:18" ht="13">
      <c r="A2253" s="282"/>
      <c r="B2253" s="282"/>
      <c r="C2253" s="282"/>
      <c r="D2253" s="282"/>
      <c r="E2253" s="282"/>
      <c r="F2253" s="282"/>
      <c r="G2253" s="329"/>
      <c r="H2253" s="329"/>
      <c r="I2253" s="329"/>
      <c r="J2253" s="329"/>
      <c r="K2253" s="329"/>
      <c r="L2253" s="329"/>
      <c r="M2253" s="329"/>
      <c r="N2253" s="329"/>
      <c r="O2253" s="329"/>
      <c r="P2253" s="329"/>
      <c r="Q2253" s="329"/>
      <c r="R2253" s="329"/>
    </row>
    <row r="2254" spans="1:18" ht="13">
      <c r="A2254" s="282"/>
      <c r="B2254" s="282"/>
      <c r="C2254" s="282"/>
      <c r="D2254" s="282"/>
      <c r="E2254" s="282"/>
      <c r="F2254" s="282"/>
      <c r="G2254" s="329"/>
      <c r="H2254" s="329"/>
      <c r="I2254" s="329"/>
      <c r="J2254" s="329"/>
      <c r="K2254" s="329"/>
      <c r="L2254" s="329"/>
      <c r="M2254" s="329"/>
      <c r="N2254" s="329"/>
      <c r="O2254" s="329"/>
      <c r="P2254" s="329"/>
      <c r="Q2254" s="329"/>
      <c r="R2254" s="329"/>
    </row>
    <row r="2255" spans="1:18" ht="13">
      <c r="A2255" s="282"/>
      <c r="B2255" s="282"/>
      <c r="C2255" s="282"/>
      <c r="D2255" s="282"/>
      <c r="E2255" s="282"/>
      <c r="F2255" s="282"/>
      <c r="G2255" s="329"/>
      <c r="H2255" s="329"/>
      <c r="I2255" s="329"/>
      <c r="J2255" s="329"/>
      <c r="K2255" s="329"/>
      <c r="L2255" s="329"/>
      <c r="M2255" s="329"/>
      <c r="N2255" s="329"/>
      <c r="O2255" s="329"/>
      <c r="P2255" s="329"/>
      <c r="Q2255" s="329"/>
      <c r="R2255" s="329"/>
    </row>
    <row r="2256" spans="1:18" ht="13">
      <c r="A2256" s="282"/>
      <c r="B2256" s="282"/>
      <c r="C2256" s="282"/>
      <c r="D2256" s="282"/>
      <c r="E2256" s="282"/>
      <c r="F2256" s="282"/>
      <c r="G2256" s="329"/>
      <c r="H2256" s="329"/>
      <c r="I2256" s="329"/>
      <c r="J2256" s="329"/>
      <c r="K2256" s="329"/>
      <c r="L2256" s="329"/>
      <c r="M2256" s="329"/>
      <c r="N2256" s="329"/>
      <c r="O2256" s="329"/>
      <c r="P2256" s="329"/>
      <c r="Q2256" s="329"/>
      <c r="R2256" s="329"/>
    </row>
    <row r="2257" spans="1:18" ht="13">
      <c r="A2257" s="282"/>
      <c r="B2257" s="282"/>
      <c r="C2257" s="282"/>
      <c r="D2257" s="282"/>
      <c r="E2257" s="282"/>
      <c r="F2257" s="282"/>
      <c r="G2257" s="329"/>
      <c r="H2257" s="329"/>
      <c r="I2257" s="329"/>
      <c r="J2257" s="329"/>
      <c r="K2257" s="329"/>
      <c r="L2257" s="329"/>
      <c r="M2257" s="329"/>
      <c r="N2257" s="329"/>
      <c r="O2257" s="329"/>
      <c r="P2257" s="329"/>
      <c r="Q2257" s="329"/>
      <c r="R2257" s="329"/>
    </row>
    <row r="2258" spans="1:18" ht="13">
      <c r="A2258" s="282"/>
      <c r="B2258" s="282"/>
      <c r="C2258" s="282"/>
      <c r="D2258" s="282"/>
      <c r="E2258" s="282"/>
      <c r="F2258" s="282"/>
      <c r="G2258" s="329"/>
      <c r="H2258" s="329"/>
      <c r="I2258" s="329"/>
      <c r="J2258" s="329"/>
      <c r="K2258" s="329"/>
      <c r="L2258" s="329"/>
      <c r="M2258" s="329"/>
      <c r="N2258" s="329"/>
      <c r="O2258" s="329"/>
      <c r="P2258" s="329"/>
      <c r="Q2258" s="329"/>
      <c r="R2258" s="329"/>
    </row>
    <row r="2259" spans="1:18" ht="13">
      <c r="A2259" s="282"/>
      <c r="B2259" s="282"/>
      <c r="C2259" s="282"/>
      <c r="D2259" s="282"/>
      <c r="E2259" s="282"/>
      <c r="F2259" s="282"/>
      <c r="G2259" s="329"/>
      <c r="H2259" s="329"/>
      <c r="I2259" s="329"/>
      <c r="J2259" s="329"/>
      <c r="K2259" s="329"/>
      <c r="L2259" s="329"/>
      <c r="M2259" s="329"/>
      <c r="N2259" s="329"/>
      <c r="O2259" s="329"/>
      <c r="P2259" s="329"/>
      <c r="Q2259" s="329"/>
      <c r="R2259" s="329"/>
    </row>
    <row r="2260" spans="1:18" ht="13">
      <c r="A2260" s="282"/>
      <c r="B2260" s="282"/>
      <c r="C2260" s="282"/>
      <c r="D2260" s="282"/>
      <c r="E2260" s="282"/>
      <c r="F2260" s="282"/>
      <c r="G2260" s="329"/>
      <c r="H2260" s="329"/>
      <c r="I2260" s="329"/>
      <c r="J2260" s="329"/>
      <c r="K2260" s="329"/>
      <c r="L2260" s="329"/>
      <c r="M2260" s="329"/>
      <c r="N2260" s="329"/>
      <c r="O2260" s="329"/>
      <c r="P2260" s="329"/>
      <c r="Q2260" s="329"/>
      <c r="R2260" s="329"/>
    </row>
    <row r="2261" spans="1:18" ht="13">
      <c r="A2261" s="282"/>
      <c r="B2261" s="282"/>
      <c r="C2261" s="282"/>
      <c r="D2261" s="282"/>
      <c r="E2261" s="282"/>
      <c r="F2261" s="282"/>
      <c r="G2261" s="329"/>
      <c r="H2261" s="329"/>
      <c r="I2261" s="329"/>
      <c r="J2261" s="329"/>
      <c r="K2261" s="329"/>
      <c r="L2261" s="329"/>
      <c r="M2261" s="329"/>
      <c r="N2261" s="329"/>
      <c r="O2261" s="329"/>
      <c r="P2261" s="329"/>
      <c r="Q2261" s="329"/>
      <c r="R2261" s="329"/>
    </row>
    <row r="2262" spans="1:18" ht="13">
      <c r="A2262" s="282"/>
      <c r="B2262" s="282"/>
      <c r="C2262" s="282"/>
      <c r="D2262" s="282"/>
      <c r="E2262" s="282"/>
      <c r="F2262" s="282"/>
      <c r="G2262" s="329"/>
      <c r="H2262" s="329"/>
      <c r="I2262" s="329"/>
      <c r="J2262" s="329"/>
      <c r="K2262" s="329"/>
      <c r="L2262" s="329"/>
      <c r="M2262" s="329"/>
      <c r="N2262" s="329"/>
      <c r="O2262" s="329"/>
      <c r="P2262" s="329"/>
      <c r="Q2262" s="329"/>
      <c r="R2262" s="329"/>
    </row>
    <row r="2263" spans="1:18" ht="13">
      <c r="A2263" s="282"/>
      <c r="B2263" s="282"/>
      <c r="C2263" s="282"/>
      <c r="D2263" s="282"/>
      <c r="E2263" s="282"/>
      <c r="F2263" s="282"/>
      <c r="G2263" s="329"/>
      <c r="H2263" s="329"/>
      <c r="I2263" s="329"/>
      <c r="J2263" s="329"/>
      <c r="K2263" s="329"/>
      <c r="L2263" s="329"/>
      <c r="M2263" s="329"/>
      <c r="N2263" s="329"/>
      <c r="O2263" s="329"/>
      <c r="P2263" s="329"/>
      <c r="Q2263" s="329"/>
      <c r="R2263" s="329"/>
    </row>
    <row r="2264" spans="1:18" ht="13">
      <c r="A2264" s="282"/>
      <c r="B2264" s="282"/>
      <c r="C2264" s="282"/>
      <c r="D2264" s="282"/>
      <c r="E2264" s="282"/>
      <c r="F2264" s="282"/>
      <c r="G2264" s="329"/>
      <c r="H2264" s="329"/>
      <c r="I2264" s="329"/>
      <c r="J2264" s="329"/>
      <c r="K2264" s="329"/>
      <c r="L2264" s="329"/>
      <c r="M2264" s="329"/>
      <c r="N2264" s="329"/>
      <c r="O2264" s="329"/>
      <c r="P2264" s="329"/>
      <c r="Q2264" s="329"/>
      <c r="R2264" s="329"/>
    </row>
    <row r="2265" spans="1:18" ht="13">
      <c r="A2265" s="282"/>
      <c r="B2265" s="282"/>
      <c r="C2265" s="282"/>
      <c r="D2265" s="282"/>
      <c r="E2265" s="282"/>
      <c r="F2265" s="282"/>
      <c r="G2265" s="329"/>
      <c r="H2265" s="329"/>
      <c r="I2265" s="329"/>
      <c r="J2265" s="329"/>
      <c r="K2265" s="329"/>
      <c r="L2265" s="329"/>
      <c r="M2265" s="329"/>
      <c r="N2265" s="329"/>
      <c r="O2265" s="329"/>
      <c r="P2265" s="329"/>
      <c r="Q2265" s="329"/>
      <c r="R2265" s="329"/>
    </row>
    <row r="2266" spans="1:18" ht="13">
      <c r="A2266" s="282"/>
      <c r="B2266" s="282"/>
      <c r="C2266" s="282"/>
      <c r="D2266" s="282"/>
      <c r="E2266" s="282"/>
      <c r="F2266" s="282"/>
      <c r="G2266" s="329"/>
      <c r="H2266" s="329"/>
      <c r="I2266" s="329"/>
      <c r="J2266" s="329"/>
      <c r="K2266" s="329"/>
      <c r="L2266" s="329"/>
      <c r="M2266" s="329"/>
      <c r="N2266" s="329"/>
      <c r="O2266" s="329"/>
      <c r="P2266" s="329"/>
      <c r="Q2266" s="329"/>
      <c r="R2266" s="329"/>
    </row>
    <row r="2267" spans="1:18" ht="13">
      <c r="A2267" s="282"/>
      <c r="B2267" s="282"/>
      <c r="C2267" s="282"/>
      <c r="D2267" s="282"/>
      <c r="E2267" s="282"/>
      <c r="F2267" s="282"/>
      <c r="G2267" s="329"/>
      <c r="H2267" s="329"/>
      <c r="I2267" s="329"/>
      <c r="J2267" s="329"/>
      <c r="K2267" s="329"/>
      <c r="L2267" s="329"/>
      <c r="M2267" s="329"/>
      <c r="N2267" s="329"/>
      <c r="O2267" s="329"/>
      <c r="P2267" s="329"/>
      <c r="Q2267" s="329"/>
      <c r="R2267" s="329"/>
    </row>
    <row r="2268" spans="1:18" ht="13">
      <c r="A2268" s="282"/>
      <c r="B2268" s="282"/>
      <c r="C2268" s="282"/>
      <c r="D2268" s="282"/>
      <c r="E2268" s="282"/>
      <c r="F2268" s="282"/>
      <c r="G2268" s="329"/>
      <c r="H2268" s="329"/>
      <c r="I2268" s="329"/>
      <c r="J2268" s="329"/>
      <c r="K2268" s="329"/>
      <c r="L2268" s="329"/>
      <c r="M2268" s="329"/>
      <c r="N2268" s="329"/>
      <c r="O2268" s="329"/>
      <c r="P2268" s="329"/>
      <c r="Q2268" s="329"/>
      <c r="R2268" s="329"/>
    </row>
    <row r="2269" spans="1:18" ht="13">
      <c r="A2269" s="282"/>
      <c r="B2269" s="282"/>
      <c r="C2269" s="282"/>
      <c r="D2269" s="282"/>
      <c r="E2269" s="282"/>
      <c r="F2269" s="282"/>
      <c r="G2269" s="329"/>
      <c r="H2269" s="329"/>
      <c r="I2269" s="329"/>
      <c r="J2269" s="329"/>
      <c r="K2269" s="329"/>
      <c r="L2269" s="329"/>
      <c r="M2269" s="329"/>
      <c r="N2269" s="329"/>
      <c r="O2269" s="329"/>
      <c r="P2269" s="329"/>
      <c r="Q2269" s="329"/>
      <c r="R2269" s="329"/>
    </row>
    <row r="2270" spans="1:18" ht="13">
      <c r="A2270" s="282"/>
      <c r="B2270" s="282"/>
      <c r="C2270" s="282"/>
      <c r="D2270" s="282"/>
      <c r="E2270" s="282"/>
      <c r="F2270" s="282"/>
      <c r="G2270" s="329"/>
      <c r="H2270" s="329"/>
      <c r="I2270" s="329"/>
      <c r="J2270" s="329"/>
      <c r="K2270" s="329"/>
      <c r="L2270" s="329"/>
      <c r="M2270" s="329"/>
      <c r="N2270" s="329"/>
      <c r="O2270" s="329"/>
      <c r="P2270" s="329"/>
      <c r="Q2270" s="329"/>
      <c r="R2270" s="329"/>
    </row>
    <row r="2271" spans="1:18" ht="13">
      <c r="A2271" s="282"/>
      <c r="B2271" s="282"/>
      <c r="C2271" s="282"/>
      <c r="D2271" s="282"/>
      <c r="E2271" s="282"/>
      <c r="F2271" s="282"/>
      <c r="G2271" s="329"/>
      <c r="H2271" s="329"/>
      <c r="I2271" s="329"/>
      <c r="J2271" s="329"/>
      <c r="K2271" s="329"/>
      <c r="L2271" s="329"/>
      <c r="M2271" s="329"/>
      <c r="N2271" s="329"/>
      <c r="O2271" s="329"/>
      <c r="P2271" s="329"/>
      <c r="Q2271" s="329"/>
      <c r="R2271" s="329"/>
    </row>
    <row r="2272" spans="1:18" ht="13">
      <c r="A2272" s="282"/>
      <c r="B2272" s="282"/>
      <c r="C2272" s="282"/>
      <c r="D2272" s="282"/>
      <c r="E2272" s="282"/>
      <c r="F2272" s="282"/>
      <c r="G2272" s="329"/>
      <c r="H2272" s="329"/>
      <c r="I2272" s="329"/>
      <c r="J2272" s="329"/>
      <c r="K2272" s="329"/>
      <c r="L2272" s="329"/>
      <c r="M2272" s="329"/>
      <c r="N2272" s="329"/>
      <c r="O2272" s="329"/>
      <c r="P2272" s="329"/>
      <c r="Q2272" s="329"/>
      <c r="R2272" s="329"/>
    </row>
    <row r="2273" spans="1:18" ht="13">
      <c r="A2273" s="282"/>
      <c r="B2273" s="282"/>
      <c r="C2273" s="282"/>
      <c r="D2273" s="282"/>
      <c r="E2273" s="282"/>
      <c r="F2273" s="282"/>
      <c r="G2273" s="329"/>
      <c r="H2273" s="329"/>
      <c r="I2273" s="329"/>
      <c r="J2273" s="329"/>
      <c r="K2273" s="329"/>
      <c r="L2273" s="329"/>
      <c r="M2273" s="329"/>
      <c r="N2273" s="329"/>
      <c r="O2273" s="329"/>
      <c r="P2273" s="329"/>
      <c r="Q2273" s="329"/>
      <c r="R2273" s="329"/>
    </row>
    <row r="2274" spans="1:18" ht="13">
      <c r="A2274" s="282"/>
      <c r="B2274" s="282"/>
      <c r="C2274" s="282"/>
      <c r="D2274" s="282"/>
      <c r="E2274" s="282"/>
      <c r="F2274" s="282"/>
      <c r="G2274" s="329"/>
      <c r="H2274" s="329"/>
      <c r="I2274" s="329"/>
      <c r="J2274" s="329"/>
      <c r="K2274" s="329"/>
      <c r="L2274" s="329"/>
      <c r="M2274" s="329"/>
      <c r="N2274" s="329"/>
      <c r="O2274" s="329"/>
      <c r="P2274" s="329"/>
      <c r="Q2274" s="329"/>
      <c r="R2274" s="329"/>
    </row>
    <row r="2275" spans="1:18" ht="13">
      <c r="A2275" s="282"/>
      <c r="B2275" s="282"/>
      <c r="C2275" s="282"/>
      <c r="D2275" s="282"/>
      <c r="E2275" s="282"/>
      <c r="F2275" s="282"/>
      <c r="G2275" s="329"/>
      <c r="H2275" s="329"/>
      <c r="I2275" s="329"/>
      <c r="J2275" s="329"/>
      <c r="K2275" s="329"/>
      <c r="L2275" s="329"/>
      <c r="M2275" s="329"/>
      <c r="N2275" s="329"/>
      <c r="O2275" s="329"/>
      <c r="P2275" s="329"/>
      <c r="Q2275" s="329"/>
      <c r="R2275" s="329"/>
    </row>
    <row r="2276" spans="1:18" ht="13">
      <c r="A2276" s="282"/>
      <c r="B2276" s="282"/>
      <c r="C2276" s="282"/>
      <c r="D2276" s="282"/>
      <c r="E2276" s="282"/>
      <c r="F2276" s="282"/>
      <c r="G2276" s="329"/>
      <c r="H2276" s="329"/>
      <c r="I2276" s="329"/>
      <c r="J2276" s="329"/>
      <c r="K2276" s="329"/>
      <c r="L2276" s="329"/>
      <c r="M2276" s="329"/>
      <c r="N2276" s="329"/>
      <c r="O2276" s="329"/>
      <c r="P2276" s="329"/>
      <c r="Q2276" s="329"/>
      <c r="R2276" s="329"/>
    </row>
    <row r="2277" spans="1:18" ht="13">
      <c r="A2277" s="282"/>
      <c r="B2277" s="282"/>
      <c r="C2277" s="282"/>
      <c r="D2277" s="282"/>
      <c r="E2277" s="282"/>
      <c r="F2277" s="282"/>
      <c r="G2277" s="329"/>
      <c r="H2277" s="329"/>
      <c r="I2277" s="329"/>
      <c r="J2277" s="329"/>
      <c r="K2277" s="329"/>
      <c r="L2277" s="329"/>
      <c r="M2277" s="329"/>
      <c r="N2277" s="329"/>
      <c r="O2277" s="329"/>
      <c r="P2277" s="329"/>
      <c r="Q2277" s="329"/>
      <c r="R2277" s="329"/>
    </row>
    <row r="2278" spans="1:18" ht="13">
      <c r="A2278" s="282"/>
      <c r="B2278" s="282"/>
      <c r="C2278" s="282"/>
      <c r="D2278" s="282"/>
      <c r="E2278" s="282"/>
      <c r="F2278" s="282"/>
      <c r="G2278" s="329"/>
      <c r="H2278" s="329"/>
      <c r="I2278" s="329"/>
      <c r="J2278" s="329"/>
      <c r="K2278" s="329"/>
      <c r="L2278" s="329"/>
      <c r="M2278" s="329"/>
      <c r="N2278" s="329"/>
      <c r="O2278" s="329"/>
      <c r="P2278" s="329"/>
      <c r="Q2278" s="329"/>
      <c r="R2278" s="329"/>
    </row>
    <row r="2279" spans="1:18" ht="13">
      <c r="A2279" s="282"/>
      <c r="B2279" s="282"/>
      <c r="C2279" s="282"/>
      <c r="D2279" s="282"/>
      <c r="E2279" s="282"/>
      <c r="F2279" s="282"/>
      <c r="G2279" s="329"/>
      <c r="H2279" s="329"/>
      <c r="I2279" s="329"/>
      <c r="J2279" s="329"/>
      <c r="K2279" s="329"/>
      <c r="L2279" s="329"/>
      <c r="M2279" s="329"/>
      <c r="N2279" s="329"/>
      <c r="O2279" s="329"/>
      <c r="P2279" s="329"/>
      <c r="Q2279" s="329"/>
      <c r="R2279" s="329"/>
    </row>
    <row r="2280" spans="1:18" ht="13">
      <c r="A2280" s="282"/>
      <c r="B2280" s="282"/>
      <c r="C2280" s="282"/>
      <c r="D2280" s="282"/>
      <c r="E2280" s="282"/>
      <c r="F2280" s="282"/>
      <c r="G2280" s="329"/>
      <c r="H2280" s="329"/>
      <c r="I2280" s="329"/>
      <c r="J2280" s="329"/>
      <c r="K2280" s="329"/>
      <c r="L2280" s="329"/>
      <c r="M2280" s="329"/>
      <c r="N2280" s="329"/>
      <c r="O2280" s="329"/>
      <c r="P2280" s="329"/>
      <c r="Q2280" s="329"/>
      <c r="R2280" s="329"/>
    </row>
    <row r="2281" spans="1:18" ht="13">
      <c r="A2281" s="282"/>
      <c r="B2281" s="282"/>
      <c r="C2281" s="282"/>
      <c r="D2281" s="282"/>
      <c r="E2281" s="282"/>
      <c r="F2281" s="282"/>
      <c r="G2281" s="329"/>
      <c r="H2281" s="329"/>
      <c r="I2281" s="329"/>
      <c r="J2281" s="329"/>
      <c r="K2281" s="329"/>
      <c r="L2281" s="329"/>
      <c r="M2281" s="329"/>
      <c r="N2281" s="329"/>
      <c r="O2281" s="329"/>
      <c r="P2281" s="329"/>
      <c r="Q2281" s="329"/>
      <c r="R2281" s="329"/>
    </row>
    <row r="2282" spans="1:18" ht="13">
      <c r="A2282" s="282"/>
      <c r="B2282" s="282"/>
      <c r="C2282" s="282"/>
      <c r="D2282" s="282"/>
      <c r="E2282" s="282"/>
      <c r="F2282" s="282"/>
      <c r="G2282" s="329"/>
      <c r="H2282" s="329"/>
      <c r="I2282" s="329"/>
      <c r="J2282" s="329"/>
      <c r="K2282" s="329"/>
      <c r="L2282" s="329"/>
      <c r="M2282" s="329"/>
      <c r="N2282" s="329"/>
      <c r="O2282" s="329"/>
      <c r="P2282" s="329"/>
      <c r="Q2282" s="329"/>
      <c r="R2282" s="329"/>
    </row>
    <row r="2283" spans="1:18" ht="13">
      <c r="A2283" s="282"/>
      <c r="B2283" s="282"/>
      <c r="C2283" s="282"/>
      <c r="D2283" s="282"/>
      <c r="E2283" s="282"/>
      <c r="F2283" s="282"/>
      <c r="G2283" s="329"/>
      <c r="H2283" s="329"/>
      <c r="I2283" s="329"/>
      <c r="J2283" s="329"/>
      <c r="K2283" s="329"/>
      <c r="L2283" s="329"/>
      <c r="M2283" s="329"/>
      <c r="N2283" s="329"/>
      <c r="O2283" s="329"/>
      <c r="P2283" s="329"/>
      <c r="Q2283" s="329"/>
      <c r="R2283" s="329"/>
    </row>
    <row r="2284" spans="1:18" ht="13">
      <c r="A2284" s="282"/>
      <c r="B2284" s="282"/>
      <c r="C2284" s="282"/>
      <c r="D2284" s="282"/>
      <c r="E2284" s="282"/>
      <c r="F2284" s="282"/>
      <c r="G2284" s="329"/>
      <c r="H2284" s="329"/>
      <c r="I2284" s="329"/>
      <c r="J2284" s="329"/>
      <c r="K2284" s="329"/>
      <c r="L2284" s="329"/>
      <c r="M2284" s="329"/>
      <c r="N2284" s="329"/>
      <c r="O2284" s="329"/>
      <c r="P2284" s="329"/>
      <c r="Q2284" s="329"/>
      <c r="R2284" s="329"/>
    </row>
    <row r="2285" spans="1:18" ht="13">
      <c r="A2285" s="282"/>
      <c r="B2285" s="282"/>
      <c r="C2285" s="282"/>
      <c r="D2285" s="282"/>
      <c r="E2285" s="282"/>
      <c r="F2285" s="282"/>
      <c r="G2285" s="329"/>
      <c r="H2285" s="329"/>
      <c r="I2285" s="329"/>
      <c r="J2285" s="329"/>
      <c r="K2285" s="329"/>
      <c r="L2285" s="329"/>
      <c r="M2285" s="329"/>
      <c r="N2285" s="329"/>
      <c r="O2285" s="329"/>
      <c r="P2285" s="329"/>
      <c r="Q2285" s="329"/>
      <c r="R2285" s="329"/>
    </row>
    <row r="2286" spans="1:18" ht="13">
      <c r="A2286" s="282"/>
      <c r="B2286" s="282"/>
      <c r="C2286" s="282"/>
      <c r="D2286" s="282"/>
      <c r="E2286" s="282"/>
      <c r="F2286" s="282"/>
      <c r="G2286" s="329"/>
      <c r="H2286" s="329"/>
      <c r="I2286" s="329"/>
      <c r="J2286" s="329"/>
      <c r="K2286" s="329"/>
      <c r="L2286" s="329"/>
      <c r="M2286" s="329"/>
      <c r="N2286" s="329"/>
      <c r="O2286" s="329"/>
      <c r="P2286" s="329"/>
      <c r="Q2286" s="329"/>
      <c r="R2286" s="329"/>
    </row>
    <row r="2287" spans="1:18" ht="13">
      <c r="A2287" s="282"/>
      <c r="B2287" s="282"/>
      <c r="C2287" s="282"/>
      <c r="D2287" s="282"/>
      <c r="E2287" s="282"/>
      <c r="F2287" s="282"/>
      <c r="G2287" s="329"/>
      <c r="H2287" s="329"/>
      <c r="I2287" s="329"/>
      <c r="J2287" s="329"/>
      <c r="K2287" s="329"/>
      <c r="L2287" s="329"/>
      <c r="M2287" s="329"/>
      <c r="N2287" s="329"/>
      <c r="O2287" s="329"/>
      <c r="P2287" s="329"/>
      <c r="Q2287" s="329"/>
      <c r="R2287" s="329"/>
    </row>
    <row r="2288" spans="1:18" ht="13">
      <c r="A2288" s="282"/>
      <c r="B2288" s="282"/>
      <c r="C2288" s="282"/>
      <c r="D2288" s="282"/>
      <c r="E2288" s="282"/>
      <c r="F2288" s="282"/>
      <c r="G2288" s="329"/>
      <c r="H2288" s="329"/>
      <c r="I2288" s="329"/>
      <c r="J2288" s="329"/>
      <c r="K2288" s="329"/>
      <c r="L2288" s="329"/>
      <c r="M2288" s="329"/>
      <c r="N2288" s="329"/>
      <c r="O2288" s="329"/>
      <c r="P2288" s="329"/>
      <c r="Q2288" s="329"/>
      <c r="R2288" s="329"/>
    </row>
    <row r="2289" spans="1:18" ht="13">
      <c r="A2289" s="282"/>
      <c r="B2289" s="282"/>
      <c r="C2289" s="282"/>
      <c r="D2289" s="282"/>
      <c r="E2289" s="282"/>
      <c r="F2289" s="282"/>
      <c r="G2289" s="329"/>
      <c r="H2289" s="329"/>
      <c r="I2289" s="329"/>
      <c r="J2289" s="329"/>
      <c r="K2289" s="329"/>
      <c r="L2289" s="329"/>
      <c r="M2289" s="329"/>
      <c r="N2289" s="329"/>
      <c r="O2289" s="329"/>
      <c r="P2289" s="329"/>
      <c r="Q2289" s="329"/>
      <c r="R2289" s="329"/>
    </row>
    <row r="2290" spans="1:18" ht="13">
      <c r="A2290" s="282"/>
      <c r="B2290" s="282"/>
      <c r="C2290" s="282"/>
      <c r="D2290" s="282"/>
      <c r="E2290" s="282"/>
      <c r="F2290" s="282"/>
      <c r="G2290" s="329"/>
      <c r="H2290" s="329"/>
      <c r="I2290" s="329"/>
      <c r="J2290" s="329"/>
      <c r="K2290" s="329"/>
      <c r="L2290" s="329"/>
      <c r="M2290" s="329"/>
      <c r="N2290" s="329"/>
      <c r="O2290" s="329"/>
      <c r="P2290" s="329"/>
      <c r="Q2290" s="329"/>
      <c r="R2290" s="329"/>
    </row>
    <row r="2291" spans="1:18" ht="13">
      <c r="A2291" s="282"/>
      <c r="B2291" s="282"/>
      <c r="C2291" s="282"/>
      <c r="D2291" s="282"/>
      <c r="E2291" s="282"/>
      <c r="F2291" s="282"/>
      <c r="G2291" s="329"/>
      <c r="H2291" s="329"/>
      <c r="I2291" s="329"/>
      <c r="J2291" s="329"/>
      <c r="K2291" s="329"/>
      <c r="L2291" s="329"/>
      <c r="M2291" s="329"/>
      <c r="N2291" s="329"/>
      <c r="O2291" s="329"/>
      <c r="P2291" s="329"/>
      <c r="Q2291" s="329"/>
      <c r="R2291" s="329"/>
    </row>
    <row r="2292" spans="1:18" ht="13">
      <c r="A2292" s="282"/>
      <c r="B2292" s="282"/>
      <c r="C2292" s="282"/>
      <c r="D2292" s="282"/>
      <c r="E2292" s="282"/>
      <c r="F2292" s="282"/>
      <c r="G2292" s="329"/>
      <c r="H2292" s="329"/>
      <c r="I2292" s="329"/>
      <c r="J2292" s="329"/>
      <c r="K2292" s="329"/>
      <c r="L2292" s="329"/>
      <c r="M2292" s="329"/>
      <c r="N2292" s="329"/>
      <c r="O2292" s="329"/>
      <c r="P2292" s="329"/>
      <c r="Q2292" s="329"/>
      <c r="R2292" s="329"/>
    </row>
    <row r="2293" spans="1:18" ht="13">
      <c r="A2293" s="282"/>
      <c r="B2293" s="282"/>
      <c r="C2293" s="282"/>
      <c r="D2293" s="282"/>
      <c r="E2293" s="282"/>
      <c r="F2293" s="282"/>
      <c r="G2293" s="329"/>
      <c r="H2293" s="329"/>
      <c r="I2293" s="329"/>
      <c r="J2293" s="329"/>
      <c r="K2293" s="329"/>
      <c r="L2293" s="329"/>
      <c r="M2293" s="329"/>
      <c r="N2293" s="329"/>
      <c r="O2293" s="329"/>
      <c r="P2293" s="329"/>
      <c r="Q2293" s="329"/>
      <c r="R2293" s="329"/>
    </row>
    <row r="2294" spans="1:18" ht="13">
      <c r="A2294" s="282"/>
      <c r="B2294" s="282"/>
      <c r="C2294" s="282"/>
      <c r="D2294" s="282"/>
      <c r="E2294" s="282"/>
      <c r="F2294" s="282"/>
      <c r="G2294" s="329"/>
      <c r="H2294" s="329"/>
      <c r="I2294" s="329"/>
      <c r="J2294" s="329"/>
      <c r="K2294" s="329"/>
      <c r="L2294" s="329"/>
      <c r="M2294" s="329"/>
      <c r="N2294" s="329"/>
      <c r="O2294" s="329"/>
      <c r="P2294" s="329"/>
      <c r="Q2294" s="329"/>
      <c r="R2294" s="329"/>
    </row>
    <row r="2295" spans="1:18" ht="13">
      <c r="A2295" s="282"/>
      <c r="B2295" s="282"/>
      <c r="C2295" s="282"/>
      <c r="D2295" s="282"/>
      <c r="E2295" s="282"/>
      <c r="F2295" s="282"/>
      <c r="G2295" s="329"/>
      <c r="H2295" s="329"/>
      <c r="I2295" s="329"/>
      <c r="J2295" s="329"/>
      <c r="K2295" s="329"/>
      <c r="L2295" s="329"/>
      <c r="M2295" s="329"/>
      <c r="N2295" s="329"/>
      <c r="O2295" s="329"/>
      <c r="P2295" s="329"/>
      <c r="Q2295" s="329"/>
      <c r="R2295" s="329"/>
    </row>
    <row r="2296" spans="1:18" ht="13">
      <c r="A2296" s="282"/>
      <c r="B2296" s="282"/>
      <c r="C2296" s="282"/>
      <c r="D2296" s="282"/>
      <c r="E2296" s="282"/>
      <c r="F2296" s="282"/>
      <c r="G2296" s="329"/>
      <c r="H2296" s="329"/>
      <c r="I2296" s="329"/>
      <c r="J2296" s="329"/>
      <c r="K2296" s="329"/>
      <c r="L2296" s="329"/>
      <c r="M2296" s="329"/>
      <c r="N2296" s="329"/>
      <c r="O2296" s="329"/>
      <c r="P2296" s="329"/>
      <c r="Q2296" s="329"/>
      <c r="R2296" s="329"/>
    </row>
    <row r="2297" spans="1:18" ht="13">
      <c r="A2297" s="282"/>
      <c r="B2297" s="282"/>
      <c r="C2297" s="282"/>
      <c r="D2297" s="282"/>
      <c r="E2297" s="282"/>
      <c r="F2297" s="282"/>
      <c r="G2297" s="329"/>
      <c r="H2297" s="329"/>
      <c r="I2297" s="329"/>
      <c r="J2297" s="329"/>
      <c r="K2297" s="329"/>
      <c r="L2297" s="329"/>
      <c r="M2297" s="329"/>
      <c r="N2297" s="329"/>
      <c r="O2297" s="329"/>
      <c r="P2297" s="329"/>
      <c r="Q2297" s="329"/>
      <c r="R2297" s="329"/>
    </row>
    <row r="2298" spans="1:18" ht="13">
      <c r="A2298" s="282"/>
      <c r="B2298" s="282"/>
      <c r="C2298" s="282"/>
      <c r="D2298" s="282"/>
      <c r="E2298" s="282"/>
      <c r="F2298" s="282"/>
      <c r="G2298" s="329"/>
      <c r="H2298" s="329"/>
      <c r="I2298" s="329"/>
      <c r="J2298" s="329"/>
      <c r="K2298" s="329"/>
      <c r="L2298" s="329"/>
      <c r="M2298" s="329"/>
      <c r="N2298" s="329"/>
      <c r="O2298" s="329"/>
      <c r="P2298" s="329"/>
      <c r="Q2298" s="329"/>
      <c r="R2298" s="329"/>
    </row>
    <row r="2299" spans="1:18" ht="13">
      <c r="A2299" s="282"/>
      <c r="B2299" s="282"/>
      <c r="C2299" s="282"/>
      <c r="D2299" s="282"/>
      <c r="E2299" s="282"/>
      <c r="F2299" s="282"/>
      <c r="G2299" s="329"/>
      <c r="H2299" s="329"/>
      <c r="I2299" s="329"/>
      <c r="J2299" s="329"/>
      <c r="K2299" s="329"/>
      <c r="L2299" s="329"/>
      <c r="M2299" s="329"/>
      <c r="N2299" s="329"/>
      <c r="O2299" s="329"/>
      <c r="P2299" s="329"/>
      <c r="Q2299" s="329"/>
      <c r="R2299" s="329"/>
    </row>
    <row r="2300" spans="1:18" ht="13">
      <c r="A2300" s="282"/>
      <c r="B2300" s="282"/>
      <c r="C2300" s="282"/>
      <c r="D2300" s="282"/>
      <c r="E2300" s="282"/>
      <c r="F2300" s="282"/>
      <c r="G2300" s="329"/>
      <c r="H2300" s="329"/>
      <c r="I2300" s="329"/>
      <c r="J2300" s="329"/>
      <c r="K2300" s="329"/>
      <c r="L2300" s="329"/>
      <c r="M2300" s="329"/>
      <c r="N2300" s="329"/>
      <c r="O2300" s="329"/>
      <c r="P2300" s="329"/>
      <c r="Q2300" s="329"/>
      <c r="R2300" s="329"/>
    </row>
    <row r="2301" spans="1:18" ht="13">
      <c r="A2301" s="282"/>
      <c r="B2301" s="282"/>
      <c r="C2301" s="282"/>
      <c r="D2301" s="282"/>
      <c r="E2301" s="282"/>
      <c r="F2301" s="282"/>
      <c r="G2301" s="329"/>
      <c r="H2301" s="329"/>
      <c r="I2301" s="329"/>
      <c r="J2301" s="329"/>
      <c r="K2301" s="329"/>
      <c r="L2301" s="329"/>
      <c r="M2301" s="329"/>
      <c r="N2301" s="329"/>
      <c r="O2301" s="329"/>
      <c r="P2301" s="329"/>
      <c r="Q2301" s="329"/>
      <c r="R2301" s="329"/>
    </row>
    <row r="2302" spans="1:18" ht="13">
      <c r="A2302" s="282"/>
      <c r="B2302" s="282"/>
      <c r="C2302" s="282"/>
      <c r="D2302" s="282"/>
      <c r="E2302" s="282"/>
      <c r="F2302" s="282"/>
      <c r="G2302" s="329"/>
      <c r="H2302" s="329"/>
      <c r="I2302" s="329"/>
      <c r="J2302" s="329"/>
      <c r="K2302" s="329"/>
      <c r="L2302" s="329"/>
      <c r="M2302" s="329"/>
      <c r="N2302" s="329"/>
      <c r="O2302" s="329"/>
      <c r="P2302" s="329"/>
      <c r="Q2302" s="329"/>
      <c r="R2302" s="329"/>
    </row>
    <row r="2303" spans="1:18" ht="13">
      <c r="A2303" s="282"/>
      <c r="B2303" s="282"/>
      <c r="C2303" s="282"/>
      <c r="D2303" s="282"/>
      <c r="E2303" s="282"/>
      <c r="F2303" s="282"/>
      <c r="G2303" s="329"/>
      <c r="H2303" s="329"/>
      <c r="I2303" s="329"/>
      <c r="J2303" s="329"/>
      <c r="K2303" s="329"/>
      <c r="L2303" s="329"/>
      <c r="M2303" s="329"/>
      <c r="N2303" s="329"/>
      <c r="O2303" s="329"/>
      <c r="P2303" s="329"/>
      <c r="Q2303" s="329"/>
      <c r="R2303" s="329"/>
    </row>
    <row r="2304" spans="1:18" ht="13">
      <c r="A2304" s="282"/>
      <c r="B2304" s="282"/>
      <c r="C2304" s="282"/>
      <c r="D2304" s="282"/>
      <c r="E2304" s="282"/>
      <c r="F2304" s="282"/>
      <c r="G2304" s="329"/>
      <c r="H2304" s="329"/>
      <c r="I2304" s="329"/>
      <c r="J2304" s="329"/>
      <c r="K2304" s="329"/>
      <c r="L2304" s="329"/>
      <c r="M2304" s="329"/>
      <c r="N2304" s="329"/>
      <c r="O2304" s="329"/>
      <c r="P2304" s="329"/>
      <c r="Q2304" s="329"/>
      <c r="R2304" s="329"/>
    </row>
    <row r="2305" spans="1:18" ht="13">
      <c r="A2305" s="282"/>
      <c r="B2305" s="282"/>
      <c r="C2305" s="282"/>
      <c r="D2305" s="282"/>
      <c r="E2305" s="282"/>
      <c r="F2305" s="282"/>
      <c r="G2305" s="329"/>
      <c r="H2305" s="329"/>
      <c r="I2305" s="329"/>
      <c r="J2305" s="329"/>
      <c r="K2305" s="329"/>
      <c r="L2305" s="329"/>
      <c r="M2305" s="329"/>
      <c r="N2305" s="329"/>
      <c r="O2305" s="329"/>
      <c r="P2305" s="329"/>
      <c r="Q2305" s="329"/>
      <c r="R2305" s="329"/>
    </row>
    <row r="2306" spans="1:18" ht="13">
      <c r="A2306" s="282"/>
      <c r="B2306" s="282"/>
      <c r="C2306" s="282"/>
      <c r="D2306" s="282"/>
      <c r="E2306" s="282"/>
      <c r="F2306" s="282"/>
      <c r="G2306" s="329"/>
      <c r="H2306" s="329"/>
      <c r="I2306" s="329"/>
      <c r="J2306" s="329"/>
      <c r="K2306" s="329"/>
      <c r="L2306" s="329"/>
      <c r="M2306" s="329"/>
      <c r="N2306" s="329"/>
      <c r="O2306" s="329"/>
      <c r="P2306" s="329"/>
      <c r="Q2306" s="329"/>
      <c r="R2306" s="329"/>
    </row>
    <row r="2307" spans="1:18" ht="13">
      <c r="A2307" s="282"/>
      <c r="B2307" s="282"/>
      <c r="C2307" s="282"/>
      <c r="D2307" s="282"/>
      <c r="E2307" s="282"/>
      <c r="F2307" s="282"/>
      <c r="G2307" s="329"/>
      <c r="H2307" s="329"/>
      <c r="I2307" s="329"/>
      <c r="J2307" s="329"/>
      <c r="K2307" s="329"/>
      <c r="L2307" s="329"/>
      <c r="M2307" s="329"/>
      <c r="N2307" s="329"/>
      <c r="O2307" s="329"/>
      <c r="P2307" s="329"/>
      <c r="Q2307" s="329"/>
      <c r="R2307" s="329"/>
    </row>
    <row r="2308" spans="1:18" ht="13">
      <c r="A2308" s="282"/>
      <c r="B2308" s="282"/>
      <c r="C2308" s="282"/>
      <c r="D2308" s="282"/>
      <c r="E2308" s="282"/>
      <c r="F2308" s="282"/>
      <c r="G2308" s="329"/>
      <c r="H2308" s="329"/>
      <c r="I2308" s="329"/>
      <c r="J2308" s="329"/>
      <c r="K2308" s="329"/>
      <c r="L2308" s="329"/>
      <c r="M2308" s="329"/>
      <c r="N2308" s="329"/>
      <c r="O2308" s="329"/>
      <c r="P2308" s="329"/>
      <c r="Q2308" s="329"/>
      <c r="R2308" s="329"/>
    </row>
    <row r="2309" spans="1:18" ht="13">
      <c r="A2309" s="282"/>
      <c r="B2309" s="282"/>
      <c r="C2309" s="282"/>
      <c r="D2309" s="282"/>
      <c r="E2309" s="282"/>
      <c r="F2309" s="282"/>
      <c r="G2309" s="329"/>
      <c r="H2309" s="329"/>
      <c r="I2309" s="329"/>
      <c r="J2309" s="329"/>
      <c r="K2309" s="329"/>
      <c r="L2309" s="329"/>
      <c r="M2309" s="329"/>
      <c r="N2309" s="329"/>
      <c r="O2309" s="329"/>
      <c r="P2309" s="329"/>
      <c r="Q2309" s="329"/>
      <c r="R2309" s="329"/>
    </row>
    <row r="2310" spans="1:18" ht="13">
      <c r="A2310" s="282"/>
      <c r="B2310" s="282"/>
      <c r="C2310" s="282"/>
      <c r="D2310" s="282"/>
      <c r="E2310" s="282"/>
      <c r="F2310" s="282"/>
      <c r="G2310" s="329"/>
      <c r="H2310" s="329"/>
      <c r="I2310" s="329"/>
      <c r="J2310" s="329"/>
      <c r="K2310" s="329"/>
      <c r="L2310" s="329"/>
      <c r="M2310" s="329"/>
      <c r="N2310" s="329"/>
      <c r="O2310" s="329"/>
      <c r="P2310" s="329"/>
      <c r="Q2310" s="329"/>
      <c r="R2310" s="329"/>
    </row>
    <row r="2311" spans="1:18" ht="13">
      <c r="A2311" s="282"/>
      <c r="B2311" s="282"/>
      <c r="C2311" s="282"/>
      <c r="D2311" s="282"/>
      <c r="E2311" s="282"/>
      <c r="F2311" s="282"/>
      <c r="G2311" s="329"/>
      <c r="H2311" s="329"/>
      <c r="I2311" s="329"/>
      <c r="J2311" s="329"/>
      <c r="K2311" s="329"/>
      <c r="L2311" s="329"/>
      <c r="M2311" s="329"/>
      <c r="N2311" s="329"/>
      <c r="O2311" s="329"/>
      <c r="P2311" s="329"/>
      <c r="Q2311" s="329"/>
      <c r="R2311" s="329"/>
    </row>
    <row r="2312" spans="1:18" ht="13">
      <c r="A2312" s="282"/>
      <c r="B2312" s="282"/>
      <c r="C2312" s="282"/>
      <c r="D2312" s="282"/>
      <c r="E2312" s="282"/>
      <c r="F2312" s="282"/>
      <c r="G2312" s="329"/>
      <c r="H2312" s="329"/>
      <c r="I2312" s="329"/>
      <c r="J2312" s="329"/>
      <c r="K2312" s="329"/>
      <c r="L2312" s="329"/>
      <c r="M2312" s="329"/>
      <c r="N2312" s="329"/>
      <c r="O2312" s="329"/>
      <c r="P2312" s="329"/>
      <c r="Q2312" s="329"/>
      <c r="R2312" s="329"/>
    </row>
    <row r="2313" spans="1:18" ht="13">
      <c r="A2313" s="282"/>
      <c r="B2313" s="282"/>
      <c r="C2313" s="282"/>
      <c r="D2313" s="282"/>
      <c r="E2313" s="282"/>
      <c r="F2313" s="282"/>
      <c r="G2313" s="329"/>
      <c r="H2313" s="329"/>
      <c r="I2313" s="329"/>
      <c r="J2313" s="329"/>
      <c r="K2313" s="329"/>
      <c r="L2313" s="329"/>
      <c r="M2313" s="329"/>
      <c r="N2313" s="329"/>
      <c r="O2313" s="329"/>
      <c r="P2313" s="329"/>
      <c r="Q2313" s="329"/>
      <c r="R2313" s="329"/>
    </row>
    <row r="2314" spans="1:18" ht="13">
      <c r="A2314" s="282"/>
      <c r="B2314" s="282"/>
      <c r="C2314" s="282"/>
      <c r="D2314" s="282"/>
      <c r="E2314" s="282"/>
      <c r="F2314" s="282"/>
      <c r="G2314" s="329"/>
      <c r="H2314" s="329"/>
      <c r="I2314" s="329"/>
      <c r="J2314" s="329"/>
      <c r="K2314" s="329"/>
      <c r="L2314" s="329"/>
      <c r="M2314" s="329"/>
      <c r="N2314" s="329"/>
      <c r="O2314" s="329"/>
      <c r="P2314" s="329"/>
      <c r="Q2314" s="329"/>
      <c r="R2314" s="329"/>
    </row>
    <row r="2315" spans="1:18" ht="13">
      <c r="A2315" s="282"/>
      <c r="B2315" s="282"/>
      <c r="C2315" s="282"/>
      <c r="D2315" s="282"/>
      <c r="E2315" s="282"/>
      <c r="F2315" s="282"/>
      <c r="G2315" s="329"/>
      <c r="H2315" s="329"/>
      <c r="I2315" s="329"/>
      <c r="J2315" s="329"/>
      <c r="K2315" s="329"/>
      <c r="L2315" s="329"/>
      <c r="M2315" s="329"/>
      <c r="N2315" s="329"/>
      <c r="O2315" s="329"/>
      <c r="P2315" s="329"/>
      <c r="Q2315" s="329"/>
      <c r="R2315" s="329"/>
    </row>
    <row r="2316" spans="1:18" ht="13">
      <c r="A2316" s="282"/>
      <c r="B2316" s="282"/>
      <c r="C2316" s="282"/>
      <c r="D2316" s="282"/>
      <c r="E2316" s="282"/>
      <c r="F2316" s="282"/>
      <c r="G2316" s="329"/>
      <c r="H2316" s="329"/>
      <c r="I2316" s="329"/>
      <c r="J2316" s="329"/>
      <c r="K2316" s="329"/>
      <c r="L2316" s="329"/>
      <c r="M2316" s="329"/>
      <c r="N2316" s="329"/>
      <c r="O2316" s="329"/>
      <c r="P2316" s="329"/>
      <c r="Q2316" s="329"/>
      <c r="R2316" s="329"/>
    </row>
    <row r="2317" spans="1:18" ht="13">
      <c r="A2317" s="282"/>
      <c r="B2317" s="282"/>
      <c r="C2317" s="282"/>
      <c r="D2317" s="282"/>
      <c r="E2317" s="282"/>
      <c r="F2317" s="282"/>
      <c r="G2317" s="329"/>
      <c r="H2317" s="329"/>
      <c r="I2317" s="329"/>
      <c r="J2317" s="329"/>
      <c r="K2317" s="329"/>
      <c r="L2317" s="329"/>
      <c r="M2317" s="329"/>
      <c r="N2317" s="329"/>
      <c r="O2317" s="329"/>
      <c r="P2317" s="329"/>
      <c r="Q2317" s="329"/>
      <c r="R2317" s="329"/>
    </row>
    <row r="2318" spans="1:18" ht="13">
      <c r="A2318" s="282"/>
      <c r="B2318" s="282"/>
      <c r="C2318" s="282"/>
      <c r="D2318" s="282"/>
      <c r="E2318" s="282"/>
      <c r="F2318" s="282"/>
      <c r="G2318" s="329"/>
      <c r="H2318" s="329"/>
      <c r="I2318" s="329"/>
      <c r="J2318" s="329"/>
      <c r="K2318" s="329"/>
      <c r="L2318" s="329"/>
      <c r="M2318" s="329"/>
      <c r="N2318" s="329"/>
      <c r="O2318" s="329"/>
      <c r="P2318" s="329"/>
      <c r="Q2318" s="329"/>
      <c r="R2318" s="329"/>
    </row>
    <row r="2319" spans="1:18" ht="13">
      <c r="A2319" s="282"/>
      <c r="B2319" s="282"/>
      <c r="C2319" s="282"/>
      <c r="D2319" s="282"/>
      <c r="E2319" s="282"/>
      <c r="F2319" s="282"/>
      <c r="G2319" s="329"/>
      <c r="H2319" s="329"/>
      <c r="I2319" s="329"/>
      <c r="J2319" s="329"/>
      <c r="K2319" s="329"/>
      <c r="L2319" s="329"/>
      <c r="M2319" s="329"/>
      <c r="N2319" s="329"/>
      <c r="O2319" s="329"/>
      <c r="P2319" s="329"/>
      <c r="Q2319" s="329"/>
      <c r="R2319" s="329"/>
    </row>
    <row r="2320" spans="1:18" ht="13">
      <c r="A2320" s="282"/>
      <c r="B2320" s="282"/>
      <c r="C2320" s="282"/>
      <c r="D2320" s="282"/>
      <c r="E2320" s="282"/>
      <c r="F2320" s="282"/>
      <c r="G2320" s="329"/>
      <c r="H2320" s="329"/>
      <c r="I2320" s="329"/>
      <c r="J2320" s="329"/>
      <c r="K2320" s="329"/>
      <c r="L2320" s="329"/>
      <c r="M2320" s="329"/>
      <c r="N2320" s="329"/>
      <c r="O2320" s="329"/>
      <c r="P2320" s="329"/>
      <c r="Q2320" s="329"/>
      <c r="R2320" s="329"/>
    </row>
    <row r="2321" spans="1:18" ht="13">
      <c r="A2321" s="282"/>
      <c r="B2321" s="282"/>
      <c r="C2321" s="282"/>
      <c r="D2321" s="282"/>
      <c r="E2321" s="282"/>
      <c r="F2321" s="282"/>
      <c r="G2321" s="329"/>
      <c r="H2321" s="329"/>
      <c r="I2321" s="329"/>
      <c r="J2321" s="329"/>
      <c r="K2321" s="329"/>
      <c r="L2321" s="329"/>
      <c r="M2321" s="329"/>
      <c r="N2321" s="329"/>
      <c r="O2321" s="329"/>
      <c r="P2321" s="329"/>
      <c r="Q2321" s="329"/>
      <c r="R2321" s="329"/>
    </row>
    <row r="2322" spans="1:18" ht="13">
      <c r="A2322" s="282"/>
      <c r="B2322" s="282"/>
      <c r="C2322" s="282"/>
      <c r="D2322" s="282"/>
      <c r="E2322" s="282"/>
      <c r="F2322" s="282"/>
      <c r="G2322" s="329"/>
      <c r="H2322" s="329"/>
      <c r="I2322" s="329"/>
      <c r="J2322" s="329"/>
      <c r="K2322" s="329"/>
      <c r="L2322" s="329"/>
      <c r="M2322" s="329"/>
      <c r="N2322" s="329"/>
      <c r="O2322" s="329"/>
      <c r="P2322" s="329"/>
      <c r="Q2322" s="329"/>
      <c r="R2322" s="329"/>
    </row>
    <row r="2323" spans="1:18" ht="13">
      <c r="A2323" s="282"/>
      <c r="B2323" s="282"/>
      <c r="C2323" s="282"/>
      <c r="D2323" s="282"/>
      <c r="E2323" s="282"/>
      <c r="F2323" s="282"/>
      <c r="G2323" s="329"/>
      <c r="H2323" s="329"/>
      <c r="I2323" s="329"/>
      <c r="J2323" s="329"/>
      <c r="K2323" s="329"/>
      <c r="L2323" s="329"/>
      <c r="M2323" s="329"/>
      <c r="N2323" s="329"/>
      <c r="O2323" s="329"/>
      <c r="P2323" s="329"/>
      <c r="Q2323" s="329"/>
      <c r="R2323" s="329"/>
    </row>
    <row r="2324" spans="1:18" ht="13">
      <c r="A2324" s="282"/>
      <c r="B2324" s="282"/>
      <c r="C2324" s="282"/>
      <c r="D2324" s="282"/>
      <c r="E2324" s="282"/>
      <c r="F2324" s="282"/>
      <c r="G2324" s="329"/>
      <c r="H2324" s="329"/>
      <c r="I2324" s="329"/>
      <c r="J2324" s="329"/>
      <c r="K2324" s="329"/>
      <c r="L2324" s="329"/>
      <c r="M2324" s="329"/>
      <c r="N2324" s="329"/>
      <c r="O2324" s="329"/>
      <c r="P2324" s="329"/>
      <c r="Q2324" s="329"/>
      <c r="R2324" s="329"/>
    </row>
    <row r="2325" spans="1:18" ht="13">
      <c r="A2325" s="282"/>
      <c r="B2325" s="282"/>
      <c r="C2325" s="282"/>
      <c r="D2325" s="282"/>
      <c r="E2325" s="282"/>
      <c r="F2325" s="282"/>
      <c r="G2325" s="329"/>
      <c r="H2325" s="329"/>
      <c r="I2325" s="329"/>
      <c r="J2325" s="329"/>
      <c r="K2325" s="329"/>
      <c r="L2325" s="329"/>
      <c r="M2325" s="329"/>
      <c r="N2325" s="329"/>
      <c r="O2325" s="329"/>
      <c r="P2325" s="329"/>
      <c r="Q2325" s="329"/>
      <c r="R2325" s="329"/>
    </row>
    <row r="2326" spans="1:18" ht="13">
      <c r="A2326" s="282"/>
      <c r="B2326" s="282"/>
      <c r="C2326" s="282"/>
      <c r="D2326" s="282"/>
      <c r="E2326" s="282"/>
      <c r="F2326" s="282"/>
      <c r="G2326" s="329"/>
      <c r="H2326" s="329"/>
      <c r="I2326" s="329"/>
      <c r="J2326" s="329"/>
      <c r="K2326" s="329"/>
      <c r="L2326" s="329"/>
      <c r="M2326" s="329"/>
      <c r="N2326" s="329"/>
      <c r="O2326" s="329"/>
      <c r="P2326" s="329"/>
      <c r="Q2326" s="329"/>
      <c r="R2326" s="329"/>
    </row>
    <row r="2327" spans="1:18" ht="13">
      <c r="A2327" s="282"/>
      <c r="B2327" s="282"/>
      <c r="C2327" s="282"/>
      <c r="D2327" s="282"/>
      <c r="E2327" s="282"/>
      <c r="F2327" s="282"/>
      <c r="G2327" s="329"/>
      <c r="H2327" s="329"/>
      <c r="I2327" s="329"/>
      <c r="J2327" s="329"/>
      <c r="K2327" s="329"/>
      <c r="L2327" s="329"/>
      <c r="M2327" s="329"/>
      <c r="N2327" s="329"/>
      <c r="O2327" s="329"/>
      <c r="P2327" s="329"/>
      <c r="Q2327" s="329"/>
      <c r="R2327" s="329"/>
    </row>
    <row r="2328" spans="1:18" ht="13">
      <c r="A2328" s="282"/>
      <c r="B2328" s="282"/>
      <c r="C2328" s="282"/>
      <c r="D2328" s="282"/>
      <c r="E2328" s="282"/>
      <c r="F2328" s="282"/>
      <c r="G2328" s="329"/>
      <c r="H2328" s="329"/>
      <c r="I2328" s="329"/>
      <c r="J2328" s="329"/>
      <c r="K2328" s="329"/>
      <c r="L2328" s="329"/>
      <c r="M2328" s="329"/>
      <c r="N2328" s="329"/>
      <c r="O2328" s="329"/>
      <c r="P2328" s="329"/>
      <c r="Q2328" s="329"/>
      <c r="R2328" s="329"/>
    </row>
    <row r="2329" spans="1:18" ht="13">
      <c r="A2329" s="282"/>
      <c r="B2329" s="282"/>
      <c r="C2329" s="282"/>
      <c r="D2329" s="282"/>
      <c r="E2329" s="282"/>
      <c r="F2329" s="282"/>
      <c r="G2329" s="329"/>
      <c r="H2329" s="329"/>
      <c r="I2329" s="329"/>
      <c r="J2329" s="329"/>
      <c r="K2329" s="329"/>
      <c r="L2329" s="329"/>
      <c r="M2329" s="329"/>
      <c r="N2329" s="329"/>
      <c r="O2329" s="329"/>
      <c r="P2329" s="329"/>
      <c r="Q2329" s="329"/>
      <c r="R2329" s="329"/>
    </row>
    <row r="2330" spans="1:18" ht="13">
      <c r="A2330" s="282"/>
      <c r="B2330" s="282"/>
      <c r="C2330" s="282"/>
      <c r="D2330" s="282"/>
      <c r="E2330" s="282"/>
      <c r="F2330" s="282"/>
      <c r="G2330" s="329"/>
      <c r="H2330" s="329"/>
      <c r="I2330" s="329"/>
      <c r="J2330" s="329"/>
      <c r="K2330" s="329"/>
      <c r="L2330" s="329"/>
      <c r="M2330" s="329"/>
      <c r="N2330" s="329"/>
      <c r="O2330" s="329"/>
      <c r="P2330" s="329"/>
      <c r="Q2330" s="329"/>
      <c r="R2330" s="329"/>
    </row>
    <row r="2331" spans="1:18" ht="13">
      <c r="A2331" s="282"/>
      <c r="B2331" s="282"/>
      <c r="C2331" s="282"/>
      <c r="D2331" s="282"/>
      <c r="E2331" s="282"/>
      <c r="F2331" s="282"/>
      <c r="G2331" s="329"/>
      <c r="H2331" s="329"/>
      <c r="I2331" s="329"/>
      <c r="J2331" s="329"/>
      <c r="K2331" s="329"/>
      <c r="L2331" s="329"/>
      <c r="M2331" s="329"/>
      <c r="N2331" s="329"/>
      <c r="O2331" s="329"/>
      <c r="P2331" s="329"/>
      <c r="Q2331" s="329"/>
      <c r="R2331" s="329"/>
    </row>
    <row r="2332" spans="1:18" ht="13">
      <c r="A2332" s="282"/>
      <c r="B2332" s="282"/>
      <c r="C2332" s="282"/>
      <c r="D2332" s="282"/>
      <c r="E2332" s="282"/>
      <c r="F2332" s="282"/>
      <c r="G2332" s="329"/>
      <c r="H2332" s="329"/>
      <c r="I2332" s="329"/>
      <c r="J2332" s="329"/>
      <c r="K2332" s="329"/>
      <c r="L2332" s="329"/>
      <c r="M2332" s="329"/>
      <c r="N2332" s="329"/>
      <c r="O2332" s="329"/>
      <c r="P2332" s="329"/>
      <c r="Q2332" s="329"/>
      <c r="R2332" s="329"/>
    </row>
    <row r="2333" spans="1:18" ht="13">
      <c r="A2333" s="282"/>
      <c r="B2333" s="282"/>
      <c r="C2333" s="282"/>
      <c r="D2333" s="282"/>
      <c r="E2333" s="282"/>
      <c r="F2333" s="282"/>
      <c r="G2333" s="329"/>
      <c r="H2333" s="329"/>
      <c r="I2333" s="329"/>
      <c r="J2333" s="329"/>
      <c r="K2333" s="329"/>
      <c r="L2333" s="329"/>
      <c r="M2333" s="329"/>
      <c r="N2333" s="329"/>
      <c r="O2333" s="329"/>
      <c r="P2333" s="329"/>
      <c r="Q2333" s="329"/>
      <c r="R2333" s="329"/>
    </row>
    <row r="2334" spans="1:18" ht="13">
      <c r="A2334" s="282"/>
      <c r="B2334" s="282"/>
      <c r="C2334" s="282"/>
      <c r="D2334" s="282"/>
      <c r="E2334" s="282"/>
      <c r="F2334" s="282"/>
      <c r="G2334" s="329"/>
      <c r="H2334" s="329"/>
      <c r="I2334" s="329"/>
      <c r="J2334" s="329"/>
      <c r="K2334" s="329"/>
      <c r="L2334" s="329"/>
      <c r="M2334" s="329"/>
      <c r="N2334" s="329"/>
      <c r="O2334" s="329"/>
      <c r="P2334" s="329"/>
      <c r="Q2334" s="329"/>
      <c r="R2334" s="329"/>
    </row>
    <row r="2335" spans="1:18" ht="13">
      <c r="A2335" s="282"/>
      <c r="B2335" s="282"/>
      <c r="C2335" s="282"/>
      <c r="D2335" s="282"/>
      <c r="E2335" s="282"/>
      <c r="F2335" s="282"/>
      <c r="G2335" s="329"/>
      <c r="H2335" s="329"/>
      <c r="I2335" s="329"/>
      <c r="J2335" s="329"/>
      <c r="K2335" s="329"/>
      <c r="L2335" s="329"/>
      <c r="M2335" s="329"/>
      <c r="N2335" s="329"/>
      <c r="O2335" s="329"/>
      <c r="P2335" s="329"/>
      <c r="Q2335" s="329"/>
      <c r="R2335" s="329"/>
    </row>
    <row r="2336" spans="1:18" ht="13">
      <c r="A2336" s="282"/>
      <c r="B2336" s="282"/>
      <c r="C2336" s="282"/>
      <c r="D2336" s="282"/>
      <c r="E2336" s="282"/>
      <c r="F2336" s="282"/>
      <c r="G2336" s="329"/>
      <c r="H2336" s="329"/>
      <c r="I2336" s="329"/>
      <c r="J2336" s="329"/>
      <c r="K2336" s="329"/>
      <c r="L2336" s="329"/>
      <c r="M2336" s="329"/>
      <c r="N2336" s="329"/>
      <c r="O2336" s="329"/>
      <c r="P2336" s="329"/>
      <c r="Q2336" s="329"/>
      <c r="R2336" s="329"/>
    </row>
    <row r="2337" spans="1:18" ht="13">
      <c r="A2337" s="282"/>
      <c r="B2337" s="282"/>
      <c r="C2337" s="282"/>
      <c r="D2337" s="282"/>
      <c r="E2337" s="282"/>
      <c r="F2337" s="282"/>
      <c r="G2337" s="329"/>
      <c r="H2337" s="329"/>
      <c r="I2337" s="329"/>
      <c r="J2337" s="329"/>
      <c r="K2337" s="329"/>
      <c r="L2337" s="329"/>
      <c r="M2337" s="329"/>
      <c r="N2337" s="329"/>
      <c r="O2337" s="329"/>
      <c r="P2337" s="329"/>
      <c r="Q2337" s="329"/>
      <c r="R2337" s="329"/>
    </row>
    <row r="2338" spans="1:18" ht="13">
      <c r="A2338" s="282"/>
      <c r="B2338" s="282"/>
      <c r="C2338" s="282"/>
      <c r="D2338" s="282"/>
      <c r="E2338" s="282"/>
      <c r="F2338" s="282"/>
      <c r="G2338" s="329"/>
      <c r="H2338" s="329"/>
      <c r="I2338" s="329"/>
      <c r="J2338" s="329"/>
      <c r="K2338" s="329"/>
      <c r="L2338" s="329"/>
      <c r="M2338" s="329"/>
      <c r="N2338" s="329"/>
      <c r="O2338" s="329"/>
      <c r="P2338" s="329"/>
      <c r="Q2338" s="329"/>
      <c r="R2338" s="329"/>
    </row>
    <row r="2339" spans="1:18" ht="13">
      <c r="A2339" s="282"/>
      <c r="B2339" s="282"/>
      <c r="C2339" s="282"/>
      <c r="D2339" s="282"/>
      <c r="E2339" s="282"/>
      <c r="F2339" s="282"/>
      <c r="G2339" s="329"/>
      <c r="H2339" s="329"/>
      <c r="I2339" s="329"/>
      <c r="J2339" s="329"/>
      <c r="K2339" s="329"/>
      <c r="L2339" s="329"/>
      <c r="M2339" s="329"/>
      <c r="N2339" s="329"/>
      <c r="O2339" s="329"/>
      <c r="P2339" s="329"/>
      <c r="Q2339" s="329"/>
      <c r="R2339" s="329"/>
    </row>
    <row r="2340" spans="1:18" ht="13">
      <c r="A2340" s="282"/>
      <c r="B2340" s="282"/>
      <c r="C2340" s="282"/>
      <c r="D2340" s="282"/>
      <c r="E2340" s="282"/>
      <c r="F2340" s="282"/>
      <c r="G2340" s="329"/>
      <c r="H2340" s="329"/>
      <c r="I2340" s="329"/>
      <c r="J2340" s="329"/>
      <c r="K2340" s="329"/>
      <c r="L2340" s="329"/>
      <c r="M2340" s="329"/>
      <c r="N2340" s="329"/>
      <c r="O2340" s="329"/>
      <c r="P2340" s="329"/>
      <c r="Q2340" s="329"/>
      <c r="R2340" s="329"/>
    </row>
    <row r="2341" spans="1:18" ht="13">
      <c r="A2341" s="282"/>
      <c r="B2341" s="282"/>
      <c r="C2341" s="282"/>
      <c r="D2341" s="282"/>
      <c r="E2341" s="282"/>
      <c r="F2341" s="282"/>
      <c r="G2341" s="329"/>
      <c r="H2341" s="329"/>
      <c r="I2341" s="329"/>
      <c r="J2341" s="329"/>
      <c r="K2341" s="329"/>
      <c r="L2341" s="329"/>
      <c r="M2341" s="329"/>
      <c r="N2341" s="329"/>
      <c r="O2341" s="329"/>
      <c r="P2341" s="329"/>
      <c r="Q2341" s="329"/>
      <c r="R2341" s="329"/>
    </row>
    <row r="2342" spans="1:18" ht="13">
      <c r="A2342" s="282"/>
      <c r="B2342" s="282"/>
      <c r="C2342" s="282"/>
      <c r="D2342" s="282"/>
      <c r="E2342" s="282"/>
      <c r="F2342" s="282"/>
      <c r="G2342" s="329"/>
      <c r="H2342" s="329"/>
      <c r="I2342" s="329"/>
      <c r="J2342" s="329"/>
      <c r="K2342" s="329"/>
      <c r="L2342" s="329"/>
      <c r="M2342" s="329"/>
      <c r="N2342" s="329"/>
      <c r="O2342" s="329"/>
      <c r="P2342" s="329"/>
      <c r="Q2342" s="329"/>
      <c r="R2342" s="329"/>
    </row>
    <row r="2343" spans="1:18" ht="13">
      <c r="A2343" s="282"/>
      <c r="B2343" s="282"/>
      <c r="C2343" s="282"/>
      <c r="D2343" s="282"/>
      <c r="E2343" s="282"/>
      <c r="F2343" s="282"/>
      <c r="G2343" s="329"/>
      <c r="H2343" s="329"/>
      <c r="I2343" s="329"/>
      <c r="J2343" s="329"/>
      <c r="K2343" s="329"/>
      <c r="L2343" s="329"/>
      <c r="M2343" s="329"/>
      <c r="N2343" s="329"/>
      <c r="O2343" s="329"/>
      <c r="P2343" s="329"/>
      <c r="Q2343" s="329"/>
      <c r="R2343" s="329"/>
    </row>
    <row r="2344" spans="1:18" ht="13">
      <c r="A2344" s="282"/>
      <c r="B2344" s="282"/>
      <c r="C2344" s="282"/>
      <c r="D2344" s="282"/>
      <c r="E2344" s="282"/>
      <c r="F2344" s="282"/>
      <c r="G2344" s="329"/>
      <c r="H2344" s="329"/>
      <c r="I2344" s="329"/>
      <c r="J2344" s="329"/>
      <c r="K2344" s="329"/>
      <c r="L2344" s="329"/>
      <c r="M2344" s="329"/>
      <c r="N2344" s="329"/>
      <c r="O2344" s="329"/>
      <c r="P2344" s="329"/>
      <c r="Q2344" s="329"/>
      <c r="R2344" s="329"/>
    </row>
    <row r="2345" spans="1:18" ht="13">
      <c r="A2345" s="282"/>
      <c r="B2345" s="282"/>
      <c r="C2345" s="282"/>
      <c r="D2345" s="282"/>
      <c r="E2345" s="282"/>
      <c r="F2345" s="282"/>
      <c r="G2345" s="329"/>
      <c r="H2345" s="329"/>
      <c r="I2345" s="329"/>
      <c r="J2345" s="329"/>
      <c r="K2345" s="329"/>
      <c r="L2345" s="329"/>
      <c r="M2345" s="329"/>
      <c r="N2345" s="329"/>
      <c r="O2345" s="329"/>
      <c r="P2345" s="329"/>
      <c r="Q2345" s="329"/>
      <c r="R2345" s="329"/>
    </row>
    <row r="2346" spans="1:18" ht="13">
      <c r="A2346" s="282"/>
      <c r="B2346" s="282"/>
      <c r="C2346" s="282"/>
      <c r="D2346" s="282"/>
      <c r="E2346" s="282"/>
      <c r="F2346" s="282"/>
      <c r="G2346" s="329"/>
      <c r="H2346" s="329"/>
      <c r="I2346" s="329"/>
      <c r="J2346" s="329"/>
      <c r="K2346" s="329"/>
      <c r="L2346" s="329"/>
      <c r="M2346" s="329"/>
      <c r="N2346" s="329"/>
      <c r="O2346" s="329"/>
      <c r="P2346" s="329"/>
      <c r="Q2346" s="329"/>
      <c r="R2346" s="329"/>
    </row>
    <row r="2347" spans="1:18" ht="13">
      <c r="A2347" s="282"/>
      <c r="B2347" s="282"/>
      <c r="C2347" s="282"/>
      <c r="D2347" s="282"/>
      <c r="E2347" s="282"/>
      <c r="F2347" s="282"/>
      <c r="G2347" s="329"/>
      <c r="H2347" s="329"/>
      <c r="I2347" s="329"/>
      <c r="J2347" s="329"/>
      <c r="K2347" s="329"/>
      <c r="L2347" s="329"/>
      <c r="M2347" s="329"/>
      <c r="N2347" s="329"/>
      <c r="O2347" s="329"/>
      <c r="P2347" s="329"/>
      <c r="Q2347" s="329"/>
      <c r="R2347" s="329"/>
    </row>
    <row r="2348" spans="1:18" ht="13">
      <c r="A2348" s="282"/>
      <c r="B2348" s="282"/>
      <c r="C2348" s="282"/>
      <c r="D2348" s="282"/>
      <c r="E2348" s="282"/>
      <c r="F2348" s="282"/>
      <c r="G2348" s="329"/>
      <c r="H2348" s="329"/>
      <c r="I2348" s="329"/>
      <c r="J2348" s="329"/>
      <c r="K2348" s="329"/>
      <c r="L2348" s="329"/>
      <c r="M2348" s="329"/>
      <c r="N2348" s="329"/>
      <c r="O2348" s="329"/>
      <c r="P2348" s="329"/>
      <c r="Q2348" s="329"/>
      <c r="R2348" s="329"/>
    </row>
    <row r="2349" spans="1:18" ht="13">
      <c r="A2349" s="282"/>
      <c r="B2349" s="282"/>
      <c r="C2349" s="282"/>
      <c r="D2349" s="282"/>
      <c r="E2349" s="282"/>
      <c r="F2349" s="282"/>
      <c r="G2349" s="329"/>
      <c r="H2349" s="329"/>
      <c r="I2349" s="329"/>
      <c r="J2349" s="329"/>
      <c r="K2349" s="329"/>
      <c r="L2349" s="329"/>
      <c r="M2349" s="329"/>
      <c r="N2349" s="329"/>
      <c r="O2349" s="329"/>
      <c r="P2349" s="329"/>
      <c r="Q2349" s="329"/>
      <c r="R2349" s="329"/>
    </row>
    <row r="2350" spans="1:18" ht="13">
      <c r="A2350" s="282"/>
      <c r="B2350" s="282"/>
      <c r="C2350" s="282"/>
      <c r="D2350" s="282"/>
      <c r="E2350" s="282"/>
      <c r="F2350" s="282"/>
      <c r="G2350" s="329"/>
      <c r="H2350" s="329"/>
      <c r="I2350" s="329"/>
      <c r="J2350" s="329"/>
      <c r="K2350" s="329"/>
      <c r="L2350" s="329"/>
      <c r="M2350" s="329"/>
      <c r="N2350" s="329"/>
      <c r="O2350" s="329"/>
      <c r="P2350" s="329"/>
      <c r="Q2350" s="329"/>
      <c r="R2350" s="329"/>
    </row>
    <row r="2351" spans="1:18" ht="13">
      <c r="A2351" s="282"/>
      <c r="B2351" s="282"/>
      <c r="C2351" s="282"/>
      <c r="D2351" s="282"/>
      <c r="E2351" s="282"/>
      <c r="F2351" s="282"/>
      <c r="G2351" s="329"/>
      <c r="H2351" s="329"/>
      <c r="I2351" s="329"/>
      <c r="J2351" s="329"/>
      <c r="K2351" s="329"/>
      <c r="L2351" s="329"/>
      <c r="M2351" s="329"/>
      <c r="N2351" s="329"/>
      <c r="O2351" s="329"/>
      <c r="P2351" s="329"/>
      <c r="Q2351" s="329"/>
      <c r="R2351" s="329"/>
    </row>
    <row r="2352" spans="1:18" ht="13">
      <c r="A2352" s="282"/>
      <c r="B2352" s="282"/>
      <c r="C2352" s="282"/>
      <c r="D2352" s="282"/>
      <c r="E2352" s="282"/>
      <c r="F2352" s="282"/>
      <c r="G2352" s="329"/>
      <c r="H2352" s="329"/>
      <c r="I2352" s="329"/>
      <c r="J2352" s="329"/>
      <c r="K2352" s="329"/>
      <c r="L2352" s="329"/>
      <c r="M2352" s="329"/>
      <c r="N2352" s="329"/>
      <c r="O2352" s="329"/>
      <c r="P2352" s="329"/>
      <c r="Q2352" s="329"/>
      <c r="R2352" s="329"/>
    </row>
    <row r="2353" spans="1:18" ht="13">
      <c r="A2353" s="282"/>
      <c r="B2353" s="282"/>
      <c r="C2353" s="282"/>
      <c r="D2353" s="282"/>
      <c r="E2353" s="282"/>
      <c r="F2353" s="282"/>
      <c r="G2353" s="329"/>
      <c r="H2353" s="329"/>
      <c r="I2353" s="329"/>
      <c r="J2353" s="329"/>
      <c r="K2353" s="329"/>
      <c r="L2353" s="329"/>
      <c r="M2353" s="329"/>
      <c r="N2353" s="329"/>
      <c r="O2353" s="329"/>
      <c r="P2353" s="329"/>
      <c r="Q2353" s="329"/>
      <c r="R2353" s="329"/>
    </row>
    <row r="2354" spans="1:18" ht="13">
      <c r="A2354" s="282"/>
      <c r="B2354" s="282"/>
      <c r="C2354" s="282"/>
      <c r="D2354" s="282"/>
      <c r="E2354" s="282"/>
      <c r="F2354" s="282"/>
      <c r="G2354" s="329"/>
      <c r="H2354" s="329"/>
      <c r="I2354" s="329"/>
      <c r="J2354" s="329"/>
      <c r="K2354" s="329"/>
      <c r="L2354" s="329"/>
      <c r="M2354" s="329"/>
      <c r="N2354" s="329"/>
      <c r="O2354" s="329"/>
      <c r="P2354" s="329"/>
      <c r="Q2354" s="329"/>
      <c r="R2354" s="329"/>
    </row>
    <row r="2355" spans="1:18" ht="13">
      <c r="A2355" s="282"/>
      <c r="B2355" s="282"/>
      <c r="C2355" s="282"/>
      <c r="D2355" s="282"/>
      <c r="E2355" s="282"/>
      <c r="F2355" s="282"/>
      <c r="G2355" s="329"/>
      <c r="H2355" s="329"/>
      <c r="I2355" s="329"/>
      <c r="J2355" s="329"/>
      <c r="K2355" s="329"/>
      <c r="L2355" s="329"/>
      <c r="M2355" s="329"/>
      <c r="N2355" s="329"/>
      <c r="O2355" s="329"/>
      <c r="P2355" s="329"/>
      <c r="Q2355" s="329"/>
      <c r="R2355" s="329"/>
    </row>
    <row r="2356" spans="1:18" ht="13">
      <c r="A2356" s="282"/>
      <c r="B2356" s="282"/>
      <c r="C2356" s="282"/>
      <c r="D2356" s="282"/>
      <c r="E2356" s="282"/>
      <c r="F2356" s="282"/>
      <c r="G2356" s="329"/>
      <c r="H2356" s="329"/>
      <c r="I2356" s="329"/>
      <c r="J2356" s="329"/>
      <c r="K2356" s="329"/>
      <c r="L2356" s="329"/>
      <c r="M2356" s="329"/>
      <c r="N2356" s="329"/>
      <c r="O2356" s="329"/>
      <c r="P2356" s="329"/>
      <c r="Q2356" s="329"/>
      <c r="R2356" s="329"/>
    </row>
    <row r="2357" spans="1:18" ht="13">
      <c r="A2357" s="282"/>
      <c r="B2357" s="282"/>
      <c r="C2357" s="282"/>
      <c r="D2357" s="282"/>
      <c r="E2357" s="282"/>
      <c r="F2357" s="282"/>
      <c r="G2357" s="329"/>
      <c r="H2357" s="329"/>
      <c r="I2357" s="329"/>
      <c r="J2357" s="329"/>
      <c r="K2357" s="329"/>
      <c r="L2357" s="329"/>
      <c r="M2357" s="329"/>
      <c r="N2357" s="329"/>
      <c r="O2357" s="329"/>
      <c r="P2357" s="329"/>
      <c r="Q2357" s="329"/>
      <c r="R2357" s="329"/>
    </row>
    <row r="2358" spans="1:18" ht="13">
      <c r="A2358" s="282"/>
      <c r="B2358" s="282"/>
      <c r="C2358" s="282"/>
      <c r="D2358" s="282"/>
      <c r="E2358" s="282"/>
      <c r="F2358" s="282"/>
      <c r="G2358" s="329"/>
      <c r="H2358" s="329"/>
      <c r="I2358" s="329"/>
      <c r="J2358" s="329"/>
      <c r="K2358" s="329"/>
      <c r="L2358" s="329"/>
      <c r="M2358" s="329"/>
      <c r="N2358" s="329"/>
      <c r="O2358" s="329"/>
      <c r="P2358" s="329"/>
      <c r="Q2358" s="329"/>
      <c r="R2358" s="329"/>
    </row>
    <row r="2359" spans="1:18" ht="13">
      <c r="A2359" s="282"/>
      <c r="B2359" s="282"/>
      <c r="C2359" s="282"/>
      <c r="D2359" s="282"/>
      <c r="E2359" s="282"/>
      <c r="F2359" s="282"/>
      <c r="G2359" s="329"/>
      <c r="H2359" s="329"/>
      <c r="I2359" s="329"/>
      <c r="J2359" s="329"/>
      <c r="K2359" s="329"/>
      <c r="L2359" s="329"/>
      <c r="M2359" s="329"/>
      <c r="N2359" s="329"/>
      <c r="O2359" s="329"/>
      <c r="P2359" s="329"/>
      <c r="Q2359" s="329"/>
      <c r="R2359" s="329"/>
    </row>
    <row r="2360" spans="1:18" ht="13">
      <c r="A2360" s="282"/>
      <c r="B2360" s="282"/>
      <c r="C2360" s="282"/>
      <c r="D2360" s="282"/>
      <c r="E2360" s="282"/>
      <c r="F2360" s="282"/>
      <c r="G2360" s="329"/>
      <c r="H2360" s="329"/>
      <c r="I2360" s="329"/>
      <c r="J2360" s="329"/>
      <c r="K2360" s="329"/>
      <c r="L2360" s="329"/>
      <c r="M2360" s="329"/>
      <c r="N2360" s="329"/>
      <c r="O2360" s="329"/>
      <c r="P2360" s="329"/>
      <c r="Q2360" s="329"/>
      <c r="R2360" s="329"/>
    </row>
    <row r="2361" spans="1:18" ht="13">
      <c r="A2361" s="282"/>
      <c r="B2361" s="282"/>
      <c r="C2361" s="282"/>
      <c r="D2361" s="282"/>
      <c r="E2361" s="282"/>
      <c r="F2361" s="282"/>
      <c r="G2361" s="329"/>
      <c r="H2361" s="329"/>
      <c r="I2361" s="329"/>
      <c r="J2361" s="329"/>
      <c r="K2361" s="329"/>
      <c r="L2361" s="329"/>
      <c r="M2361" s="329"/>
      <c r="N2361" s="329"/>
      <c r="O2361" s="329"/>
      <c r="P2361" s="329"/>
      <c r="Q2361" s="329"/>
      <c r="R2361" s="329"/>
    </row>
    <row r="2362" spans="1:18" ht="13">
      <c r="A2362" s="282"/>
      <c r="B2362" s="282"/>
      <c r="C2362" s="282"/>
      <c r="D2362" s="282"/>
      <c r="E2362" s="282"/>
      <c r="F2362" s="282"/>
      <c r="G2362" s="329"/>
      <c r="H2362" s="329"/>
      <c r="I2362" s="329"/>
      <c r="J2362" s="329"/>
      <c r="K2362" s="329"/>
      <c r="L2362" s="329"/>
      <c r="M2362" s="329"/>
      <c r="N2362" s="329"/>
      <c r="O2362" s="329"/>
      <c r="P2362" s="329"/>
      <c r="Q2362" s="329"/>
      <c r="R2362" s="329"/>
    </row>
    <row r="2363" spans="1:18" ht="13">
      <c r="A2363" s="282"/>
      <c r="B2363" s="282"/>
      <c r="C2363" s="282"/>
      <c r="D2363" s="282"/>
      <c r="E2363" s="282"/>
      <c r="F2363" s="282"/>
      <c r="G2363" s="329"/>
      <c r="H2363" s="329"/>
      <c r="I2363" s="329"/>
      <c r="J2363" s="329"/>
      <c r="K2363" s="329"/>
      <c r="L2363" s="329"/>
      <c r="M2363" s="329"/>
      <c r="N2363" s="329"/>
      <c r="O2363" s="329"/>
      <c r="P2363" s="329"/>
      <c r="Q2363" s="329"/>
      <c r="R2363" s="329"/>
    </row>
    <row r="2364" spans="1:18" ht="13">
      <c r="A2364" s="282"/>
      <c r="B2364" s="282"/>
      <c r="C2364" s="282"/>
      <c r="D2364" s="282"/>
      <c r="E2364" s="282"/>
      <c r="F2364" s="282"/>
      <c r="G2364" s="329"/>
      <c r="H2364" s="329"/>
      <c r="I2364" s="329"/>
      <c r="J2364" s="329"/>
      <c r="K2364" s="329"/>
      <c r="L2364" s="329"/>
      <c r="M2364" s="329"/>
      <c r="N2364" s="329"/>
      <c r="O2364" s="329"/>
      <c r="P2364" s="329"/>
      <c r="Q2364" s="329"/>
      <c r="R2364" s="329"/>
    </row>
    <row r="2365" spans="1:18" ht="13">
      <c r="A2365" s="282"/>
      <c r="B2365" s="282"/>
      <c r="C2365" s="282"/>
      <c r="D2365" s="282"/>
      <c r="E2365" s="282"/>
      <c r="F2365" s="282"/>
      <c r="G2365" s="329"/>
      <c r="H2365" s="329"/>
      <c r="I2365" s="329"/>
      <c r="J2365" s="329"/>
      <c r="K2365" s="329"/>
      <c r="L2365" s="329"/>
      <c r="M2365" s="329"/>
      <c r="N2365" s="329"/>
      <c r="O2365" s="329"/>
      <c r="P2365" s="329"/>
      <c r="Q2365" s="329"/>
      <c r="R2365" s="329"/>
    </row>
    <row r="2366" spans="1:18" ht="13">
      <c r="A2366" s="282"/>
      <c r="B2366" s="282"/>
      <c r="C2366" s="282"/>
      <c r="D2366" s="282"/>
      <c r="E2366" s="282"/>
      <c r="F2366" s="282"/>
      <c r="G2366" s="329"/>
      <c r="H2366" s="329"/>
      <c r="I2366" s="329"/>
      <c r="J2366" s="329"/>
      <c r="K2366" s="329"/>
      <c r="L2366" s="329"/>
      <c r="M2366" s="329"/>
      <c r="N2366" s="329"/>
      <c r="O2366" s="329"/>
      <c r="P2366" s="329"/>
      <c r="Q2366" s="329"/>
      <c r="R2366" s="329"/>
    </row>
    <row r="2367" spans="1:18" ht="13">
      <c r="A2367" s="282"/>
      <c r="B2367" s="282"/>
      <c r="C2367" s="282"/>
      <c r="D2367" s="282"/>
      <c r="E2367" s="282"/>
      <c r="F2367" s="282"/>
      <c r="G2367" s="329"/>
      <c r="H2367" s="329"/>
      <c r="I2367" s="329"/>
      <c r="J2367" s="329"/>
      <c r="K2367" s="329"/>
      <c r="L2367" s="329"/>
      <c r="M2367" s="329"/>
      <c r="N2367" s="329"/>
      <c r="O2367" s="329"/>
      <c r="P2367" s="329"/>
      <c r="Q2367" s="329"/>
      <c r="R2367" s="329"/>
    </row>
    <row r="2368" spans="1:18" ht="13">
      <c r="A2368" s="282"/>
      <c r="B2368" s="282"/>
      <c r="C2368" s="282"/>
      <c r="D2368" s="282"/>
      <c r="E2368" s="282"/>
      <c r="F2368" s="282"/>
      <c r="G2368" s="329"/>
      <c r="H2368" s="329"/>
      <c r="I2368" s="329"/>
      <c r="J2368" s="329"/>
      <c r="K2368" s="329"/>
      <c r="L2368" s="329"/>
      <c r="M2368" s="329"/>
      <c r="N2368" s="329"/>
      <c r="O2368" s="329"/>
      <c r="P2368" s="329"/>
      <c r="Q2368" s="329"/>
      <c r="R2368" s="329"/>
    </row>
    <row r="2369" spans="1:18" ht="13">
      <c r="A2369" s="282"/>
      <c r="B2369" s="282"/>
      <c r="C2369" s="282"/>
      <c r="D2369" s="282"/>
      <c r="E2369" s="282"/>
      <c r="F2369" s="282"/>
      <c r="G2369" s="329"/>
      <c r="H2369" s="329"/>
      <c r="I2369" s="329"/>
      <c r="J2369" s="329"/>
      <c r="K2369" s="329"/>
      <c r="L2369" s="329"/>
      <c r="M2369" s="329"/>
      <c r="N2369" s="329"/>
      <c r="O2369" s="329"/>
      <c r="P2369" s="329"/>
      <c r="Q2369" s="329"/>
      <c r="R2369" s="329"/>
    </row>
    <row r="2370" spans="1:18" ht="13">
      <c r="A2370" s="282"/>
      <c r="B2370" s="282"/>
      <c r="C2370" s="282"/>
      <c r="D2370" s="282"/>
      <c r="E2370" s="282"/>
      <c r="F2370" s="282"/>
      <c r="G2370" s="329"/>
      <c r="H2370" s="329"/>
      <c r="I2370" s="329"/>
      <c r="J2370" s="329"/>
      <c r="K2370" s="329"/>
      <c r="L2370" s="329"/>
      <c r="M2370" s="329"/>
      <c r="N2370" s="329"/>
      <c r="O2370" s="329"/>
      <c r="P2370" s="329"/>
      <c r="Q2370" s="329"/>
      <c r="R2370" s="329"/>
    </row>
    <row r="2371" spans="1:18" ht="13">
      <c r="A2371" s="282"/>
      <c r="B2371" s="282"/>
      <c r="C2371" s="282"/>
      <c r="D2371" s="282"/>
      <c r="E2371" s="282"/>
      <c r="F2371" s="282"/>
      <c r="G2371" s="329"/>
      <c r="H2371" s="329"/>
      <c r="I2371" s="329"/>
      <c r="J2371" s="329"/>
      <c r="K2371" s="329"/>
      <c r="L2371" s="329"/>
      <c r="M2371" s="329"/>
      <c r="N2371" s="329"/>
      <c r="O2371" s="329"/>
      <c r="P2371" s="329"/>
      <c r="Q2371" s="329"/>
      <c r="R2371" s="329"/>
    </row>
    <row r="2372" spans="1:18" ht="13">
      <c r="A2372" s="282"/>
      <c r="B2372" s="282"/>
      <c r="C2372" s="282"/>
      <c r="D2372" s="282"/>
      <c r="E2372" s="282"/>
      <c r="F2372" s="282"/>
      <c r="G2372" s="329"/>
      <c r="H2372" s="329"/>
      <c r="I2372" s="329"/>
      <c r="J2372" s="329"/>
      <c r="K2372" s="329"/>
      <c r="L2372" s="329"/>
      <c r="M2372" s="329"/>
      <c r="N2372" s="329"/>
      <c r="O2372" s="329"/>
      <c r="P2372" s="329"/>
      <c r="Q2372" s="329"/>
      <c r="R2372" s="329"/>
    </row>
    <row r="2373" spans="1:18" ht="13">
      <c r="A2373" s="282"/>
      <c r="B2373" s="282"/>
      <c r="C2373" s="282"/>
      <c r="D2373" s="282"/>
      <c r="E2373" s="282"/>
      <c r="F2373" s="282"/>
      <c r="G2373" s="329"/>
      <c r="H2373" s="329"/>
      <c r="I2373" s="329"/>
      <c r="J2373" s="329"/>
      <c r="K2373" s="329"/>
      <c r="L2373" s="329"/>
      <c r="M2373" s="329"/>
      <c r="N2373" s="329"/>
      <c r="O2373" s="329"/>
      <c r="P2373" s="329"/>
      <c r="Q2373" s="329"/>
      <c r="R2373" s="329"/>
    </row>
    <row r="2374" spans="1:18" ht="13">
      <c r="A2374" s="282"/>
      <c r="B2374" s="282"/>
      <c r="C2374" s="282"/>
      <c r="D2374" s="282"/>
      <c r="E2374" s="282"/>
      <c r="F2374" s="282"/>
      <c r="G2374" s="329"/>
      <c r="H2374" s="329"/>
      <c r="I2374" s="329"/>
      <c r="J2374" s="329"/>
      <c r="K2374" s="329"/>
      <c r="L2374" s="329"/>
      <c r="M2374" s="329"/>
      <c r="N2374" s="329"/>
      <c r="O2374" s="329"/>
      <c r="P2374" s="329"/>
      <c r="Q2374" s="329"/>
      <c r="R2374" s="329"/>
    </row>
    <row r="2375" spans="1:18" ht="13">
      <c r="A2375" s="282"/>
      <c r="B2375" s="282"/>
      <c r="C2375" s="282"/>
      <c r="D2375" s="282"/>
      <c r="E2375" s="282"/>
      <c r="F2375" s="282"/>
      <c r="G2375" s="329"/>
      <c r="H2375" s="329"/>
      <c r="I2375" s="329"/>
      <c r="J2375" s="329"/>
      <c r="K2375" s="329"/>
      <c r="L2375" s="329"/>
      <c r="M2375" s="329"/>
      <c r="N2375" s="329"/>
      <c r="O2375" s="329"/>
      <c r="P2375" s="329"/>
      <c r="Q2375" s="329"/>
      <c r="R2375" s="329"/>
    </row>
    <row r="2376" spans="1:18" ht="13">
      <c r="A2376" s="282"/>
      <c r="B2376" s="282"/>
      <c r="C2376" s="282"/>
      <c r="D2376" s="282"/>
      <c r="E2376" s="282"/>
      <c r="F2376" s="282"/>
      <c r="G2376" s="329"/>
      <c r="H2376" s="329"/>
      <c r="I2376" s="329"/>
      <c r="J2376" s="329"/>
      <c r="K2376" s="329"/>
      <c r="L2376" s="329"/>
      <c r="M2376" s="329"/>
      <c r="N2376" s="329"/>
      <c r="O2376" s="329"/>
      <c r="P2376" s="329"/>
      <c r="Q2376" s="329"/>
      <c r="R2376" s="329"/>
    </row>
    <row r="2377" spans="1:18" ht="13">
      <c r="A2377" s="282"/>
      <c r="B2377" s="282"/>
      <c r="C2377" s="282"/>
      <c r="D2377" s="282"/>
      <c r="E2377" s="282"/>
      <c r="F2377" s="282"/>
      <c r="G2377" s="329"/>
      <c r="H2377" s="329"/>
      <c r="I2377" s="329"/>
      <c r="J2377" s="329"/>
      <c r="K2377" s="329"/>
      <c r="L2377" s="329"/>
      <c r="M2377" s="329"/>
      <c r="N2377" s="329"/>
      <c r="O2377" s="329"/>
      <c r="P2377" s="329"/>
      <c r="Q2377" s="329"/>
      <c r="R2377" s="329"/>
    </row>
    <row r="2378" spans="1:18" ht="13">
      <c r="A2378" s="282"/>
      <c r="B2378" s="282"/>
      <c r="C2378" s="282"/>
      <c r="D2378" s="282"/>
      <c r="E2378" s="282"/>
      <c r="F2378" s="282"/>
      <c r="G2378" s="329"/>
      <c r="H2378" s="329"/>
      <c r="I2378" s="329"/>
      <c r="J2378" s="329"/>
      <c r="K2378" s="329"/>
      <c r="L2378" s="329"/>
      <c r="M2378" s="329"/>
      <c r="N2378" s="329"/>
      <c r="O2378" s="329"/>
      <c r="P2378" s="329"/>
      <c r="Q2378" s="329"/>
      <c r="R2378" s="329"/>
    </row>
    <row r="2379" spans="1:18" ht="13">
      <c r="A2379" s="282"/>
      <c r="B2379" s="282"/>
      <c r="C2379" s="282"/>
      <c r="D2379" s="282"/>
      <c r="E2379" s="282"/>
      <c r="F2379" s="282"/>
      <c r="G2379" s="329"/>
      <c r="H2379" s="329"/>
      <c r="I2379" s="329"/>
      <c r="J2379" s="329"/>
      <c r="K2379" s="329"/>
      <c r="L2379" s="329"/>
      <c r="M2379" s="329"/>
      <c r="N2379" s="329"/>
      <c r="O2379" s="329"/>
      <c r="P2379" s="329"/>
      <c r="Q2379" s="329"/>
      <c r="R2379" s="329"/>
    </row>
    <row r="2380" spans="1:18" ht="13">
      <c r="A2380" s="282"/>
      <c r="B2380" s="282"/>
      <c r="C2380" s="282"/>
      <c r="D2380" s="282"/>
      <c r="E2380" s="282"/>
      <c r="F2380" s="282"/>
      <c r="G2380" s="329"/>
      <c r="H2380" s="329"/>
      <c r="I2380" s="329"/>
      <c r="J2380" s="329"/>
      <c r="K2380" s="329"/>
      <c r="L2380" s="329"/>
      <c r="M2380" s="329"/>
      <c r="N2380" s="329"/>
      <c r="O2380" s="329"/>
      <c r="P2380" s="329"/>
      <c r="Q2380" s="329"/>
      <c r="R2380" s="329"/>
    </row>
    <row r="2381" spans="1:18" ht="13">
      <c r="A2381" s="282"/>
      <c r="B2381" s="282"/>
      <c r="C2381" s="282"/>
      <c r="D2381" s="282"/>
      <c r="E2381" s="282"/>
      <c r="F2381" s="282"/>
      <c r="G2381" s="329"/>
      <c r="H2381" s="329"/>
      <c r="I2381" s="329"/>
      <c r="J2381" s="329"/>
      <c r="K2381" s="329"/>
      <c r="L2381" s="329"/>
      <c r="M2381" s="329"/>
      <c r="N2381" s="329"/>
      <c r="O2381" s="329"/>
      <c r="P2381" s="329"/>
      <c r="Q2381" s="329"/>
      <c r="R2381" s="329"/>
    </row>
    <row r="2382" spans="1:18" ht="13">
      <c r="A2382" s="282"/>
      <c r="B2382" s="282"/>
      <c r="C2382" s="282"/>
      <c r="D2382" s="282"/>
      <c r="E2382" s="282"/>
      <c r="F2382" s="282"/>
      <c r="G2382" s="329"/>
      <c r="H2382" s="329"/>
      <c r="I2382" s="329"/>
      <c r="J2382" s="329"/>
      <c r="K2382" s="329"/>
      <c r="L2382" s="329"/>
      <c r="M2382" s="329"/>
      <c r="N2382" s="329"/>
      <c r="O2382" s="329"/>
      <c r="P2382" s="329"/>
      <c r="Q2382" s="329"/>
      <c r="R2382" s="329"/>
    </row>
    <row r="2383" spans="1:18" ht="13">
      <c r="A2383" s="282"/>
      <c r="B2383" s="282"/>
      <c r="C2383" s="282"/>
      <c r="D2383" s="282"/>
      <c r="E2383" s="282"/>
      <c r="F2383" s="282"/>
      <c r="G2383" s="329"/>
      <c r="H2383" s="329"/>
      <c r="I2383" s="329"/>
      <c r="J2383" s="329"/>
      <c r="K2383" s="329"/>
      <c r="L2383" s="329"/>
      <c r="M2383" s="329"/>
      <c r="N2383" s="329"/>
      <c r="O2383" s="329"/>
      <c r="P2383" s="329"/>
      <c r="Q2383" s="329"/>
      <c r="R2383" s="329"/>
    </row>
    <row r="2384" spans="1:18" ht="13">
      <c r="A2384" s="282"/>
      <c r="B2384" s="282"/>
      <c r="C2384" s="282"/>
      <c r="D2384" s="282"/>
      <c r="E2384" s="282"/>
      <c r="F2384" s="282"/>
      <c r="G2384" s="329"/>
      <c r="H2384" s="329"/>
      <c r="I2384" s="329"/>
      <c r="J2384" s="329"/>
      <c r="K2384" s="329"/>
      <c r="L2384" s="329"/>
      <c r="M2384" s="329"/>
      <c r="N2384" s="329"/>
      <c r="O2384" s="329"/>
      <c r="P2384" s="329"/>
      <c r="Q2384" s="329"/>
      <c r="R2384" s="329"/>
    </row>
    <row r="2385" spans="1:18" ht="13">
      <c r="A2385" s="282"/>
      <c r="B2385" s="282"/>
      <c r="C2385" s="282"/>
      <c r="D2385" s="282"/>
      <c r="E2385" s="282"/>
      <c r="F2385" s="282"/>
      <c r="G2385" s="329"/>
      <c r="H2385" s="329"/>
      <c r="I2385" s="329"/>
      <c r="J2385" s="329"/>
      <c r="K2385" s="329"/>
      <c r="L2385" s="329"/>
      <c r="M2385" s="329"/>
      <c r="N2385" s="329"/>
      <c r="O2385" s="329"/>
      <c r="P2385" s="329"/>
      <c r="Q2385" s="329"/>
      <c r="R2385" s="329"/>
    </row>
    <row r="2386" spans="1:18" ht="13">
      <c r="A2386" s="282"/>
      <c r="B2386" s="282"/>
      <c r="C2386" s="282"/>
      <c r="D2386" s="282"/>
      <c r="E2386" s="282"/>
      <c r="F2386" s="282"/>
      <c r="G2386" s="329"/>
      <c r="H2386" s="329"/>
      <c r="I2386" s="329"/>
      <c r="J2386" s="329"/>
      <c r="K2386" s="329"/>
      <c r="L2386" s="329"/>
      <c r="M2386" s="329"/>
      <c r="N2386" s="329"/>
      <c r="O2386" s="329"/>
      <c r="P2386" s="329"/>
      <c r="Q2386" s="329"/>
      <c r="R2386" s="329"/>
    </row>
    <row r="2387" spans="1:18" ht="13">
      <c r="A2387" s="282"/>
      <c r="B2387" s="282"/>
      <c r="C2387" s="282"/>
      <c r="D2387" s="282"/>
      <c r="E2387" s="282"/>
      <c r="F2387" s="282"/>
      <c r="G2387" s="329"/>
      <c r="H2387" s="329"/>
      <c r="I2387" s="329"/>
      <c r="J2387" s="329"/>
      <c r="K2387" s="329"/>
      <c r="L2387" s="329"/>
      <c r="M2387" s="329"/>
      <c r="N2387" s="329"/>
      <c r="O2387" s="329"/>
      <c r="P2387" s="329"/>
      <c r="Q2387" s="329"/>
      <c r="R2387" s="329"/>
    </row>
    <row r="2388" spans="1:18" ht="13">
      <c r="A2388" s="282"/>
      <c r="B2388" s="282"/>
      <c r="C2388" s="282"/>
      <c r="D2388" s="282"/>
      <c r="E2388" s="282"/>
      <c r="F2388" s="282"/>
      <c r="G2388" s="329"/>
      <c r="H2388" s="329"/>
      <c r="I2388" s="329"/>
      <c r="J2388" s="329"/>
      <c r="K2388" s="329"/>
      <c r="L2388" s="329"/>
      <c r="M2388" s="329"/>
      <c r="N2388" s="329"/>
      <c r="O2388" s="329"/>
      <c r="P2388" s="329"/>
      <c r="Q2388" s="329"/>
      <c r="R2388" s="329"/>
    </row>
    <row r="2389" spans="1:18" ht="13">
      <c r="A2389" s="282"/>
      <c r="B2389" s="282"/>
      <c r="C2389" s="282"/>
      <c r="D2389" s="282"/>
      <c r="E2389" s="282"/>
      <c r="F2389" s="282"/>
      <c r="G2389" s="329"/>
      <c r="H2389" s="329"/>
      <c r="I2389" s="329"/>
      <c r="J2389" s="329"/>
      <c r="K2389" s="329"/>
      <c r="L2389" s="329"/>
      <c r="M2389" s="329"/>
      <c r="N2389" s="329"/>
      <c r="O2389" s="329"/>
      <c r="P2389" s="329"/>
      <c r="Q2389" s="329"/>
      <c r="R2389" s="329"/>
    </row>
    <row r="2390" spans="1:18" ht="13">
      <c r="A2390" s="282"/>
      <c r="B2390" s="282"/>
      <c r="C2390" s="282"/>
      <c r="D2390" s="282"/>
      <c r="E2390" s="282"/>
      <c r="F2390" s="282"/>
      <c r="G2390" s="329"/>
      <c r="H2390" s="329"/>
      <c r="I2390" s="329"/>
      <c r="J2390" s="329"/>
      <c r="K2390" s="329"/>
      <c r="L2390" s="329"/>
      <c r="M2390" s="329"/>
      <c r="N2390" s="329"/>
      <c r="O2390" s="329"/>
      <c r="P2390" s="329"/>
      <c r="Q2390" s="329"/>
      <c r="R2390" s="329"/>
    </row>
    <row r="2391" spans="1:18" ht="13">
      <c r="A2391" s="282"/>
      <c r="B2391" s="282"/>
      <c r="C2391" s="282"/>
      <c r="D2391" s="282"/>
      <c r="E2391" s="282"/>
      <c r="F2391" s="282"/>
      <c r="G2391" s="329"/>
      <c r="H2391" s="329"/>
      <c r="I2391" s="329"/>
      <c r="J2391" s="329"/>
      <c r="K2391" s="329"/>
      <c r="L2391" s="329"/>
      <c r="M2391" s="329"/>
      <c r="N2391" s="329"/>
      <c r="O2391" s="329"/>
      <c r="P2391" s="329"/>
      <c r="Q2391" s="329"/>
      <c r="R2391" s="329"/>
    </row>
    <row r="2392" spans="1:18" ht="13">
      <c r="A2392" s="282"/>
      <c r="B2392" s="282"/>
      <c r="C2392" s="282"/>
      <c r="D2392" s="282"/>
      <c r="E2392" s="282"/>
      <c r="F2392" s="282"/>
      <c r="G2392" s="329"/>
      <c r="H2392" s="329"/>
      <c r="I2392" s="329"/>
      <c r="J2392" s="329"/>
      <c r="K2392" s="329"/>
      <c r="L2392" s="329"/>
      <c r="M2392" s="329"/>
      <c r="N2392" s="329"/>
      <c r="O2392" s="329"/>
      <c r="P2392" s="329"/>
      <c r="Q2392" s="329"/>
      <c r="R2392" s="329"/>
    </row>
    <row r="2393" spans="1:18" ht="13">
      <c r="A2393" s="282"/>
      <c r="B2393" s="282"/>
      <c r="C2393" s="282"/>
      <c r="D2393" s="282"/>
      <c r="E2393" s="282"/>
      <c r="F2393" s="282"/>
      <c r="G2393" s="329"/>
      <c r="H2393" s="329"/>
      <c r="I2393" s="329"/>
      <c r="J2393" s="329"/>
      <c r="K2393" s="329"/>
      <c r="L2393" s="329"/>
      <c r="M2393" s="329"/>
      <c r="N2393" s="329"/>
      <c r="O2393" s="329"/>
      <c r="P2393" s="329"/>
      <c r="Q2393" s="329"/>
      <c r="R2393" s="329"/>
    </row>
    <row r="2394" spans="1:18" ht="13">
      <c r="A2394" s="282"/>
      <c r="B2394" s="282"/>
      <c r="C2394" s="282"/>
      <c r="D2394" s="282"/>
      <c r="E2394" s="282"/>
      <c r="F2394" s="282"/>
      <c r="G2394" s="329"/>
      <c r="H2394" s="329"/>
      <c r="I2394" s="329"/>
      <c r="J2394" s="329"/>
      <c r="K2394" s="329"/>
      <c r="L2394" s="329"/>
      <c r="M2394" s="329"/>
      <c r="N2394" s="329"/>
      <c r="O2394" s="329"/>
      <c r="P2394" s="329"/>
      <c r="Q2394" s="329"/>
      <c r="R2394" s="329"/>
    </row>
    <row r="2395" spans="1:18" ht="13">
      <c r="A2395" s="282"/>
      <c r="B2395" s="282"/>
      <c r="C2395" s="282"/>
      <c r="D2395" s="282"/>
      <c r="E2395" s="282"/>
      <c r="F2395" s="282"/>
      <c r="G2395" s="329"/>
      <c r="H2395" s="329"/>
      <c r="I2395" s="329"/>
      <c r="J2395" s="329"/>
      <c r="K2395" s="329"/>
      <c r="L2395" s="329"/>
      <c r="M2395" s="329"/>
      <c r="N2395" s="329"/>
      <c r="O2395" s="329"/>
      <c r="P2395" s="329"/>
      <c r="Q2395" s="329"/>
      <c r="R2395" s="329"/>
    </row>
    <row r="2396" spans="1:18" ht="13">
      <c r="A2396" s="282"/>
      <c r="B2396" s="282"/>
      <c r="C2396" s="282"/>
      <c r="D2396" s="282"/>
      <c r="E2396" s="282"/>
      <c r="F2396" s="282"/>
      <c r="G2396" s="329"/>
      <c r="H2396" s="329"/>
      <c r="I2396" s="329"/>
      <c r="J2396" s="329"/>
      <c r="K2396" s="329"/>
      <c r="L2396" s="329"/>
      <c r="M2396" s="329"/>
      <c r="N2396" s="329"/>
      <c r="O2396" s="329"/>
      <c r="P2396" s="329"/>
      <c r="Q2396" s="329"/>
      <c r="R2396" s="329"/>
    </row>
    <row r="2397" spans="1:18" ht="13">
      <c r="A2397" s="282"/>
      <c r="B2397" s="282"/>
      <c r="C2397" s="282"/>
      <c r="D2397" s="282"/>
      <c r="E2397" s="282"/>
      <c r="F2397" s="282"/>
      <c r="G2397" s="329"/>
      <c r="H2397" s="329"/>
      <c r="I2397" s="329"/>
      <c r="J2397" s="329"/>
      <c r="K2397" s="329"/>
      <c r="L2397" s="329"/>
      <c r="M2397" s="329"/>
      <c r="N2397" s="329"/>
      <c r="O2397" s="329"/>
      <c r="P2397" s="329"/>
      <c r="Q2397" s="329"/>
      <c r="R2397" s="329"/>
    </row>
    <row r="2398" spans="1:18" ht="13">
      <c r="A2398" s="282"/>
      <c r="B2398" s="282"/>
      <c r="C2398" s="282"/>
      <c r="D2398" s="282"/>
      <c r="E2398" s="282"/>
      <c r="F2398" s="282"/>
      <c r="G2398" s="329"/>
      <c r="H2398" s="329"/>
      <c r="I2398" s="329"/>
      <c r="J2398" s="329"/>
      <c r="K2398" s="329"/>
      <c r="L2398" s="329"/>
      <c r="M2398" s="329"/>
      <c r="N2398" s="329"/>
      <c r="O2398" s="329"/>
      <c r="P2398" s="329"/>
      <c r="Q2398" s="329"/>
      <c r="R2398" s="329"/>
    </row>
    <row r="2399" spans="1:18" ht="13">
      <c r="A2399" s="282"/>
      <c r="B2399" s="282"/>
      <c r="C2399" s="282"/>
      <c r="D2399" s="282"/>
      <c r="E2399" s="282"/>
      <c r="F2399" s="282"/>
      <c r="G2399" s="329"/>
      <c r="H2399" s="329"/>
      <c r="I2399" s="329"/>
      <c r="J2399" s="329"/>
      <c r="K2399" s="329"/>
      <c r="L2399" s="329"/>
      <c r="M2399" s="329"/>
      <c r="N2399" s="329"/>
      <c r="O2399" s="329"/>
      <c r="P2399" s="329"/>
      <c r="Q2399" s="329"/>
      <c r="R2399" s="329"/>
    </row>
    <row r="2400" spans="1:18" ht="13">
      <c r="A2400" s="282"/>
      <c r="B2400" s="282"/>
      <c r="C2400" s="282"/>
      <c r="D2400" s="282"/>
      <c r="E2400" s="282"/>
      <c r="F2400" s="282"/>
      <c r="G2400" s="329"/>
      <c r="H2400" s="329"/>
      <c r="I2400" s="329"/>
      <c r="J2400" s="329"/>
      <c r="K2400" s="329"/>
      <c r="L2400" s="329"/>
      <c r="M2400" s="329"/>
      <c r="N2400" s="329"/>
      <c r="O2400" s="329"/>
      <c r="P2400" s="329"/>
      <c r="Q2400" s="329"/>
      <c r="R2400" s="329"/>
    </row>
    <row r="2401" spans="1:18" ht="13">
      <c r="A2401" s="282"/>
      <c r="B2401" s="282"/>
      <c r="C2401" s="282"/>
      <c r="D2401" s="282"/>
      <c r="E2401" s="282"/>
      <c r="F2401" s="282"/>
      <c r="G2401" s="329"/>
      <c r="H2401" s="329"/>
      <c r="I2401" s="329"/>
      <c r="J2401" s="329"/>
      <c r="K2401" s="329"/>
      <c r="L2401" s="329"/>
      <c r="M2401" s="329"/>
      <c r="N2401" s="329"/>
      <c r="O2401" s="329"/>
      <c r="P2401" s="329"/>
      <c r="Q2401" s="329"/>
      <c r="R2401" s="329"/>
    </row>
    <row r="2402" spans="1:18" ht="13">
      <c r="A2402" s="282"/>
      <c r="B2402" s="282"/>
      <c r="C2402" s="282"/>
      <c r="D2402" s="282"/>
      <c r="E2402" s="282"/>
      <c r="F2402" s="282"/>
      <c r="G2402" s="329"/>
      <c r="H2402" s="329"/>
      <c r="I2402" s="329"/>
      <c r="J2402" s="329"/>
      <c r="K2402" s="329"/>
      <c r="L2402" s="329"/>
      <c r="M2402" s="329"/>
      <c r="N2402" s="329"/>
      <c r="O2402" s="329"/>
      <c r="P2402" s="329"/>
      <c r="Q2402" s="329"/>
      <c r="R2402" s="329"/>
    </row>
    <row r="2403" spans="1:18" ht="13">
      <c r="A2403" s="282"/>
      <c r="B2403" s="282"/>
      <c r="C2403" s="282"/>
      <c r="D2403" s="282"/>
      <c r="E2403" s="282"/>
      <c r="F2403" s="282"/>
      <c r="G2403" s="329"/>
      <c r="H2403" s="329"/>
      <c r="I2403" s="329"/>
      <c r="J2403" s="329"/>
      <c r="K2403" s="329"/>
      <c r="L2403" s="329"/>
      <c r="M2403" s="329"/>
      <c r="N2403" s="329"/>
      <c r="O2403" s="329"/>
      <c r="P2403" s="329"/>
      <c r="Q2403" s="329"/>
      <c r="R2403" s="329"/>
    </row>
    <row r="2404" spans="1:18" ht="13">
      <c r="A2404" s="282"/>
      <c r="B2404" s="282"/>
      <c r="C2404" s="282"/>
      <c r="D2404" s="282"/>
      <c r="E2404" s="282"/>
      <c r="F2404" s="282"/>
      <c r="G2404" s="329"/>
      <c r="H2404" s="329"/>
      <c r="I2404" s="329"/>
      <c r="J2404" s="329"/>
      <c r="K2404" s="329"/>
      <c r="L2404" s="329"/>
      <c r="M2404" s="329"/>
      <c r="N2404" s="329"/>
      <c r="O2404" s="329"/>
      <c r="P2404" s="329"/>
      <c r="Q2404" s="329"/>
      <c r="R2404" s="329"/>
    </row>
    <row r="2405" spans="1:18" ht="13">
      <c r="A2405" s="282"/>
      <c r="B2405" s="282"/>
      <c r="C2405" s="282"/>
      <c r="D2405" s="282"/>
      <c r="E2405" s="282"/>
      <c r="F2405" s="282"/>
      <c r="G2405" s="329"/>
      <c r="H2405" s="329"/>
      <c r="I2405" s="329"/>
      <c r="J2405" s="329"/>
      <c r="K2405" s="329"/>
      <c r="L2405" s="329"/>
      <c r="M2405" s="329"/>
      <c r="N2405" s="329"/>
      <c r="O2405" s="329"/>
      <c r="P2405" s="329"/>
      <c r="Q2405" s="329"/>
      <c r="R2405" s="329"/>
    </row>
    <row r="2406" spans="1:18" ht="13">
      <c r="A2406" s="282"/>
      <c r="B2406" s="282"/>
      <c r="C2406" s="282"/>
      <c r="D2406" s="282"/>
      <c r="E2406" s="282"/>
      <c r="F2406" s="282"/>
      <c r="G2406" s="329"/>
      <c r="H2406" s="329"/>
      <c r="I2406" s="329"/>
      <c r="J2406" s="329"/>
      <c r="K2406" s="329"/>
      <c r="L2406" s="329"/>
      <c r="M2406" s="329"/>
      <c r="N2406" s="329"/>
      <c r="O2406" s="329"/>
      <c r="P2406" s="329"/>
      <c r="Q2406" s="329"/>
      <c r="R2406" s="329"/>
    </row>
    <row r="2407" spans="1:18" ht="13">
      <c r="A2407" s="282"/>
      <c r="B2407" s="282"/>
      <c r="C2407" s="282"/>
      <c r="D2407" s="282"/>
      <c r="E2407" s="282"/>
      <c r="F2407" s="282"/>
      <c r="G2407" s="329"/>
      <c r="H2407" s="329"/>
      <c r="I2407" s="329"/>
      <c r="J2407" s="329"/>
      <c r="K2407" s="329"/>
      <c r="L2407" s="329"/>
      <c r="M2407" s="329"/>
      <c r="N2407" s="329"/>
      <c r="O2407" s="329"/>
      <c r="P2407" s="329"/>
      <c r="Q2407" s="329"/>
      <c r="R2407" s="329"/>
    </row>
    <row r="2408" spans="1:18" ht="13">
      <c r="A2408" s="282"/>
      <c r="B2408" s="282"/>
      <c r="C2408" s="282"/>
      <c r="D2408" s="282"/>
      <c r="E2408" s="282"/>
      <c r="F2408" s="282"/>
      <c r="G2408" s="329"/>
      <c r="H2408" s="329"/>
      <c r="I2408" s="329"/>
      <c r="J2408" s="329"/>
      <c r="K2408" s="329"/>
      <c r="L2408" s="329"/>
      <c r="M2408" s="329"/>
      <c r="N2408" s="329"/>
      <c r="O2408" s="329"/>
      <c r="P2408" s="329"/>
      <c r="Q2408" s="329"/>
      <c r="R2408" s="329"/>
    </row>
    <row r="2409" spans="1:18" ht="13">
      <c r="A2409" s="282"/>
      <c r="B2409" s="282"/>
      <c r="C2409" s="282"/>
      <c r="D2409" s="282"/>
      <c r="E2409" s="282"/>
      <c r="F2409" s="282"/>
      <c r="G2409" s="329"/>
      <c r="H2409" s="329"/>
      <c r="I2409" s="329"/>
      <c r="J2409" s="329"/>
      <c r="K2409" s="329"/>
      <c r="L2409" s="329"/>
      <c r="M2409" s="329"/>
      <c r="N2409" s="329"/>
      <c r="O2409" s="329"/>
      <c r="P2409" s="329"/>
      <c r="Q2409" s="329"/>
      <c r="R2409" s="329"/>
    </row>
    <row r="2410" spans="1:18" ht="13">
      <c r="A2410" s="282"/>
      <c r="B2410" s="282"/>
      <c r="C2410" s="282"/>
      <c r="D2410" s="282"/>
      <c r="E2410" s="282"/>
      <c r="F2410" s="282"/>
      <c r="G2410" s="329"/>
      <c r="H2410" s="329"/>
      <c r="I2410" s="329"/>
      <c r="J2410" s="329"/>
      <c r="K2410" s="329"/>
      <c r="L2410" s="329"/>
      <c r="M2410" s="329"/>
      <c r="N2410" s="329"/>
      <c r="O2410" s="329"/>
      <c r="P2410" s="329"/>
      <c r="Q2410" s="329"/>
      <c r="R2410" s="329"/>
    </row>
    <row r="2411" spans="1:18" ht="13">
      <c r="A2411" s="282"/>
      <c r="B2411" s="282"/>
      <c r="C2411" s="282"/>
      <c r="D2411" s="282"/>
      <c r="E2411" s="282"/>
      <c r="F2411" s="282"/>
      <c r="G2411" s="329"/>
      <c r="H2411" s="329"/>
      <c r="I2411" s="329"/>
      <c r="J2411" s="329"/>
      <c r="K2411" s="329"/>
      <c r="L2411" s="329"/>
      <c r="M2411" s="329"/>
      <c r="N2411" s="329"/>
      <c r="O2411" s="329"/>
      <c r="P2411" s="329"/>
      <c r="Q2411" s="329"/>
      <c r="R2411" s="329"/>
    </row>
    <row r="2412" spans="1:18" ht="13">
      <c r="A2412" s="282"/>
      <c r="B2412" s="282"/>
      <c r="C2412" s="282"/>
      <c r="D2412" s="282"/>
      <c r="E2412" s="282"/>
      <c r="F2412" s="282"/>
      <c r="G2412" s="329"/>
      <c r="H2412" s="329"/>
      <c r="I2412" s="329"/>
      <c r="J2412" s="329"/>
      <c r="K2412" s="329"/>
      <c r="L2412" s="329"/>
      <c r="M2412" s="329"/>
      <c r="N2412" s="329"/>
      <c r="O2412" s="329"/>
      <c r="P2412" s="329"/>
      <c r="Q2412" s="329"/>
      <c r="R2412" s="329"/>
    </row>
    <row r="2413" spans="1:18" ht="13">
      <c r="A2413" s="282"/>
      <c r="B2413" s="282"/>
      <c r="C2413" s="282"/>
      <c r="D2413" s="282"/>
      <c r="E2413" s="282"/>
      <c r="F2413" s="282"/>
      <c r="G2413" s="329"/>
      <c r="H2413" s="329"/>
      <c r="I2413" s="329"/>
      <c r="J2413" s="329"/>
      <c r="K2413" s="329"/>
      <c r="L2413" s="329"/>
      <c r="M2413" s="329"/>
      <c r="N2413" s="329"/>
      <c r="O2413" s="329"/>
      <c r="P2413" s="329"/>
      <c r="Q2413" s="329"/>
      <c r="R2413" s="329"/>
    </row>
    <row r="2414" spans="1:18" ht="13">
      <c r="A2414" s="282"/>
      <c r="B2414" s="282"/>
      <c r="C2414" s="282"/>
      <c r="D2414" s="282"/>
      <c r="E2414" s="282"/>
      <c r="F2414" s="282"/>
      <c r="G2414" s="329"/>
      <c r="H2414" s="329"/>
      <c r="I2414" s="329"/>
      <c r="J2414" s="329"/>
      <c r="K2414" s="329"/>
      <c r="L2414" s="329"/>
      <c r="M2414" s="329"/>
      <c r="N2414" s="329"/>
      <c r="O2414" s="329"/>
      <c r="P2414" s="329"/>
      <c r="Q2414" s="329"/>
      <c r="R2414" s="329"/>
    </row>
    <row r="2415" spans="1:18" ht="13">
      <c r="A2415" s="282"/>
      <c r="B2415" s="282"/>
      <c r="C2415" s="282"/>
      <c r="D2415" s="282"/>
      <c r="E2415" s="282"/>
      <c r="F2415" s="282"/>
      <c r="G2415" s="329"/>
      <c r="H2415" s="329"/>
      <c r="I2415" s="329"/>
      <c r="J2415" s="329"/>
      <c r="K2415" s="329"/>
      <c r="L2415" s="329"/>
      <c r="M2415" s="329"/>
      <c r="N2415" s="329"/>
      <c r="O2415" s="329"/>
      <c r="P2415" s="329"/>
      <c r="Q2415" s="329"/>
      <c r="R2415" s="329"/>
    </row>
    <row r="2416" spans="1:18" ht="13">
      <c r="A2416" s="282"/>
      <c r="B2416" s="282"/>
      <c r="C2416" s="282"/>
      <c r="D2416" s="282"/>
      <c r="E2416" s="282"/>
      <c r="F2416" s="282"/>
      <c r="G2416" s="329"/>
      <c r="H2416" s="329"/>
      <c r="I2416" s="329"/>
      <c r="J2416" s="329"/>
      <c r="K2416" s="329"/>
      <c r="L2416" s="329"/>
      <c r="M2416" s="329"/>
      <c r="N2416" s="329"/>
      <c r="O2416" s="329"/>
      <c r="P2416" s="329"/>
      <c r="Q2416" s="329"/>
      <c r="R2416" s="329"/>
    </row>
    <row r="2417" spans="1:18" ht="13">
      <c r="A2417" s="282"/>
      <c r="B2417" s="282"/>
      <c r="C2417" s="282"/>
      <c r="D2417" s="282"/>
      <c r="E2417" s="282"/>
      <c r="F2417" s="282"/>
      <c r="G2417" s="329"/>
      <c r="H2417" s="329"/>
      <c r="I2417" s="329"/>
      <c r="J2417" s="329"/>
      <c r="K2417" s="329"/>
      <c r="L2417" s="329"/>
      <c r="M2417" s="329"/>
      <c r="N2417" s="329"/>
      <c r="O2417" s="329"/>
      <c r="P2417" s="329"/>
      <c r="Q2417" s="329"/>
      <c r="R2417" s="329"/>
    </row>
    <row r="2418" spans="1:18" ht="13">
      <c r="A2418" s="282"/>
      <c r="B2418" s="282"/>
      <c r="C2418" s="282"/>
      <c r="D2418" s="282"/>
      <c r="E2418" s="282"/>
      <c r="F2418" s="282"/>
      <c r="G2418" s="329"/>
      <c r="H2418" s="329"/>
      <c r="I2418" s="329"/>
      <c r="J2418" s="329"/>
      <c r="K2418" s="329"/>
      <c r="L2418" s="329"/>
      <c r="M2418" s="329"/>
      <c r="N2418" s="329"/>
      <c r="O2418" s="329"/>
      <c r="P2418" s="329"/>
      <c r="Q2418" s="329"/>
      <c r="R2418" s="329"/>
    </row>
    <row r="2419" spans="1:18" ht="13">
      <c r="A2419" s="282"/>
      <c r="B2419" s="282"/>
      <c r="C2419" s="282"/>
      <c r="D2419" s="282"/>
      <c r="E2419" s="282"/>
      <c r="F2419" s="282"/>
      <c r="G2419" s="329"/>
      <c r="H2419" s="329"/>
      <c r="I2419" s="329"/>
      <c r="J2419" s="329"/>
      <c r="K2419" s="329"/>
      <c r="L2419" s="329"/>
      <c r="M2419" s="329"/>
      <c r="N2419" s="329"/>
      <c r="O2419" s="329"/>
      <c r="P2419" s="329"/>
      <c r="Q2419" s="329"/>
      <c r="R2419" s="329"/>
    </row>
    <row r="2420" spans="1:18" ht="13">
      <c r="A2420" s="282"/>
      <c r="B2420" s="282"/>
      <c r="C2420" s="282"/>
      <c r="D2420" s="282"/>
      <c r="E2420" s="282"/>
      <c r="F2420" s="282"/>
      <c r="G2420" s="329"/>
      <c r="H2420" s="329"/>
      <c r="I2420" s="329"/>
      <c r="J2420" s="329"/>
      <c r="K2420" s="329"/>
      <c r="L2420" s="329"/>
      <c r="M2420" s="329"/>
      <c r="N2420" s="329"/>
      <c r="O2420" s="329"/>
      <c r="P2420" s="329"/>
      <c r="Q2420" s="329"/>
      <c r="R2420" s="329"/>
    </row>
    <row r="2421" spans="1:18" ht="13">
      <c r="A2421" s="282"/>
      <c r="B2421" s="282"/>
      <c r="C2421" s="282"/>
      <c r="D2421" s="282"/>
      <c r="E2421" s="282"/>
      <c r="F2421" s="282"/>
      <c r="G2421" s="329"/>
      <c r="H2421" s="329"/>
      <c r="I2421" s="329"/>
      <c r="J2421" s="329"/>
      <c r="K2421" s="329"/>
      <c r="L2421" s="329"/>
      <c r="M2421" s="329"/>
      <c r="N2421" s="329"/>
      <c r="O2421" s="329"/>
      <c r="P2421" s="329"/>
      <c r="Q2421" s="329"/>
      <c r="R2421" s="329"/>
    </row>
    <row r="2422" spans="1:18" ht="13">
      <c r="A2422" s="282"/>
      <c r="B2422" s="282"/>
      <c r="C2422" s="282"/>
      <c r="D2422" s="282"/>
      <c r="E2422" s="282"/>
      <c r="F2422" s="282"/>
      <c r="G2422" s="329"/>
      <c r="H2422" s="329"/>
      <c r="I2422" s="329"/>
      <c r="J2422" s="329"/>
      <c r="K2422" s="329"/>
      <c r="L2422" s="329"/>
      <c r="M2422" s="329"/>
      <c r="N2422" s="329"/>
      <c r="O2422" s="329"/>
      <c r="P2422" s="329"/>
      <c r="Q2422" s="329"/>
      <c r="R2422" s="329"/>
    </row>
    <row r="2423" spans="1:18" ht="13">
      <c r="A2423" s="282"/>
      <c r="B2423" s="282"/>
      <c r="C2423" s="282"/>
      <c r="D2423" s="282"/>
      <c r="E2423" s="282"/>
      <c r="F2423" s="282"/>
      <c r="G2423" s="329"/>
      <c r="H2423" s="329"/>
      <c r="I2423" s="329"/>
      <c r="J2423" s="329"/>
      <c r="K2423" s="329"/>
      <c r="L2423" s="329"/>
      <c r="M2423" s="329"/>
      <c r="N2423" s="329"/>
      <c r="O2423" s="329"/>
      <c r="P2423" s="329"/>
      <c r="Q2423" s="329"/>
      <c r="R2423" s="329"/>
    </row>
    <row r="2424" spans="1:18" ht="13">
      <c r="A2424" s="282"/>
      <c r="B2424" s="282"/>
      <c r="C2424" s="282"/>
      <c r="D2424" s="282"/>
      <c r="E2424" s="282"/>
      <c r="F2424" s="282"/>
      <c r="G2424" s="329"/>
      <c r="H2424" s="329"/>
      <c r="I2424" s="329"/>
      <c r="J2424" s="329"/>
      <c r="K2424" s="329"/>
      <c r="L2424" s="329"/>
      <c r="M2424" s="329"/>
      <c r="N2424" s="329"/>
      <c r="O2424" s="329"/>
      <c r="P2424" s="329"/>
      <c r="Q2424" s="329"/>
      <c r="R2424" s="329"/>
    </row>
    <row r="2425" spans="1:18" ht="13">
      <c r="A2425" s="282"/>
      <c r="B2425" s="282"/>
      <c r="C2425" s="282"/>
      <c r="D2425" s="282"/>
      <c r="E2425" s="282"/>
      <c r="F2425" s="282"/>
      <c r="G2425" s="329"/>
      <c r="H2425" s="329"/>
      <c r="I2425" s="329"/>
      <c r="J2425" s="329"/>
      <c r="K2425" s="329"/>
      <c r="L2425" s="329"/>
      <c r="M2425" s="329"/>
      <c r="N2425" s="329"/>
      <c r="O2425" s="329"/>
      <c r="P2425" s="329"/>
      <c r="Q2425" s="329"/>
      <c r="R2425" s="329"/>
    </row>
    <row r="2426" spans="1:18" ht="13">
      <c r="A2426" s="282"/>
      <c r="B2426" s="282"/>
      <c r="C2426" s="282"/>
      <c r="D2426" s="282"/>
      <c r="E2426" s="282"/>
      <c r="F2426" s="282"/>
      <c r="G2426" s="329"/>
      <c r="H2426" s="329"/>
      <c r="I2426" s="329"/>
      <c r="J2426" s="329"/>
      <c r="K2426" s="329"/>
      <c r="L2426" s="329"/>
      <c r="M2426" s="329"/>
      <c r="N2426" s="329"/>
      <c r="O2426" s="329"/>
      <c r="P2426" s="329"/>
      <c r="Q2426" s="329"/>
      <c r="R2426" s="329"/>
    </row>
    <row r="2427" spans="1:18" ht="13">
      <c r="A2427" s="282"/>
      <c r="B2427" s="282"/>
      <c r="C2427" s="282"/>
      <c r="D2427" s="282"/>
      <c r="E2427" s="282"/>
      <c r="F2427" s="282"/>
      <c r="G2427" s="329"/>
      <c r="H2427" s="329"/>
      <c r="I2427" s="329"/>
      <c r="J2427" s="329"/>
      <c r="K2427" s="329"/>
      <c r="L2427" s="329"/>
      <c r="M2427" s="329"/>
      <c r="N2427" s="329"/>
      <c r="O2427" s="329"/>
      <c r="P2427" s="329"/>
      <c r="Q2427" s="329"/>
      <c r="R2427" s="329"/>
    </row>
    <row r="2428" spans="1:18" ht="13">
      <c r="A2428" s="282"/>
      <c r="B2428" s="282"/>
      <c r="C2428" s="282"/>
      <c r="D2428" s="282"/>
      <c r="E2428" s="282"/>
      <c r="F2428" s="282"/>
      <c r="G2428" s="329"/>
      <c r="H2428" s="329"/>
      <c r="I2428" s="329"/>
      <c r="J2428" s="329"/>
      <c r="K2428" s="329"/>
      <c r="L2428" s="329"/>
      <c r="M2428" s="329"/>
      <c r="N2428" s="329"/>
      <c r="O2428" s="329"/>
      <c r="P2428" s="329"/>
      <c r="Q2428" s="329"/>
      <c r="R2428" s="329"/>
    </row>
    <row r="2429" spans="1:18" ht="13">
      <c r="A2429" s="282"/>
      <c r="B2429" s="282"/>
      <c r="C2429" s="282"/>
      <c r="D2429" s="282"/>
      <c r="E2429" s="282"/>
      <c r="F2429" s="282"/>
      <c r="G2429" s="329"/>
      <c r="H2429" s="329"/>
      <c r="I2429" s="329"/>
      <c r="J2429" s="329"/>
      <c r="K2429" s="329"/>
      <c r="L2429" s="329"/>
      <c r="M2429" s="329"/>
      <c r="N2429" s="329"/>
      <c r="O2429" s="329"/>
      <c r="P2429" s="329"/>
      <c r="Q2429" s="329"/>
      <c r="R2429" s="329"/>
    </row>
    <row r="2430" spans="1:18" ht="13">
      <c r="A2430" s="282"/>
      <c r="B2430" s="282"/>
      <c r="C2430" s="282"/>
      <c r="D2430" s="282"/>
      <c r="E2430" s="282"/>
      <c r="F2430" s="282"/>
      <c r="G2430" s="329"/>
      <c r="H2430" s="329"/>
      <c r="I2430" s="329"/>
      <c r="J2430" s="329"/>
      <c r="K2430" s="329"/>
      <c r="L2430" s="329"/>
      <c r="M2430" s="329"/>
      <c r="N2430" s="329"/>
      <c r="O2430" s="329"/>
      <c r="P2430" s="329"/>
      <c r="Q2430" s="329"/>
      <c r="R2430" s="329"/>
    </row>
    <row r="2431" spans="1:18" ht="13">
      <c r="A2431" s="282"/>
      <c r="B2431" s="282"/>
      <c r="C2431" s="282"/>
      <c r="D2431" s="282"/>
      <c r="E2431" s="282"/>
      <c r="F2431" s="282"/>
      <c r="G2431" s="329"/>
      <c r="H2431" s="329"/>
      <c r="I2431" s="329"/>
      <c r="J2431" s="329"/>
      <c r="K2431" s="329"/>
      <c r="L2431" s="329"/>
      <c r="M2431" s="329"/>
      <c r="N2431" s="329"/>
      <c r="O2431" s="329"/>
      <c r="P2431" s="329"/>
      <c r="Q2431" s="329"/>
      <c r="R2431" s="329"/>
    </row>
    <row r="2432" spans="1:18" ht="13">
      <c r="A2432" s="282"/>
      <c r="B2432" s="282"/>
      <c r="C2432" s="282"/>
      <c r="D2432" s="282"/>
      <c r="E2432" s="282"/>
      <c r="F2432" s="282"/>
      <c r="G2432" s="329"/>
      <c r="H2432" s="329"/>
      <c r="I2432" s="329"/>
      <c r="J2432" s="329"/>
      <c r="K2432" s="329"/>
      <c r="L2432" s="329"/>
      <c r="M2432" s="329"/>
      <c r="N2432" s="329"/>
      <c r="O2432" s="329"/>
      <c r="P2432" s="329"/>
      <c r="Q2432" s="329"/>
      <c r="R2432" s="329"/>
    </row>
    <row r="2433" spans="1:18" ht="13">
      <c r="A2433" s="282"/>
      <c r="B2433" s="282"/>
      <c r="C2433" s="282"/>
      <c r="D2433" s="282"/>
      <c r="E2433" s="282"/>
      <c r="F2433" s="282"/>
      <c r="G2433" s="329"/>
      <c r="H2433" s="329"/>
      <c r="I2433" s="329"/>
      <c r="J2433" s="329"/>
      <c r="K2433" s="329"/>
      <c r="L2433" s="329"/>
      <c r="M2433" s="329"/>
      <c r="N2433" s="329"/>
      <c r="O2433" s="329"/>
      <c r="P2433" s="329"/>
      <c r="Q2433" s="329"/>
      <c r="R2433" s="329"/>
    </row>
    <row r="2434" spans="1:18" ht="13">
      <c r="A2434" s="282"/>
      <c r="B2434" s="282"/>
      <c r="C2434" s="282"/>
      <c r="D2434" s="282"/>
      <c r="E2434" s="282"/>
      <c r="F2434" s="282"/>
      <c r="G2434" s="329"/>
      <c r="H2434" s="329"/>
      <c r="I2434" s="329"/>
      <c r="J2434" s="329"/>
      <c r="K2434" s="329"/>
      <c r="L2434" s="329"/>
      <c r="M2434" s="329"/>
      <c r="N2434" s="329"/>
      <c r="O2434" s="329"/>
      <c r="P2434" s="329"/>
      <c r="Q2434" s="329"/>
      <c r="R2434" s="329"/>
    </row>
    <row r="2435" spans="1:18" ht="13">
      <c r="A2435" s="282"/>
      <c r="B2435" s="282"/>
      <c r="C2435" s="282"/>
      <c r="D2435" s="282"/>
      <c r="E2435" s="282"/>
      <c r="F2435" s="282"/>
      <c r="G2435" s="329"/>
      <c r="H2435" s="329"/>
      <c r="I2435" s="329"/>
      <c r="J2435" s="329"/>
      <c r="K2435" s="329"/>
      <c r="L2435" s="329"/>
      <c r="M2435" s="329"/>
      <c r="N2435" s="329"/>
      <c r="O2435" s="329"/>
      <c r="P2435" s="329"/>
      <c r="Q2435" s="329"/>
      <c r="R2435" s="329"/>
    </row>
    <row r="2436" spans="1:18" ht="13">
      <c r="A2436" s="282"/>
      <c r="B2436" s="282"/>
      <c r="C2436" s="282"/>
      <c r="D2436" s="282"/>
      <c r="E2436" s="282"/>
      <c r="F2436" s="282"/>
      <c r="G2436" s="329"/>
      <c r="H2436" s="329"/>
      <c r="I2436" s="329"/>
      <c r="J2436" s="329"/>
      <c r="K2436" s="329"/>
      <c r="L2436" s="329"/>
      <c r="M2436" s="329"/>
      <c r="N2436" s="329"/>
      <c r="O2436" s="329"/>
      <c r="P2436" s="329"/>
      <c r="Q2436" s="329"/>
      <c r="R2436" s="329"/>
    </row>
    <row r="2437" spans="1:18" ht="13">
      <c r="A2437" s="282"/>
      <c r="B2437" s="282"/>
      <c r="C2437" s="282"/>
      <c r="D2437" s="282"/>
      <c r="E2437" s="282"/>
      <c r="F2437" s="282"/>
      <c r="G2437" s="329"/>
      <c r="H2437" s="329"/>
      <c r="I2437" s="329"/>
      <c r="J2437" s="329"/>
      <c r="K2437" s="329"/>
      <c r="L2437" s="329"/>
      <c r="M2437" s="329"/>
      <c r="N2437" s="329"/>
      <c r="O2437" s="329"/>
      <c r="P2437" s="329"/>
      <c r="Q2437" s="329"/>
      <c r="R2437" s="329"/>
    </row>
    <row r="2438" spans="1:18" ht="13">
      <c r="A2438" s="282"/>
      <c r="B2438" s="282"/>
      <c r="C2438" s="282"/>
      <c r="D2438" s="282"/>
      <c r="E2438" s="282"/>
      <c r="F2438" s="282"/>
      <c r="G2438" s="329"/>
      <c r="H2438" s="329"/>
      <c r="I2438" s="329"/>
      <c r="J2438" s="329"/>
      <c r="K2438" s="329"/>
      <c r="L2438" s="329"/>
      <c r="M2438" s="329"/>
      <c r="N2438" s="329"/>
      <c r="O2438" s="329"/>
      <c r="P2438" s="329"/>
      <c r="Q2438" s="329"/>
      <c r="R2438" s="329"/>
    </row>
    <row r="2439" spans="1:18" ht="13">
      <c r="A2439" s="282"/>
      <c r="B2439" s="282"/>
      <c r="C2439" s="282"/>
      <c r="D2439" s="282"/>
      <c r="E2439" s="282"/>
      <c r="F2439" s="282"/>
      <c r="G2439" s="329"/>
      <c r="H2439" s="329"/>
      <c r="I2439" s="329"/>
      <c r="J2439" s="329"/>
      <c r="K2439" s="329"/>
      <c r="L2439" s="329"/>
      <c r="M2439" s="329"/>
      <c r="N2439" s="329"/>
      <c r="O2439" s="329"/>
      <c r="P2439" s="329"/>
      <c r="Q2439" s="329"/>
      <c r="R2439" s="329"/>
    </row>
    <row r="2440" spans="1:18" ht="13">
      <c r="A2440" s="282"/>
      <c r="B2440" s="282"/>
      <c r="C2440" s="282"/>
      <c r="D2440" s="282"/>
      <c r="E2440" s="282"/>
      <c r="F2440" s="282"/>
      <c r="G2440" s="329"/>
      <c r="H2440" s="329"/>
      <c r="I2440" s="329"/>
      <c r="J2440" s="329"/>
      <c r="K2440" s="329"/>
      <c r="L2440" s="329"/>
      <c r="M2440" s="329"/>
      <c r="N2440" s="329"/>
      <c r="O2440" s="329"/>
      <c r="P2440" s="329"/>
      <c r="Q2440" s="329"/>
      <c r="R2440" s="329"/>
    </row>
    <row r="2441" spans="1:18" ht="13">
      <c r="A2441" s="282"/>
      <c r="B2441" s="282"/>
      <c r="C2441" s="282"/>
      <c r="D2441" s="282"/>
      <c r="E2441" s="282"/>
      <c r="F2441" s="282"/>
      <c r="G2441" s="329"/>
      <c r="H2441" s="329"/>
      <c r="I2441" s="329"/>
      <c r="J2441" s="329"/>
      <c r="K2441" s="329"/>
      <c r="L2441" s="329"/>
      <c r="M2441" s="329"/>
      <c r="N2441" s="329"/>
      <c r="O2441" s="329"/>
      <c r="P2441" s="329"/>
      <c r="Q2441" s="329"/>
      <c r="R2441" s="329"/>
    </row>
    <row r="2442" spans="1:18" ht="13">
      <c r="A2442" s="282"/>
      <c r="B2442" s="282"/>
      <c r="C2442" s="282"/>
      <c r="D2442" s="282"/>
      <c r="E2442" s="282"/>
      <c r="F2442" s="282"/>
      <c r="G2442" s="329"/>
      <c r="H2442" s="329"/>
      <c r="I2442" s="329"/>
      <c r="J2442" s="329"/>
      <c r="K2442" s="329"/>
      <c r="L2442" s="329"/>
      <c r="M2442" s="329"/>
      <c r="N2442" s="329"/>
      <c r="O2442" s="329"/>
      <c r="P2442" s="329"/>
      <c r="Q2442" s="329"/>
      <c r="R2442" s="329"/>
    </row>
    <row r="2443" spans="1:18" ht="13">
      <c r="A2443" s="282"/>
      <c r="B2443" s="282"/>
      <c r="C2443" s="282"/>
      <c r="D2443" s="282"/>
      <c r="E2443" s="282"/>
      <c r="F2443" s="282"/>
      <c r="G2443" s="329"/>
      <c r="H2443" s="329"/>
      <c r="I2443" s="329"/>
      <c r="J2443" s="329"/>
      <c r="K2443" s="329"/>
      <c r="L2443" s="329"/>
      <c r="M2443" s="329"/>
      <c r="N2443" s="329"/>
      <c r="O2443" s="329"/>
      <c r="P2443" s="329"/>
      <c r="Q2443" s="329"/>
      <c r="R2443" s="329"/>
    </row>
    <row r="2444" spans="1:18" ht="13">
      <c r="A2444" s="282"/>
      <c r="B2444" s="282"/>
      <c r="C2444" s="282"/>
      <c r="D2444" s="282"/>
      <c r="E2444" s="282"/>
      <c r="F2444" s="282"/>
      <c r="G2444" s="329"/>
      <c r="H2444" s="329"/>
      <c r="I2444" s="329"/>
      <c r="J2444" s="329"/>
      <c r="K2444" s="329"/>
      <c r="L2444" s="329"/>
      <c r="M2444" s="329"/>
      <c r="N2444" s="329"/>
      <c r="O2444" s="329"/>
      <c r="P2444" s="329"/>
      <c r="Q2444" s="329"/>
      <c r="R2444" s="329"/>
    </row>
    <row r="2445" spans="1:18" ht="13">
      <c r="A2445" s="282"/>
      <c r="B2445" s="282"/>
      <c r="C2445" s="282"/>
      <c r="D2445" s="282"/>
      <c r="E2445" s="282"/>
      <c r="F2445" s="282"/>
      <c r="G2445" s="329"/>
      <c r="H2445" s="329"/>
      <c r="I2445" s="329"/>
      <c r="J2445" s="329"/>
      <c r="K2445" s="329"/>
      <c r="L2445" s="329"/>
      <c r="M2445" s="329"/>
      <c r="N2445" s="329"/>
      <c r="O2445" s="329"/>
      <c r="P2445" s="329"/>
      <c r="Q2445" s="329"/>
      <c r="R2445" s="329"/>
    </row>
    <row r="2446" spans="1:18" ht="13">
      <c r="A2446" s="282"/>
      <c r="B2446" s="282"/>
      <c r="C2446" s="282"/>
      <c r="D2446" s="282"/>
      <c r="E2446" s="282"/>
      <c r="F2446" s="282"/>
      <c r="G2446" s="329"/>
      <c r="H2446" s="329"/>
      <c r="I2446" s="329"/>
      <c r="J2446" s="329"/>
      <c r="K2446" s="329"/>
      <c r="L2446" s="329"/>
      <c r="M2446" s="329"/>
      <c r="N2446" s="329"/>
      <c r="O2446" s="329"/>
      <c r="P2446" s="329"/>
      <c r="Q2446" s="329"/>
      <c r="R2446" s="329"/>
    </row>
    <row r="2447" spans="1:18" ht="13">
      <c r="A2447" s="282"/>
      <c r="B2447" s="282"/>
      <c r="C2447" s="282"/>
      <c r="D2447" s="282"/>
      <c r="E2447" s="282"/>
      <c r="F2447" s="282"/>
      <c r="G2447" s="329"/>
      <c r="H2447" s="329"/>
      <c r="I2447" s="329"/>
      <c r="J2447" s="329"/>
      <c r="K2447" s="329"/>
      <c r="L2447" s="329"/>
      <c r="M2447" s="329"/>
      <c r="N2447" s="329"/>
      <c r="O2447" s="329"/>
      <c r="P2447" s="329"/>
      <c r="Q2447" s="329"/>
      <c r="R2447" s="329"/>
    </row>
    <row r="2448" spans="1:18" ht="13">
      <c r="A2448" s="282"/>
      <c r="B2448" s="282"/>
      <c r="C2448" s="282"/>
      <c r="D2448" s="282"/>
      <c r="E2448" s="282"/>
      <c r="F2448" s="282"/>
      <c r="G2448" s="329"/>
      <c r="H2448" s="329"/>
      <c r="I2448" s="329"/>
      <c r="J2448" s="329"/>
      <c r="K2448" s="329"/>
      <c r="L2448" s="329"/>
      <c r="M2448" s="329"/>
      <c r="N2448" s="329"/>
      <c r="O2448" s="329"/>
      <c r="P2448" s="329"/>
      <c r="Q2448" s="329"/>
      <c r="R2448" s="329"/>
    </row>
    <row r="2449" spans="1:18" ht="13">
      <c r="A2449" s="282"/>
      <c r="B2449" s="282"/>
      <c r="C2449" s="282"/>
      <c r="D2449" s="282"/>
      <c r="E2449" s="282"/>
      <c r="F2449" s="282"/>
      <c r="G2449" s="329"/>
      <c r="H2449" s="329"/>
      <c r="I2449" s="329"/>
      <c r="J2449" s="329"/>
      <c r="K2449" s="329"/>
      <c r="L2449" s="329"/>
      <c r="M2449" s="329"/>
      <c r="N2449" s="329"/>
      <c r="O2449" s="329"/>
      <c r="P2449" s="329"/>
      <c r="Q2449" s="329"/>
      <c r="R2449" s="329"/>
    </row>
    <row r="2450" spans="1:18" ht="13">
      <c r="A2450" s="282"/>
      <c r="B2450" s="282"/>
      <c r="C2450" s="282"/>
      <c r="D2450" s="282"/>
      <c r="E2450" s="282"/>
      <c r="F2450" s="282"/>
      <c r="G2450" s="329"/>
      <c r="H2450" s="329"/>
      <c r="I2450" s="329"/>
      <c r="J2450" s="329"/>
      <c r="K2450" s="329"/>
      <c r="L2450" s="329"/>
      <c r="M2450" s="329"/>
      <c r="N2450" s="329"/>
      <c r="O2450" s="329"/>
      <c r="P2450" s="329"/>
      <c r="Q2450" s="329"/>
      <c r="R2450" s="329"/>
    </row>
    <row r="2451" spans="1:18" ht="13">
      <c r="A2451" s="282"/>
      <c r="B2451" s="282"/>
      <c r="C2451" s="282"/>
      <c r="D2451" s="282"/>
      <c r="E2451" s="282"/>
      <c r="F2451" s="282"/>
      <c r="G2451" s="329"/>
      <c r="H2451" s="329"/>
      <c r="I2451" s="329"/>
      <c r="J2451" s="329"/>
      <c r="K2451" s="329"/>
      <c r="L2451" s="329"/>
      <c r="M2451" s="329"/>
      <c r="N2451" s="329"/>
      <c r="O2451" s="329"/>
      <c r="P2451" s="329"/>
      <c r="Q2451" s="329"/>
      <c r="R2451" s="329"/>
    </row>
    <row r="2452" spans="1:18" ht="13">
      <c r="A2452" s="282"/>
      <c r="B2452" s="282"/>
      <c r="C2452" s="282"/>
      <c r="D2452" s="282"/>
      <c r="E2452" s="282"/>
      <c r="F2452" s="282"/>
      <c r="G2452" s="329"/>
      <c r="H2452" s="329"/>
      <c r="I2452" s="329"/>
      <c r="J2452" s="329"/>
      <c r="K2452" s="329"/>
      <c r="L2452" s="329"/>
      <c r="M2452" s="329"/>
      <c r="N2452" s="329"/>
      <c r="O2452" s="329"/>
      <c r="P2452" s="329"/>
      <c r="Q2452" s="329"/>
      <c r="R2452" s="329"/>
    </row>
    <row r="2453" spans="1:18" ht="13">
      <c r="A2453" s="282"/>
      <c r="B2453" s="282"/>
      <c r="C2453" s="282"/>
      <c r="D2453" s="282"/>
      <c r="E2453" s="282"/>
      <c r="F2453" s="282"/>
      <c r="G2453" s="329"/>
      <c r="H2453" s="329"/>
      <c r="I2453" s="329"/>
      <c r="J2453" s="329"/>
      <c r="K2453" s="329"/>
      <c r="L2453" s="329"/>
      <c r="M2453" s="329"/>
      <c r="N2453" s="329"/>
      <c r="O2453" s="329"/>
      <c r="P2453" s="329"/>
      <c r="Q2453" s="329"/>
      <c r="R2453" s="329"/>
    </row>
    <row r="2454" spans="1:18" ht="13">
      <c r="A2454" s="282"/>
      <c r="B2454" s="282"/>
      <c r="C2454" s="282"/>
      <c r="D2454" s="282"/>
      <c r="E2454" s="282"/>
      <c r="F2454" s="282"/>
      <c r="G2454" s="329"/>
      <c r="H2454" s="329"/>
      <c r="I2454" s="329"/>
      <c r="J2454" s="329"/>
      <c r="K2454" s="329"/>
      <c r="L2454" s="329"/>
      <c r="M2454" s="329"/>
      <c r="N2454" s="329"/>
      <c r="O2454" s="329"/>
      <c r="P2454" s="329"/>
      <c r="Q2454" s="329"/>
      <c r="R2454" s="329"/>
    </row>
    <row r="2455" spans="1:18" ht="13">
      <c r="A2455" s="282"/>
      <c r="B2455" s="282"/>
      <c r="C2455" s="282"/>
      <c r="D2455" s="282"/>
      <c r="E2455" s="282"/>
      <c r="F2455" s="282"/>
      <c r="G2455" s="329"/>
      <c r="H2455" s="329"/>
      <c r="I2455" s="329"/>
      <c r="J2455" s="329"/>
      <c r="K2455" s="329"/>
      <c r="L2455" s="329"/>
      <c r="M2455" s="329"/>
      <c r="N2455" s="329"/>
      <c r="O2455" s="329"/>
      <c r="P2455" s="329"/>
      <c r="Q2455" s="329"/>
      <c r="R2455" s="329"/>
    </row>
    <row r="2456" spans="1:18" ht="13">
      <c r="A2456" s="282"/>
      <c r="B2456" s="282"/>
      <c r="C2456" s="282"/>
      <c r="D2456" s="282"/>
      <c r="E2456" s="282"/>
      <c r="F2456" s="282"/>
      <c r="G2456" s="329"/>
      <c r="H2456" s="329"/>
      <c r="I2456" s="329"/>
      <c r="J2456" s="329"/>
      <c r="K2456" s="329"/>
      <c r="L2456" s="329"/>
      <c r="M2456" s="329"/>
      <c r="N2456" s="329"/>
      <c r="O2456" s="329"/>
      <c r="P2456" s="329"/>
      <c r="Q2456" s="329"/>
      <c r="R2456" s="329"/>
    </row>
    <row r="2457" spans="1:18" ht="13">
      <c r="A2457" s="282"/>
      <c r="B2457" s="282"/>
      <c r="C2457" s="282"/>
      <c r="D2457" s="282"/>
      <c r="E2457" s="282"/>
      <c r="F2457" s="282"/>
      <c r="G2457" s="329"/>
      <c r="H2457" s="329"/>
      <c r="I2457" s="329"/>
      <c r="J2457" s="329"/>
      <c r="K2457" s="329"/>
      <c r="L2457" s="329"/>
      <c r="M2457" s="329"/>
      <c r="N2457" s="329"/>
      <c r="O2457" s="329"/>
      <c r="P2457" s="329"/>
      <c r="Q2457" s="329"/>
      <c r="R2457" s="329"/>
    </row>
    <row r="2458" spans="1:18" ht="13">
      <c r="A2458" s="282"/>
      <c r="B2458" s="282"/>
      <c r="C2458" s="282"/>
      <c r="D2458" s="282"/>
      <c r="E2458" s="282"/>
      <c r="F2458" s="282"/>
      <c r="G2458" s="329"/>
      <c r="H2458" s="329"/>
      <c r="I2458" s="329"/>
      <c r="J2458" s="329"/>
      <c r="K2458" s="329"/>
      <c r="L2458" s="329"/>
      <c r="M2458" s="329"/>
      <c r="N2458" s="329"/>
      <c r="O2458" s="329"/>
      <c r="P2458" s="329"/>
      <c r="Q2458" s="329"/>
      <c r="R2458" s="329"/>
    </row>
    <row r="2459" spans="1:18" ht="13">
      <c r="A2459" s="282"/>
      <c r="B2459" s="282"/>
      <c r="C2459" s="282"/>
      <c r="D2459" s="282"/>
      <c r="E2459" s="282"/>
      <c r="F2459" s="282"/>
      <c r="G2459" s="329"/>
      <c r="H2459" s="329"/>
      <c r="I2459" s="329"/>
      <c r="J2459" s="329"/>
      <c r="K2459" s="329"/>
      <c r="L2459" s="329"/>
      <c r="M2459" s="329"/>
      <c r="N2459" s="329"/>
      <c r="O2459" s="329"/>
      <c r="P2459" s="329"/>
      <c r="Q2459" s="329"/>
      <c r="R2459" s="329"/>
    </row>
    <row r="2460" spans="1:18" ht="13">
      <c r="A2460" s="282"/>
      <c r="B2460" s="282"/>
      <c r="C2460" s="282"/>
      <c r="D2460" s="282"/>
      <c r="E2460" s="282"/>
      <c r="F2460" s="282"/>
      <c r="G2460" s="329"/>
      <c r="H2460" s="329"/>
      <c r="I2460" s="329"/>
      <c r="J2460" s="329"/>
      <c r="K2460" s="329"/>
      <c r="L2460" s="329"/>
      <c r="M2460" s="329"/>
      <c r="N2460" s="329"/>
      <c r="O2460" s="329"/>
      <c r="P2460" s="329"/>
      <c r="Q2460" s="329"/>
      <c r="R2460" s="329"/>
    </row>
    <row r="2461" spans="1:18" ht="13">
      <c r="A2461" s="282"/>
      <c r="B2461" s="282"/>
      <c r="C2461" s="282"/>
      <c r="D2461" s="282"/>
      <c r="E2461" s="282"/>
      <c r="F2461" s="282"/>
      <c r="G2461" s="329"/>
      <c r="H2461" s="329"/>
      <c r="I2461" s="329"/>
      <c r="J2461" s="329"/>
      <c r="K2461" s="329"/>
      <c r="L2461" s="329"/>
      <c r="M2461" s="329"/>
      <c r="N2461" s="329"/>
      <c r="O2461" s="329"/>
      <c r="P2461" s="329"/>
      <c r="Q2461" s="329"/>
      <c r="R2461" s="329"/>
    </row>
    <row r="2462" spans="1:18" ht="13">
      <c r="A2462" s="282"/>
      <c r="B2462" s="282"/>
      <c r="C2462" s="282"/>
      <c r="D2462" s="282"/>
      <c r="E2462" s="282"/>
      <c r="F2462" s="282"/>
      <c r="G2462" s="329"/>
      <c r="H2462" s="329"/>
      <c r="I2462" s="329"/>
      <c r="J2462" s="329"/>
      <c r="K2462" s="329"/>
      <c r="L2462" s="329"/>
      <c r="M2462" s="329"/>
      <c r="N2462" s="329"/>
      <c r="O2462" s="329"/>
      <c r="P2462" s="329"/>
      <c r="Q2462" s="329"/>
      <c r="R2462" s="329"/>
    </row>
    <row r="2463" spans="1:18" ht="13">
      <c r="A2463" s="282"/>
      <c r="B2463" s="282"/>
      <c r="C2463" s="282"/>
      <c r="D2463" s="282"/>
      <c r="E2463" s="282"/>
      <c r="F2463" s="282"/>
      <c r="G2463" s="329"/>
      <c r="H2463" s="329"/>
      <c r="I2463" s="329"/>
      <c r="J2463" s="329"/>
      <c r="K2463" s="329"/>
      <c r="L2463" s="329"/>
      <c r="M2463" s="329"/>
      <c r="N2463" s="329"/>
      <c r="O2463" s="329"/>
      <c r="P2463" s="329"/>
      <c r="Q2463" s="329"/>
      <c r="R2463" s="329"/>
    </row>
    <row r="2464" spans="1:18" ht="13">
      <c r="A2464" s="282"/>
      <c r="B2464" s="282"/>
      <c r="C2464" s="282"/>
      <c r="D2464" s="282"/>
      <c r="E2464" s="282"/>
      <c r="F2464" s="282"/>
      <c r="G2464" s="329"/>
      <c r="H2464" s="329"/>
      <c r="I2464" s="329"/>
      <c r="J2464" s="329"/>
      <c r="K2464" s="329"/>
      <c r="L2464" s="329"/>
      <c r="M2464" s="329"/>
      <c r="N2464" s="329"/>
      <c r="O2464" s="329"/>
      <c r="P2464" s="329"/>
      <c r="Q2464" s="329"/>
      <c r="R2464" s="329"/>
    </row>
    <row r="2465" spans="1:18" ht="13">
      <c r="A2465" s="282"/>
      <c r="B2465" s="282"/>
      <c r="C2465" s="282"/>
      <c r="D2465" s="282"/>
      <c r="E2465" s="282"/>
      <c r="F2465" s="282"/>
      <c r="G2465" s="329"/>
      <c r="H2465" s="329"/>
      <c r="I2465" s="329"/>
      <c r="J2465" s="329"/>
      <c r="K2465" s="329"/>
      <c r="L2465" s="329"/>
      <c r="M2465" s="329"/>
      <c r="N2465" s="329"/>
      <c r="O2465" s="329"/>
      <c r="P2465" s="329"/>
      <c r="Q2465" s="329"/>
      <c r="R2465" s="329"/>
    </row>
    <row r="2466" spans="1:18" ht="13">
      <c r="A2466" s="282"/>
      <c r="B2466" s="282"/>
      <c r="C2466" s="282"/>
      <c r="D2466" s="282"/>
      <c r="E2466" s="282"/>
      <c r="F2466" s="282"/>
      <c r="G2466" s="329"/>
      <c r="H2466" s="329"/>
      <c r="I2466" s="329"/>
      <c r="J2466" s="329"/>
      <c r="K2466" s="329"/>
      <c r="L2466" s="329"/>
      <c r="M2466" s="329"/>
      <c r="N2466" s="329"/>
      <c r="O2466" s="329"/>
      <c r="P2466" s="329"/>
      <c r="Q2466" s="329"/>
      <c r="R2466" s="329"/>
    </row>
    <row r="2467" spans="1:18" ht="13">
      <c r="A2467" s="282"/>
      <c r="B2467" s="282"/>
      <c r="C2467" s="282"/>
      <c r="D2467" s="282"/>
      <c r="E2467" s="282"/>
      <c r="F2467" s="282"/>
      <c r="G2467" s="329"/>
      <c r="H2467" s="329"/>
      <c r="I2467" s="329"/>
      <c r="J2467" s="329"/>
      <c r="K2467" s="329"/>
      <c r="L2467" s="329"/>
      <c r="M2467" s="329"/>
      <c r="N2467" s="329"/>
      <c r="O2467" s="329"/>
      <c r="P2467" s="329"/>
      <c r="Q2467" s="329"/>
      <c r="R2467" s="329"/>
    </row>
    <row r="2468" spans="1:18" ht="13">
      <c r="A2468" s="282"/>
      <c r="B2468" s="282"/>
      <c r="C2468" s="282"/>
      <c r="D2468" s="282"/>
      <c r="E2468" s="282"/>
      <c r="F2468" s="282"/>
      <c r="G2468" s="329"/>
      <c r="H2468" s="329"/>
      <c r="I2468" s="329"/>
      <c r="J2468" s="329"/>
      <c r="K2468" s="329"/>
      <c r="L2468" s="329"/>
      <c r="M2468" s="329"/>
      <c r="N2468" s="329"/>
      <c r="O2468" s="329"/>
      <c r="P2468" s="329"/>
      <c r="Q2468" s="329"/>
      <c r="R2468" s="329"/>
    </row>
    <row r="2469" spans="1:18" ht="13">
      <c r="A2469" s="282"/>
      <c r="B2469" s="282"/>
      <c r="C2469" s="282"/>
      <c r="D2469" s="282"/>
      <c r="E2469" s="282"/>
      <c r="F2469" s="282"/>
      <c r="G2469" s="329"/>
      <c r="H2469" s="329"/>
      <c r="I2469" s="329"/>
      <c r="J2469" s="329"/>
      <c r="K2469" s="329"/>
      <c r="L2469" s="329"/>
      <c r="M2469" s="329"/>
      <c r="N2469" s="329"/>
      <c r="O2469" s="329"/>
      <c r="P2469" s="329"/>
      <c r="Q2469" s="329"/>
      <c r="R2469" s="329"/>
    </row>
    <row r="2470" spans="1:18" ht="13">
      <c r="A2470" s="282"/>
      <c r="B2470" s="282"/>
      <c r="C2470" s="282"/>
      <c r="D2470" s="282"/>
      <c r="E2470" s="282"/>
      <c r="F2470" s="282"/>
      <c r="G2470" s="329"/>
      <c r="H2470" s="329"/>
      <c r="I2470" s="329"/>
      <c r="J2470" s="329"/>
      <c r="K2470" s="329"/>
      <c r="L2470" s="329"/>
      <c r="M2470" s="329"/>
      <c r="N2470" s="329"/>
      <c r="O2470" s="329"/>
      <c r="P2470" s="329"/>
      <c r="Q2470" s="329"/>
      <c r="R2470" s="329"/>
    </row>
    <row r="2471" spans="1:18" ht="13">
      <c r="A2471" s="282"/>
      <c r="B2471" s="282"/>
      <c r="C2471" s="282"/>
      <c r="D2471" s="282"/>
      <c r="E2471" s="282"/>
      <c r="F2471" s="282"/>
      <c r="G2471" s="329"/>
      <c r="H2471" s="329"/>
      <c r="I2471" s="329"/>
      <c r="J2471" s="329"/>
      <c r="K2471" s="329"/>
      <c r="L2471" s="329"/>
      <c r="M2471" s="329"/>
      <c r="N2471" s="329"/>
      <c r="O2471" s="329"/>
      <c r="P2471" s="329"/>
      <c r="Q2471" s="329"/>
      <c r="R2471" s="329"/>
    </row>
    <row r="2472" spans="1:18" ht="13">
      <c r="A2472" s="282"/>
      <c r="B2472" s="282"/>
      <c r="C2472" s="282"/>
      <c r="D2472" s="282"/>
      <c r="E2472" s="282"/>
      <c r="F2472" s="282"/>
      <c r="G2472" s="329"/>
      <c r="H2472" s="329"/>
      <c r="I2472" s="329"/>
      <c r="J2472" s="329"/>
      <c r="K2472" s="329"/>
      <c r="L2472" s="329"/>
      <c r="M2472" s="329"/>
      <c r="N2472" s="329"/>
      <c r="O2472" s="329"/>
      <c r="P2472" s="329"/>
      <c r="Q2472" s="329"/>
      <c r="R2472" s="329"/>
    </row>
    <row r="2473" spans="1:18" ht="13">
      <c r="A2473" s="282"/>
      <c r="B2473" s="282"/>
      <c r="C2473" s="282"/>
      <c r="D2473" s="282"/>
      <c r="E2473" s="282"/>
      <c r="F2473" s="282"/>
      <c r="G2473" s="329"/>
      <c r="H2473" s="329"/>
      <c r="I2473" s="329"/>
      <c r="J2473" s="329"/>
      <c r="K2473" s="329"/>
      <c r="L2473" s="329"/>
      <c r="M2473" s="329"/>
      <c r="N2473" s="329"/>
      <c r="O2473" s="329"/>
      <c r="P2473" s="329"/>
      <c r="Q2473" s="329"/>
      <c r="R2473" s="329"/>
    </row>
    <row r="2474" spans="1:18" ht="13">
      <c r="A2474" s="282"/>
      <c r="B2474" s="282"/>
      <c r="C2474" s="282"/>
      <c r="D2474" s="282"/>
      <c r="E2474" s="282"/>
      <c r="F2474" s="282"/>
      <c r="G2474" s="329"/>
      <c r="H2474" s="329"/>
      <c r="I2474" s="329"/>
      <c r="J2474" s="329"/>
      <c r="K2474" s="329"/>
      <c r="L2474" s="329"/>
      <c r="M2474" s="329"/>
      <c r="N2474" s="329"/>
      <c r="O2474" s="329"/>
      <c r="P2474" s="329"/>
      <c r="Q2474" s="329"/>
      <c r="R2474" s="329"/>
    </row>
    <row r="2475" spans="1:18" ht="13">
      <c r="A2475" s="282"/>
      <c r="B2475" s="282"/>
      <c r="C2475" s="282"/>
      <c r="D2475" s="282"/>
      <c r="E2475" s="282"/>
      <c r="F2475" s="282"/>
      <c r="G2475" s="329"/>
      <c r="H2475" s="329"/>
      <c r="I2475" s="329"/>
      <c r="J2475" s="329"/>
      <c r="K2475" s="329"/>
      <c r="L2475" s="329"/>
      <c r="M2475" s="329"/>
      <c r="N2475" s="329"/>
      <c r="O2475" s="329"/>
      <c r="P2475" s="329"/>
      <c r="Q2475" s="329"/>
      <c r="R2475" s="329"/>
    </row>
    <row r="2476" spans="1:18" ht="13">
      <c r="A2476" s="282"/>
      <c r="B2476" s="282"/>
      <c r="C2476" s="282"/>
      <c r="D2476" s="282"/>
      <c r="E2476" s="282"/>
      <c r="F2476" s="282"/>
      <c r="G2476" s="329"/>
      <c r="H2476" s="329"/>
      <c r="I2476" s="329"/>
      <c r="J2476" s="329"/>
      <c r="K2476" s="329"/>
      <c r="L2476" s="329"/>
      <c r="M2476" s="329"/>
      <c r="N2476" s="329"/>
      <c r="O2476" s="329"/>
      <c r="P2476" s="329"/>
      <c r="Q2476" s="329"/>
      <c r="R2476" s="329"/>
    </row>
    <row r="2477" spans="1:18" ht="13">
      <c r="A2477" s="282"/>
      <c r="B2477" s="282"/>
      <c r="C2477" s="282"/>
      <c r="D2477" s="282"/>
      <c r="E2477" s="282"/>
      <c r="F2477" s="282"/>
      <c r="G2477" s="329"/>
      <c r="H2477" s="329"/>
      <c r="I2477" s="329"/>
      <c r="J2477" s="329"/>
      <c r="K2477" s="329"/>
      <c r="L2477" s="329"/>
      <c r="M2477" s="329"/>
      <c r="N2477" s="329"/>
      <c r="O2477" s="329"/>
      <c r="P2477" s="329"/>
      <c r="Q2477" s="329"/>
      <c r="R2477" s="329"/>
    </row>
    <row r="2478" spans="1:18" ht="13">
      <c r="A2478" s="282"/>
      <c r="B2478" s="282"/>
      <c r="C2478" s="282"/>
      <c r="D2478" s="282"/>
      <c r="E2478" s="282"/>
      <c r="F2478" s="282"/>
      <c r="G2478" s="329"/>
      <c r="H2478" s="329"/>
      <c r="I2478" s="329"/>
      <c r="J2478" s="329"/>
      <c r="K2478" s="329"/>
      <c r="L2478" s="329"/>
      <c r="M2478" s="329"/>
      <c r="N2478" s="329"/>
      <c r="O2478" s="329"/>
      <c r="P2478" s="329"/>
      <c r="Q2478" s="329"/>
      <c r="R2478" s="329"/>
    </row>
    <row r="2479" spans="1:18" ht="13">
      <c r="A2479" s="282"/>
      <c r="B2479" s="282"/>
      <c r="C2479" s="282"/>
      <c r="D2479" s="282"/>
      <c r="E2479" s="282"/>
      <c r="F2479" s="282"/>
      <c r="G2479" s="329"/>
      <c r="H2479" s="329"/>
      <c r="I2479" s="329"/>
      <c r="J2479" s="329"/>
      <c r="K2479" s="329"/>
      <c r="L2479" s="329"/>
      <c r="M2479" s="329"/>
      <c r="N2479" s="329"/>
      <c r="O2479" s="329"/>
      <c r="P2479" s="329"/>
      <c r="Q2479" s="329"/>
      <c r="R2479" s="329"/>
    </row>
    <row r="2480" spans="1:18" ht="13">
      <c r="A2480" s="282"/>
      <c r="B2480" s="282"/>
      <c r="C2480" s="282"/>
      <c r="D2480" s="282"/>
      <c r="E2480" s="282"/>
      <c r="F2480" s="282"/>
      <c r="G2480" s="329"/>
      <c r="H2480" s="329"/>
      <c r="I2480" s="329"/>
      <c r="J2480" s="329"/>
      <c r="K2480" s="329"/>
      <c r="L2480" s="329"/>
      <c r="M2480" s="329"/>
      <c r="N2480" s="329"/>
      <c r="O2480" s="329"/>
      <c r="P2480" s="329"/>
      <c r="Q2480" s="329"/>
      <c r="R2480" s="329"/>
    </row>
    <row r="2481" spans="1:18" ht="13">
      <c r="A2481" s="282"/>
      <c r="B2481" s="282"/>
      <c r="C2481" s="282"/>
      <c r="D2481" s="282"/>
      <c r="E2481" s="282"/>
      <c r="F2481" s="282"/>
      <c r="G2481" s="329"/>
      <c r="H2481" s="329"/>
      <c r="I2481" s="329"/>
      <c r="J2481" s="329"/>
      <c r="K2481" s="329"/>
      <c r="L2481" s="329"/>
      <c r="M2481" s="329"/>
      <c r="N2481" s="329"/>
      <c r="O2481" s="329"/>
      <c r="P2481" s="329"/>
      <c r="Q2481" s="329"/>
      <c r="R2481" s="329"/>
    </row>
    <row r="2482" spans="1:18" ht="13">
      <c r="A2482" s="282"/>
      <c r="B2482" s="282"/>
      <c r="C2482" s="282"/>
      <c r="D2482" s="282"/>
      <c r="E2482" s="282"/>
      <c r="F2482" s="282"/>
      <c r="G2482" s="329"/>
      <c r="H2482" s="329"/>
      <c r="I2482" s="329"/>
      <c r="J2482" s="329"/>
      <c r="K2482" s="329"/>
      <c r="L2482" s="329"/>
      <c r="M2482" s="329"/>
      <c r="N2482" s="329"/>
      <c r="O2482" s="329"/>
      <c r="P2482" s="329"/>
      <c r="Q2482" s="329"/>
      <c r="R2482" s="329"/>
    </row>
    <row r="2483" spans="1:18" ht="13">
      <c r="A2483" s="282"/>
      <c r="B2483" s="282"/>
      <c r="C2483" s="282"/>
      <c r="D2483" s="282"/>
      <c r="E2483" s="282"/>
      <c r="F2483" s="282"/>
      <c r="G2483" s="329"/>
      <c r="H2483" s="329"/>
      <c r="I2483" s="329"/>
      <c r="J2483" s="329"/>
      <c r="K2483" s="329"/>
      <c r="L2483" s="329"/>
      <c r="M2483" s="329"/>
      <c r="N2483" s="329"/>
      <c r="O2483" s="329"/>
      <c r="P2483" s="329"/>
      <c r="Q2483" s="329"/>
      <c r="R2483" s="329"/>
    </row>
    <row r="2484" spans="1:18" ht="13">
      <c r="A2484" s="282"/>
      <c r="B2484" s="282"/>
      <c r="C2484" s="282"/>
      <c r="D2484" s="282"/>
      <c r="E2484" s="282"/>
      <c r="F2484" s="282"/>
      <c r="G2484" s="329"/>
      <c r="H2484" s="329"/>
      <c r="I2484" s="329"/>
      <c r="J2484" s="329"/>
      <c r="K2484" s="329"/>
      <c r="L2484" s="329"/>
      <c r="M2484" s="329"/>
      <c r="N2484" s="329"/>
      <c r="O2484" s="329"/>
      <c r="P2484" s="329"/>
      <c r="Q2484" s="329"/>
      <c r="R2484" s="329"/>
    </row>
    <row r="2485" spans="1:18" ht="13">
      <c r="A2485" s="282"/>
      <c r="B2485" s="282"/>
      <c r="C2485" s="282"/>
      <c r="D2485" s="282"/>
      <c r="E2485" s="282"/>
      <c r="F2485" s="282"/>
      <c r="G2485" s="329"/>
      <c r="H2485" s="329"/>
      <c r="I2485" s="329"/>
      <c r="J2485" s="329"/>
      <c r="K2485" s="329"/>
      <c r="L2485" s="329"/>
      <c r="M2485" s="329"/>
      <c r="N2485" s="329"/>
      <c r="O2485" s="329"/>
      <c r="P2485" s="329"/>
      <c r="Q2485" s="329"/>
      <c r="R2485" s="329"/>
    </row>
    <row r="2486" spans="1:18" ht="13">
      <c r="A2486" s="282"/>
      <c r="B2486" s="282"/>
      <c r="C2486" s="282"/>
      <c r="D2486" s="282"/>
      <c r="E2486" s="282"/>
      <c r="F2486" s="282"/>
      <c r="G2486" s="329"/>
      <c r="H2486" s="329"/>
      <c r="I2486" s="329"/>
      <c r="J2486" s="329"/>
      <c r="K2486" s="329"/>
      <c r="L2486" s="329"/>
      <c r="M2486" s="329"/>
      <c r="N2486" s="329"/>
      <c r="O2486" s="329"/>
      <c r="P2486" s="329"/>
      <c r="Q2486" s="329"/>
      <c r="R2486" s="329"/>
    </row>
    <row r="2487" spans="1:18" ht="13">
      <c r="A2487" s="282"/>
      <c r="B2487" s="282"/>
      <c r="C2487" s="282"/>
      <c r="D2487" s="282"/>
      <c r="E2487" s="282"/>
      <c r="F2487" s="282"/>
      <c r="G2487" s="329"/>
      <c r="H2487" s="329"/>
      <c r="I2487" s="329"/>
      <c r="J2487" s="329"/>
      <c r="K2487" s="329"/>
      <c r="L2487" s="329"/>
      <c r="M2487" s="329"/>
      <c r="N2487" s="329"/>
      <c r="O2487" s="329"/>
      <c r="P2487" s="329"/>
      <c r="Q2487" s="329"/>
      <c r="R2487" s="329"/>
    </row>
    <row r="2488" spans="1:18" ht="13">
      <c r="A2488" s="282"/>
      <c r="B2488" s="282"/>
      <c r="C2488" s="282"/>
      <c r="D2488" s="282"/>
      <c r="E2488" s="282"/>
      <c r="F2488" s="282"/>
      <c r="G2488" s="329"/>
      <c r="H2488" s="329"/>
      <c r="I2488" s="329"/>
      <c r="J2488" s="329"/>
      <c r="K2488" s="329"/>
      <c r="L2488" s="329"/>
      <c r="M2488" s="329"/>
      <c r="N2488" s="329"/>
      <c r="O2488" s="329"/>
      <c r="P2488" s="329"/>
      <c r="Q2488" s="329"/>
      <c r="R2488" s="329"/>
    </row>
    <row r="2489" spans="1:18" ht="13">
      <c r="A2489" s="282"/>
      <c r="B2489" s="282"/>
      <c r="C2489" s="282"/>
      <c r="D2489" s="282"/>
      <c r="E2489" s="282"/>
      <c r="F2489" s="282"/>
      <c r="G2489" s="329"/>
      <c r="H2489" s="329"/>
      <c r="I2489" s="329"/>
      <c r="J2489" s="329"/>
      <c r="K2489" s="329"/>
      <c r="L2489" s="329"/>
      <c r="M2489" s="329"/>
      <c r="N2489" s="329"/>
      <c r="O2489" s="329"/>
      <c r="P2489" s="329"/>
      <c r="Q2489" s="329"/>
      <c r="R2489" s="329"/>
    </row>
    <row r="2490" spans="1:18" ht="13">
      <c r="A2490" s="282"/>
      <c r="B2490" s="282"/>
      <c r="C2490" s="282"/>
      <c r="D2490" s="282"/>
      <c r="E2490" s="282"/>
      <c r="F2490" s="282"/>
      <c r="G2490" s="329"/>
      <c r="H2490" s="329"/>
      <c r="I2490" s="329"/>
      <c r="J2490" s="329"/>
      <c r="K2490" s="329"/>
      <c r="L2490" s="329"/>
      <c r="M2490" s="329"/>
      <c r="N2490" s="329"/>
      <c r="O2490" s="329"/>
      <c r="P2490" s="329"/>
      <c r="Q2490" s="329"/>
      <c r="R2490" s="329"/>
    </row>
    <row r="2491" spans="1:18" ht="13">
      <c r="A2491" s="282"/>
      <c r="B2491" s="282"/>
      <c r="C2491" s="282"/>
      <c r="D2491" s="282"/>
      <c r="E2491" s="282"/>
      <c r="F2491" s="282"/>
      <c r="G2491" s="329"/>
      <c r="H2491" s="329"/>
      <c r="I2491" s="329"/>
      <c r="J2491" s="329"/>
      <c r="K2491" s="329"/>
      <c r="L2491" s="329"/>
      <c r="M2491" s="329"/>
      <c r="N2491" s="329"/>
      <c r="O2491" s="329"/>
      <c r="P2491" s="329"/>
      <c r="Q2491" s="329"/>
      <c r="R2491" s="329"/>
    </row>
    <row r="2492" spans="1:18" ht="13">
      <c r="A2492" s="282"/>
      <c r="B2492" s="282"/>
      <c r="C2492" s="282"/>
      <c r="D2492" s="282"/>
      <c r="E2492" s="282"/>
      <c r="F2492" s="282"/>
      <c r="G2492" s="329"/>
      <c r="H2492" s="329"/>
      <c r="I2492" s="329"/>
      <c r="J2492" s="329"/>
      <c r="K2492" s="329"/>
      <c r="L2492" s="329"/>
      <c r="M2492" s="329"/>
      <c r="N2492" s="329"/>
      <c r="O2492" s="329"/>
      <c r="P2492" s="329"/>
      <c r="Q2492" s="329"/>
      <c r="R2492" s="329"/>
    </row>
    <row r="2493" spans="1:18" ht="13">
      <c r="A2493" s="282"/>
      <c r="B2493" s="282"/>
      <c r="C2493" s="282"/>
      <c r="D2493" s="282"/>
      <c r="E2493" s="282"/>
      <c r="F2493" s="282"/>
      <c r="G2493" s="329"/>
      <c r="H2493" s="329"/>
      <c r="I2493" s="329"/>
      <c r="J2493" s="329"/>
      <c r="K2493" s="329"/>
      <c r="L2493" s="329"/>
      <c r="M2493" s="329"/>
      <c r="N2493" s="329"/>
      <c r="O2493" s="329"/>
      <c r="P2493" s="329"/>
      <c r="Q2493" s="329"/>
      <c r="R2493" s="329"/>
    </row>
    <row r="2494" spans="1:18" ht="13">
      <c r="A2494" s="282"/>
      <c r="B2494" s="282"/>
      <c r="C2494" s="282"/>
      <c r="D2494" s="282"/>
      <c r="E2494" s="282"/>
      <c r="F2494" s="282"/>
      <c r="G2494" s="329"/>
      <c r="H2494" s="329"/>
      <c r="I2494" s="329"/>
      <c r="J2494" s="329"/>
      <c r="K2494" s="329"/>
      <c r="L2494" s="329"/>
      <c r="M2494" s="329"/>
      <c r="N2494" s="329"/>
      <c r="O2494" s="329"/>
      <c r="P2494" s="329"/>
      <c r="Q2494" s="329"/>
      <c r="R2494" s="329"/>
    </row>
    <row r="2495" spans="1:18" ht="13">
      <c r="A2495" s="282"/>
      <c r="B2495" s="282"/>
      <c r="C2495" s="282"/>
      <c r="D2495" s="282"/>
      <c r="E2495" s="282"/>
      <c r="F2495" s="282"/>
      <c r="G2495" s="329"/>
      <c r="H2495" s="329"/>
      <c r="I2495" s="329"/>
      <c r="J2495" s="329"/>
      <c r="K2495" s="329"/>
      <c r="L2495" s="329"/>
      <c r="M2495" s="329"/>
      <c r="N2495" s="329"/>
      <c r="O2495" s="329"/>
      <c r="P2495" s="329"/>
      <c r="Q2495" s="329"/>
      <c r="R2495" s="329"/>
    </row>
    <row r="2496" spans="1:18" ht="13">
      <c r="A2496" s="282"/>
      <c r="B2496" s="282"/>
      <c r="C2496" s="282"/>
      <c r="D2496" s="282"/>
      <c r="E2496" s="282"/>
      <c r="F2496" s="282"/>
      <c r="G2496" s="329"/>
      <c r="H2496" s="329"/>
      <c r="I2496" s="329"/>
      <c r="J2496" s="329"/>
      <c r="K2496" s="329"/>
      <c r="L2496" s="329"/>
      <c r="M2496" s="329"/>
      <c r="N2496" s="329"/>
      <c r="O2496" s="329"/>
      <c r="P2496" s="329"/>
      <c r="Q2496" s="329"/>
      <c r="R2496" s="329"/>
    </row>
    <row r="2497" spans="1:18" ht="13">
      <c r="A2497" s="282"/>
      <c r="B2497" s="282"/>
      <c r="C2497" s="282"/>
      <c r="D2497" s="282"/>
      <c r="E2497" s="282"/>
      <c r="F2497" s="282"/>
      <c r="G2497" s="329"/>
      <c r="H2497" s="329"/>
      <c r="I2497" s="329"/>
      <c r="J2497" s="329"/>
      <c r="K2497" s="329"/>
      <c r="L2497" s="329"/>
      <c r="M2497" s="329"/>
      <c r="N2497" s="329"/>
      <c r="O2497" s="329"/>
      <c r="P2497" s="329"/>
      <c r="Q2497" s="329"/>
      <c r="R2497" s="329"/>
    </row>
    <row r="2498" spans="1:18" ht="13">
      <c r="A2498" s="282"/>
      <c r="B2498" s="282"/>
      <c r="C2498" s="282"/>
      <c r="D2498" s="282"/>
      <c r="E2498" s="282"/>
      <c r="F2498" s="282"/>
      <c r="G2498" s="329"/>
      <c r="H2498" s="329"/>
      <c r="I2498" s="329"/>
      <c r="J2498" s="329"/>
      <c r="K2498" s="329"/>
      <c r="L2498" s="329"/>
      <c r="M2498" s="329"/>
      <c r="N2498" s="329"/>
      <c r="O2498" s="329"/>
      <c r="P2498" s="329"/>
      <c r="Q2498" s="329"/>
      <c r="R2498" s="329"/>
    </row>
    <row r="2499" spans="1:18" ht="13">
      <c r="A2499" s="282"/>
      <c r="B2499" s="282"/>
      <c r="C2499" s="282"/>
      <c r="D2499" s="282"/>
      <c r="E2499" s="282"/>
      <c r="F2499" s="282"/>
      <c r="G2499" s="329"/>
      <c r="H2499" s="329"/>
      <c r="I2499" s="329"/>
      <c r="J2499" s="329"/>
      <c r="K2499" s="329"/>
      <c r="L2499" s="329"/>
      <c r="M2499" s="329"/>
      <c r="N2499" s="329"/>
      <c r="O2499" s="329"/>
      <c r="P2499" s="329"/>
      <c r="Q2499" s="329"/>
      <c r="R2499" s="329"/>
    </row>
    <row r="2500" spans="1:18" ht="13">
      <c r="A2500" s="282"/>
      <c r="B2500" s="282"/>
      <c r="C2500" s="282"/>
      <c r="D2500" s="282"/>
      <c r="E2500" s="282"/>
      <c r="F2500" s="282"/>
      <c r="G2500" s="329"/>
      <c r="H2500" s="329"/>
      <c r="I2500" s="329"/>
      <c r="J2500" s="329"/>
      <c r="K2500" s="329"/>
      <c r="L2500" s="329"/>
      <c r="M2500" s="329"/>
      <c r="N2500" s="329"/>
      <c r="O2500" s="329"/>
      <c r="P2500" s="329"/>
      <c r="Q2500" s="329"/>
      <c r="R2500" s="329"/>
    </row>
    <row r="2501" spans="1:18" ht="13">
      <c r="A2501" s="282"/>
      <c r="B2501" s="282"/>
      <c r="C2501" s="282"/>
      <c r="D2501" s="282"/>
      <c r="E2501" s="282"/>
      <c r="F2501" s="282"/>
      <c r="G2501" s="329"/>
      <c r="H2501" s="329"/>
      <c r="I2501" s="329"/>
      <c r="J2501" s="329"/>
      <c r="K2501" s="329"/>
      <c r="L2501" s="329"/>
      <c r="M2501" s="329"/>
      <c r="N2501" s="329"/>
      <c r="O2501" s="329"/>
      <c r="P2501" s="329"/>
      <c r="Q2501" s="329"/>
      <c r="R2501" s="329"/>
    </row>
    <row r="2502" spans="1:18" ht="13">
      <c r="A2502" s="282"/>
      <c r="B2502" s="282"/>
      <c r="C2502" s="282"/>
      <c r="D2502" s="282"/>
      <c r="E2502" s="282"/>
      <c r="F2502" s="282"/>
      <c r="G2502" s="329"/>
      <c r="H2502" s="329"/>
      <c r="I2502" s="329"/>
      <c r="J2502" s="329"/>
      <c r="K2502" s="329"/>
      <c r="L2502" s="329"/>
      <c r="M2502" s="329"/>
      <c r="N2502" s="329"/>
      <c r="O2502" s="329"/>
      <c r="P2502" s="329"/>
      <c r="Q2502" s="329"/>
      <c r="R2502" s="329"/>
    </row>
    <row r="2503" spans="1:18" ht="13">
      <c r="A2503" s="282"/>
      <c r="B2503" s="282"/>
      <c r="C2503" s="282"/>
      <c r="D2503" s="282"/>
      <c r="E2503" s="282"/>
      <c r="F2503" s="282"/>
      <c r="G2503" s="329"/>
      <c r="H2503" s="329"/>
      <c r="I2503" s="329"/>
      <c r="J2503" s="329"/>
      <c r="K2503" s="329"/>
      <c r="L2503" s="329"/>
      <c r="M2503" s="329"/>
      <c r="N2503" s="329"/>
      <c r="O2503" s="329"/>
      <c r="P2503" s="329"/>
      <c r="Q2503" s="329"/>
      <c r="R2503" s="329"/>
    </row>
    <row r="2504" spans="1:18" ht="13">
      <c r="A2504" s="282"/>
      <c r="B2504" s="282"/>
      <c r="C2504" s="282"/>
      <c r="D2504" s="282"/>
      <c r="E2504" s="282"/>
      <c r="F2504" s="282"/>
      <c r="G2504" s="329"/>
      <c r="H2504" s="329"/>
      <c r="I2504" s="329"/>
      <c r="J2504" s="329"/>
      <c r="K2504" s="329"/>
      <c r="L2504" s="329"/>
      <c r="M2504" s="329"/>
      <c r="N2504" s="329"/>
      <c r="O2504" s="329"/>
      <c r="P2504" s="329"/>
      <c r="Q2504" s="329"/>
      <c r="R2504" s="329"/>
    </row>
    <row r="2505" spans="1:18" ht="13">
      <c r="A2505" s="282"/>
      <c r="B2505" s="282"/>
      <c r="C2505" s="282"/>
      <c r="D2505" s="282"/>
      <c r="E2505" s="282"/>
      <c r="F2505" s="282"/>
      <c r="G2505" s="329"/>
      <c r="H2505" s="329"/>
      <c r="I2505" s="329"/>
      <c r="J2505" s="329"/>
      <c r="K2505" s="329"/>
      <c r="L2505" s="329"/>
      <c r="M2505" s="329"/>
      <c r="N2505" s="329"/>
      <c r="O2505" s="329"/>
      <c r="P2505" s="329"/>
      <c r="Q2505" s="329"/>
      <c r="R2505" s="329"/>
    </row>
    <row r="2506" spans="1:18" ht="13">
      <c r="A2506" s="282"/>
      <c r="B2506" s="282"/>
      <c r="C2506" s="282"/>
      <c r="D2506" s="282"/>
      <c r="E2506" s="282"/>
      <c r="F2506" s="282"/>
      <c r="G2506" s="329"/>
      <c r="H2506" s="329"/>
      <c r="I2506" s="329"/>
      <c r="J2506" s="329"/>
      <c r="K2506" s="329"/>
      <c r="L2506" s="329"/>
      <c r="M2506" s="329"/>
      <c r="N2506" s="329"/>
      <c r="O2506" s="329"/>
      <c r="P2506" s="329"/>
      <c r="Q2506" s="329"/>
      <c r="R2506" s="329"/>
    </row>
    <row r="2507" spans="1:18" ht="13">
      <c r="A2507" s="282"/>
      <c r="B2507" s="282"/>
      <c r="C2507" s="282"/>
      <c r="D2507" s="282"/>
      <c r="E2507" s="282"/>
      <c r="F2507" s="282"/>
      <c r="G2507" s="329"/>
      <c r="H2507" s="329"/>
      <c r="I2507" s="329"/>
      <c r="J2507" s="329"/>
      <c r="K2507" s="329"/>
      <c r="L2507" s="329"/>
      <c r="M2507" s="329"/>
      <c r="N2507" s="329"/>
      <c r="O2507" s="329"/>
      <c r="P2507" s="329"/>
      <c r="Q2507" s="329"/>
      <c r="R2507" s="329"/>
    </row>
    <row r="2508" spans="1:18" ht="13">
      <c r="A2508" s="282"/>
      <c r="B2508" s="282"/>
      <c r="C2508" s="282"/>
      <c r="D2508" s="282"/>
      <c r="E2508" s="282"/>
      <c r="F2508" s="282"/>
      <c r="G2508" s="329"/>
      <c r="H2508" s="329"/>
      <c r="I2508" s="329"/>
      <c r="J2508" s="329"/>
      <c r="K2508" s="329"/>
      <c r="L2508" s="329"/>
      <c r="M2508" s="329"/>
      <c r="N2508" s="329"/>
      <c r="O2508" s="329"/>
      <c r="P2508" s="329"/>
      <c r="Q2508" s="329"/>
      <c r="R2508" s="329"/>
    </row>
    <row r="2509" spans="1:18" ht="13">
      <c r="A2509" s="282"/>
      <c r="B2509" s="282"/>
      <c r="C2509" s="282"/>
      <c r="D2509" s="282"/>
      <c r="E2509" s="282"/>
      <c r="F2509" s="282"/>
      <c r="G2509" s="329"/>
      <c r="H2509" s="329"/>
      <c r="I2509" s="329"/>
      <c r="J2509" s="329"/>
      <c r="K2509" s="329"/>
      <c r="L2509" s="329"/>
      <c r="M2509" s="329"/>
      <c r="N2509" s="329"/>
      <c r="O2509" s="329"/>
      <c r="P2509" s="329"/>
      <c r="Q2509" s="329"/>
      <c r="R2509" s="329"/>
    </row>
    <row r="2510" spans="1:18" ht="13">
      <c r="A2510" s="282"/>
      <c r="B2510" s="282"/>
      <c r="C2510" s="282"/>
      <c r="D2510" s="282"/>
      <c r="E2510" s="282"/>
      <c r="F2510" s="282"/>
      <c r="G2510" s="329"/>
      <c r="H2510" s="329"/>
      <c r="I2510" s="329"/>
      <c r="J2510" s="329"/>
      <c r="K2510" s="329"/>
      <c r="L2510" s="329"/>
      <c r="M2510" s="329"/>
      <c r="N2510" s="329"/>
      <c r="O2510" s="329"/>
      <c r="P2510" s="329"/>
      <c r="Q2510" s="329"/>
      <c r="R2510" s="329"/>
    </row>
    <row r="2511" spans="1:18" ht="13">
      <c r="A2511" s="282"/>
      <c r="B2511" s="282"/>
      <c r="C2511" s="282"/>
      <c r="D2511" s="282"/>
      <c r="E2511" s="282"/>
      <c r="F2511" s="282"/>
      <c r="G2511" s="329"/>
      <c r="H2511" s="329"/>
      <c r="I2511" s="329"/>
      <c r="J2511" s="329"/>
      <c r="K2511" s="329"/>
      <c r="L2511" s="329"/>
      <c r="M2511" s="329"/>
      <c r="N2511" s="329"/>
      <c r="O2511" s="329"/>
      <c r="P2511" s="329"/>
      <c r="Q2511" s="329"/>
      <c r="R2511" s="329"/>
    </row>
    <row r="2512" spans="1:18" ht="13">
      <c r="A2512" s="282"/>
      <c r="B2512" s="282"/>
      <c r="C2512" s="282"/>
      <c r="D2512" s="282"/>
      <c r="E2512" s="282"/>
      <c r="F2512" s="282"/>
      <c r="G2512" s="329"/>
      <c r="H2512" s="329"/>
      <c r="I2512" s="329"/>
      <c r="J2512" s="329"/>
      <c r="K2512" s="329"/>
      <c r="L2512" s="329"/>
      <c r="M2512" s="329"/>
      <c r="N2512" s="329"/>
      <c r="O2512" s="329"/>
      <c r="P2512" s="329"/>
      <c r="Q2512" s="329"/>
      <c r="R2512" s="329"/>
    </row>
    <row r="2513" spans="1:18" ht="13">
      <c r="A2513" s="282"/>
      <c r="B2513" s="282"/>
      <c r="C2513" s="282"/>
      <c r="D2513" s="282"/>
      <c r="E2513" s="282"/>
      <c r="F2513" s="282"/>
      <c r="G2513" s="329"/>
      <c r="H2513" s="329"/>
      <c r="I2513" s="329"/>
      <c r="J2513" s="329"/>
      <c r="K2513" s="329"/>
      <c r="L2513" s="329"/>
      <c r="M2513" s="329"/>
      <c r="N2513" s="329"/>
      <c r="O2513" s="329"/>
      <c r="P2513" s="329"/>
      <c r="Q2513" s="329"/>
      <c r="R2513" s="329"/>
    </row>
    <row r="2514" spans="1:18" ht="13">
      <c r="A2514" s="282"/>
      <c r="B2514" s="282"/>
      <c r="C2514" s="282"/>
      <c r="D2514" s="282"/>
      <c r="E2514" s="282"/>
      <c r="F2514" s="282"/>
      <c r="G2514" s="329"/>
      <c r="H2514" s="329"/>
      <c r="I2514" s="329"/>
      <c r="J2514" s="329"/>
      <c r="K2514" s="329"/>
      <c r="L2514" s="329"/>
      <c r="M2514" s="329"/>
      <c r="N2514" s="329"/>
      <c r="O2514" s="329"/>
      <c r="P2514" s="329"/>
      <c r="Q2514" s="329"/>
      <c r="R2514" s="329"/>
    </row>
    <row r="2515" spans="1:18" ht="13">
      <c r="A2515" s="282"/>
      <c r="B2515" s="282"/>
      <c r="C2515" s="282"/>
      <c r="D2515" s="282"/>
      <c r="E2515" s="282"/>
      <c r="F2515" s="282"/>
      <c r="G2515" s="329"/>
      <c r="H2515" s="329"/>
      <c r="I2515" s="329"/>
      <c r="J2515" s="329"/>
      <c r="K2515" s="329"/>
      <c r="L2515" s="329"/>
      <c r="M2515" s="329"/>
      <c r="N2515" s="329"/>
      <c r="O2515" s="329"/>
      <c r="P2515" s="329"/>
      <c r="Q2515" s="329"/>
      <c r="R2515" s="329"/>
    </row>
    <row r="2516" spans="1:18" ht="13">
      <c r="A2516" s="282"/>
      <c r="B2516" s="282"/>
      <c r="C2516" s="282"/>
      <c r="D2516" s="282"/>
      <c r="E2516" s="282"/>
      <c r="F2516" s="282"/>
      <c r="G2516" s="329"/>
      <c r="H2516" s="329"/>
      <c r="I2516" s="329"/>
      <c r="J2516" s="329"/>
      <c r="K2516" s="329"/>
      <c r="L2516" s="329"/>
      <c r="M2516" s="329"/>
      <c r="N2516" s="329"/>
      <c r="O2516" s="329"/>
      <c r="P2516" s="329"/>
      <c r="Q2516" s="329"/>
      <c r="R2516" s="329"/>
    </row>
    <row r="2517" spans="1:18" ht="13">
      <c r="A2517" s="282"/>
      <c r="B2517" s="282"/>
      <c r="C2517" s="282"/>
      <c r="D2517" s="282"/>
      <c r="E2517" s="282"/>
      <c r="F2517" s="282"/>
      <c r="G2517" s="329"/>
      <c r="H2517" s="329"/>
      <c r="I2517" s="329"/>
      <c r="J2517" s="329"/>
      <c r="K2517" s="329"/>
      <c r="L2517" s="329"/>
      <c r="M2517" s="329"/>
      <c r="N2517" s="329"/>
      <c r="O2517" s="329"/>
      <c r="P2517" s="329"/>
      <c r="Q2517" s="329"/>
      <c r="R2517" s="329"/>
    </row>
    <row r="2518" spans="1:18" ht="13">
      <c r="A2518" s="282"/>
      <c r="B2518" s="282"/>
      <c r="C2518" s="282"/>
      <c r="D2518" s="282"/>
      <c r="E2518" s="282"/>
      <c r="F2518" s="282"/>
      <c r="G2518" s="329"/>
      <c r="H2518" s="329"/>
      <c r="I2518" s="329"/>
      <c r="J2518" s="329"/>
      <c r="K2518" s="329"/>
      <c r="L2518" s="329"/>
      <c r="M2518" s="329"/>
      <c r="N2518" s="329"/>
      <c r="O2518" s="329"/>
      <c r="P2518" s="329"/>
      <c r="Q2518" s="329"/>
      <c r="R2518" s="329"/>
    </row>
    <row r="2519" spans="1:18" ht="13">
      <c r="A2519" s="282"/>
      <c r="B2519" s="282"/>
      <c r="C2519" s="282"/>
      <c r="D2519" s="282"/>
      <c r="E2519" s="282"/>
      <c r="F2519" s="282"/>
      <c r="G2519" s="329"/>
      <c r="H2519" s="329"/>
      <c r="I2519" s="329"/>
      <c r="J2519" s="329"/>
      <c r="K2519" s="329"/>
      <c r="L2519" s="329"/>
      <c r="M2519" s="329"/>
      <c r="N2519" s="329"/>
      <c r="O2519" s="329"/>
      <c r="P2519" s="329"/>
      <c r="Q2519" s="329"/>
      <c r="R2519" s="329"/>
    </row>
    <row r="2520" spans="1:18" ht="13">
      <c r="A2520" s="282"/>
      <c r="B2520" s="282"/>
      <c r="C2520" s="282"/>
      <c r="D2520" s="282"/>
      <c r="E2520" s="282"/>
      <c r="F2520" s="282"/>
      <c r="G2520" s="329"/>
      <c r="H2520" s="329"/>
      <c r="I2520" s="329"/>
      <c r="J2520" s="329"/>
      <c r="K2520" s="329"/>
      <c r="L2520" s="329"/>
      <c r="M2520" s="329"/>
      <c r="N2520" s="329"/>
      <c r="O2520" s="329"/>
      <c r="P2520" s="329"/>
      <c r="Q2520" s="329"/>
      <c r="R2520" s="329"/>
    </row>
    <row r="2521" spans="1:18" ht="13">
      <c r="A2521" s="282"/>
      <c r="B2521" s="282"/>
      <c r="C2521" s="282"/>
      <c r="D2521" s="282"/>
      <c r="E2521" s="282"/>
      <c r="F2521" s="282"/>
      <c r="G2521" s="329"/>
      <c r="H2521" s="329"/>
      <c r="I2521" s="329"/>
      <c r="J2521" s="329"/>
      <c r="K2521" s="329"/>
      <c r="L2521" s="329"/>
      <c r="M2521" s="329"/>
      <c r="N2521" s="329"/>
      <c r="O2521" s="329"/>
      <c r="P2521" s="329"/>
      <c r="Q2521" s="329"/>
      <c r="R2521" s="329"/>
    </row>
    <row r="2522" spans="1:18" ht="13">
      <c r="A2522" s="282"/>
      <c r="B2522" s="282"/>
      <c r="C2522" s="282"/>
      <c r="D2522" s="282"/>
      <c r="E2522" s="282"/>
      <c r="F2522" s="282"/>
      <c r="G2522" s="329"/>
      <c r="H2522" s="329"/>
      <c r="I2522" s="329"/>
      <c r="J2522" s="329"/>
      <c r="K2522" s="329"/>
      <c r="L2522" s="329"/>
      <c r="M2522" s="329"/>
      <c r="N2522" s="329"/>
      <c r="O2522" s="329"/>
      <c r="P2522" s="329"/>
      <c r="Q2522" s="329"/>
      <c r="R2522" s="329"/>
    </row>
    <row r="2523" spans="1:18" ht="13">
      <c r="A2523" s="282"/>
      <c r="B2523" s="282"/>
      <c r="C2523" s="282"/>
      <c r="D2523" s="282"/>
      <c r="E2523" s="282"/>
      <c r="F2523" s="282"/>
      <c r="G2523" s="329"/>
      <c r="H2523" s="329"/>
      <c r="I2523" s="329"/>
      <c r="J2523" s="329"/>
      <c r="K2523" s="329"/>
      <c r="L2523" s="329"/>
      <c r="M2523" s="329"/>
      <c r="N2523" s="329"/>
      <c r="O2523" s="329"/>
      <c r="P2523" s="329"/>
      <c r="Q2523" s="329"/>
      <c r="R2523" s="329"/>
    </row>
    <row r="2524" spans="1:18" ht="13">
      <c r="A2524" s="282"/>
      <c r="B2524" s="282"/>
      <c r="C2524" s="282"/>
      <c r="D2524" s="282"/>
      <c r="E2524" s="282"/>
      <c r="F2524" s="282"/>
      <c r="G2524" s="329"/>
      <c r="H2524" s="329"/>
      <c r="I2524" s="329"/>
      <c r="J2524" s="329"/>
      <c r="K2524" s="329"/>
      <c r="L2524" s="329"/>
      <c r="M2524" s="329"/>
      <c r="N2524" s="329"/>
      <c r="O2524" s="329"/>
      <c r="P2524" s="329"/>
      <c r="Q2524" s="329"/>
      <c r="R2524" s="329"/>
    </row>
    <row r="2525" spans="1:18" ht="13">
      <c r="A2525" s="282"/>
      <c r="B2525" s="282"/>
      <c r="C2525" s="282"/>
      <c r="D2525" s="282"/>
      <c r="E2525" s="282"/>
      <c r="F2525" s="282"/>
      <c r="G2525" s="329"/>
      <c r="H2525" s="329"/>
      <c r="I2525" s="329"/>
      <c r="J2525" s="329"/>
      <c r="K2525" s="329"/>
      <c r="L2525" s="329"/>
      <c r="M2525" s="329"/>
      <c r="N2525" s="329"/>
      <c r="O2525" s="329"/>
      <c r="P2525" s="329"/>
      <c r="Q2525" s="329"/>
      <c r="R2525" s="329"/>
    </row>
    <row r="2526" spans="1:18" ht="13">
      <c r="A2526" s="282"/>
      <c r="B2526" s="282"/>
      <c r="C2526" s="282"/>
      <c r="D2526" s="282"/>
      <c r="E2526" s="282"/>
      <c r="F2526" s="282"/>
      <c r="G2526" s="329"/>
      <c r="H2526" s="329"/>
      <c r="I2526" s="329"/>
      <c r="J2526" s="329"/>
      <c r="K2526" s="329"/>
      <c r="L2526" s="329"/>
      <c r="M2526" s="329"/>
      <c r="N2526" s="329"/>
      <c r="O2526" s="329"/>
      <c r="P2526" s="329"/>
      <c r="Q2526" s="329"/>
      <c r="R2526" s="329"/>
    </row>
    <row r="2527" spans="1:18" ht="13">
      <c r="A2527" s="282"/>
      <c r="B2527" s="282"/>
      <c r="C2527" s="282"/>
      <c r="D2527" s="282"/>
      <c r="E2527" s="282"/>
      <c r="F2527" s="282"/>
      <c r="G2527" s="329"/>
      <c r="H2527" s="329"/>
      <c r="I2527" s="329"/>
      <c r="J2527" s="329"/>
      <c r="K2527" s="329"/>
      <c r="L2527" s="329"/>
      <c r="M2527" s="329"/>
      <c r="N2527" s="329"/>
      <c r="O2527" s="329"/>
      <c r="P2527" s="329"/>
      <c r="Q2527" s="329"/>
      <c r="R2527" s="329"/>
    </row>
    <row r="2528" spans="1:18" ht="13">
      <c r="A2528" s="282"/>
      <c r="B2528" s="282"/>
      <c r="C2528" s="282"/>
      <c r="D2528" s="282"/>
      <c r="E2528" s="282"/>
      <c r="F2528" s="282"/>
      <c r="G2528" s="329"/>
      <c r="H2528" s="329"/>
      <c r="I2528" s="329"/>
      <c r="J2528" s="329"/>
      <c r="K2528" s="329"/>
      <c r="L2528" s="329"/>
      <c r="M2528" s="329"/>
      <c r="N2528" s="329"/>
      <c r="O2528" s="329"/>
      <c r="P2528" s="329"/>
      <c r="Q2528" s="329"/>
      <c r="R2528" s="329"/>
    </row>
    <row r="2529" spans="1:18" ht="13">
      <c r="A2529" s="282"/>
      <c r="B2529" s="282"/>
      <c r="C2529" s="282"/>
      <c r="D2529" s="282"/>
      <c r="E2529" s="282"/>
      <c r="F2529" s="282"/>
      <c r="G2529" s="329"/>
      <c r="H2529" s="329"/>
      <c r="I2529" s="329"/>
      <c r="J2529" s="329"/>
      <c r="K2529" s="329"/>
      <c r="L2529" s="329"/>
      <c r="M2529" s="329"/>
      <c r="N2529" s="329"/>
      <c r="O2529" s="329"/>
      <c r="P2529" s="329"/>
      <c r="Q2529" s="329"/>
      <c r="R2529" s="329"/>
    </row>
    <row r="2530" spans="1:18" ht="13">
      <c r="A2530" s="282"/>
      <c r="B2530" s="282"/>
      <c r="C2530" s="282"/>
      <c r="D2530" s="282"/>
      <c r="E2530" s="282"/>
      <c r="F2530" s="282"/>
      <c r="G2530" s="329"/>
      <c r="H2530" s="329"/>
      <c r="I2530" s="329"/>
      <c r="J2530" s="329"/>
      <c r="K2530" s="329"/>
      <c r="L2530" s="329"/>
      <c r="M2530" s="329"/>
      <c r="N2530" s="329"/>
      <c r="O2530" s="329"/>
      <c r="P2530" s="329"/>
      <c r="Q2530" s="329"/>
      <c r="R2530" s="329"/>
    </row>
    <row r="2531" spans="1:18" ht="13">
      <c r="A2531" s="282"/>
      <c r="B2531" s="282"/>
      <c r="C2531" s="282"/>
      <c r="D2531" s="282"/>
      <c r="E2531" s="282"/>
      <c r="F2531" s="282"/>
      <c r="G2531" s="329"/>
      <c r="H2531" s="329"/>
      <c r="I2531" s="329"/>
      <c r="J2531" s="329"/>
      <c r="K2531" s="329"/>
      <c r="L2531" s="329"/>
      <c r="M2531" s="329"/>
      <c r="N2531" s="329"/>
      <c r="O2531" s="329"/>
      <c r="P2531" s="329"/>
      <c r="Q2531" s="329"/>
      <c r="R2531" s="329"/>
    </row>
    <row r="2532" spans="1:18" ht="13">
      <c r="A2532" s="282"/>
      <c r="B2532" s="282"/>
      <c r="C2532" s="282"/>
      <c r="D2532" s="282"/>
      <c r="E2532" s="282"/>
      <c r="F2532" s="282"/>
      <c r="G2532" s="329"/>
      <c r="H2532" s="329"/>
      <c r="I2532" s="329"/>
      <c r="J2532" s="329"/>
      <c r="K2532" s="329"/>
      <c r="L2532" s="329"/>
      <c r="M2532" s="329"/>
      <c r="N2532" s="329"/>
      <c r="O2532" s="329"/>
      <c r="P2532" s="329"/>
      <c r="Q2532" s="329"/>
      <c r="R2532" s="329"/>
    </row>
    <row r="2533" spans="1:18" ht="13">
      <c r="A2533" s="282"/>
      <c r="B2533" s="282"/>
      <c r="C2533" s="282"/>
      <c r="D2533" s="282"/>
      <c r="E2533" s="282"/>
      <c r="F2533" s="282"/>
      <c r="G2533" s="329"/>
      <c r="H2533" s="329"/>
      <c r="I2533" s="329"/>
      <c r="J2533" s="329"/>
      <c r="K2533" s="329"/>
      <c r="L2533" s="329"/>
      <c r="M2533" s="329"/>
      <c r="N2533" s="329"/>
      <c r="O2533" s="329"/>
      <c r="P2533" s="329"/>
      <c r="Q2533" s="329"/>
      <c r="R2533" s="329"/>
    </row>
    <row r="2534" spans="1:18" ht="13">
      <c r="A2534" s="282"/>
      <c r="B2534" s="282"/>
      <c r="C2534" s="282"/>
      <c r="D2534" s="282"/>
      <c r="E2534" s="282"/>
      <c r="F2534" s="282"/>
      <c r="G2534" s="329"/>
      <c r="H2534" s="329"/>
      <c r="I2534" s="329"/>
      <c r="J2534" s="329"/>
      <c r="K2534" s="329"/>
      <c r="L2534" s="329"/>
      <c r="M2534" s="329"/>
      <c r="N2534" s="329"/>
      <c r="O2534" s="329"/>
      <c r="P2534" s="329"/>
      <c r="Q2534" s="329"/>
      <c r="R2534" s="329"/>
    </row>
    <row r="2535" spans="1:18" ht="13">
      <c r="A2535" s="282"/>
      <c r="B2535" s="282"/>
      <c r="C2535" s="282"/>
      <c r="D2535" s="282"/>
      <c r="E2535" s="282"/>
      <c r="F2535" s="282"/>
      <c r="G2535" s="329"/>
      <c r="H2535" s="329"/>
      <c r="I2535" s="329"/>
      <c r="J2535" s="329"/>
      <c r="K2535" s="329"/>
      <c r="L2535" s="329"/>
      <c r="M2535" s="329"/>
      <c r="N2535" s="329"/>
      <c r="O2535" s="329"/>
      <c r="P2535" s="329"/>
      <c r="Q2535" s="329"/>
      <c r="R2535" s="329"/>
    </row>
    <row r="2536" spans="1:18" ht="13">
      <c r="A2536" s="282"/>
      <c r="B2536" s="282"/>
      <c r="C2536" s="282"/>
      <c r="D2536" s="282"/>
      <c r="E2536" s="282"/>
      <c r="F2536" s="282"/>
      <c r="G2536" s="329"/>
      <c r="H2536" s="329"/>
      <c r="I2536" s="329"/>
      <c r="J2536" s="329"/>
      <c r="K2536" s="329"/>
      <c r="L2536" s="329"/>
      <c r="M2536" s="329"/>
      <c r="N2536" s="329"/>
      <c r="O2536" s="329"/>
      <c r="P2536" s="329"/>
      <c r="Q2536" s="329"/>
      <c r="R2536" s="329"/>
    </row>
    <row r="2537" spans="1:18" ht="13">
      <c r="A2537" s="282"/>
      <c r="B2537" s="282"/>
      <c r="C2537" s="282"/>
      <c r="D2537" s="282"/>
      <c r="E2537" s="282"/>
      <c r="F2537" s="282"/>
      <c r="G2537" s="329"/>
      <c r="H2537" s="329"/>
      <c r="I2537" s="329"/>
      <c r="J2537" s="329"/>
      <c r="K2537" s="329"/>
      <c r="L2537" s="329"/>
      <c r="M2537" s="329"/>
      <c r="N2537" s="329"/>
      <c r="O2537" s="329"/>
      <c r="P2537" s="329"/>
      <c r="Q2537" s="329"/>
      <c r="R2537" s="329"/>
    </row>
    <row r="2538" spans="1:18" ht="13">
      <c r="A2538" s="282"/>
      <c r="B2538" s="282"/>
      <c r="C2538" s="282"/>
      <c r="D2538" s="282"/>
      <c r="E2538" s="282"/>
      <c r="F2538" s="282"/>
      <c r="G2538" s="329"/>
      <c r="H2538" s="329"/>
      <c r="I2538" s="329"/>
      <c r="J2538" s="329"/>
      <c r="K2538" s="329"/>
      <c r="L2538" s="329"/>
      <c r="M2538" s="329"/>
      <c r="N2538" s="329"/>
      <c r="O2538" s="329"/>
      <c r="P2538" s="329"/>
      <c r="Q2538" s="329"/>
      <c r="R2538" s="329"/>
    </row>
    <row r="2539" spans="1:18" ht="13">
      <c r="A2539" s="282"/>
      <c r="B2539" s="282"/>
      <c r="C2539" s="282"/>
      <c r="D2539" s="282"/>
      <c r="E2539" s="282"/>
      <c r="F2539" s="282"/>
      <c r="G2539" s="329"/>
      <c r="H2539" s="329"/>
      <c r="I2539" s="329"/>
      <c r="J2539" s="329"/>
      <c r="K2539" s="329"/>
      <c r="L2539" s="329"/>
      <c r="M2539" s="329"/>
      <c r="N2539" s="329"/>
      <c r="O2539" s="329"/>
      <c r="P2539" s="329"/>
      <c r="Q2539" s="329"/>
      <c r="R2539" s="329"/>
    </row>
    <row r="2540" spans="1:18" ht="13">
      <c r="A2540" s="282"/>
      <c r="B2540" s="282"/>
      <c r="C2540" s="282"/>
      <c r="D2540" s="282"/>
      <c r="E2540" s="282"/>
      <c r="F2540" s="282"/>
      <c r="G2540" s="329"/>
      <c r="H2540" s="329"/>
      <c r="I2540" s="329"/>
      <c r="J2540" s="329"/>
      <c r="K2540" s="329"/>
      <c r="L2540" s="329"/>
      <c r="M2540" s="329"/>
      <c r="N2540" s="329"/>
      <c r="O2540" s="329"/>
      <c r="P2540" s="329"/>
      <c r="Q2540" s="329"/>
      <c r="R2540" s="329"/>
    </row>
    <row r="2541" spans="1:18" ht="13">
      <c r="A2541" s="282"/>
      <c r="B2541" s="282"/>
      <c r="C2541" s="282"/>
      <c r="D2541" s="282"/>
      <c r="E2541" s="282"/>
      <c r="F2541" s="282"/>
      <c r="G2541" s="329"/>
      <c r="H2541" s="329"/>
      <c r="I2541" s="329"/>
      <c r="J2541" s="329"/>
      <c r="K2541" s="329"/>
      <c r="L2541" s="329"/>
      <c r="M2541" s="329"/>
      <c r="N2541" s="329"/>
      <c r="O2541" s="329"/>
      <c r="P2541" s="329"/>
      <c r="Q2541" s="329"/>
      <c r="R2541" s="329"/>
    </row>
    <row r="2542" spans="1:18" ht="13">
      <c r="A2542" s="282"/>
      <c r="B2542" s="282"/>
      <c r="C2542" s="282"/>
      <c r="D2542" s="282"/>
      <c r="E2542" s="282"/>
      <c r="F2542" s="282"/>
      <c r="G2542" s="329"/>
      <c r="H2542" s="329"/>
      <c r="I2542" s="329"/>
      <c r="J2542" s="329"/>
      <c r="K2542" s="329"/>
      <c r="L2542" s="329"/>
      <c r="M2542" s="329"/>
      <c r="N2542" s="329"/>
      <c r="O2542" s="329"/>
      <c r="P2542" s="329"/>
      <c r="Q2542" s="329"/>
      <c r="R2542" s="329"/>
    </row>
    <row r="2543" spans="1:18" ht="13">
      <c r="A2543" s="282"/>
      <c r="B2543" s="282"/>
      <c r="C2543" s="282"/>
      <c r="D2543" s="282"/>
      <c r="E2543" s="282"/>
      <c r="F2543" s="282"/>
      <c r="G2543" s="329"/>
      <c r="H2543" s="329"/>
      <c r="I2543" s="329"/>
      <c r="J2543" s="329"/>
      <c r="K2543" s="329"/>
      <c r="L2543" s="329"/>
      <c r="M2543" s="329"/>
      <c r="N2543" s="329"/>
      <c r="O2543" s="329"/>
      <c r="P2543" s="329"/>
      <c r="Q2543" s="329"/>
      <c r="R2543" s="329"/>
    </row>
    <row r="2544" spans="1:18" ht="13">
      <c r="A2544" s="282"/>
      <c r="B2544" s="282"/>
      <c r="C2544" s="282"/>
      <c r="D2544" s="282"/>
      <c r="E2544" s="282"/>
      <c r="F2544" s="282"/>
      <c r="G2544" s="329"/>
      <c r="H2544" s="329"/>
      <c r="I2544" s="329"/>
      <c r="J2544" s="329"/>
      <c r="K2544" s="329"/>
      <c r="L2544" s="329"/>
      <c r="M2544" s="329"/>
      <c r="N2544" s="329"/>
      <c r="O2544" s="329"/>
      <c r="P2544" s="329"/>
      <c r="Q2544" s="329"/>
      <c r="R2544" s="329"/>
    </row>
    <row r="2545" spans="1:18" ht="13">
      <c r="A2545" s="282"/>
      <c r="B2545" s="282"/>
      <c r="C2545" s="282"/>
      <c r="D2545" s="282"/>
      <c r="E2545" s="282"/>
      <c r="F2545" s="282"/>
      <c r="G2545" s="329"/>
      <c r="H2545" s="329"/>
      <c r="I2545" s="329"/>
      <c r="J2545" s="329"/>
      <c r="K2545" s="329"/>
      <c r="L2545" s="329"/>
      <c r="M2545" s="329"/>
      <c r="N2545" s="329"/>
      <c r="O2545" s="329"/>
      <c r="P2545" s="329"/>
      <c r="Q2545" s="329"/>
      <c r="R2545" s="329"/>
    </row>
    <row r="2546" spans="1:18" ht="13">
      <c r="A2546" s="282"/>
      <c r="B2546" s="282"/>
      <c r="C2546" s="282"/>
      <c r="D2546" s="282"/>
      <c r="E2546" s="282"/>
      <c r="F2546" s="282"/>
      <c r="G2546" s="329"/>
      <c r="H2546" s="329"/>
      <c r="I2546" s="329"/>
      <c r="J2546" s="329"/>
      <c r="K2546" s="329"/>
      <c r="L2546" s="329"/>
      <c r="M2546" s="329"/>
      <c r="N2546" s="329"/>
      <c r="O2546" s="329"/>
      <c r="P2546" s="329"/>
      <c r="Q2546" s="329"/>
      <c r="R2546" s="329"/>
    </row>
    <row r="2547" spans="1:18" ht="13">
      <c r="A2547" s="282"/>
      <c r="B2547" s="282"/>
      <c r="C2547" s="282"/>
      <c r="D2547" s="282"/>
      <c r="E2547" s="282"/>
      <c r="F2547" s="282"/>
      <c r="G2547" s="329"/>
      <c r="H2547" s="329"/>
      <c r="I2547" s="329"/>
      <c r="J2547" s="329"/>
      <c r="K2547" s="329"/>
      <c r="L2547" s="329"/>
      <c r="M2547" s="329"/>
      <c r="N2547" s="329"/>
      <c r="O2547" s="329"/>
      <c r="P2547" s="329"/>
      <c r="Q2547" s="329"/>
      <c r="R2547" s="329"/>
    </row>
    <row r="2548" spans="1:18" ht="13">
      <c r="A2548" s="282"/>
      <c r="B2548" s="282"/>
      <c r="C2548" s="282"/>
      <c r="D2548" s="282"/>
      <c r="E2548" s="282"/>
      <c r="F2548" s="282"/>
      <c r="G2548" s="329"/>
      <c r="H2548" s="329"/>
      <c r="I2548" s="329"/>
      <c r="J2548" s="329"/>
      <c r="K2548" s="329"/>
      <c r="L2548" s="329"/>
      <c r="M2548" s="329"/>
      <c r="N2548" s="329"/>
      <c r="O2548" s="329"/>
      <c r="P2548" s="329"/>
      <c r="Q2548" s="329"/>
      <c r="R2548" s="329"/>
    </row>
    <row r="2549" spans="1:18" ht="13">
      <c r="A2549" s="282"/>
      <c r="B2549" s="282"/>
      <c r="C2549" s="282"/>
      <c r="D2549" s="282"/>
      <c r="E2549" s="282"/>
      <c r="F2549" s="282"/>
      <c r="G2549" s="329"/>
      <c r="H2549" s="329"/>
      <c r="I2549" s="329"/>
      <c r="J2549" s="329"/>
      <c r="K2549" s="329"/>
      <c r="L2549" s="329"/>
      <c r="M2549" s="329"/>
      <c r="N2549" s="329"/>
      <c r="O2549" s="329"/>
      <c r="P2549" s="329"/>
      <c r="Q2549" s="329"/>
      <c r="R2549" s="329"/>
    </row>
    <row r="2550" spans="1:18" ht="13">
      <c r="A2550" s="282"/>
      <c r="B2550" s="282"/>
      <c r="C2550" s="282"/>
      <c r="D2550" s="282"/>
      <c r="E2550" s="282"/>
      <c r="F2550" s="282"/>
      <c r="G2550" s="329"/>
      <c r="H2550" s="329"/>
      <c r="I2550" s="329"/>
      <c r="J2550" s="329"/>
      <c r="K2550" s="329"/>
      <c r="L2550" s="329"/>
      <c r="M2550" s="329"/>
      <c r="N2550" s="329"/>
      <c r="O2550" s="329"/>
      <c r="P2550" s="329"/>
      <c r="Q2550" s="329"/>
      <c r="R2550" s="329"/>
    </row>
    <row r="2551" spans="1:18" ht="13">
      <c r="A2551" s="282"/>
      <c r="B2551" s="282"/>
      <c r="C2551" s="282"/>
      <c r="D2551" s="282"/>
      <c r="E2551" s="282"/>
      <c r="F2551" s="282"/>
      <c r="G2551" s="329"/>
      <c r="H2551" s="329"/>
      <c r="I2551" s="329"/>
      <c r="J2551" s="329"/>
      <c r="K2551" s="329"/>
      <c r="L2551" s="329"/>
      <c r="M2551" s="329"/>
      <c r="N2551" s="329"/>
      <c r="O2551" s="329"/>
      <c r="P2551" s="329"/>
      <c r="Q2551" s="329"/>
      <c r="R2551" s="329"/>
    </row>
    <row r="2552" spans="1:18" ht="13">
      <c r="A2552" s="282"/>
      <c r="B2552" s="282"/>
      <c r="C2552" s="282"/>
      <c r="D2552" s="282"/>
      <c r="E2552" s="282"/>
      <c r="F2552" s="282"/>
      <c r="G2552" s="329"/>
      <c r="H2552" s="329"/>
      <c r="I2552" s="329"/>
      <c r="J2552" s="329"/>
      <c r="K2552" s="329"/>
      <c r="L2552" s="329"/>
      <c r="M2552" s="329"/>
      <c r="N2552" s="329"/>
      <c r="O2552" s="329"/>
      <c r="P2552" s="329"/>
      <c r="Q2552" s="329"/>
      <c r="R2552" s="329"/>
    </row>
    <row r="2553" spans="1:18" ht="13">
      <c r="A2553" s="282"/>
      <c r="B2553" s="282"/>
      <c r="C2553" s="282"/>
      <c r="D2553" s="282"/>
      <c r="E2553" s="282"/>
      <c r="F2553" s="282"/>
      <c r="G2553" s="329"/>
      <c r="H2553" s="329"/>
      <c r="I2553" s="329"/>
      <c r="J2553" s="329"/>
      <c r="K2553" s="329"/>
      <c r="L2553" s="329"/>
      <c r="M2553" s="329"/>
      <c r="N2553" s="329"/>
      <c r="O2553" s="329"/>
      <c r="P2553" s="329"/>
      <c r="Q2553" s="329"/>
      <c r="R2553" s="329"/>
    </row>
    <row r="2554" spans="1:18" ht="13">
      <c r="A2554" s="282"/>
      <c r="B2554" s="282"/>
      <c r="C2554" s="282"/>
      <c r="D2554" s="282"/>
      <c r="E2554" s="282"/>
      <c r="F2554" s="282"/>
      <c r="G2554" s="329"/>
      <c r="H2554" s="329"/>
      <c r="I2554" s="329"/>
      <c r="J2554" s="329"/>
      <c r="K2554" s="329"/>
      <c r="L2554" s="329"/>
      <c r="M2554" s="329"/>
      <c r="N2554" s="329"/>
      <c r="O2554" s="329"/>
      <c r="P2554" s="329"/>
      <c r="Q2554" s="329"/>
      <c r="R2554" s="329"/>
    </row>
    <row r="2555" spans="1:18" ht="13">
      <c r="A2555" s="282"/>
      <c r="B2555" s="282"/>
      <c r="C2555" s="282"/>
      <c r="D2555" s="282"/>
      <c r="E2555" s="282"/>
      <c r="F2555" s="282"/>
      <c r="G2555" s="329"/>
      <c r="H2555" s="329"/>
      <c r="I2555" s="329"/>
      <c r="J2555" s="329"/>
      <c r="K2555" s="329"/>
      <c r="L2555" s="329"/>
      <c r="M2555" s="329"/>
      <c r="N2555" s="329"/>
      <c r="O2555" s="329"/>
      <c r="P2555" s="329"/>
      <c r="Q2555" s="329"/>
      <c r="R2555" s="329"/>
    </row>
    <row r="2556" spans="1:18" ht="13">
      <c r="A2556" s="282"/>
      <c r="B2556" s="282"/>
      <c r="C2556" s="282"/>
      <c r="D2556" s="282"/>
      <c r="E2556" s="282"/>
      <c r="F2556" s="282"/>
      <c r="G2556" s="329"/>
      <c r="H2556" s="329"/>
      <c r="I2556" s="329"/>
      <c r="J2556" s="329"/>
      <c r="K2556" s="329"/>
      <c r="L2556" s="329"/>
      <c r="M2556" s="329"/>
      <c r="N2556" s="329"/>
      <c r="O2556" s="329"/>
      <c r="P2556" s="329"/>
      <c r="Q2556" s="329"/>
      <c r="R2556" s="329"/>
    </row>
    <row r="2557" spans="1:18" ht="13">
      <c r="A2557" s="282"/>
      <c r="B2557" s="282"/>
      <c r="C2557" s="282"/>
      <c r="D2557" s="282"/>
      <c r="E2557" s="282"/>
      <c r="F2557" s="282"/>
      <c r="G2557" s="329"/>
      <c r="H2557" s="329"/>
      <c r="I2557" s="329"/>
      <c r="J2557" s="329"/>
      <c r="K2557" s="329"/>
      <c r="L2557" s="329"/>
      <c r="M2557" s="329"/>
      <c r="N2557" s="329"/>
      <c r="O2557" s="329"/>
      <c r="P2557" s="329"/>
      <c r="Q2557" s="329"/>
      <c r="R2557" s="329"/>
    </row>
    <row r="2558" spans="1:18" ht="13">
      <c r="A2558" s="282"/>
      <c r="B2558" s="282"/>
      <c r="C2558" s="282"/>
      <c r="D2558" s="282"/>
      <c r="E2558" s="282"/>
      <c r="F2558" s="282"/>
      <c r="G2558" s="329"/>
      <c r="H2558" s="329"/>
      <c r="I2558" s="329"/>
      <c r="J2558" s="329"/>
      <c r="K2558" s="329"/>
      <c r="L2558" s="329"/>
      <c r="M2558" s="329"/>
      <c r="N2558" s="329"/>
      <c r="O2558" s="329"/>
      <c r="P2558" s="329"/>
      <c r="Q2558" s="329"/>
      <c r="R2558" s="329"/>
    </row>
    <row r="2559" spans="1:18" ht="13">
      <c r="A2559" s="282"/>
      <c r="B2559" s="282"/>
      <c r="C2559" s="282"/>
      <c r="D2559" s="282"/>
      <c r="E2559" s="282"/>
      <c r="F2559" s="282"/>
      <c r="G2559" s="329"/>
      <c r="H2559" s="329"/>
      <c r="I2559" s="329"/>
      <c r="J2559" s="329"/>
      <c r="K2559" s="329"/>
      <c r="L2559" s="329"/>
      <c r="M2559" s="329"/>
      <c r="N2559" s="329"/>
      <c r="O2559" s="329"/>
      <c r="P2559" s="329"/>
      <c r="Q2559" s="329"/>
      <c r="R2559" s="329"/>
    </row>
    <row r="2560" spans="1:18" ht="13">
      <c r="A2560" s="282"/>
      <c r="B2560" s="282"/>
      <c r="C2560" s="282"/>
      <c r="D2560" s="282"/>
      <c r="E2560" s="282"/>
      <c r="F2560" s="282"/>
      <c r="G2560" s="329"/>
      <c r="H2560" s="329"/>
      <c r="I2560" s="329"/>
      <c r="J2560" s="329"/>
      <c r="K2560" s="329"/>
      <c r="L2560" s="329"/>
      <c r="M2560" s="329"/>
      <c r="N2560" s="329"/>
      <c r="O2560" s="329"/>
      <c r="P2560" s="329"/>
      <c r="Q2560" s="329"/>
      <c r="R2560" s="329"/>
    </row>
    <row r="2561" spans="1:18" ht="13">
      <c r="A2561" s="282"/>
      <c r="B2561" s="282"/>
      <c r="C2561" s="282"/>
      <c r="D2561" s="282"/>
      <c r="E2561" s="282"/>
      <c r="F2561" s="282"/>
      <c r="G2561" s="329"/>
      <c r="H2561" s="329"/>
      <c r="I2561" s="329"/>
      <c r="J2561" s="329"/>
      <c r="K2561" s="329"/>
      <c r="L2561" s="329"/>
      <c r="M2561" s="329"/>
      <c r="N2561" s="329"/>
      <c r="O2561" s="329"/>
      <c r="P2561" s="329"/>
      <c r="Q2561" s="329"/>
      <c r="R2561" s="329"/>
    </row>
    <row r="2562" spans="1:18" ht="13">
      <c r="A2562" s="282"/>
      <c r="B2562" s="282"/>
      <c r="C2562" s="282"/>
      <c r="D2562" s="282"/>
      <c r="E2562" s="282"/>
      <c r="F2562" s="282"/>
      <c r="G2562" s="329"/>
      <c r="H2562" s="329"/>
      <c r="I2562" s="329"/>
      <c r="J2562" s="329"/>
      <c r="K2562" s="329"/>
      <c r="L2562" s="329"/>
      <c r="M2562" s="329"/>
      <c r="N2562" s="329"/>
      <c r="O2562" s="329"/>
      <c r="P2562" s="329"/>
      <c r="Q2562" s="329"/>
      <c r="R2562" s="329"/>
    </row>
    <row r="2563" spans="1:18" ht="13">
      <c r="A2563" s="282"/>
      <c r="B2563" s="282"/>
      <c r="C2563" s="282"/>
      <c r="D2563" s="282"/>
      <c r="E2563" s="282"/>
      <c r="F2563" s="282"/>
      <c r="G2563" s="329"/>
      <c r="H2563" s="329"/>
      <c r="I2563" s="329"/>
      <c r="J2563" s="329"/>
      <c r="K2563" s="329"/>
      <c r="L2563" s="329"/>
      <c r="M2563" s="329"/>
      <c r="N2563" s="329"/>
      <c r="O2563" s="329"/>
      <c r="P2563" s="329"/>
      <c r="Q2563" s="329"/>
      <c r="R2563" s="329"/>
    </row>
    <row r="2564" spans="1:18" ht="13">
      <c r="A2564" s="282"/>
      <c r="B2564" s="282"/>
      <c r="C2564" s="282"/>
      <c r="D2564" s="282"/>
      <c r="E2564" s="282"/>
      <c r="F2564" s="282"/>
      <c r="G2564" s="329"/>
      <c r="H2564" s="329"/>
      <c r="I2564" s="329"/>
      <c r="J2564" s="329"/>
      <c r="K2564" s="329"/>
      <c r="L2564" s="329"/>
      <c r="M2564" s="329"/>
      <c r="N2564" s="329"/>
      <c r="O2564" s="329"/>
      <c r="P2564" s="329"/>
      <c r="Q2564" s="329"/>
      <c r="R2564" s="329"/>
    </row>
    <row r="2565" spans="1:18" ht="13">
      <c r="A2565" s="282"/>
      <c r="B2565" s="282"/>
      <c r="C2565" s="282"/>
      <c r="D2565" s="282"/>
      <c r="E2565" s="282"/>
      <c r="F2565" s="282"/>
      <c r="G2565" s="329"/>
      <c r="H2565" s="329"/>
      <c r="I2565" s="329"/>
      <c r="J2565" s="329"/>
      <c r="K2565" s="329"/>
      <c r="L2565" s="329"/>
      <c r="M2565" s="329"/>
      <c r="N2565" s="329"/>
      <c r="O2565" s="329"/>
      <c r="P2565" s="329"/>
      <c r="Q2565" s="329"/>
      <c r="R2565" s="329"/>
    </row>
    <row r="2566" spans="1:18" ht="13">
      <c r="A2566" s="282"/>
      <c r="B2566" s="282"/>
      <c r="C2566" s="282"/>
      <c r="D2566" s="282"/>
      <c r="E2566" s="282"/>
      <c r="F2566" s="282"/>
      <c r="G2566" s="329"/>
      <c r="H2566" s="329"/>
      <c r="I2566" s="329"/>
      <c r="J2566" s="329"/>
      <c r="K2566" s="329"/>
      <c r="L2566" s="329"/>
      <c r="M2566" s="329"/>
      <c r="N2566" s="329"/>
      <c r="O2566" s="329"/>
      <c r="P2566" s="329"/>
      <c r="Q2566" s="329"/>
      <c r="R2566" s="329"/>
    </row>
    <row r="2567" spans="1:18" ht="13">
      <c r="A2567" s="282"/>
      <c r="B2567" s="282"/>
      <c r="C2567" s="282"/>
      <c r="D2567" s="282"/>
      <c r="E2567" s="282"/>
      <c r="F2567" s="282"/>
      <c r="G2567" s="329"/>
      <c r="H2567" s="329"/>
      <c r="I2567" s="329"/>
      <c r="J2567" s="329"/>
      <c r="K2567" s="329"/>
      <c r="L2567" s="329"/>
      <c r="M2567" s="329"/>
      <c r="N2567" s="329"/>
      <c r="O2567" s="329"/>
      <c r="P2567" s="329"/>
      <c r="Q2567" s="329"/>
      <c r="R2567" s="329"/>
    </row>
    <row r="2568" spans="1:18" ht="13">
      <c r="A2568" s="282"/>
      <c r="B2568" s="282"/>
      <c r="C2568" s="282"/>
      <c r="D2568" s="282"/>
      <c r="E2568" s="282"/>
      <c r="F2568" s="282"/>
      <c r="G2568" s="329"/>
      <c r="H2568" s="329"/>
      <c r="I2568" s="329"/>
      <c r="J2568" s="329"/>
      <c r="K2568" s="329"/>
      <c r="L2568" s="329"/>
      <c r="M2568" s="329"/>
      <c r="N2568" s="329"/>
      <c r="O2568" s="329"/>
      <c r="P2568" s="329"/>
      <c r="Q2568" s="329"/>
      <c r="R2568" s="329"/>
    </row>
    <row r="2569" spans="1:18" ht="13">
      <c r="A2569" s="282"/>
      <c r="B2569" s="282"/>
      <c r="C2569" s="282"/>
      <c r="D2569" s="282"/>
      <c r="E2569" s="282"/>
      <c r="F2569" s="282"/>
      <c r="G2569" s="329"/>
      <c r="H2569" s="329"/>
      <c r="I2569" s="329"/>
      <c r="J2569" s="329"/>
      <c r="K2569" s="329"/>
      <c r="L2569" s="329"/>
      <c r="M2569" s="329"/>
      <c r="N2569" s="329"/>
      <c r="O2569" s="329"/>
      <c r="P2569" s="329"/>
      <c r="Q2569" s="329"/>
      <c r="R2569" s="329"/>
    </row>
    <row r="2570" spans="1:18" ht="13">
      <c r="A2570" s="282"/>
      <c r="B2570" s="282"/>
      <c r="C2570" s="282"/>
      <c r="D2570" s="282"/>
      <c r="E2570" s="282"/>
      <c r="F2570" s="282"/>
      <c r="G2570" s="329"/>
      <c r="H2570" s="329"/>
      <c r="I2570" s="329"/>
      <c r="J2570" s="329"/>
      <c r="K2570" s="329"/>
      <c r="L2570" s="329"/>
      <c r="M2570" s="329"/>
      <c r="N2570" s="329"/>
      <c r="O2570" s="329"/>
      <c r="P2570" s="329"/>
      <c r="Q2570" s="329"/>
      <c r="R2570" s="329"/>
    </row>
    <row r="2571" spans="1:18" ht="13">
      <c r="A2571" s="282"/>
      <c r="B2571" s="282"/>
      <c r="C2571" s="282"/>
      <c r="D2571" s="282"/>
      <c r="E2571" s="282"/>
      <c r="F2571" s="282"/>
      <c r="G2571" s="329"/>
      <c r="H2571" s="329"/>
      <c r="I2571" s="329"/>
      <c r="J2571" s="329"/>
      <c r="K2571" s="329"/>
      <c r="L2571" s="329"/>
      <c r="M2571" s="329"/>
      <c r="N2571" s="329"/>
      <c r="O2571" s="329"/>
      <c r="P2571" s="329"/>
      <c r="Q2571" s="329"/>
      <c r="R2571" s="329"/>
    </row>
    <row r="2572" spans="1:18" ht="13">
      <c r="A2572" s="282"/>
      <c r="B2572" s="282"/>
      <c r="C2572" s="282"/>
      <c r="D2572" s="282"/>
      <c r="E2572" s="282"/>
      <c r="F2572" s="282"/>
      <c r="G2572" s="329"/>
      <c r="H2572" s="329"/>
      <c r="I2572" s="329"/>
      <c r="J2572" s="329"/>
      <c r="K2572" s="329"/>
      <c r="L2572" s="329"/>
      <c r="M2572" s="329"/>
      <c r="N2572" s="329"/>
      <c r="O2572" s="329"/>
      <c r="P2572" s="329"/>
      <c r="Q2572" s="329"/>
      <c r="R2572" s="329"/>
    </row>
    <row r="2573" spans="1:18" ht="13">
      <c r="A2573" s="282"/>
      <c r="B2573" s="282"/>
      <c r="C2573" s="282"/>
      <c r="D2573" s="282"/>
      <c r="E2573" s="282"/>
      <c r="F2573" s="282"/>
      <c r="G2573" s="329"/>
      <c r="H2573" s="329"/>
      <c r="I2573" s="329"/>
      <c r="J2573" s="329"/>
      <c r="K2573" s="329"/>
      <c r="L2573" s="329"/>
      <c r="M2573" s="329"/>
      <c r="N2573" s="329"/>
      <c r="O2573" s="329"/>
      <c r="P2573" s="329"/>
      <c r="Q2573" s="329"/>
      <c r="R2573" s="329"/>
    </row>
    <row r="2574" spans="1:18" ht="13">
      <c r="A2574" s="282"/>
      <c r="B2574" s="282"/>
      <c r="C2574" s="282"/>
      <c r="D2574" s="282"/>
      <c r="E2574" s="282"/>
      <c r="F2574" s="282"/>
      <c r="G2574" s="329"/>
      <c r="H2574" s="329"/>
      <c r="I2574" s="329"/>
      <c r="J2574" s="329"/>
      <c r="K2574" s="329"/>
      <c r="L2574" s="329"/>
      <c r="M2574" s="329"/>
      <c r="N2574" s="329"/>
      <c r="O2574" s="329"/>
      <c r="P2574" s="329"/>
      <c r="Q2574" s="329"/>
      <c r="R2574" s="329"/>
    </row>
    <row r="2575" spans="1:18" ht="13">
      <c r="A2575" s="282"/>
      <c r="B2575" s="282"/>
      <c r="C2575" s="282"/>
      <c r="D2575" s="282"/>
      <c r="E2575" s="282"/>
      <c r="F2575" s="282"/>
      <c r="G2575" s="329"/>
      <c r="H2575" s="329"/>
      <c r="I2575" s="329"/>
      <c r="J2575" s="329"/>
      <c r="K2575" s="329"/>
      <c r="L2575" s="329"/>
      <c r="M2575" s="329"/>
      <c r="N2575" s="329"/>
      <c r="O2575" s="329"/>
      <c r="P2575" s="329"/>
      <c r="Q2575" s="329"/>
      <c r="R2575" s="329"/>
    </row>
    <row r="2576" spans="1:18" ht="13">
      <c r="A2576" s="282"/>
      <c r="B2576" s="282"/>
      <c r="C2576" s="282"/>
      <c r="D2576" s="282"/>
      <c r="E2576" s="282"/>
      <c r="F2576" s="282"/>
      <c r="G2576" s="329"/>
      <c r="H2576" s="329"/>
      <c r="I2576" s="329"/>
      <c r="J2576" s="329"/>
      <c r="K2576" s="329"/>
      <c r="L2576" s="329"/>
      <c r="M2576" s="329"/>
      <c r="N2576" s="329"/>
      <c r="O2576" s="329"/>
      <c r="P2576" s="329"/>
      <c r="Q2576" s="329"/>
      <c r="R2576" s="329"/>
    </row>
    <row r="2577" spans="1:18" ht="13">
      <c r="A2577" s="282"/>
      <c r="B2577" s="282"/>
      <c r="C2577" s="282"/>
      <c r="D2577" s="282"/>
      <c r="E2577" s="282"/>
      <c r="F2577" s="282"/>
      <c r="G2577" s="329"/>
      <c r="H2577" s="329"/>
      <c r="I2577" s="329"/>
      <c r="J2577" s="329"/>
      <c r="K2577" s="329"/>
      <c r="L2577" s="329"/>
      <c r="M2577" s="329"/>
      <c r="N2577" s="329"/>
      <c r="O2577" s="329"/>
      <c r="P2577" s="329"/>
      <c r="Q2577" s="329"/>
      <c r="R2577" s="329"/>
    </row>
    <row r="2578" spans="1:18" ht="13">
      <c r="A2578" s="282"/>
      <c r="B2578" s="282"/>
      <c r="C2578" s="282"/>
      <c r="D2578" s="282"/>
      <c r="E2578" s="282"/>
      <c r="F2578" s="282"/>
      <c r="G2578" s="329"/>
      <c r="H2578" s="329"/>
      <c r="I2578" s="329"/>
      <c r="J2578" s="329"/>
      <c r="K2578" s="329"/>
      <c r="L2578" s="329"/>
      <c r="M2578" s="329"/>
      <c r="N2578" s="329"/>
      <c r="O2578" s="329"/>
      <c r="P2578" s="329"/>
      <c r="Q2578" s="329"/>
      <c r="R2578" s="329"/>
    </row>
    <row r="2579" spans="1:18" ht="13">
      <c r="A2579" s="282"/>
      <c r="B2579" s="282"/>
      <c r="C2579" s="282"/>
      <c r="D2579" s="282"/>
      <c r="E2579" s="282"/>
      <c r="F2579" s="282"/>
      <c r="G2579" s="329"/>
      <c r="H2579" s="329"/>
      <c r="I2579" s="329"/>
      <c r="J2579" s="329"/>
      <c r="K2579" s="329"/>
      <c r="L2579" s="329"/>
      <c r="M2579" s="329"/>
      <c r="N2579" s="329"/>
      <c r="O2579" s="329"/>
      <c r="P2579" s="329"/>
      <c r="Q2579" s="329"/>
      <c r="R2579" s="329"/>
    </row>
    <row r="2580" spans="1:18" ht="13">
      <c r="A2580" s="282"/>
      <c r="B2580" s="282"/>
      <c r="C2580" s="282"/>
      <c r="D2580" s="282"/>
      <c r="E2580" s="282"/>
      <c r="F2580" s="282"/>
      <c r="G2580" s="329"/>
      <c r="H2580" s="329"/>
      <c r="I2580" s="329"/>
      <c r="J2580" s="329"/>
      <c r="K2580" s="329"/>
      <c r="L2580" s="329"/>
      <c r="M2580" s="329"/>
      <c r="N2580" s="329"/>
      <c r="O2580" s="329"/>
      <c r="P2580" s="329"/>
      <c r="Q2580" s="329"/>
      <c r="R2580" s="329"/>
    </row>
    <row r="2581" spans="1:18" ht="13">
      <c r="A2581" s="282"/>
      <c r="B2581" s="282"/>
      <c r="C2581" s="282"/>
      <c r="D2581" s="282"/>
      <c r="E2581" s="282"/>
      <c r="F2581" s="282"/>
      <c r="G2581" s="329"/>
      <c r="H2581" s="329"/>
      <c r="I2581" s="329"/>
      <c r="J2581" s="329"/>
      <c r="K2581" s="329"/>
      <c r="L2581" s="329"/>
      <c r="M2581" s="329"/>
      <c r="N2581" s="329"/>
      <c r="O2581" s="329"/>
      <c r="P2581" s="329"/>
      <c r="Q2581" s="329"/>
      <c r="R2581" s="329"/>
    </row>
    <row r="2582" spans="1:18" ht="13">
      <c r="A2582" s="282"/>
      <c r="B2582" s="282"/>
      <c r="C2582" s="282"/>
      <c r="D2582" s="282"/>
      <c r="E2582" s="282"/>
      <c r="F2582" s="282"/>
      <c r="G2582" s="329"/>
      <c r="H2582" s="329"/>
      <c r="I2582" s="329"/>
      <c r="J2582" s="329"/>
      <c r="K2582" s="329"/>
      <c r="L2582" s="329"/>
      <c r="M2582" s="329"/>
      <c r="N2582" s="329"/>
      <c r="O2582" s="329"/>
      <c r="P2582" s="329"/>
      <c r="Q2582" s="329"/>
      <c r="R2582" s="329"/>
    </row>
    <row r="2583" spans="1:18" ht="13">
      <c r="A2583" s="282"/>
      <c r="B2583" s="282"/>
      <c r="C2583" s="282"/>
      <c r="D2583" s="282"/>
      <c r="E2583" s="282"/>
      <c r="F2583" s="282"/>
      <c r="G2583" s="329"/>
      <c r="H2583" s="329"/>
      <c r="I2583" s="329"/>
      <c r="J2583" s="329"/>
      <c r="K2583" s="329"/>
      <c r="L2583" s="329"/>
      <c r="M2583" s="329"/>
      <c r="N2583" s="329"/>
      <c r="O2583" s="329"/>
      <c r="P2583" s="329"/>
      <c r="Q2583" s="329"/>
      <c r="R2583" s="329"/>
    </row>
    <row r="2584" spans="1:18" ht="13">
      <c r="A2584" s="282"/>
      <c r="B2584" s="282"/>
      <c r="C2584" s="282"/>
      <c r="D2584" s="282"/>
      <c r="E2584" s="282"/>
      <c r="F2584" s="282"/>
      <c r="G2584" s="329"/>
      <c r="H2584" s="329"/>
      <c r="I2584" s="329"/>
      <c r="J2584" s="329"/>
      <c r="K2584" s="329"/>
      <c r="L2584" s="329"/>
      <c r="M2584" s="329"/>
      <c r="N2584" s="329"/>
      <c r="O2584" s="329"/>
      <c r="P2584" s="329"/>
      <c r="Q2584" s="329"/>
      <c r="R2584" s="329"/>
    </row>
    <row r="2585" spans="1:18" ht="13">
      <c r="A2585" s="282"/>
      <c r="B2585" s="282"/>
      <c r="C2585" s="282"/>
      <c r="D2585" s="282"/>
      <c r="E2585" s="282"/>
      <c r="F2585" s="282"/>
      <c r="G2585" s="329"/>
      <c r="H2585" s="329"/>
      <c r="I2585" s="329"/>
      <c r="J2585" s="329"/>
      <c r="K2585" s="329"/>
      <c r="L2585" s="329"/>
      <c r="M2585" s="329"/>
      <c r="N2585" s="329"/>
      <c r="O2585" s="329"/>
      <c r="P2585" s="329"/>
      <c r="Q2585" s="329"/>
      <c r="R2585" s="329"/>
    </row>
    <row r="2586" spans="1:18" ht="13">
      <c r="A2586" s="282"/>
      <c r="B2586" s="282"/>
      <c r="C2586" s="282"/>
      <c r="D2586" s="282"/>
      <c r="E2586" s="282"/>
      <c r="F2586" s="282"/>
      <c r="G2586" s="329"/>
      <c r="H2586" s="329"/>
      <c r="I2586" s="329"/>
      <c r="J2586" s="329"/>
      <c r="K2586" s="329"/>
      <c r="L2586" s="329"/>
      <c r="M2586" s="329"/>
      <c r="N2586" s="329"/>
      <c r="O2586" s="329"/>
      <c r="P2586" s="329"/>
      <c r="Q2586" s="329"/>
      <c r="R2586" s="329"/>
    </row>
    <row r="2587" spans="1:18" ht="13">
      <c r="A2587" s="282"/>
      <c r="B2587" s="282"/>
      <c r="C2587" s="282"/>
      <c r="D2587" s="282"/>
      <c r="E2587" s="282"/>
      <c r="F2587" s="282"/>
      <c r="G2587" s="329"/>
      <c r="H2587" s="329"/>
      <c r="I2587" s="329"/>
      <c r="J2587" s="329"/>
      <c r="K2587" s="329"/>
      <c r="L2587" s="329"/>
      <c r="M2587" s="329"/>
      <c r="N2587" s="329"/>
      <c r="O2587" s="329"/>
      <c r="P2587" s="329"/>
      <c r="Q2587" s="329"/>
      <c r="R2587" s="329"/>
    </row>
    <row r="2588" spans="1:18" ht="13">
      <c r="A2588" s="282"/>
      <c r="B2588" s="282"/>
      <c r="C2588" s="282"/>
      <c r="D2588" s="282"/>
      <c r="E2588" s="282"/>
      <c r="F2588" s="282"/>
      <c r="G2588" s="329"/>
      <c r="H2588" s="329"/>
      <c r="I2588" s="329"/>
      <c r="J2588" s="329"/>
      <c r="K2588" s="329"/>
      <c r="L2588" s="329"/>
      <c r="M2588" s="329"/>
      <c r="N2588" s="329"/>
      <c r="O2588" s="329"/>
      <c r="P2588" s="329"/>
      <c r="Q2588" s="329"/>
      <c r="R2588" s="329"/>
    </row>
    <row r="2589" spans="1:18" ht="13">
      <c r="A2589" s="282"/>
      <c r="B2589" s="282"/>
      <c r="C2589" s="282"/>
      <c r="D2589" s="282"/>
      <c r="E2589" s="282"/>
      <c r="F2589" s="282"/>
      <c r="G2589" s="329"/>
      <c r="H2589" s="329"/>
      <c r="I2589" s="329"/>
      <c r="J2589" s="329"/>
      <c r="K2589" s="329"/>
      <c r="L2589" s="329"/>
      <c r="M2589" s="329"/>
      <c r="N2589" s="329"/>
      <c r="O2589" s="329"/>
      <c r="P2589" s="329"/>
      <c r="Q2589" s="329"/>
      <c r="R2589" s="329"/>
    </row>
    <row r="2590" spans="1:18" ht="13">
      <c r="A2590" s="282"/>
      <c r="B2590" s="282"/>
      <c r="C2590" s="282"/>
      <c r="D2590" s="282"/>
      <c r="E2590" s="282"/>
      <c r="F2590" s="282"/>
      <c r="G2590" s="329"/>
      <c r="H2590" s="329"/>
      <c r="I2590" s="329"/>
      <c r="J2590" s="329"/>
      <c r="K2590" s="329"/>
      <c r="L2590" s="329"/>
      <c r="M2590" s="329"/>
      <c r="N2590" s="329"/>
      <c r="O2590" s="329"/>
      <c r="P2590" s="329"/>
      <c r="Q2590" s="329"/>
      <c r="R2590" s="329"/>
    </row>
    <row r="2591" spans="1:18" ht="13">
      <c r="A2591" s="282"/>
      <c r="B2591" s="282"/>
      <c r="C2591" s="282"/>
      <c r="D2591" s="282"/>
      <c r="E2591" s="282"/>
      <c r="F2591" s="282"/>
      <c r="G2591" s="329"/>
      <c r="H2591" s="329"/>
      <c r="I2591" s="329"/>
      <c r="J2591" s="329"/>
      <c r="K2591" s="329"/>
      <c r="L2591" s="329"/>
      <c r="M2591" s="329"/>
      <c r="N2591" s="329"/>
      <c r="O2591" s="329"/>
      <c r="P2591" s="329"/>
      <c r="Q2591" s="329"/>
      <c r="R2591" s="329"/>
    </row>
    <row r="2592" spans="1:18" ht="13">
      <c r="A2592" s="282"/>
      <c r="B2592" s="282"/>
      <c r="C2592" s="282"/>
      <c r="D2592" s="282"/>
      <c r="E2592" s="282"/>
      <c r="F2592" s="282"/>
      <c r="G2592" s="329"/>
      <c r="H2592" s="329"/>
      <c r="I2592" s="329"/>
      <c r="J2592" s="329"/>
      <c r="K2592" s="329"/>
      <c r="L2592" s="329"/>
      <c r="M2592" s="329"/>
      <c r="N2592" s="329"/>
      <c r="O2592" s="329"/>
      <c r="P2592" s="329"/>
      <c r="Q2592" s="329"/>
      <c r="R2592" s="329"/>
    </row>
    <row r="2593" spans="1:18" ht="13">
      <c r="A2593" s="282"/>
      <c r="B2593" s="282"/>
      <c r="C2593" s="282"/>
      <c r="D2593" s="282"/>
      <c r="E2593" s="282"/>
      <c r="F2593" s="282"/>
      <c r="G2593" s="329"/>
      <c r="H2593" s="329"/>
      <c r="I2593" s="329"/>
      <c r="J2593" s="329"/>
      <c r="K2593" s="329"/>
      <c r="L2593" s="329"/>
      <c r="M2593" s="329"/>
      <c r="N2593" s="329"/>
      <c r="O2593" s="329"/>
      <c r="P2593" s="329"/>
      <c r="Q2593" s="329"/>
      <c r="R2593" s="329"/>
    </row>
    <row r="2594" spans="1:18" ht="13">
      <c r="A2594" s="282"/>
      <c r="B2594" s="282"/>
      <c r="C2594" s="282"/>
      <c r="D2594" s="282"/>
      <c r="E2594" s="282"/>
      <c r="F2594" s="282"/>
      <c r="G2594" s="329"/>
      <c r="H2594" s="329"/>
      <c r="I2594" s="329"/>
      <c r="J2594" s="329"/>
      <c r="K2594" s="329"/>
      <c r="L2594" s="329"/>
      <c r="M2594" s="329"/>
      <c r="N2594" s="329"/>
      <c r="O2594" s="329"/>
      <c r="P2594" s="329"/>
      <c r="Q2594" s="329"/>
      <c r="R2594" s="329"/>
    </row>
    <row r="2595" spans="1:18" ht="13">
      <c r="A2595" s="282"/>
      <c r="B2595" s="282"/>
      <c r="C2595" s="282"/>
      <c r="D2595" s="282"/>
      <c r="E2595" s="282"/>
      <c r="F2595" s="282"/>
      <c r="G2595" s="329"/>
      <c r="H2595" s="329"/>
      <c r="I2595" s="329"/>
      <c r="J2595" s="329"/>
      <c r="K2595" s="329"/>
      <c r="L2595" s="329"/>
      <c r="M2595" s="329"/>
      <c r="N2595" s="329"/>
      <c r="O2595" s="329"/>
      <c r="P2595" s="329"/>
      <c r="Q2595" s="329"/>
      <c r="R2595" s="329"/>
    </row>
    <row r="2596" spans="1:18" ht="13">
      <c r="A2596" s="282"/>
      <c r="B2596" s="282"/>
      <c r="C2596" s="282"/>
      <c r="D2596" s="282"/>
      <c r="E2596" s="282"/>
      <c r="F2596" s="282"/>
      <c r="G2596" s="329"/>
      <c r="H2596" s="329"/>
      <c r="I2596" s="329"/>
      <c r="J2596" s="329"/>
      <c r="K2596" s="329"/>
      <c r="L2596" s="329"/>
      <c r="M2596" s="329"/>
      <c r="N2596" s="329"/>
      <c r="O2596" s="329"/>
      <c r="P2596" s="329"/>
      <c r="Q2596" s="329"/>
      <c r="R2596" s="329"/>
    </row>
    <row r="2597" spans="1:18" ht="13">
      <c r="A2597" s="282"/>
      <c r="B2597" s="282"/>
      <c r="C2597" s="282"/>
      <c r="D2597" s="282"/>
      <c r="E2597" s="282"/>
      <c r="F2597" s="282"/>
      <c r="G2597" s="329"/>
      <c r="H2597" s="329"/>
      <c r="I2597" s="329"/>
      <c r="J2597" s="329"/>
      <c r="K2597" s="329"/>
      <c r="L2597" s="329"/>
      <c r="M2597" s="329"/>
      <c r="N2597" s="329"/>
      <c r="O2597" s="329"/>
      <c r="P2597" s="329"/>
      <c r="Q2597" s="329"/>
      <c r="R2597" s="329"/>
    </row>
    <row r="2598" spans="1:18" ht="13">
      <c r="A2598" s="282"/>
      <c r="B2598" s="282"/>
      <c r="C2598" s="282"/>
      <c r="D2598" s="282"/>
      <c r="E2598" s="282"/>
      <c r="F2598" s="282"/>
      <c r="G2598" s="329"/>
      <c r="H2598" s="329"/>
      <c r="I2598" s="329"/>
      <c r="J2598" s="329"/>
      <c r="K2598" s="329"/>
      <c r="L2598" s="329"/>
      <c r="M2598" s="329"/>
      <c r="N2598" s="329"/>
      <c r="O2598" s="329"/>
      <c r="P2598" s="329"/>
      <c r="Q2598" s="329"/>
      <c r="R2598" s="329"/>
    </row>
    <row r="2599" spans="1:18" ht="13">
      <c r="A2599" s="282"/>
      <c r="B2599" s="282"/>
      <c r="C2599" s="282"/>
      <c r="D2599" s="282"/>
      <c r="E2599" s="282"/>
      <c r="F2599" s="282"/>
      <c r="G2599" s="329"/>
      <c r="H2599" s="329"/>
      <c r="I2599" s="329"/>
      <c r="J2599" s="329"/>
      <c r="K2599" s="329"/>
      <c r="L2599" s="329"/>
      <c r="M2599" s="329"/>
      <c r="N2599" s="329"/>
      <c r="O2599" s="329"/>
      <c r="P2599" s="329"/>
      <c r="Q2599" s="329"/>
      <c r="R2599" s="329"/>
    </row>
    <row r="2600" spans="1:18" ht="13">
      <c r="A2600" s="282"/>
      <c r="B2600" s="282"/>
      <c r="C2600" s="282"/>
      <c r="D2600" s="282"/>
      <c r="E2600" s="282"/>
      <c r="F2600" s="282"/>
      <c r="G2600" s="329"/>
      <c r="H2600" s="329"/>
      <c r="I2600" s="329"/>
      <c r="J2600" s="329"/>
      <c r="K2600" s="329"/>
      <c r="L2600" s="329"/>
      <c r="M2600" s="329"/>
      <c r="N2600" s="329"/>
      <c r="O2600" s="329"/>
      <c r="P2600" s="329"/>
      <c r="Q2600" s="329"/>
      <c r="R2600" s="329"/>
    </row>
    <row r="2601" spans="1:18" ht="13">
      <c r="A2601" s="282"/>
      <c r="B2601" s="282"/>
      <c r="C2601" s="282"/>
      <c r="D2601" s="282"/>
      <c r="E2601" s="282"/>
      <c r="F2601" s="282"/>
      <c r="G2601" s="329"/>
      <c r="H2601" s="329"/>
      <c r="I2601" s="329"/>
      <c r="J2601" s="329"/>
      <c r="K2601" s="329"/>
      <c r="L2601" s="329"/>
      <c r="M2601" s="329"/>
      <c r="N2601" s="329"/>
      <c r="O2601" s="329"/>
      <c r="P2601" s="329"/>
      <c r="Q2601" s="329"/>
      <c r="R2601" s="329"/>
    </row>
    <row r="2602" spans="1:18" ht="13">
      <c r="A2602" s="282"/>
      <c r="B2602" s="282"/>
      <c r="C2602" s="282"/>
      <c r="D2602" s="282"/>
      <c r="E2602" s="282"/>
      <c r="F2602" s="282"/>
      <c r="G2602" s="329"/>
      <c r="H2602" s="329"/>
      <c r="I2602" s="329"/>
      <c r="J2602" s="329"/>
      <c r="K2602" s="329"/>
      <c r="L2602" s="329"/>
      <c r="M2602" s="329"/>
      <c r="N2602" s="329"/>
      <c r="O2602" s="329"/>
      <c r="P2602" s="329"/>
      <c r="Q2602" s="329"/>
      <c r="R2602" s="329"/>
    </row>
    <row r="2603" spans="1:18" ht="13">
      <c r="A2603" s="282"/>
      <c r="B2603" s="282"/>
      <c r="C2603" s="282"/>
      <c r="D2603" s="282"/>
      <c r="E2603" s="282"/>
      <c r="F2603" s="282"/>
      <c r="G2603" s="329"/>
      <c r="H2603" s="329"/>
      <c r="I2603" s="329"/>
      <c r="J2603" s="329"/>
      <c r="K2603" s="329"/>
      <c r="L2603" s="329"/>
      <c r="M2603" s="329"/>
      <c r="N2603" s="329"/>
      <c r="O2603" s="329"/>
      <c r="P2603" s="329"/>
      <c r="Q2603" s="329"/>
      <c r="R2603" s="329"/>
    </row>
    <row r="2604" spans="1:18" ht="13">
      <c r="A2604" s="282"/>
      <c r="B2604" s="282"/>
      <c r="C2604" s="282"/>
      <c r="D2604" s="282"/>
      <c r="E2604" s="282"/>
      <c r="F2604" s="282"/>
      <c r="G2604" s="329"/>
      <c r="H2604" s="329"/>
      <c r="I2604" s="329"/>
      <c r="J2604" s="329"/>
      <c r="K2604" s="329"/>
      <c r="L2604" s="329"/>
      <c r="M2604" s="329"/>
      <c r="N2604" s="329"/>
      <c r="O2604" s="329"/>
      <c r="P2604" s="329"/>
      <c r="Q2604" s="329"/>
      <c r="R2604" s="329"/>
    </row>
    <row r="2605" spans="1:18" ht="13">
      <c r="A2605" s="282"/>
      <c r="B2605" s="282"/>
      <c r="C2605" s="282"/>
      <c r="D2605" s="282"/>
      <c r="E2605" s="282"/>
      <c r="F2605" s="282"/>
      <c r="G2605" s="329"/>
      <c r="H2605" s="329"/>
      <c r="I2605" s="329"/>
      <c r="J2605" s="329"/>
      <c r="K2605" s="329"/>
      <c r="L2605" s="329"/>
      <c r="M2605" s="329"/>
      <c r="N2605" s="329"/>
      <c r="O2605" s="329"/>
      <c r="P2605" s="329"/>
      <c r="Q2605" s="329"/>
      <c r="R2605" s="329"/>
    </row>
    <row r="2606" spans="1:18" ht="13">
      <c r="A2606" s="282"/>
      <c r="B2606" s="282"/>
      <c r="C2606" s="282"/>
      <c r="D2606" s="282"/>
      <c r="E2606" s="282"/>
      <c r="F2606" s="282"/>
      <c r="G2606" s="329"/>
      <c r="H2606" s="329"/>
      <c r="I2606" s="329"/>
      <c r="J2606" s="329"/>
      <c r="K2606" s="329"/>
      <c r="L2606" s="329"/>
      <c r="M2606" s="329"/>
      <c r="N2606" s="329"/>
      <c r="O2606" s="329"/>
      <c r="P2606" s="329"/>
      <c r="Q2606" s="329"/>
      <c r="R2606" s="329"/>
    </row>
    <row r="2607" spans="1:18" ht="13">
      <c r="A2607" s="282"/>
      <c r="B2607" s="282"/>
      <c r="C2607" s="282"/>
      <c r="D2607" s="282"/>
      <c r="E2607" s="282"/>
      <c r="F2607" s="282"/>
      <c r="G2607" s="329"/>
      <c r="H2607" s="329"/>
      <c r="I2607" s="329"/>
      <c r="J2607" s="329"/>
      <c r="K2607" s="329"/>
      <c r="L2607" s="329"/>
      <c r="M2607" s="329"/>
      <c r="N2607" s="329"/>
      <c r="O2607" s="329"/>
      <c r="P2607" s="329"/>
      <c r="Q2607" s="329"/>
      <c r="R2607" s="329"/>
    </row>
    <row r="2608" spans="1:18" ht="13">
      <c r="A2608" s="282"/>
      <c r="B2608" s="282"/>
      <c r="C2608" s="282"/>
      <c r="D2608" s="282"/>
      <c r="E2608" s="282"/>
      <c r="F2608" s="282"/>
      <c r="G2608" s="329"/>
      <c r="H2608" s="329"/>
      <c r="I2608" s="329"/>
      <c r="J2608" s="329"/>
      <c r="K2608" s="329"/>
      <c r="L2608" s="329"/>
      <c r="M2608" s="329"/>
      <c r="N2608" s="329"/>
      <c r="O2608" s="329"/>
      <c r="P2608" s="329"/>
      <c r="Q2608" s="329"/>
      <c r="R2608" s="329"/>
    </row>
    <row r="2609" spans="1:18" ht="13">
      <c r="A2609" s="282"/>
      <c r="B2609" s="282"/>
      <c r="C2609" s="282"/>
      <c r="D2609" s="282"/>
      <c r="E2609" s="282"/>
      <c r="F2609" s="282"/>
      <c r="G2609" s="329"/>
      <c r="H2609" s="329"/>
      <c r="I2609" s="329"/>
      <c r="J2609" s="329"/>
      <c r="K2609" s="329"/>
      <c r="L2609" s="329"/>
      <c r="M2609" s="329"/>
      <c r="N2609" s="329"/>
      <c r="O2609" s="329"/>
      <c r="P2609" s="329"/>
      <c r="Q2609" s="329"/>
      <c r="R2609" s="329"/>
    </row>
    <row r="2610" spans="1:18" ht="13">
      <c r="A2610" s="282"/>
      <c r="B2610" s="282"/>
      <c r="C2610" s="282"/>
      <c r="D2610" s="282"/>
      <c r="E2610" s="282"/>
      <c r="F2610" s="282"/>
      <c r="G2610" s="329"/>
      <c r="H2610" s="329"/>
      <c r="I2610" s="329"/>
      <c r="J2610" s="329"/>
      <c r="K2610" s="329"/>
      <c r="L2610" s="329"/>
      <c r="M2610" s="329"/>
      <c r="N2610" s="329"/>
      <c r="O2610" s="329"/>
      <c r="P2610" s="329"/>
      <c r="Q2610" s="329"/>
      <c r="R2610" s="329"/>
    </row>
    <row r="2611" spans="1:18" ht="13">
      <c r="A2611" s="282"/>
      <c r="B2611" s="282"/>
      <c r="C2611" s="282"/>
      <c r="D2611" s="282"/>
      <c r="E2611" s="282"/>
      <c r="F2611" s="282"/>
      <c r="G2611" s="329"/>
      <c r="H2611" s="329"/>
      <c r="I2611" s="329"/>
      <c r="J2611" s="329"/>
      <c r="K2611" s="329"/>
      <c r="L2611" s="329"/>
      <c r="M2611" s="329"/>
      <c r="N2611" s="329"/>
      <c r="O2611" s="329"/>
      <c r="P2611" s="329"/>
      <c r="Q2611" s="329"/>
      <c r="R2611" s="329"/>
    </row>
    <row r="2612" spans="1:18" ht="13">
      <c r="A2612" s="282"/>
      <c r="B2612" s="282"/>
      <c r="C2612" s="282"/>
      <c r="D2612" s="282"/>
      <c r="E2612" s="282"/>
      <c r="F2612" s="282"/>
      <c r="G2612" s="329"/>
      <c r="H2612" s="329"/>
      <c r="I2612" s="329"/>
      <c r="J2612" s="329"/>
      <c r="K2612" s="329"/>
      <c r="L2612" s="329"/>
      <c r="M2612" s="329"/>
      <c r="N2612" s="329"/>
      <c r="O2612" s="329"/>
      <c r="P2612" s="329"/>
      <c r="Q2612" s="329"/>
      <c r="R2612" s="329"/>
    </row>
    <row r="2613" spans="1:18" ht="13">
      <c r="A2613" s="282"/>
      <c r="B2613" s="282"/>
      <c r="C2613" s="282"/>
      <c r="D2613" s="282"/>
      <c r="E2613" s="282"/>
      <c r="F2613" s="282"/>
      <c r="G2613" s="329"/>
      <c r="H2613" s="329"/>
      <c r="I2613" s="329"/>
      <c r="J2613" s="329"/>
      <c r="K2613" s="329"/>
      <c r="L2613" s="329"/>
      <c r="M2613" s="329"/>
      <c r="N2613" s="329"/>
      <c r="O2613" s="329"/>
      <c r="P2613" s="329"/>
      <c r="Q2613" s="329"/>
      <c r="R2613" s="329"/>
    </row>
    <row r="2614" spans="1:18" ht="13">
      <c r="A2614" s="282"/>
      <c r="B2614" s="282"/>
      <c r="C2614" s="282"/>
      <c r="D2614" s="282"/>
      <c r="E2614" s="282"/>
      <c r="F2614" s="282"/>
      <c r="G2614" s="329"/>
      <c r="H2614" s="329"/>
      <c r="I2614" s="329"/>
      <c r="J2614" s="329"/>
      <c r="K2614" s="329"/>
      <c r="L2614" s="329"/>
      <c r="M2614" s="329"/>
      <c r="N2614" s="329"/>
      <c r="O2614" s="329"/>
      <c r="P2614" s="329"/>
      <c r="Q2614" s="329"/>
      <c r="R2614" s="329"/>
    </row>
    <row r="2615" spans="1:18" ht="13">
      <c r="A2615" s="282"/>
      <c r="B2615" s="282"/>
      <c r="C2615" s="282"/>
      <c r="D2615" s="282"/>
      <c r="E2615" s="282"/>
      <c r="F2615" s="282"/>
      <c r="G2615" s="329"/>
      <c r="H2615" s="329"/>
      <c r="I2615" s="329"/>
      <c r="J2615" s="329"/>
      <c r="K2615" s="329"/>
      <c r="L2615" s="329"/>
      <c r="M2615" s="329"/>
      <c r="N2615" s="329"/>
      <c r="O2615" s="329"/>
      <c r="P2615" s="329"/>
      <c r="Q2615" s="329"/>
      <c r="R2615" s="329"/>
    </row>
    <row r="2616" spans="1:18" ht="13">
      <c r="A2616" s="282"/>
      <c r="B2616" s="282"/>
      <c r="C2616" s="282"/>
      <c r="D2616" s="282"/>
      <c r="E2616" s="282"/>
      <c r="F2616" s="282"/>
      <c r="G2616" s="329"/>
      <c r="H2616" s="329"/>
      <c r="I2616" s="329"/>
      <c r="J2616" s="329"/>
      <c r="K2616" s="329"/>
      <c r="L2616" s="329"/>
      <c r="M2616" s="329"/>
      <c r="N2616" s="329"/>
      <c r="O2616" s="329"/>
      <c r="P2616" s="329"/>
      <c r="Q2616" s="329"/>
      <c r="R2616" s="329"/>
    </row>
    <row r="2617" spans="1:18" ht="13">
      <c r="A2617" s="282"/>
      <c r="B2617" s="282"/>
      <c r="C2617" s="282"/>
      <c r="D2617" s="282"/>
      <c r="E2617" s="282"/>
      <c r="F2617" s="282"/>
      <c r="G2617" s="329"/>
      <c r="H2617" s="329"/>
      <c r="I2617" s="329"/>
      <c r="J2617" s="329"/>
      <c r="K2617" s="329"/>
      <c r="L2617" s="329"/>
      <c r="M2617" s="329"/>
      <c r="N2617" s="329"/>
      <c r="O2617" s="329"/>
      <c r="P2617" s="329"/>
      <c r="Q2617" s="329"/>
      <c r="R2617" s="329"/>
    </row>
    <row r="2618" spans="1:18" ht="13">
      <c r="A2618" s="282"/>
      <c r="B2618" s="282"/>
      <c r="C2618" s="282"/>
      <c r="D2618" s="282"/>
      <c r="E2618" s="282"/>
      <c r="F2618" s="282"/>
      <c r="G2618" s="329"/>
      <c r="H2618" s="329"/>
      <c r="I2618" s="329"/>
      <c r="J2618" s="329"/>
      <c r="K2618" s="329"/>
      <c r="L2618" s="329"/>
      <c r="M2618" s="329"/>
      <c r="N2618" s="329"/>
      <c r="O2618" s="329"/>
      <c r="P2618" s="329"/>
      <c r="Q2618" s="329"/>
      <c r="R2618" s="329"/>
    </row>
    <row r="2619" spans="1:18" ht="13">
      <c r="A2619" s="282"/>
      <c r="B2619" s="282"/>
      <c r="C2619" s="282"/>
      <c r="D2619" s="282"/>
      <c r="E2619" s="282"/>
      <c r="F2619" s="282"/>
      <c r="G2619" s="329"/>
      <c r="H2619" s="329"/>
      <c r="I2619" s="329"/>
      <c r="J2619" s="329"/>
      <c r="K2619" s="329"/>
      <c r="L2619" s="329"/>
      <c r="M2619" s="329"/>
      <c r="N2619" s="329"/>
      <c r="O2619" s="329"/>
      <c r="P2619" s="329"/>
      <c r="Q2619" s="329"/>
      <c r="R2619" s="329"/>
    </row>
    <row r="2620" spans="1:18" ht="13">
      <c r="A2620" s="282"/>
      <c r="B2620" s="282"/>
      <c r="C2620" s="282"/>
      <c r="D2620" s="282"/>
      <c r="E2620" s="282"/>
      <c r="F2620" s="282"/>
      <c r="G2620" s="329"/>
      <c r="H2620" s="329"/>
      <c r="I2620" s="329"/>
      <c r="J2620" s="329"/>
      <c r="K2620" s="329"/>
      <c r="L2620" s="329"/>
      <c r="M2620" s="329"/>
      <c r="N2620" s="329"/>
      <c r="O2620" s="329"/>
      <c r="P2620" s="329"/>
      <c r="Q2620" s="329"/>
      <c r="R2620" s="329"/>
    </row>
    <row r="2621" spans="1:18" ht="13">
      <c r="A2621" s="282"/>
      <c r="B2621" s="282"/>
      <c r="C2621" s="282"/>
      <c r="D2621" s="282"/>
      <c r="E2621" s="282"/>
      <c r="F2621" s="282"/>
      <c r="G2621" s="329"/>
      <c r="H2621" s="329"/>
      <c r="I2621" s="329"/>
      <c r="J2621" s="329"/>
      <c r="K2621" s="329"/>
      <c r="L2621" s="329"/>
      <c r="M2621" s="329"/>
      <c r="N2621" s="329"/>
      <c r="O2621" s="329"/>
      <c r="P2621" s="329"/>
      <c r="Q2621" s="329"/>
      <c r="R2621" s="329"/>
    </row>
    <row r="2622" spans="1:18" ht="13">
      <c r="A2622" s="282"/>
      <c r="B2622" s="282"/>
      <c r="C2622" s="282"/>
      <c r="D2622" s="282"/>
      <c r="E2622" s="282"/>
      <c r="F2622" s="282"/>
      <c r="G2622" s="329"/>
      <c r="H2622" s="329"/>
      <c r="I2622" s="329"/>
      <c r="J2622" s="329"/>
      <c r="K2622" s="329"/>
      <c r="L2622" s="329"/>
      <c r="M2622" s="329"/>
      <c r="N2622" s="329"/>
      <c r="O2622" s="329"/>
      <c r="P2622" s="329"/>
      <c r="Q2622" s="329"/>
      <c r="R2622" s="329"/>
    </row>
    <row r="2623" spans="1:18" ht="13">
      <c r="A2623" s="282"/>
      <c r="B2623" s="282"/>
      <c r="C2623" s="282"/>
      <c r="D2623" s="282"/>
      <c r="E2623" s="282"/>
      <c r="F2623" s="282"/>
      <c r="G2623" s="329"/>
      <c r="H2623" s="329"/>
      <c r="I2623" s="329"/>
      <c r="J2623" s="329"/>
      <c r="K2623" s="329"/>
      <c r="L2623" s="329"/>
      <c r="M2623" s="329"/>
      <c r="N2623" s="329"/>
      <c r="O2623" s="329"/>
      <c r="P2623" s="329"/>
      <c r="Q2623" s="329"/>
      <c r="R2623" s="329"/>
    </row>
    <row r="2624" spans="1:18" ht="13">
      <c r="A2624" s="282"/>
      <c r="B2624" s="282"/>
      <c r="C2624" s="282"/>
      <c r="D2624" s="282"/>
      <c r="E2624" s="282"/>
      <c r="F2624" s="282"/>
      <c r="G2624" s="329"/>
      <c r="H2624" s="329"/>
      <c r="I2624" s="329"/>
      <c r="J2624" s="329"/>
      <c r="K2624" s="329"/>
      <c r="L2624" s="329"/>
      <c r="M2624" s="329"/>
      <c r="N2624" s="329"/>
      <c r="O2624" s="329"/>
      <c r="P2624" s="329"/>
      <c r="Q2624" s="329"/>
      <c r="R2624" s="329"/>
    </row>
    <row r="2625" spans="1:18" ht="13">
      <c r="A2625" s="282"/>
      <c r="B2625" s="282"/>
      <c r="C2625" s="282"/>
      <c r="D2625" s="282"/>
      <c r="E2625" s="282"/>
      <c r="F2625" s="282"/>
      <c r="G2625" s="329"/>
      <c r="H2625" s="329"/>
      <c r="I2625" s="329"/>
      <c r="J2625" s="329"/>
      <c r="K2625" s="329"/>
      <c r="L2625" s="329"/>
      <c r="M2625" s="329"/>
      <c r="N2625" s="329"/>
      <c r="O2625" s="329"/>
      <c r="P2625" s="329"/>
      <c r="Q2625" s="329"/>
      <c r="R2625" s="329"/>
    </row>
    <row r="2626" spans="1:18" ht="13">
      <c r="A2626" s="282"/>
      <c r="B2626" s="282"/>
      <c r="C2626" s="282"/>
      <c r="D2626" s="282"/>
      <c r="E2626" s="282"/>
      <c r="F2626" s="282"/>
      <c r="G2626" s="329"/>
      <c r="H2626" s="329"/>
      <c r="I2626" s="329"/>
      <c r="J2626" s="329"/>
      <c r="K2626" s="329"/>
      <c r="L2626" s="329"/>
      <c r="M2626" s="329"/>
      <c r="N2626" s="329"/>
      <c r="O2626" s="329"/>
      <c r="P2626" s="329"/>
      <c r="Q2626" s="329"/>
      <c r="R2626" s="329"/>
    </row>
    <row r="2627" spans="1:18" ht="13">
      <c r="A2627" s="282"/>
      <c r="B2627" s="282"/>
      <c r="C2627" s="282"/>
      <c r="D2627" s="282"/>
      <c r="E2627" s="282"/>
      <c r="F2627" s="282"/>
      <c r="G2627" s="329"/>
      <c r="H2627" s="329"/>
      <c r="I2627" s="329"/>
      <c r="J2627" s="329"/>
      <c r="K2627" s="329"/>
      <c r="L2627" s="329"/>
      <c r="M2627" s="329"/>
      <c r="N2627" s="329"/>
      <c r="O2627" s="329"/>
      <c r="P2627" s="329"/>
      <c r="Q2627" s="329"/>
      <c r="R2627" s="329"/>
    </row>
    <row r="2628" spans="1:18" ht="13">
      <c r="A2628" s="282"/>
      <c r="B2628" s="282"/>
      <c r="C2628" s="282"/>
      <c r="D2628" s="282"/>
      <c r="E2628" s="282"/>
      <c r="F2628" s="282"/>
      <c r="G2628" s="329"/>
      <c r="H2628" s="329"/>
      <c r="I2628" s="329"/>
      <c r="J2628" s="329"/>
      <c r="K2628" s="329"/>
      <c r="L2628" s="329"/>
      <c r="M2628" s="329"/>
      <c r="N2628" s="329"/>
      <c r="O2628" s="329"/>
      <c r="P2628" s="329"/>
      <c r="Q2628" s="329"/>
      <c r="R2628" s="329"/>
    </row>
    <row r="2629" spans="1:18" ht="13">
      <c r="A2629" s="282"/>
      <c r="B2629" s="282"/>
      <c r="C2629" s="282"/>
      <c r="D2629" s="282"/>
      <c r="E2629" s="282"/>
      <c r="F2629" s="282"/>
      <c r="G2629" s="329"/>
      <c r="H2629" s="329"/>
      <c r="I2629" s="329"/>
      <c r="J2629" s="329"/>
      <c r="K2629" s="329"/>
      <c r="L2629" s="329"/>
      <c r="M2629" s="329"/>
      <c r="N2629" s="329"/>
      <c r="O2629" s="329"/>
      <c r="P2629" s="329"/>
      <c r="Q2629" s="329"/>
      <c r="R2629" s="329"/>
    </row>
    <row r="2630" spans="1:18" ht="13">
      <c r="A2630" s="282"/>
      <c r="B2630" s="282"/>
      <c r="C2630" s="282"/>
      <c r="D2630" s="282"/>
      <c r="E2630" s="282"/>
      <c r="F2630" s="282"/>
      <c r="G2630" s="329"/>
      <c r="H2630" s="329"/>
      <c r="I2630" s="329"/>
      <c r="J2630" s="329"/>
      <c r="K2630" s="329"/>
      <c r="L2630" s="329"/>
      <c r="M2630" s="329"/>
      <c r="N2630" s="329"/>
      <c r="O2630" s="329"/>
      <c r="P2630" s="329"/>
      <c r="Q2630" s="329"/>
      <c r="R2630" s="329"/>
    </row>
    <row r="2631" spans="1:18" ht="13">
      <c r="A2631" s="282"/>
      <c r="B2631" s="282"/>
      <c r="C2631" s="282"/>
      <c r="D2631" s="282"/>
      <c r="E2631" s="282"/>
      <c r="F2631" s="282"/>
      <c r="G2631" s="329"/>
      <c r="H2631" s="329"/>
      <c r="I2631" s="329"/>
      <c r="J2631" s="329"/>
      <c r="K2631" s="329"/>
      <c r="L2631" s="329"/>
      <c r="M2631" s="329"/>
      <c r="N2631" s="329"/>
      <c r="O2631" s="329"/>
      <c r="P2631" s="329"/>
      <c r="Q2631" s="329"/>
      <c r="R2631" s="329"/>
    </row>
    <row r="2632" spans="1:18" ht="13">
      <c r="A2632" s="282"/>
      <c r="B2632" s="282"/>
      <c r="C2632" s="282"/>
      <c r="D2632" s="282"/>
      <c r="E2632" s="282"/>
      <c r="F2632" s="282"/>
      <c r="G2632" s="329"/>
      <c r="H2632" s="329"/>
      <c r="I2632" s="329"/>
      <c r="J2632" s="329"/>
      <c r="K2632" s="329"/>
      <c r="L2632" s="329"/>
      <c r="M2632" s="329"/>
      <c r="N2632" s="329"/>
      <c r="O2632" s="329"/>
      <c r="P2632" s="329"/>
      <c r="Q2632" s="329"/>
      <c r="R2632" s="329"/>
    </row>
    <row r="2633" spans="1:18" ht="13">
      <c r="A2633" s="282"/>
      <c r="B2633" s="282"/>
      <c r="C2633" s="282"/>
      <c r="D2633" s="282"/>
      <c r="E2633" s="282"/>
      <c r="F2633" s="282"/>
      <c r="G2633" s="329"/>
      <c r="H2633" s="329"/>
      <c r="I2633" s="329"/>
      <c r="J2633" s="329"/>
      <c r="K2633" s="329"/>
      <c r="L2633" s="329"/>
      <c r="M2633" s="329"/>
      <c r="N2633" s="329"/>
      <c r="O2633" s="329"/>
      <c r="P2633" s="329"/>
      <c r="Q2633" s="329"/>
      <c r="R2633" s="329"/>
    </row>
    <row r="2634" spans="1:18" ht="13">
      <c r="A2634" s="282"/>
      <c r="B2634" s="282"/>
      <c r="C2634" s="282"/>
      <c r="D2634" s="282"/>
      <c r="E2634" s="282"/>
      <c r="F2634" s="282"/>
      <c r="G2634" s="329"/>
      <c r="H2634" s="329"/>
      <c r="I2634" s="329"/>
      <c r="J2634" s="329"/>
      <c r="K2634" s="329"/>
      <c r="L2634" s="329"/>
      <c r="M2634" s="329"/>
      <c r="N2634" s="329"/>
      <c r="O2634" s="329"/>
      <c r="P2634" s="329"/>
      <c r="Q2634" s="329"/>
      <c r="R2634" s="329"/>
    </row>
    <row r="2635" spans="1:18" ht="13">
      <c r="A2635" s="282"/>
      <c r="B2635" s="282"/>
      <c r="C2635" s="282"/>
      <c r="D2635" s="282"/>
      <c r="E2635" s="282"/>
      <c r="F2635" s="282"/>
      <c r="G2635" s="329"/>
      <c r="H2635" s="329"/>
      <c r="I2635" s="329"/>
      <c r="J2635" s="329"/>
      <c r="K2635" s="329"/>
      <c r="L2635" s="329"/>
      <c r="M2635" s="329"/>
      <c r="N2635" s="329"/>
      <c r="O2635" s="329"/>
      <c r="P2635" s="329"/>
      <c r="Q2635" s="329"/>
      <c r="R2635" s="329"/>
    </row>
    <row r="2636" spans="1:18" ht="13">
      <c r="A2636" s="282"/>
      <c r="B2636" s="282"/>
      <c r="C2636" s="282"/>
      <c r="D2636" s="282"/>
      <c r="E2636" s="282"/>
      <c r="F2636" s="282"/>
      <c r="G2636" s="329"/>
      <c r="H2636" s="329"/>
      <c r="I2636" s="329"/>
      <c r="J2636" s="329"/>
      <c r="K2636" s="329"/>
      <c r="L2636" s="329"/>
      <c r="M2636" s="329"/>
      <c r="N2636" s="329"/>
      <c r="O2636" s="329"/>
      <c r="P2636" s="329"/>
      <c r="Q2636" s="329"/>
      <c r="R2636" s="329"/>
    </row>
    <row r="2637" spans="1:18" ht="13">
      <c r="A2637" s="282"/>
      <c r="B2637" s="282"/>
      <c r="C2637" s="282"/>
      <c r="D2637" s="282"/>
      <c r="E2637" s="282"/>
      <c r="F2637" s="282"/>
      <c r="G2637" s="329"/>
      <c r="H2637" s="329"/>
      <c r="I2637" s="329"/>
      <c r="J2637" s="329"/>
      <c r="K2637" s="329"/>
      <c r="L2637" s="329"/>
      <c r="M2637" s="329"/>
      <c r="N2637" s="329"/>
      <c r="O2637" s="329"/>
      <c r="P2637" s="329"/>
      <c r="Q2637" s="329"/>
      <c r="R2637" s="329"/>
    </row>
    <row r="2638" spans="1:18" ht="13">
      <c r="A2638" s="282"/>
      <c r="B2638" s="282"/>
      <c r="C2638" s="282"/>
      <c r="D2638" s="282"/>
      <c r="E2638" s="282"/>
      <c r="F2638" s="282"/>
      <c r="G2638" s="329"/>
      <c r="H2638" s="329"/>
      <c r="I2638" s="329"/>
      <c r="J2638" s="329"/>
      <c r="K2638" s="329"/>
      <c r="L2638" s="329"/>
      <c r="M2638" s="329"/>
      <c r="N2638" s="329"/>
      <c r="O2638" s="329"/>
      <c r="P2638" s="329"/>
      <c r="Q2638" s="329"/>
      <c r="R2638" s="329"/>
    </row>
    <row r="2639" spans="1:18" ht="13">
      <c r="A2639" s="282"/>
      <c r="B2639" s="282"/>
      <c r="C2639" s="282"/>
      <c r="D2639" s="282"/>
      <c r="E2639" s="282"/>
      <c r="F2639" s="282"/>
      <c r="G2639" s="329"/>
      <c r="H2639" s="329"/>
      <c r="I2639" s="329"/>
      <c r="J2639" s="329"/>
      <c r="K2639" s="329"/>
      <c r="L2639" s="329"/>
      <c r="M2639" s="329"/>
      <c r="N2639" s="329"/>
      <c r="O2639" s="329"/>
      <c r="P2639" s="329"/>
      <c r="Q2639" s="329"/>
      <c r="R2639" s="329"/>
    </row>
    <row r="2640" spans="1:18" ht="13">
      <c r="A2640" s="282"/>
      <c r="B2640" s="282"/>
      <c r="C2640" s="282"/>
      <c r="D2640" s="282"/>
      <c r="E2640" s="282"/>
      <c r="F2640" s="282"/>
      <c r="G2640" s="329"/>
      <c r="H2640" s="329"/>
      <c r="I2640" s="329"/>
      <c r="J2640" s="329"/>
      <c r="K2640" s="329"/>
      <c r="L2640" s="329"/>
      <c r="M2640" s="329"/>
      <c r="N2640" s="329"/>
      <c r="O2640" s="329"/>
      <c r="P2640" s="329"/>
      <c r="Q2640" s="329"/>
      <c r="R2640" s="329"/>
    </row>
    <row r="2641" spans="1:18" ht="13">
      <c r="A2641" s="282"/>
      <c r="B2641" s="282"/>
      <c r="C2641" s="282"/>
      <c r="D2641" s="282"/>
      <c r="E2641" s="282"/>
      <c r="F2641" s="282"/>
      <c r="G2641" s="329"/>
      <c r="H2641" s="329"/>
      <c r="I2641" s="329"/>
      <c r="J2641" s="329"/>
      <c r="K2641" s="329"/>
      <c r="L2641" s="329"/>
      <c r="M2641" s="329"/>
      <c r="N2641" s="329"/>
      <c r="O2641" s="329"/>
      <c r="P2641" s="329"/>
      <c r="Q2641" s="329"/>
      <c r="R2641" s="329"/>
    </row>
    <row r="2642" spans="1:18" ht="13">
      <c r="A2642" s="282"/>
      <c r="B2642" s="282"/>
      <c r="C2642" s="282"/>
      <c r="D2642" s="282"/>
      <c r="E2642" s="282"/>
      <c r="F2642" s="282"/>
      <c r="G2642" s="329"/>
      <c r="H2642" s="329"/>
      <c r="I2642" s="329"/>
      <c r="J2642" s="329"/>
      <c r="K2642" s="329"/>
      <c r="L2642" s="329"/>
      <c r="M2642" s="329"/>
      <c r="N2642" s="329"/>
      <c r="O2642" s="329"/>
      <c r="P2642" s="329"/>
      <c r="Q2642" s="329"/>
      <c r="R2642" s="329"/>
    </row>
    <row r="2643" spans="1:18" ht="13">
      <c r="A2643" s="282"/>
      <c r="B2643" s="282"/>
      <c r="C2643" s="282"/>
      <c r="D2643" s="282"/>
      <c r="E2643" s="282"/>
      <c r="F2643" s="282"/>
      <c r="G2643" s="329"/>
      <c r="H2643" s="329"/>
      <c r="I2643" s="329"/>
      <c r="J2643" s="329"/>
      <c r="K2643" s="329"/>
      <c r="L2643" s="329"/>
      <c r="M2643" s="329"/>
      <c r="N2643" s="329"/>
      <c r="O2643" s="329"/>
      <c r="P2643" s="329"/>
      <c r="Q2643" s="329"/>
      <c r="R2643" s="329"/>
    </row>
    <row r="2644" spans="1:18" ht="13">
      <c r="A2644" s="282"/>
      <c r="B2644" s="282"/>
      <c r="C2644" s="282"/>
      <c r="D2644" s="282"/>
      <c r="E2644" s="282"/>
      <c r="F2644" s="282"/>
      <c r="G2644" s="329"/>
      <c r="H2644" s="329"/>
      <c r="I2644" s="329"/>
      <c r="J2644" s="329"/>
      <c r="K2644" s="329"/>
      <c r="L2644" s="329"/>
      <c r="M2644" s="329"/>
      <c r="N2644" s="329"/>
      <c r="O2644" s="329"/>
      <c r="P2644" s="329"/>
      <c r="Q2644" s="329"/>
      <c r="R2644" s="329"/>
    </row>
    <row r="2645" spans="1:18" ht="13">
      <c r="A2645" s="282"/>
      <c r="B2645" s="282"/>
      <c r="C2645" s="282"/>
      <c r="D2645" s="282"/>
      <c r="E2645" s="282"/>
      <c r="F2645" s="282"/>
      <c r="G2645" s="329"/>
      <c r="H2645" s="329"/>
      <c r="I2645" s="329"/>
      <c r="J2645" s="329"/>
      <c r="K2645" s="329"/>
      <c r="L2645" s="329"/>
      <c r="M2645" s="329"/>
      <c r="N2645" s="329"/>
      <c r="O2645" s="329"/>
      <c r="P2645" s="329"/>
      <c r="Q2645" s="329"/>
      <c r="R2645" s="329"/>
    </row>
    <row r="2646" spans="1:18" ht="13">
      <c r="A2646" s="282"/>
      <c r="B2646" s="282"/>
      <c r="C2646" s="282"/>
      <c r="D2646" s="282"/>
      <c r="E2646" s="282"/>
      <c r="F2646" s="282"/>
      <c r="G2646" s="329"/>
      <c r="H2646" s="329"/>
      <c r="I2646" s="329"/>
      <c r="J2646" s="329"/>
      <c r="K2646" s="329"/>
      <c r="L2646" s="329"/>
      <c r="M2646" s="329"/>
      <c r="N2646" s="329"/>
      <c r="O2646" s="329"/>
      <c r="P2646" s="329"/>
      <c r="Q2646" s="329"/>
      <c r="R2646" s="329"/>
    </row>
    <row r="2647" spans="1:18" ht="13">
      <c r="A2647" s="282"/>
      <c r="B2647" s="282"/>
      <c r="C2647" s="282"/>
      <c r="D2647" s="282"/>
      <c r="E2647" s="282"/>
      <c r="F2647" s="282"/>
      <c r="G2647" s="329"/>
      <c r="H2647" s="329"/>
      <c r="I2647" s="329"/>
      <c r="J2647" s="329"/>
      <c r="K2647" s="329"/>
      <c r="L2647" s="329"/>
      <c r="M2647" s="329"/>
      <c r="N2647" s="329"/>
      <c r="O2647" s="329"/>
      <c r="P2647" s="329"/>
      <c r="Q2647" s="329"/>
      <c r="R2647" s="329"/>
    </row>
    <row r="2648" spans="1:18" ht="13">
      <c r="A2648" s="282"/>
      <c r="B2648" s="282"/>
      <c r="C2648" s="282"/>
      <c r="D2648" s="282"/>
      <c r="E2648" s="282"/>
      <c r="F2648" s="282"/>
      <c r="G2648" s="329"/>
      <c r="H2648" s="329"/>
      <c r="I2648" s="329"/>
      <c r="J2648" s="329"/>
      <c r="K2648" s="329"/>
      <c r="L2648" s="329"/>
      <c r="M2648" s="329"/>
      <c r="N2648" s="329"/>
      <c r="O2648" s="329"/>
      <c r="P2648" s="329"/>
      <c r="Q2648" s="329"/>
      <c r="R2648" s="329"/>
    </row>
    <row r="2649" spans="1:18" ht="13">
      <c r="A2649" s="282"/>
      <c r="B2649" s="282"/>
      <c r="C2649" s="282"/>
      <c r="D2649" s="282"/>
      <c r="E2649" s="282"/>
      <c r="F2649" s="282"/>
      <c r="G2649" s="329"/>
      <c r="H2649" s="329"/>
      <c r="I2649" s="329"/>
      <c r="J2649" s="329"/>
      <c r="K2649" s="329"/>
      <c r="L2649" s="329"/>
      <c r="M2649" s="329"/>
      <c r="N2649" s="329"/>
      <c r="O2649" s="329"/>
      <c r="P2649" s="329"/>
      <c r="Q2649" s="329"/>
      <c r="R2649" s="329"/>
    </row>
    <row r="2650" spans="1:18" ht="13">
      <c r="A2650" s="282"/>
      <c r="B2650" s="282"/>
      <c r="C2650" s="282"/>
      <c r="D2650" s="282"/>
      <c r="E2650" s="282"/>
      <c r="F2650" s="282"/>
      <c r="G2650" s="329"/>
      <c r="H2650" s="329"/>
      <c r="I2650" s="329"/>
      <c r="J2650" s="329"/>
      <c r="K2650" s="329"/>
      <c r="L2650" s="329"/>
      <c r="M2650" s="329"/>
      <c r="N2650" s="329"/>
      <c r="O2650" s="329"/>
      <c r="P2650" s="329"/>
      <c r="Q2650" s="329"/>
      <c r="R2650" s="329"/>
    </row>
    <row r="2651" spans="1:18" ht="13">
      <c r="A2651" s="282"/>
      <c r="B2651" s="282"/>
      <c r="C2651" s="282"/>
      <c r="D2651" s="282"/>
      <c r="E2651" s="282"/>
      <c r="F2651" s="282"/>
      <c r="G2651" s="329"/>
      <c r="H2651" s="329"/>
      <c r="I2651" s="329"/>
      <c r="J2651" s="329"/>
      <c r="K2651" s="329"/>
      <c r="L2651" s="329"/>
      <c r="M2651" s="329"/>
      <c r="N2651" s="329"/>
      <c r="O2651" s="329"/>
      <c r="P2651" s="329"/>
      <c r="Q2651" s="329"/>
      <c r="R2651" s="329"/>
    </row>
    <row r="2652" spans="1:18" ht="13">
      <c r="A2652" s="282"/>
      <c r="B2652" s="282"/>
      <c r="C2652" s="282"/>
      <c r="D2652" s="282"/>
      <c r="E2652" s="282"/>
      <c r="F2652" s="282"/>
      <c r="G2652" s="329"/>
      <c r="H2652" s="329"/>
      <c r="I2652" s="329"/>
      <c r="J2652" s="329"/>
      <c r="K2652" s="329"/>
      <c r="L2652" s="329"/>
      <c r="M2652" s="329"/>
      <c r="N2652" s="329"/>
      <c r="O2652" s="329"/>
      <c r="P2652" s="329"/>
      <c r="Q2652" s="329"/>
      <c r="R2652" s="329"/>
    </row>
    <row r="2653" spans="1:18" ht="13">
      <c r="A2653" s="282"/>
      <c r="B2653" s="282"/>
      <c r="C2653" s="282"/>
      <c r="D2653" s="282"/>
      <c r="E2653" s="282"/>
      <c r="F2653" s="282"/>
      <c r="G2653" s="329"/>
      <c r="H2653" s="329"/>
      <c r="I2653" s="329"/>
      <c r="J2653" s="329"/>
      <c r="K2653" s="329"/>
      <c r="L2653" s="329"/>
      <c r="M2653" s="329"/>
      <c r="N2653" s="329"/>
      <c r="O2653" s="329"/>
      <c r="P2653" s="329"/>
      <c r="Q2653" s="329"/>
      <c r="R2653" s="329"/>
    </row>
    <row r="2654" spans="1:18" ht="13">
      <c r="A2654" s="282"/>
      <c r="B2654" s="282"/>
      <c r="C2654" s="282"/>
      <c r="D2654" s="282"/>
      <c r="E2654" s="282"/>
      <c r="F2654" s="282"/>
      <c r="G2654" s="329"/>
      <c r="H2654" s="329"/>
      <c r="I2654" s="329"/>
      <c r="J2654" s="329"/>
      <c r="K2654" s="329"/>
      <c r="L2654" s="329"/>
      <c r="M2654" s="329"/>
      <c r="N2654" s="329"/>
      <c r="O2654" s="329"/>
      <c r="P2654" s="329"/>
      <c r="Q2654" s="329"/>
      <c r="R2654" s="329"/>
    </row>
    <row r="2655" spans="1:18" ht="13">
      <c r="A2655" s="282"/>
      <c r="B2655" s="282"/>
      <c r="C2655" s="282"/>
      <c r="D2655" s="282"/>
      <c r="E2655" s="282"/>
      <c r="F2655" s="282"/>
      <c r="G2655" s="329"/>
      <c r="H2655" s="329"/>
      <c r="I2655" s="329"/>
      <c r="J2655" s="329"/>
      <c r="K2655" s="329"/>
      <c r="L2655" s="329"/>
      <c r="M2655" s="329"/>
      <c r="N2655" s="329"/>
      <c r="O2655" s="329"/>
      <c r="P2655" s="329"/>
      <c r="Q2655" s="329"/>
      <c r="R2655" s="329"/>
    </row>
    <row r="2656" spans="1:18" ht="13">
      <c r="A2656" s="282"/>
      <c r="B2656" s="282"/>
      <c r="C2656" s="282"/>
      <c r="D2656" s="282"/>
      <c r="E2656" s="282"/>
      <c r="F2656" s="282"/>
      <c r="G2656" s="329"/>
      <c r="H2656" s="329"/>
      <c r="I2656" s="329"/>
      <c r="J2656" s="329"/>
      <c r="K2656" s="329"/>
      <c r="L2656" s="329"/>
      <c r="M2656" s="329"/>
      <c r="N2656" s="329"/>
      <c r="O2656" s="329"/>
      <c r="P2656" s="329"/>
      <c r="Q2656" s="329"/>
      <c r="R2656" s="329"/>
    </row>
    <row r="2657" spans="1:18" ht="13">
      <c r="A2657" s="282"/>
      <c r="B2657" s="282"/>
      <c r="C2657" s="282"/>
      <c r="D2657" s="282"/>
      <c r="E2657" s="282"/>
      <c r="F2657" s="282"/>
      <c r="G2657" s="329"/>
      <c r="H2657" s="329"/>
      <c r="I2657" s="329"/>
      <c r="J2657" s="329"/>
      <c r="K2657" s="329"/>
      <c r="L2657" s="329"/>
      <c r="M2657" s="329"/>
      <c r="N2657" s="329"/>
      <c r="O2657" s="329"/>
      <c r="P2657" s="329"/>
      <c r="Q2657" s="329"/>
      <c r="R2657" s="329"/>
    </row>
    <row r="2658" spans="1:18" ht="13">
      <c r="A2658" s="282"/>
      <c r="B2658" s="282"/>
      <c r="C2658" s="282"/>
      <c r="D2658" s="282"/>
      <c r="E2658" s="282"/>
      <c r="F2658" s="282"/>
      <c r="G2658" s="329"/>
      <c r="H2658" s="329"/>
      <c r="I2658" s="329"/>
      <c r="J2658" s="329"/>
      <c r="K2658" s="329"/>
      <c r="L2658" s="329"/>
      <c r="M2658" s="329"/>
      <c r="N2658" s="329"/>
      <c r="O2658" s="329"/>
      <c r="P2658" s="329"/>
      <c r="Q2658" s="329"/>
      <c r="R2658" s="329"/>
    </row>
    <row r="2659" spans="1:18" ht="13">
      <c r="A2659" s="282"/>
      <c r="B2659" s="282"/>
      <c r="C2659" s="282"/>
      <c r="D2659" s="282"/>
      <c r="E2659" s="282"/>
      <c r="F2659" s="282"/>
      <c r="G2659" s="329"/>
      <c r="H2659" s="329"/>
      <c r="I2659" s="329"/>
      <c r="J2659" s="329"/>
      <c r="K2659" s="329"/>
      <c r="L2659" s="329"/>
      <c r="M2659" s="329"/>
      <c r="N2659" s="329"/>
      <c r="O2659" s="329"/>
      <c r="P2659" s="329"/>
      <c r="Q2659" s="329"/>
      <c r="R2659" s="329"/>
    </row>
    <row r="2660" spans="1:18" ht="13">
      <c r="A2660" s="282"/>
      <c r="B2660" s="282"/>
      <c r="C2660" s="282"/>
      <c r="D2660" s="282"/>
      <c r="E2660" s="282"/>
      <c r="F2660" s="282"/>
      <c r="G2660" s="329"/>
      <c r="H2660" s="329"/>
      <c r="I2660" s="329"/>
      <c r="J2660" s="329"/>
      <c r="K2660" s="329"/>
      <c r="L2660" s="329"/>
      <c r="M2660" s="329"/>
      <c r="N2660" s="329"/>
      <c r="O2660" s="329"/>
      <c r="P2660" s="329"/>
      <c r="Q2660" s="329"/>
      <c r="R2660" s="329"/>
    </row>
    <row r="2661" spans="1:18" ht="13">
      <c r="A2661" s="282"/>
      <c r="B2661" s="282"/>
      <c r="C2661" s="282"/>
      <c r="D2661" s="282"/>
      <c r="E2661" s="282"/>
      <c r="F2661" s="282"/>
      <c r="G2661" s="329"/>
      <c r="H2661" s="329"/>
      <c r="I2661" s="329"/>
      <c r="J2661" s="329"/>
      <c r="K2661" s="329"/>
      <c r="L2661" s="329"/>
      <c r="M2661" s="329"/>
      <c r="N2661" s="329"/>
      <c r="O2661" s="329"/>
      <c r="P2661" s="329"/>
      <c r="Q2661" s="329"/>
      <c r="R2661" s="329"/>
    </row>
    <row r="2662" spans="1:18" ht="13">
      <c r="A2662" s="282"/>
      <c r="B2662" s="282"/>
      <c r="C2662" s="282"/>
      <c r="D2662" s="282"/>
      <c r="E2662" s="282"/>
      <c r="F2662" s="282"/>
      <c r="G2662" s="329"/>
      <c r="H2662" s="329"/>
      <c r="I2662" s="329"/>
      <c r="J2662" s="329"/>
      <c r="K2662" s="329"/>
      <c r="L2662" s="329"/>
      <c r="M2662" s="329"/>
      <c r="N2662" s="329"/>
      <c r="O2662" s="329"/>
      <c r="P2662" s="329"/>
      <c r="Q2662" s="329"/>
      <c r="R2662" s="329"/>
    </row>
    <row r="2663" spans="1:18" ht="13">
      <c r="A2663" s="282"/>
      <c r="B2663" s="282"/>
      <c r="C2663" s="282"/>
      <c r="D2663" s="282"/>
      <c r="E2663" s="282"/>
      <c r="F2663" s="282"/>
      <c r="G2663" s="329"/>
      <c r="H2663" s="329"/>
      <c r="I2663" s="329"/>
      <c r="J2663" s="329"/>
      <c r="K2663" s="329"/>
      <c r="L2663" s="329"/>
      <c r="M2663" s="329"/>
      <c r="N2663" s="329"/>
      <c r="O2663" s="329"/>
      <c r="P2663" s="329"/>
      <c r="Q2663" s="329"/>
      <c r="R2663" s="329"/>
    </row>
    <row r="2664" spans="1:18" ht="13">
      <c r="A2664" s="282"/>
      <c r="B2664" s="282"/>
      <c r="C2664" s="282"/>
      <c r="D2664" s="282"/>
      <c r="E2664" s="282"/>
      <c r="F2664" s="282"/>
      <c r="G2664" s="329"/>
      <c r="H2664" s="329"/>
      <c r="I2664" s="329"/>
      <c r="J2664" s="329"/>
      <c r="K2664" s="329"/>
      <c r="L2664" s="329"/>
      <c r="M2664" s="329"/>
      <c r="N2664" s="329"/>
      <c r="O2664" s="329"/>
      <c r="P2664" s="329"/>
      <c r="Q2664" s="329"/>
      <c r="R2664" s="329"/>
    </row>
    <row r="2665" spans="1:18" ht="13">
      <c r="A2665" s="282"/>
      <c r="B2665" s="282"/>
      <c r="C2665" s="282"/>
      <c r="D2665" s="282"/>
      <c r="E2665" s="282"/>
      <c r="F2665" s="282"/>
      <c r="G2665" s="329"/>
      <c r="H2665" s="329"/>
      <c r="I2665" s="329"/>
      <c r="J2665" s="329"/>
      <c r="K2665" s="329"/>
      <c r="L2665" s="329"/>
      <c r="M2665" s="329"/>
      <c r="N2665" s="329"/>
      <c r="O2665" s="329"/>
      <c r="P2665" s="329"/>
      <c r="Q2665" s="329"/>
      <c r="R2665" s="329"/>
    </row>
    <row r="2666" spans="1:18" ht="13">
      <c r="A2666" s="282"/>
      <c r="B2666" s="282"/>
      <c r="C2666" s="282"/>
      <c r="D2666" s="282"/>
      <c r="E2666" s="282"/>
      <c r="F2666" s="282"/>
      <c r="G2666" s="329"/>
      <c r="H2666" s="329"/>
      <c r="I2666" s="329"/>
      <c r="J2666" s="329"/>
      <c r="K2666" s="329"/>
      <c r="L2666" s="329"/>
      <c r="M2666" s="329"/>
      <c r="N2666" s="329"/>
      <c r="O2666" s="329"/>
      <c r="P2666" s="329"/>
      <c r="Q2666" s="329"/>
      <c r="R2666" s="329"/>
    </row>
    <row r="2667" spans="1:18" ht="13">
      <c r="A2667" s="282"/>
      <c r="B2667" s="282"/>
      <c r="C2667" s="282"/>
      <c r="D2667" s="282"/>
      <c r="E2667" s="282"/>
      <c r="F2667" s="282"/>
      <c r="G2667" s="329"/>
      <c r="H2667" s="329"/>
      <c r="I2667" s="329"/>
      <c r="J2667" s="329"/>
      <c r="K2667" s="329"/>
      <c r="L2667" s="329"/>
      <c r="M2667" s="329"/>
      <c r="N2667" s="329"/>
      <c r="O2667" s="329"/>
      <c r="P2667" s="329"/>
      <c r="Q2667" s="329"/>
      <c r="R2667" s="329"/>
    </row>
    <row r="2668" spans="1:18" ht="13">
      <c r="A2668" s="282"/>
      <c r="B2668" s="282"/>
      <c r="C2668" s="282"/>
      <c r="D2668" s="282"/>
      <c r="E2668" s="282"/>
      <c r="F2668" s="282"/>
      <c r="G2668" s="329"/>
      <c r="H2668" s="329"/>
      <c r="I2668" s="329"/>
      <c r="J2668" s="329"/>
      <c r="K2668" s="329"/>
      <c r="L2668" s="329"/>
      <c r="M2668" s="329"/>
      <c r="N2668" s="329"/>
      <c r="O2668" s="329"/>
      <c r="P2668" s="329"/>
      <c r="Q2668" s="329"/>
      <c r="R2668" s="329"/>
    </row>
    <row r="2669" spans="1:18" ht="13">
      <c r="A2669" s="282"/>
      <c r="B2669" s="282"/>
      <c r="C2669" s="282"/>
      <c r="D2669" s="282"/>
      <c r="E2669" s="282"/>
      <c r="F2669" s="282"/>
      <c r="G2669" s="329"/>
      <c r="H2669" s="329"/>
      <c r="I2669" s="329"/>
      <c r="J2669" s="329"/>
      <c r="K2669" s="329"/>
      <c r="L2669" s="329"/>
      <c r="M2669" s="329"/>
      <c r="N2669" s="329"/>
      <c r="O2669" s="329"/>
      <c r="P2669" s="329"/>
      <c r="Q2669" s="329"/>
      <c r="R2669" s="329"/>
    </row>
    <row r="2670" spans="1:18" ht="13">
      <c r="A2670" s="282"/>
      <c r="B2670" s="282"/>
      <c r="C2670" s="282"/>
      <c r="D2670" s="282"/>
      <c r="E2670" s="282"/>
      <c r="F2670" s="282"/>
      <c r="G2670" s="329"/>
      <c r="H2670" s="329"/>
      <c r="I2670" s="329"/>
      <c r="J2670" s="329"/>
      <c r="K2670" s="329"/>
      <c r="L2670" s="329"/>
      <c r="M2670" s="329"/>
      <c r="N2670" s="329"/>
      <c r="O2670" s="329"/>
      <c r="P2670" s="329"/>
      <c r="Q2670" s="329"/>
      <c r="R2670" s="329"/>
    </row>
    <row r="2671" spans="1:18" ht="13">
      <c r="A2671" s="282"/>
      <c r="B2671" s="282"/>
      <c r="C2671" s="282"/>
      <c r="D2671" s="282"/>
      <c r="E2671" s="282"/>
      <c r="F2671" s="282"/>
      <c r="G2671" s="329"/>
      <c r="H2671" s="329"/>
      <c r="I2671" s="329"/>
      <c r="J2671" s="329"/>
      <c r="K2671" s="329"/>
      <c r="L2671" s="329"/>
      <c r="M2671" s="329"/>
      <c r="N2671" s="329"/>
      <c r="O2671" s="329"/>
      <c r="P2671" s="329"/>
      <c r="Q2671" s="329"/>
      <c r="R2671" s="329"/>
    </row>
    <row r="2672" spans="1:18" ht="13">
      <c r="A2672" s="282"/>
      <c r="B2672" s="282"/>
      <c r="C2672" s="282"/>
      <c r="D2672" s="282"/>
      <c r="E2672" s="282"/>
      <c r="F2672" s="282"/>
      <c r="G2672" s="329"/>
      <c r="H2672" s="329"/>
      <c r="I2672" s="329"/>
      <c r="J2672" s="329"/>
      <c r="K2672" s="329"/>
      <c r="L2672" s="329"/>
      <c r="M2672" s="329"/>
      <c r="N2672" s="329"/>
      <c r="O2672" s="329"/>
      <c r="P2672" s="329"/>
      <c r="Q2672" s="329"/>
      <c r="R2672" s="329"/>
    </row>
    <row r="2673" spans="1:18" ht="13">
      <c r="A2673" s="282"/>
      <c r="B2673" s="282"/>
      <c r="C2673" s="282"/>
      <c r="D2673" s="282"/>
      <c r="E2673" s="282"/>
      <c r="F2673" s="282"/>
      <c r="G2673" s="329"/>
      <c r="H2673" s="329"/>
      <c r="I2673" s="329"/>
      <c r="J2673" s="329"/>
      <c r="K2673" s="329"/>
      <c r="L2673" s="329"/>
      <c r="M2673" s="329"/>
      <c r="N2673" s="329"/>
      <c r="O2673" s="329"/>
      <c r="P2673" s="329"/>
      <c r="Q2673" s="329"/>
      <c r="R2673" s="329"/>
    </row>
    <row r="2674" spans="1:18" ht="13">
      <c r="A2674" s="282"/>
      <c r="B2674" s="282"/>
      <c r="C2674" s="282"/>
      <c r="D2674" s="282"/>
      <c r="E2674" s="282"/>
      <c r="F2674" s="282"/>
      <c r="G2674" s="329"/>
      <c r="H2674" s="329"/>
      <c r="I2674" s="329"/>
      <c r="J2674" s="329"/>
      <c r="K2674" s="329"/>
      <c r="L2674" s="329"/>
      <c r="M2674" s="329"/>
      <c r="N2674" s="329"/>
      <c r="O2674" s="329"/>
      <c r="P2674" s="329"/>
      <c r="Q2674" s="329"/>
      <c r="R2674" s="329"/>
    </row>
    <row r="2675" spans="1:18" ht="13">
      <c r="A2675" s="282"/>
      <c r="B2675" s="282"/>
      <c r="C2675" s="282"/>
      <c r="D2675" s="282"/>
      <c r="E2675" s="282"/>
      <c r="F2675" s="282"/>
      <c r="G2675" s="329"/>
      <c r="H2675" s="329"/>
      <c r="I2675" s="329"/>
      <c r="J2675" s="329"/>
      <c r="K2675" s="329"/>
      <c r="L2675" s="329"/>
      <c r="M2675" s="329"/>
      <c r="N2675" s="329"/>
      <c r="O2675" s="329"/>
      <c r="P2675" s="329"/>
      <c r="Q2675" s="329"/>
      <c r="R2675" s="329"/>
    </row>
    <row r="2676" spans="1:18" ht="13">
      <c r="A2676" s="282"/>
      <c r="B2676" s="282"/>
      <c r="C2676" s="282"/>
      <c r="D2676" s="282"/>
      <c r="E2676" s="282"/>
      <c r="F2676" s="282"/>
      <c r="G2676" s="329"/>
      <c r="H2676" s="329"/>
      <c r="I2676" s="329"/>
      <c r="J2676" s="329"/>
      <c r="K2676" s="329"/>
      <c r="L2676" s="329"/>
      <c r="M2676" s="329"/>
      <c r="N2676" s="329"/>
      <c r="O2676" s="329"/>
      <c r="P2676" s="329"/>
      <c r="Q2676" s="329"/>
      <c r="R2676" s="329"/>
    </row>
    <row r="2677" spans="1:18" ht="13">
      <c r="A2677" s="282"/>
      <c r="B2677" s="282"/>
      <c r="C2677" s="282"/>
      <c r="D2677" s="282"/>
      <c r="E2677" s="282"/>
      <c r="F2677" s="282"/>
      <c r="G2677" s="329"/>
      <c r="H2677" s="329"/>
      <c r="I2677" s="329"/>
      <c r="J2677" s="329"/>
      <c r="K2677" s="329"/>
      <c r="L2677" s="329"/>
      <c r="M2677" s="329"/>
      <c r="N2677" s="329"/>
      <c r="O2677" s="329"/>
      <c r="P2677" s="329"/>
      <c r="Q2677" s="329"/>
      <c r="R2677" s="329"/>
    </row>
    <row r="2678" spans="1:18" ht="13">
      <c r="A2678" s="282"/>
      <c r="B2678" s="282"/>
      <c r="C2678" s="282"/>
      <c r="D2678" s="282"/>
      <c r="E2678" s="282"/>
      <c r="F2678" s="282"/>
      <c r="G2678" s="329"/>
      <c r="H2678" s="329"/>
      <c r="I2678" s="329"/>
      <c r="J2678" s="329"/>
      <c r="K2678" s="329"/>
      <c r="L2678" s="329"/>
      <c r="M2678" s="329"/>
      <c r="N2678" s="329"/>
      <c r="O2678" s="329"/>
      <c r="P2678" s="329"/>
      <c r="Q2678" s="329"/>
      <c r="R2678" s="329"/>
    </row>
    <row r="2679" spans="1:18" ht="13">
      <c r="A2679" s="282"/>
      <c r="B2679" s="282"/>
      <c r="C2679" s="282"/>
      <c r="D2679" s="282"/>
      <c r="E2679" s="282"/>
      <c r="F2679" s="282"/>
      <c r="G2679" s="329"/>
      <c r="H2679" s="329"/>
      <c r="I2679" s="329"/>
      <c r="J2679" s="329"/>
      <c r="K2679" s="329"/>
      <c r="L2679" s="329"/>
      <c r="M2679" s="329"/>
      <c r="N2679" s="329"/>
      <c r="O2679" s="329"/>
      <c r="P2679" s="329"/>
      <c r="Q2679" s="329"/>
      <c r="R2679" s="329"/>
    </row>
    <row r="2680" spans="1:18" ht="13">
      <c r="A2680" s="282"/>
      <c r="B2680" s="282"/>
      <c r="C2680" s="282"/>
      <c r="D2680" s="282"/>
      <c r="E2680" s="282"/>
      <c r="F2680" s="282"/>
      <c r="G2680" s="329"/>
      <c r="H2680" s="329"/>
      <c r="I2680" s="329"/>
      <c r="J2680" s="329"/>
      <c r="K2680" s="329"/>
      <c r="L2680" s="329"/>
      <c r="M2680" s="329"/>
      <c r="N2680" s="329"/>
      <c r="O2680" s="329"/>
      <c r="P2680" s="329"/>
      <c r="Q2680" s="329"/>
      <c r="R2680" s="329"/>
    </row>
    <row r="2681" spans="1:18" ht="13">
      <c r="A2681" s="282"/>
      <c r="B2681" s="282"/>
      <c r="C2681" s="282"/>
      <c r="D2681" s="282"/>
      <c r="E2681" s="282"/>
      <c r="F2681" s="282"/>
      <c r="G2681" s="329"/>
      <c r="H2681" s="329"/>
      <c r="I2681" s="329"/>
      <c r="J2681" s="329"/>
      <c r="K2681" s="329"/>
      <c r="L2681" s="329"/>
      <c r="M2681" s="329"/>
      <c r="N2681" s="329"/>
      <c r="O2681" s="329"/>
      <c r="P2681" s="329"/>
      <c r="Q2681" s="329"/>
      <c r="R2681" s="329"/>
    </row>
    <row r="2682" spans="1:18" ht="13">
      <c r="A2682" s="282"/>
      <c r="B2682" s="282"/>
      <c r="C2682" s="282"/>
      <c r="D2682" s="282"/>
      <c r="E2682" s="282"/>
      <c r="F2682" s="282"/>
      <c r="G2682" s="329"/>
      <c r="H2682" s="329"/>
      <c r="I2682" s="329"/>
      <c r="J2682" s="329"/>
      <c r="K2682" s="329"/>
      <c r="L2682" s="329"/>
      <c r="M2682" s="329"/>
      <c r="N2682" s="329"/>
      <c r="O2682" s="329"/>
      <c r="P2682" s="329"/>
      <c r="Q2682" s="329"/>
      <c r="R2682" s="329"/>
    </row>
    <row r="2683" spans="1:18" ht="13">
      <c r="A2683" s="282"/>
      <c r="B2683" s="282"/>
      <c r="C2683" s="282"/>
      <c r="D2683" s="282"/>
      <c r="E2683" s="282"/>
      <c r="F2683" s="282"/>
      <c r="G2683" s="329"/>
      <c r="H2683" s="329"/>
      <c r="I2683" s="329"/>
      <c r="J2683" s="329"/>
      <c r="K2683" s="329"/>
      <c r="L2683" s="329"/>
      <c r="M2683" s="329"/>
      <c r="N2683" s="329"/>
      <c r="O2683" s="329"/>
      <c r="P2683" s="329"/>
      <c r="Q2683" s="329"/>
      <c r="R2683" s="329"/>
    </row>
    <row r="2684" spans="1:18" ht="13">
      <c r="A2684" s="282"/>
      <c r="B2684" s="282"/>
      <c r="C2684" s="282"/>
      <c r="D2684" s="282"/>
      <c r="E2684" s="282"/>
      <c r="F2684" s="282"/>
      <c r="G2684" s="329"/>
      <c r="H2684" s="329"/>
      <c r="I2684" s="329"/>
      <c r="J2684" s="329"/>
      <c r="K2684" s="329"/>
      <c r="L2684" s="329"/>
      <c r="M2684" s="329"/>
      <c r="N2684" s="329"/>
      <c r="O2684" s="329"/>
      <c r="P2684" s="329"/>
      <c r="Q2684" s="329"/>
      <c r="R2684" s="329"/>
    </row>
    <row r="2685" spans="1:18" ht="13">
      <c r="A2685" s="282"/>
      <c r="B2685" s="282"/>
      <c r="C2685" s="282"/>
      <c r="D2685" s="282"/>
      <c r="E2685" s="282"/>
      <c r="F2685" s="282"/>
      <c r="G2685" s="329"/>
      <c r="H2685" s="329"/>
      <c r="I2685" s="329"/>
      <c r="J2685" s="329"/>
      <c r="K2685" s="329"/>
      <c r="L2685" s="329"/>
      <c r="M2685" s="329"/>
      <c r="N2685" s="329"/>
      <c r="O2685" s="329"/>
      <c r="P2685" s="329"/>
      <c r="Q2685" s="329"/>
      <c r="R2685" s="329"/>
    </row>
    <row r="2686" spans="1:18" ht="13">
      <c r="A2686" s="282"/>
      <c r="B2686" s="282"/>
      <c r="C2686" s="282"/>
      <c r="D2686" s="282"/>
      <c r="E2686" s="282"/>
      <c r="F2686" s="282"/>
      <c r="G2686" s="329"/>
      <c r="H2686" s="329"/>
      <c r="I2686" s="329"/>
      <c r="J2686" s="329"/>
      <c r="K2686" s="329"/>
      <c r="L2686" s="329"/>
      <c r="M2686" s="329"/>
      <c r="N2686" s="329"/>
      <c r="O2686" s="329"/>
      <c r="P2686" s="329"/>
      <c r="Q2686" s="329"/>
      <c r="R2686" s="329"/>
    </row>
    <row r="2687" spans="1:18" ht="13">
      <c r="A2687" s="282"/>
      <c r="B2687" s="282"/>
      <c r="C2687" s="282"/>
      <c r="D2687" s="282"/>
      <c r="E2687" s="282"/>
      <c r="F2687" s="282"/>
      <c r="G2687" s="329"/>
      <c r="H2687" s="329"/>
      <c r="I2687" s="329"/>
      <c r="J2687" s="329"/>
      <c r="K2687" s="329"/>
      <c r="L2687" s="329"/>
      <c r="M2687" s="329"/>
      <c r="N2687" s="329"/>
      <c r="O2687" s="329"/>
      <c r="P2687" s="329"/>
      <c r="Q2687" s="329"/>
      <c r="R2687" s="329"/>
    </row>
    <row r="2688" spans="1:18" ht="13">
      <c r="A2688" s="282"/>
      <c r="B2688" s="282"/>
      <c r="C2688" s="282"/>
      <c r="D2688" s="282"/>
      <c r="E2688" s="282"/>
      <c r="F2688" s="282"/>
      <c r="G2688" s="329"/>
      <c r="H2688" s="329"/>
      <c r="I2688" s="329"/>
      <c r="J2688" s="329"/>
      <c r="K2688" s="329"/>
      <c r="L2688" s="329"/>
      <c r="M2688" s="329"/>
      <c r="N2688" s="329"/>
      <c r="O2688" s="329"/>
      <c r="P2688" s="329"/>
      <c r="Q2688" s="329"/>
      <c r="R2688" s="329"/>
    </row>
    <row r="2689" spans="1:18" ht="13">
      <c r="A2689" s="282"/>
      <c r="B2689" s="282"/>
      <c r="C2689" s="282"/>
      <c r="D2689" s="282"/>
      <c r="E2689" s="282"/>
      <c r="F2689" s="282"/>
      <c r="G2689" s="329"/>
      <c r="H2689" s="329"/>
      <c r="I2689" s="329"/>
      <c r="J2689" s="329"/>
      <c r="K2689" s="329"/>
      <c r="L2689" s="329"/>
      <c r="M2689" s="329"/>
      <c r="N2689" s="329"/>
      <c r="O2689" s="329"/>
      <c r="P2689" s="329"/>
      <c r="Q2689" s="329"/>
      <c r="R2689" s="329"/>
    </row>
    <row r="2690" spans="1:18" ht="13">
      <c r="A2690" s="282"/>
      <c r="B2690" s="282"/>
      <c r="C2690" s="282"/>
      <c r="D2690" s="282"/>
      <c r="E2690" s="282"/>
      <c r="F2690" s="282"/>
      <c r="G2690" s="329"/>
      <c r="H2690" s="329"/>
      <c r="I2690" s="329"/>
      <c r="J2690" s="329"/>
      <c r="K2690" s="329"/>
      <c r="L2690" s="329"/>
      <c r="M2690" s="329"/>
      <c r="N2690" s="329"/>
      <c r="O2690" s="329"/>
      <c r="P2690" s="329"/>
      <c r="Q2690" s="329"/>
      <c r="R2690" s="329"/>
    </row>
    <row r="2691" spans="1:18" ht="13">
      <c r="A2691" s="282"/>
      <c r="B2691" s="282"/>
      <c r="C2691" s="282"/>
      <c r="D2691" s="282"/>
      <c r="E2691" s="282"/>
      <c r="F2691" s="282"/>
      <c r="G2691" s="329"/>
      <c r="H2691" s="329"/>
      <c r="I2691" s="329"/>
      <c r="J2691" s="329"/>
      <c r="K2691" s="329"/>
      <c r="L2691" s="329"/>
      <c r="M2691" s="329"/>
      <c r="N2691" s="329"/>
      <c r="O2691" s="329"/>
      <c r="P2691" s="329"/>
      <c r="Q2691" s="329"/>
      <c r="R2691" s="329"/>
    </row>
    <row r="2692" spans="1:18" ht="13">
      <c r="A2692" s="282"/>
      <c r="B2692" s="282"/>
      <c r="C2692" s="282"/>
      <c r="D2692" s="282"/>
      <c r="E2692" s="282"/>
      <c r="F2692" s="282"/>
      <c r="G2692" s="329"/>
      <c r="H2692" s="329"/>
      <c r="I2692" s="329"/>
      <c r="J2692" s="329"/>
      <c r="K2692" s="329"/>
      <c r="L2692" s="329"/>
      <c r="M2692" s="329"/>
      <c r="N2692" s="329"/>
      <c r="O2692" s="329"/>
      <c r="P2692" s="329"/>
      <c r="Q2692" s="329"/>
      <c r="R2692" s="329"/>
    </row>
    <row r="2693" spans="1:18" ht="13">
      <c r="A2693" s="282"/>
      <c r="B2693" s="282"/>
      <c r="C2693" s="282"/>
      <c r="D2693" s="282"/>
      <c r="E2693" s="282"/>
      <c r="F2693" s="282"/>
      <c r="G2693" s="329"/>
      <c r="H2693" s="329"/>
      <c r="I2693" s="329"/>
      <c r="J2693" s="329"/>
      <c r="K2693" s="329"/>
      <c r="L2693" s="329"/>
      <c r="M2693" s="329"/>
      <c r="N2693" s="329"/>
      <c r="O2693" s="329"/>
      <c r="P2693" s="329"/>
      <c r="Q2693" s="329"/>
      <c r="R2693" s="329"/>
    </row>
    <row r="2694" spans="1:18" ht="13">
      <c r="A2694" s="282"/>
      <c r="B2694" s="282"/>
      <c r="C2694" s="282"/>
      <c r="D2694" s="282"/>
      <c r="E2694" s="282"/>
      <c r="F2694" s="282"/>
      <c r="G2694" s="329"/>
      <c r="H2694" s="329"/>
      <c r="I2694" s="329"/>
      <c r="J2694" s="329"/>
      <c r="K2694" s="329"/>
      <c r="L2694" s="329"/>
      <c r="M2694" s="329"/>
      <c r="N2694" s="329"/>
      <c r="O2694" s="329"/>
      <c r="P2694" s="329"/>
      <c r="Q2694" s="329"/>
      <c r="R2694" s="329"/>
    </row>
    <row r="2695" spans="1:18" ht="13">
      <c r="A2695" s="282"/>
      <c r="B2695" s="282"/>
      <c r="C2695" s="282"/>
      <c r="D2695" s="282"/>
      <c r="E2695" s="282"/>
      <c r="F2695" s="282"/>
      <c r="G2695" s="329"/>
      <c r="H2695" s="329"/>
      <c r="I2695" s="329"/>
      <c r="J2695" s="329"/>
      <c r="K2695" s="329"/>
      <c r="L2695" s="329"/>
      <c r="M2695" s="329"/>
      <c r="N2695" s="329"/>
      <c r="O2695" s="329"/>
      <c r="P2695" s="329"/>
      <c r="Q2695" s="329"/>
      <c r="R2695" s="329"/>
    </row>
    <row r="2696" spans="1:18" ht="13">
      <c r="A2696" s="282"/>
      <c r="B2696" s="282"/>
      <c r="C2696" s="282"/>
      <c r="D2696" s="282"/>
      <c r="E2696" s="282"/>
      <c r="F2696" s="282"/>
      <c r="G2696" s="329"/>
      <c r="H2696" s="329"/>
      <c r="I2696" s="329"/>
      <c r="J2696" s="329"/>
      <c r="K2696" s="329"/>
      <c r="L2696" s="329"/>
      <c r="M2696" s="329"/>
      <c r="N2696" s="329"/>
      <c r="O2696" s="329"/>
      <c r="P2696" s="329"/>
      <c r="Q2696" s="329"/>
      <c r="R2696" s="329"/>
    </row>
    <row r="2697" spans="1:18" ht="13">
      <c r="A2697" s="282"/>
      <c r="B2697" s="282"/>
      <c r="C2697" s="282"/>
      <c r="D2697" s="282"/>
      <c r="E2697" s="282"/>
      <c r="F2697" s="282"/>
      <c r="G2697" s="329"/>
      <c r="H2697" s="329"/>
      <c r="I2697" s="329"/>
      <c r="J2697" s="329"/>
      <c r="K2697" s="329"/>
      <c r="L2697" s="329"/>
      <c r="M2697" s="329"/>
      <c r="N2697" s="329"/>
      <c r="O2697" s="329"/>
      <c r="P2697" s="329"/>
      <c r="Q2697" s="329"/>
      <c r="R2697" s="329"/>
    </row>
    <row r="2698" spans="1:18" ht="13">
      <c r="A2698" s="282"/>
      <c r="B2698" s="282"/>
      <c r="C2698" s="282"/>
      <c r="D2698" s="282"/>
      <c r="E2698" s="282"/>
      <c r="F2698" s="282"/>
      <c r="G2698" s="329"/>
      <c r="H2698" s="329"/>
      <c r="I2698" s="329"/>
      <c r="J2698" s="329"/>
      <c r="K2698" s="329"/>
      <c r="L2698" s="329"/>
      <c r="M2698" s="329"/>
      <c r="N2698" s="329"/>
      <c r="O2698" s="329"/>
      <c r="P2698" s="329"/>
      <c r="Q2698" s="329"/>
      <c r="R2698" s="329"/>
    </row>
    <row r="2699" spans="1:18" ht="13">
      <c r="A2699" s="282"/>
      <c r="B2699" s="282"/>
      <c r="C2699" s="282"/>
      <c r="D2699" s="282"/>
      <c r="E2699" s="282"/>
      <c r="F2699" s="282"/>
      <c r="G2699" s="329"/>
      <c r="H2699" s="329"/>
      <c r="I2699" s="329"/>
      <c r="J2699" s="329"/>
      <c r="K2699" s="329"/>
      <c r="L2699" s="329"/>
      <c r="M2699" s="329"/>
      <c r="N2699" s="329"/>
      <c r="O2699" s="329"/>
      <c r="P2699" s="329"/>
      <c r="Q2699" s="329"/>
      <c r="R2699" s="329"/>
    </row>
    <row r="2700" spans="1:18" ht="13">
      <c r="A2700" s="282"/>
      <c r="B2700" s="282"/>
      <c r="C2700" s="282"/>
      <c r="D2700" s="282"/>
      <c r="E2700" s="282"/>
      <c r="F2700" s="282"/>
      <c r="G2700" s="329"/>
      <c r="H2700" s="329"/>
      <c r="I2700" s="329"/>
      <c r="J2700" s="329"/>
      <c r="K2700" s="329"/>
      <c r="L2700" s="329"/>
      <c r="M2700" s="329"/>
      <c r="N2700" s="329"/>
      <c r="O2700" s="329"/>
      <c r="P2700" s="329"/>
      <c r="Q2700" s="329"/>
      <c r="R2700" s="329"/>
    </row>
    <row r="2701" spans="1:18" ht="13">
      <c r="A2701" s="282"/>
      <c r="B2701" s="282"/>
      <c r="C2701" s="282"/>
      <c r="D2701" s="282"/>
      <c r="E2701" s="282"/>
      <c r="F2701" s="282"/>
      <c r="G2701" s="329"/>
      <c r="H2701" s="329"/>
      <c r="I2701" s="329"/>
      <c r="J2701" s="329"/>
      <c r="K2701" s="329"/>
      <c r="L2701" s="329"/>
      <c r="M2701" s="329"/>
      <c r="N2701" s="329"/>
      <c r="O2701" s="329"/>
      <c r="P2701" s="329"/>
      <c r="Q2701" s="329"/>
      <c r="R2701" s="329"/>
    </row>
    <row r="2702" spans="1:18" ht="13">
      <c r="A2702" s="282"/>
      <c r="B2702" s="282"/>
      <c r="C2702" s="282"/>
      <c r="D2702" s="282"/>
      <c r="E2702" s="282"/>
      <c r="F2702" s="282"/>
      <c r="G2702" s="329"/>
      <c r="H2702" s="329"/>
      <c r="I2702" s="329"/>
      <c r="J2702" s="329"/>
      <c r="K2702" s="329"/>
      <c r="L2702" s="329"/>
      <c r="M2702" s="329"/>
      <c r="N2702" s="329"/>
      <c r="O2702" s="329"/>
      <c r="P2702" s="329"/>
      <c r="Q2702" s="329"/>
      <c r="R2702" s="329"/>
    </row>
    <row r="2703" spans="1:18" ht="13">
      <c r="A2703" s="282"/>
      <c r="B2703" s="282"/>
      <c r="C2703" s="282"/>
      <c r="D2703" s="282"/>
      <c r="E2703" s="282"/>
      <c r="F2703" s="282"/>
      <c r="G2703" s="329"/>
      <c r="H2703" s="329"/>
      <c r="I2703" s="329"/>
      <c r="J2703" s="329"/>
      <c r="K2703" s="329"/>
      <c r="L2703" s="329"/>
      <c r="M2703" s="329"/>
      <c r="N2703" s="329"/>
      <c r="O2703" s="329"/>
      <c r="P2703" s="329"/>
      <c r="Q2703" s="329"/>
      <c r="R2703" s="329"/>
    </row>
    <row r="2704" spans="1:18" ht="13">
      <c r="A2704" s="282"/>
      <c r="B2704" s="282"/>
      <c r="C2704" s="282"/>
      <c r="D2704" s="282"/>
      <c r="E2704" s="282"/>
      <c r="F2704" s="282"/>
      <c r="G2704" s="329"/>
      <c r="H2704" s="329"/>
      <c r="I2704" s="329"/>
      <c r="J2704" s="329"/>
      <c r="K2704" s="329"/>
      <c r="L2704" s="329"/>
      <c r="M2704" s="329"/>
      <c r="N2704" s="329"/>
      <c r="O2704" s="329"/>
      <c r="P2704" s="329"/>
      <c r="Q2704" s="329"/>
      <c r="R2704" s="329"/>
    </row>
    <row r="2705" spans="1:18" ht="13">
      <c r="A2705" s="282"/>
      <c r="B2705" s="282"/>
      <c r="C2705" s="282"/>
      <c r="D2705" s="282"/>
      <c r="E2705" s="282"/>
      <c r="F2705" s="282"/>
      <c r="G2705" s="329"/>
      <c r="H2705" s="329"/>
      <c r="I2705" s="329"/>
      <c r="J2705" s="329"/>
      <c r="K2705" s="329"/>
      <c r="L2705" s="329"/>
      <c r="M2705" s="329"/>
      <c r="N2705" s="329"/>
      <c r="O2705" s="329"/>
      <c r="P2705" s="329"/>
      <c r="Q2705" s="329"/>
      <c r="R2705" s="329"/>
    </row>
    <row r="2706" spans="1:18" ht="13">
      <c r="A2706" s="282"/>
      <c r="B2706" s="282"/>
      <c r="C2706" s="282"/>
      <c r="D2706" s="282"/>
      <c r="E2706" s="282"/>
      <c r="F2706" s="282"/>
      <c r="G2706" s="329"/>
      <c r="H2706" s="329"/>
      <c r="I2706" s="329"/>
      <c r="J2706" s="329"/>
      <c r="K2706" s="329"/>
      <c r="L2706" s="329"/>
      <c r="M2706" s="329"/>
      <c r="N2706" s="329"/>
      <c r="O2706" s="329"/>
      <c r="P2706" s="329"/>
      <c r="Q2706" s="329"/>
      <c r="R2706" s="329"/>
    </row>
    <row r="2707" spans="1:18" ht="13">
      <c r="A2707" s="282"/>
      <c r="B2707" s="282"/>
      <c r="C2707" s="282"/>
      <c r="D2707" s="282"/>
      <c r="E2707" s="282"/>
      <c r="F2707" s="282"/>
      <c r="G2707" s="329"/>
      <c r="H2707" s="329"/>
      <c r="I2707" s="329"/>
      <c r="J2707" s="329"/>
      <c r="K2707" s="329"/>
      <c r="L2707" s="329"/>
      <c r="M2707" s="329"/>
      <c r="N2707" s="329"/>
      <c r="O2707" s="329"/>
      <c r="P2707" s="329"/>
      <c r="Q2707" s="329"/>
      <c r="R2707" s="329"/>
    </row>
    <row r="2708" spans="1:18" ht="13">
      <c r="A2708" s="282"/>
      <c r="B2708" s="282"/>
      <c r="C2708" s="282"/>
      <c r="D2708" s="282"/>
      <c r="E2708" s="282"/>
      <c r="F2708" s="282"/>
      <c r="G2708" s="329"/>
      <c r="H2708" s="329"/>
      <c r="I2708" s="329"/>
      <c r="J2708" s="329"/>
      <c r="K2708" s="329"/>
      <c r="L2708" s="329"/>
      <c r="M2708" s="329"/>
      <c r="N2708" s="329"/>
      <c r="O2708" s="329"/>
      <c r="P2708" s="329"/>
      <c r="Q2708" s="329"/>
      <c r="R2708" s="329"/>
    </row>
    <row r="2709" spans="1:18" ht="13">
      <c r="A2709" s="282"/>
      <c r="B2709" s="282"/>
      <c r="C2709" s="282"/>
      <c r="D2709" s="282"/>
      <c r="E2709" s="282"/>
      <c r="F2709" s="282"/>
      <c r="G2709" s="329"/>
      <c r="H2709" s="329"/>
      <c r="I2709" s="329"/>
      <c r="J2709" s="329"/>
      <c r="K2709" s="329"/>
      <c r="L2709" s="329"/>
      <c r="M2709" s="329"/>
      <c r="N2709" s="329"/>
      <c r="O2709" s="329"/>
      <c r="P2709" s="329"/>
      <c r="Q2709" s="329"/>
      <c r="R2709" s="329"/>
    </row>
    <row r="2710" spans="1:18" ht="13">
      <c r="A2710" s="282"/>
      <c r="B2710" s="282"/>
      <c r="C2710" s="282"/>
      <c r="D2710" s="282"/>
      <c r="E2710" s="282"/>
      <c r="F2710" s="282"/>
      <c r="G2710" s="329"/>
      <c r="H2710" s="329"/>
      <c r="I2710" s="329"/>
      <c r="J2710" s="329"/>
      <c r="K2710" s="329"/>
      <c r="L2710" s="329"/>
      <c r="M2710" s="329"/>
      <c r="N2710" s="329"/>
      <c r="O2710" s="329"/>
      <c r="P2710" s="329"/>
      <c r="Q2710" s="329"/>
      <c r="R2710" s="329"/>
    </row>
    <row r="2711" spans="1:18" ht="13">
      <c r="A2711" s="282"/>
      <c r="B2711" s="282"/>
      <c r="C2711" s="282"/>
      <c r="D2711" s="282"/>
      <c r="E2711" s="282"/>
      <c r="F2711" s="282"/>
      <c r="G2711" s="329"/>
      <c r="H2711" s="329"/>
      <c r="I2711" s="329"/>
      <c r="J2711" s="329"/>
      <c r="K2711" s="329"/>
      <c r="L2711" s="329"/>
      <c r="M2711" s="329"/>
      <c r="N2711" s="329"/>
      <c r="O2711" s="329"/>
      <c r="P2711" s="329"/>
      <c r="Q2711" s="329"/>
      <c r="R2711" s="329"/>
    </row>
    <row r="2712" spans="1:18" ht="13">
      <c r="A2712" s="282"/>
      <c r="B2712" s="282"/>
      <c r="C2712" s="282"/>
      <c r="D2712" s="282"/>
      <c r="E2712" s="282"/>
      <c r="F2712" s="282"/>
      <c r="G2712" s="329"/>
      <c r="H2712" s="329"/>
      <c r="I2712" s="329"/>
      <c r="J2712" s="329"/>
      <c r="K2712" s="329"/>
      <c r="L2712" s="329"/>
      <c r="M2712" s="329"/>
      <c r="N2712" s="329"/>
      <c r="O2712" s="329"/>
      <c r="P2712" s="329"/>
      <c r="Q2712" s="329"/>
      <c r="R2712" s="329"/>
    </row>
    <row r="2713" spans="1:18" ht="13">
      <c r="A2713" s="282"/>
      <c r="B2713" s="282"/>
      <c r="C2713" s="282"/>
      <c r="D2713" s="282"/>
      <c r="E2713" s="282"/>
      <c r="F2713" s="282"/>
      <c r="G2713" s="329"/>
      <c r="H2713" s="329"/>
      <c r="I2713" s="329"/>
      <c r="J2713" s="329"/>
      <c r="K2713" s="329"/>
      <c r="L2713" s="329"/>
      <c r="M2713" s="329"/>
      <c r="N2713" s="329"/>
      <c r="O2713" s="329"/>
      <c r="P2713" s="329"/>
      <c r="Q2713" s="329"/>
      <c r="R2713" s="329"/>
    </row>
    <row r="2714" spans="1:18" ht="13">
      <c r="A2714" s="282"/>
      <c r="B2714" s="282"/>
      <c r="C2714" s="282"/>
      <c r="D2714" s="282"/>
      <c r="E2714" s="282"/>
      <c r="F2714" s="282"/>
      <c r="G2714" s="329"/>
      <c r="H2714" s="329"/>
      <c r="I2714" s="329"/>
      <c r="J2714" s="329"/>
      <c r="K2714" s="329"/>
      <c r="L2714" s="329"/>
      <c r="M2714" s="329"/>
      <c r="N2714" s="329"/>
      <c r="O2714" s="329"/>
      <c r="P2714" s="329"/>
      <c r="Q2714" s="329"/>
      <c r="R2714" s="329"/>
    </row>
    <row r="2715" spans="1:18" ht="13">
      <c r="A2715" s="282"/>
      <c r="B2715" s="282"/>
      <c r="C2715" s="282"/>
      <c r="D2715" s="282"/>
      <c r="E2715" s="282"/>
      <c r="F2715" s="282"/>
      <c r="G2715" s="329"/>
      <c r="H2715" s="329"/>
      <c r="I2715" s="329"/>
      <c r="J2715" s="329"/>
      <c r="K2715" s="329"/>
      <c r="L2715" s="329"/>
      <c r="M2715" s="329"/>
      <c r="N2715" s="329"/>
      <c r="O2715" s="329"/>
      <c r="P2715" s="329"/>
      <c r="Q2715" s="329"/>
      <c r="R2715" s="329"/>
    </row>
    <row r="2716" spans="1:18" ht="13">
      <c r="A2716" s="282"/>
      <c r="B2716" s="282"/>
      <c r="C2716" s="282"/>
      <c r="D2716" s="282"/>
      <c r="E2716" s="282"/>
      <c r="F2716" s="282"/>
      <c r="G2716" s="329"/>
      <c r="H2716" s="329"/>
      <c r="I2716" s="329"/>
      <c r="J2716" s="329"/>
      <c r="K2716" s="329"/>
      <c r="L2716" s="329"/>
      <c r="M2716" s="329"/>
      <c r="N2716" s="329"/>
      <c r="O2716" s="329"/>
      <c r="P2716" s="329"/>
      <c r="Q2716" s="329"/>
      <c r="R2716" s="329"/>
    </row>
    <row r="2717" spans="1:18" ht="13">
      <c r="A2717" s="282"/>
      <c r="B2717" s="282"/>
      <c r="C2717" s="282"/>
      <c r="D2717" s="282"/>
      <c r="E2717" s="282"/>
      <c r="F2717" s="282"/>
      <c r="G2717" s="329"/>
      <c r="H2717" s="329"/>
      <c r="I2717" s="329"/>
      <c r="J2717" s="329"/>
      <c r="K2717" s="329"/>
      <c r="L2717" s="329"/>
      <c r="M2717" s="329"/>
      <c r="N2717" s="329"/>
      <c r="O2717" s="329"/>
      <c r="P2717" s="329"/>
      <c r="Q2717" s="329"/>
      <c r="R2717" s="329"/>
    </row>
    <row r="2718" spans="1:18" ht="13">
      <c r="A2718" s="282"/>
      <c r="B2718" s="282"/>
      <c r="C2718" s="282"/>
      <c r="D2718" s="282"/>
      <c r="E2718" s="282"/>
      <c r="F2718" s="282"/>
      <c r="G2718" s="329"/>
      <c r="H2718" s="329"/>
      <c r="I2718" s="329"/>
      <c r="J2718" s="329"/>
      <c r="K2718" s="329"/>
      <c r="L2718" s="329"/>
      <c r="M2718" s="329"/>
      <c r="N2718" s="329"/>
      <c r="O2718" s="329"/>
      <c r="P2718" s="329"/>
      <c r="Q2718" s="329"/>
      <c r="R2718" s="329"/>
    </row>
    <row r="2719" spans="1:18" ht="13">
      <c r="A2719" s="282"/>
      <c r="B2719" s="282"/>
      <c r="C2719" s="282"/>
      <c r="D2719" s="282"/>
      <c r="E2719" s="282"/>
      <c r="F2719" s="282"/>
      <c r="G2719" s="329"/>
      <c r="H2719" s="329"/>
      <c r="I2719" s="329"/>
      <c r="J2719" s="329"/>
      <c r="K2719" s="329"/>
      <c r="L2719" s="329"/>
      <c r="M2719" s="329"/>
      <c r="N2719" s="329"/>
      <c r="O2719" s="329"/>
      <c r="P2719" s="329"/>
      <c r="Q2719" s="329"/>
      <c r="R2719" s="329"/>
    </row>
    <row r="2720" spans="1:18" ht="13">
      <c r="A2720" s="282"/>
      <c r="B2720" s="282"/>
      <c r="C2720" s="282"/>
      <c r="D2720" s="282"/>
      <c r="E2720" s="282"/>
      <c r="F2720" s="282"/>
      <c r="G2720" s="329"/>
      <c r="H2720" s="329"/>
      <c r="I2720" s="329"/>
      <c r="J2720" s="329"/>
      <c r="K2720" s="329"/>
      <c r="L2720" s="329"/>
      <c r="M2720" s="329"/>
      <c r="N2720" s="329"/>
      <c r="O2720" s="329"/>
      <c r="P2720" s="329"/>
      <c r="Q2720" s="329"/>
      <c r="R2720" s="329"/>
    </row>
    <row r="2721" spans="1:18" ht="13">
      <c r="A2721" s="282"/>
      <c r="B2721" s="282"/>
      <c r="C2721" s="282"/>
      <c r="D2721" s="282"/>
      <c r="E2721" s="282"/>
      <c r="F2721" s="282"/>
      <c r="G2721" s="329"/>
      <c r="H2721" s="329"/>
      <c r="I2721" s="329"/>
      <c r="J2721" s="329"/>
      <c r="K2721" s="329"/>
      <c r="L2721" s="329"/>
      <c r="M2721" s="329"/>
      <c r="N2721" s="329"/>
      <c r="O2721" s="329"/>
      <c r="P2721" s="329"/>
      <c r="Q2721" s="329"/>
      <c r="R2721" s="329"/>
    </row>
    <row r="2722" spans="1:18" ht="13">
      <c r="A2722" s="282"/>
      <c r="B2722" s="282"/>
      <c r="C2722" s="282"/>
      <c r="D2722" s="282"/>
      <c r="E2722" s="282"/>
      <c r="F2722" s="282"/>
      <c r="G2722" s="329"/>
      <c r="H2722" s="329"/>
      <c r="I2722" s="329"/>
      <c r="J2722" s="329"/>
      <c r="K2722" s="329"/>
      <c r="L2722" s="329"/>
      <c r="M2722" s="329"/>
      <c r="N2722" s="329"/>
      <c r="O2722" s="329"/>
      <c r="P2722" s="329"/>
      <c r="Q2722" s="329"/>
      <c r="R2722" s="329"/>
    </row>
    <row r="2723" spans="1:18" ht="13">
      <c r="A2723" s="282"/>
      <c r="B2723" s="282"/>
      <c r="C2723" s="282"/>
      <c r="D2723" s="282"/>
      <c r="E2723" s="282"/>
      <c r="F2723" s="282"/>
      <c r="G2723" s="329"/>
      <c r="H2723" s="329"/>
      <c r="I2723" s="329"/>
      <c r="J2723" s="329"/>
      <c r="K2723" s="329"/>
      <c r="L2723" s="329"/>
      <c r="M2723" s="329"/>
      <c r="N2723" s="329"/>
      <c r="O2723" s="329"/>
      <c r="P2723" s="329"/>
      <c r="Q2723" s="329"/>
      <c r="R2723" s="329"/>
    </row>
    <row r="2724" spans="1:18" ht="13">
      <c r="A2724" s="282"/>
      <c r="B2724" s="282"/>
      <c r="C2724" s="282"/>
      <c r="D2724" s="282"/>
      <c r="E2724" s="282"/>
      <c r="F2724" s="282"/>
      <c r="G2724" s="329"/>
      <c r="H2724" s="329"/>
      <c r="I2724" s="329"/>
      <c r="J2724" s="329"/>
      <c r="K2724" s="329"/>
      <c r="L2724" s="329"/>
      <c r="M2724" s="329"/>
      <c r="N2724" s="329"/>
      <c r="O2724" s="329"/>
      <c r="P2724" s="329"/>
      <c r="Q2724" s="329"/>
      <c r="R2724" s="329"/>
    </row>
    <row r="2725" spans="1:18" ht="13">
      <c r="A2725" s="282"/>
      <c r="B2725" s="282"/>
      <c r="C2725" s="282"/>
      <c r="D2725" s="282"/>
      <c r="E2725" s="282"/>
      <c r="F2725" s="282"/>
      <c r="G2725" s="329"/>
      <c r="H2725" s="329"/>
      <c r="I2725" s="329"/>
      <c r="J2725" s="329"/>
      <c r="K2725" s="329"/>
      <c r="L2725" s="329"/>
      <c r="M2725" s="329"/>
      <c r="N2725" s="329"/>
      <c r="O2725" s="329"/>
      <c r="P2725" s="329"/>
      <c r="Q2725" s="329"/>
      <c r="R2725" s="329"/>
    </row>
    <row r="2726" spans="1:18" ht="13">
      <c r="A2726" s="282"/>
      <c r="B2726" s="282"/>
      <c r="C2726" s="282"/>
      <c r="D2726" s="282"/>
      <c r="E2726" s="282"/>
      <c r="F2726" s="282"/>
      <c r="G2726" s="329"/>
      <c r="H2726" s="329"/>
      <c r="I2726" s="329"/>
      <c r="J2726" s="329"/>
      <c r="K2726" s="329"/>
      <c r="L2726" s="329"/>
      <c r="M2726" s="329"/>
      <c r="N2726" s="329"/>
      <c r="O2726" s="329"/>
      <c r="P2726" s="329"/>
      <c r="Q2726" s="329"/>
      <c r="R2726" s="329"/>
    </row>
    <row r="2727" spans="1:18" ht="13">
      <c r="A2727" s="282"/>
      <c r="B2727" s="282"/>
      <c r="C2727" s="282"/>
      <c r="D2727" s="282"/>
      <c r="E2727" s="282"/>
      <c r="F2727" s="282"/>
      <c r="G2727" s="329"/>
      <c r="H2727" s="329"/>
      <c r="I2727" s="329"/>
      <c r="J2727" s="329"/>
      <c r="K2727" s="329"/>
      <c r="L2727" s="329"/>
      <c r="M2727" s="329"/>
      <c r="N2727" s="329"/>
      <c r="O2727" s="329"/>
      <c r="P2727" s="329"/>
      <c r="Q2727" s="329"/>
      <c r="R2727" s="329"/>
    </row>
    <row r="2728" spans="1:18" ht="13">
      <c r="A2728" s="282"/>
      <c r="B2728" s="282"/>
      <c r="C2728" s="282"/>
      <c r="D2728" s="282"/>
      <c r="E2728" s="282"/>
      <c r="F2728" s="282"/>
      <c r="G2728" s="329"/>
      <c r="H2728" s="329"/>
      <c r="I2728" s="329"/>
      <c r="J2728" s="329"/>
      <c r="K2728" s="329"/>
      <c r="L2728" s="329"/>
      <c r="M2728" s="329"/>
      <c r="N2728" s="329"/>
      <c r="O2728" s="329"/>
      <c r="P2728" s="329"/>
      <c r="Q2728" s="329"/>
      <c r="R2728" s="329"/>
    </row>
    <row r="2729" spans="1:18" ht="13">
      <c r="A2729" s="282"/>
      <c r="B2729" s="282"/>
      <c r="C2729" s="282"/>
      <c r="D2729" s="282"/>
      <c r="E2729" s="282"/>
      <c r="F2729" s="282"/>
      <c r="G2729" s="329"/>
      <c r="H2729" s="329"/>
      <c r="I2729" s="329"/>
      <c r="J2729" s="329"/>
      <c r="K2729" s="329"/>
      <c r="L2729" s="329"/>
      <c r="M2729" s="329"/>
      <c r="N2729" s="329"/>
      <c r="O2729" s="329"/>
      <c r="P2729" s="329"/>
      <c r="Q2729" s="329"/>
      <c r="R2729" s="329"/>
    </row>
    <row r="2730" spans="1:18" ht="13">
      <c r="A2730" s="282"/>
      <c r="B2730" s="282"/>
      <c r="C2730" s="282"/>
      <c r="D2730" s="282"/>
      <c r="E2730" s="282"/>
      <c r="F2730" s="282"/>
      <c r="G2730" s="329"/>
      <c r="H2730" s="329"/>
      <c r="I2730" s="329"/>
      <c r="J2730" s="329"/>
      <c r="K2730" s="329"/>
      <c r="L2730" s="329"/>
      <c r="M2730" s="329"/>
      <c r="N2730" s="329"/>
      <c r="O2730" s="329"/>
      <c r="P2730" s="329"/>
      <c r="Q2730" s="329"/>
      <c r="R2730" s="329"/>
    </row>
    <row r="2731" spans="1:18" ht="13">
      <c r="A2731" s="282"/>
      <c r="B2731" s="282"/>
      <c r="C2731" s="282"/>
      <c r="D2731" s="282"/>
      <c r="E2731" s="282"/>
      <c r="F2731" s="282"/>
      <c r="G2731" s="329"/>
      <c r="H2731" s="329"/>
      <c r="I2731" s="329"/>
      <c r="J2731" s="329"/>
      <c r="K2731" s="329"/>
      <c r="L2731" s="329"/>
      <c r="M2731" s="329"/>
      <c r="N2731" s="329"/>
      <c r="O2731" s="329"/>
      <c r="P2731" s="329"/>
      <c r="Q2731" s="329"/>
      <c r="R2731" s="329"/>
    </row>
    <row r="2732" spans="1:18" ht="13">
      <c r="A2732" s="282"/>
      <c r="B2732" s="282"/>
      <c r="C2732" s="282"/>
      <c r="D2732" s="282"/>
      <c r="E2732" s="282"/>
      <c r="F2732" s="282"/>
      <c r="G2732" s="329"/>
      <c r="H2732" s="329"/>
      <c r="I2732" s="329"/>
      <c r="J2732" s="329"/>
      <c r="K2732" s="329"/>
      <c r="L2732" s="329"/>
      <c r="M2732" s="329"/>
      <c r="N2732" s="329"/>
      <c r="O2732" s="329"/>
      <c r="P2732" s="329"/>
      <c r="Q2732" s="329"/>
      <c r="R2732" s="329"/>
    </row>
    <row r="2733" spans="1:18" ht="13">
      <c r="A2733" s="282"/>
      <c r="B2733" s="282"/>
      <c r="C2733" s="282"/>
      <c r="D2733" s="282"/>
      <c r="E2733" s="282"/>
      <c r="F2733" s="282"/>
      <c r="G2733" s="329"/>
      <c r="H2733" s="329"/>
      <c r="I2733" s="329"/>
      <c r="J2733" s="329"/>
      <c r="K2733" s="329"/>
      <c r="L2733" s="329"/>
      <c r="M2733" s="329"/>
      <c r="N2733" s="329"/>
      <c r="O2733" s="329"/>
      <c r="P2733" s="329"/>
      <c r="Q2733" s="329"/>
      <c r="R2733" s="329"/>
    </row>
    <row r="2734" spans="1:18" ht="13">
      <c r="A2734" s="282"/>
      <c r="B2734" s="282"/>
      <c r="C2734" s="282"/>
      <c r="D2734" s="282"/>
      <c r="E2734" s="282"/>
      <c r="F2734" s="282"/>
      <c r="G2734" s="329"/>
      <c r="H2734" s="329"/>
      <c r="I2734" s="329"/>
      <c r="J2734" s="329"/>
      <c r="K2734" s="329"/>
      <c r="L2734" s="329"/>
      <c r="M2734" s="329"/>
      <c r="N2734" s="329"/>
      <c r="O2734" s="329"/>
      <c r="P2734" s="329"/>
      <c r="Q2734" s="329"/>
      <c r="R2734" s="329"/>
    </row>
    <row r="2735" spans="1:18" ht="13">
      <c r="A2735" s="282"/>
      <c r="B2735" s="282"/>
      <c r="C2735" s="282"/>
      <c r="D2735" s="282"/>
      <c r="E2735" s="282"/>
      <c r="F2735" s="282"/>
      <c r="G2735" s="329"/>
      <c r="H2735" s="329"/>
      <c r="I2735" s="329"/>
      <c r="J2735" s="329"/>
      <c r="K2735" s="329"/>
      <c r="L2735" s="329"/>
      <c r="M2735" s="329"/>
      <c r="N2735" s="329"/>
      <c r="O2735" s="329"/>
      <c r="P2735" s="329"/>
      <c r="Q2735" s="329"/>
      <c r="R2735" s="329"/>
    </row>
    <row r="2736" spans="1:18" ht="13">
      <c r="A2736" s="282"/>
      <c r="B2736" s="282"/>
      <c r="C2736" s="282"/>
      <c r="D2736" s="282"/>
      <c r="E2736" s="282"/>
      <c r="F2736" s="282"/>
      <c r="G2736" s="329"/>
      <c r="H2736" s="329"/>
      <c r="I2736" s="329"/>
      <c r="J2736" s="329"/>
      <c r="K2736" s="329"/>
      <c r="L2736" s="329"/>
      <c r="M2736" s="329"/>
      <c r="N2736" s="329"/>
      <c r="O2736" s="329"/>
      <c r="P2736" s="329"/>
      <c r="Q2736" s="329"/>
      <c r="R2736" s="329"/>
    </row>
    <row r="2737" spans="1:18" ht="13">
      <c r="A2737" s="282"/>
      <c r="B2737" s="282"/>
      <c r="C2737" s="282"/>
      <c r="D2737" s="282"/>
      <c r="E2737" s="282"/>
      <c r="F2737" s="282"/>
      <c r="G2737" s="329"/>
      <c r="H2737" s="329"/>
      <c r="I2737" s="329"/>
      <c r="J2737" s="329"/>
      <c r="K2737" s="329"/>
      <c r="L2737" s="329"/>
      <c r="M2737" s="329"/>
      <c r="N2737" s="329"/>
      <c r="O2737" s="329"/>
      <c r="P2737" s="329"/>
      <c r="Q2737" s="329"/>
      <c r="R2737" s="329"/>
    </row>
    <row r="2738" spans="1:18" ht="13">
      <c r="A2738" s="282"/>
      <c r="B2738" s="282"/>
      <c r="C2738" s="282"/>
      <c r="D2738" s="282"/>
      <c r="E2738" s="282"/>
      <c r="F2738" s="282"/>
      <c r="G2738" s="329"/>
      <c r="H2738" s="329"/>
      <c r="I2738" s="329"/>
      <c r="J2738" s="329"/>
      <c r="K2738" s="329"/>
      <c r="L2738" s="329"/>
      <c r="M2738" s="329"/>
      <c r="N2738" s="329"/>
      <c r="O2738" s="329"/>
      <c r="P2738" s="329"/>
      <c r="Q2738" s="329"/>
      <c r="R2738" s="329"/>
    </row>
    <row r="2739" spans="1:18" ht="13">
      <c r="A2739" s="282"/>
      <c r="B2739" s="282"/>
      <c r="C2739" s="282"/>
      <c r="D2739" s="282"/>
      <c r="E2739" s="282"/>
      <c r="F2739" s="282"/>
      <c r="G2739" s="329"/>
      <c r="H2739" s="329"/>
      <c r="I2739" s="329"/>
      <c r="J2739" s="329"/>
      <c r="K2739" s="329"/>
      <c r="L2739" s="329"/>
      <c r="M2739" s="329"/>
      <c r="N2739" s="329"/>
      <c r="O2739" s="329"/>
      <c r="P2739" s="329"/>
      <c r="Q2739" s="329"/>
      <c r="R2739" s="329"/>
    </row>
    <row r="2740" spans="1:18" ht="13">
      <c r="A2740" s="282"/>
      <c r="B2740" s="282"/>
      <c r="C2740" s="282"/>
      <c r="D2740" s="282"/>
      <c r="E2740" s="282"/>
      <c r="F2740" s="282"/>
      <c r="G2740" s="329"/>
      <c r="H2740" s="329"/>
      <c r="I2740" s="329"/>
      <c r="J2740" s="329"/>
      <c r="K2740" s="329"/>
      <c r="L2740" s="329"/>
      <c r="M2740" s="329"/>
      <c r="N2740" s="329"/>
      <c r="O2740" s="329"/>
      <c r="P2740" s="329"/>
      <c r="Q2740" s="329"/>
      <c r="R2740" s="329"/>
    </row>
    <row r="2741" spans="1:18" ht="13">
      <c r="A2741" s="282"/>
      <c r="B2741" s="282"/>
      <c r="C2741" s="282"/>
      <c r="D2741" s="282"/>
      <c r="E2741" s="282"/>
      <c r="F2741" s="282"/>
      <c r="G2741" s="329"/>
      <c r="H2741" s="329"/>
      <c r="I2741" s="329"/>
      <c r="J2741" s="329"/>
      <c r="K2741" s="329"/>
      <c r="L2741" s="329"/>
      <c r="M2741" s="329"/>
      <c r="N2741" s="329"/>
      <c r="O2741" s="329"/>
      <c r="P2741" s="329"/>
      <c r="Q2741" s="329"/>
      <c r="R2741" s="329"/>
    </row>
    <row r="2742" spans="1:18" ht="13">
      <c r="A2742" s="282"/>
      <c r="B2742" s="282"/>
      <c r="C2742" s="282"/>
      <c r="D2742" s="282"/>
      <c r="E2742" s="282"/>
      <c r="F2742" s="282"/>
      <c r="G2742" s="329"/>
      <c r="H2742" s="329"/>
      <c r="I2742" s="329"/>
      <c r="J2742" s="329"/>
      <c r="K2742" s="329"/>
      <c r="L2742" s="329"/>
      <c r="M2742" s="329"/>
      <c r="N2742" s="329"/>
      <c r="O2742" s="329"/>
      <c r="P2742" s="329"/>
      <c r="Q2742" s="329"/>
      <c r="R2742" s="329"/>
    </row>
    <row r="2743" spans="1:18" ht="13">
      <c r="A2743" s="282"/>
      <c r="B2743" s="282"/>
      <c r="C2743" s="282"/>
      <c r="D2743" s="282"/>
      <c r="E2743" s="282"/>
      <c r="F2743" s="282"/>
      <c r="G2743" s="329"/>
      <c r="H2743" s="329"/>
      <c r="I2743" s="329"/>
      <c r="J2743" s="329"/>
      <c r="K2743" s="329"/>
      <c r="L2743" s="329"/>
      <c r="M2743" s="329"/>
      <c r="N2743" s="329"/>
      <c r="O2743" s="329"/>
      <c r="P2743" s="329"/>
      <c r="Q2743" s="329"/>
      <c r="R2743" s="329"/>
    </row>
    <row r="2744" spans="1:18" ht="13">
      <c r="A2744" s="282"/>
      <c r="B2744" s="282"/>
      <c r="C2744" s="282"/>
      <c r="D2744" s="282"/>
      <c r="E2744" s="282"/>
      <c r="F2744" s="282"/>
      <c r="G2744" s="329"/>
      <c r="H2744" s="329"/>
      <c r="I2744" s="329"/>
      <c r="J2744" s="329"/>
      <c r="K2744" s="329"/>
      <c r="L2744" s="329"/>
      <c r="M2744" s="329"/>
      <c r="N2744" s="329"/>
      <c r="O2744" s="329"/>
      <c r="P2744" s="329"/>
      <c r="Q2744" s="329"/>
      <c r="R2744" s="329"/>
    </row>
    <row r="2745" spans="1:18" ht="13">
      <c r="A2745" s="282"/>
      <c r="B2745" s="282"/>
      <c r="C2745" s="282"/>
      <c r="D2745" s="282"/>
      <c r="E2745" s="282"/>
      <c r="F2745" s="282"/>
      <c r="G2745" s="329"/>
      <c r="H2745" s="329"/>
      <c r="I2745" s="329"/>
      <c r="J2745" s="329"/>
      <c r="K2745" s="329"/>
      <c r="L2745" s="329"/>
      <c r="M2745" s="329"/>
      <c r="N2745" s="329"/>
      <c r="O2745" s="329"/>
      <c r="P2745" s="329"/>
      <c r="Q2745" s="329"/>
      <c r="R2745" s="329"/>
    </row>
    <row r="2746" spans="1:18" ht="13">
      <c r="A2746" s="282"/>
      <c r="B2746" s="282"/>
      <c r="C2746" s="282"/>
      <c r="D2746" s="282"/>
      <c r="E2746" s="282"/>
      <c r="F2746" s="282"/>
      <c r="G2746" s="329"/>
      <c r="H2746" s="329"/>
      <c r="I2746" s="329"/>
      <c r="J2746" s="329"/>
      <c r="K2746" s="329"/>
      <c r="L2746" s="329"/>
      <c r="M2746" s="329"/>
      <c r="N2746" s="329"/>
      <c r="O2746" s="329"/>
      <c r="P2746" s="329"/>
      <c r="Q2746" s="329"/>
      <c r="R2746" s="329"/>
    </row>
    <row r="2747" spans="1:18" ht="13">
      <c r="A2747" s="282"/>
      <c r="B2747" s="282"/>
      <c r="C2747" s="282"/>
      <c r="D2747" s="282"/>
      <c r="E2747" s="282"/>
      <c r="F2747" s="282"/>
      <c r="G2747" s="329"/>
      <c r="H2747" s="329"/>
      <c r="I2747" s="329"/>
      <c r="J2747" s="329"/>
      <c r="K2747" s="329"/>
      <c r="L2747" s="329"/>
      <c r="M2747" s="329"/>
      <c r="N2747" s="329"/>
      <c r="O2747" s="329"/>
      <c r="P2747" s="329"/>
      <c r="Q2747" s="329"/>
      <c r="R2747" s="329"/>
    </row>
    <row r="2748" spans="1:18" ht="13">
      <c r="A2748" s="282"/>
      <c r="B2748" s="282"/>
      <c r="C2748" s="282"/>
      <c r="D2748" s="282"/>
      <c r="E2748" s="282"/>
      <c r="F2748" s="282"/>
      <c r="G2748" s="329"/>
      <c r="H2748" s="329"/>
      <c r="I2748" s="329"/>
      <c r="J2748" s="329"/>
      <c r="K2748" s="329"/>
      <c r="L2748" s="329"/>
      <c r="M2748" s="329"/>
      <c r="N2748" s="329"/>
      <c r="O2748" s="329"/>
      <c r="P2748" s="329"/>
      <c r="Q2748" s="329"/>
      <c r="R2748" s="329"/>
    </row>
    <row r="2749" spans="1:18" ht="13">
      <c r="A2749" s="282"/>
      <c r="B2749" s="282"/>
      <c r="C2749" s="282"/>
      <c r="D2749" s="282"/>
      <c r="E2749" s="282"/>
      <c r="F2749" s="282"/>
      <c r="G2749" s="329"/>
      <c r="H2749" s="329"/>
      <c r="I2749" s="329"/>
      <c r="J2749" s="329"/>
      <c r="K2749" s="329"/>
      <c r="L2749" s="329"/>
      <c r="M2749" s="329"/>
      <c r="N2749" s="329"/>
      <c r="O2749" s="329"/>
      <c r="P2749" s="329"/>
      <c r="Q2749" s="329"/>
      <c r="R2749" s="329"/>
    </row>
    <row r="2750" spans="1:18" ht="13">
      <c r="A2750" s="282"/>
      <c r="B2750" s="282"/>
      <c r="C2750" s="282"/>
      <c r="D2750" s="282"/>
      <c r="E2750" s="282"/>
      <c r="F2750" s="282"/>
      <c r="G2750" s="329"/>
      <c r="H2750" s="329"/>
      <c r="I2750" s="329"/>
      <c r="J2750" s="329"/>
      <c r="K2750" s="329"/>
      <c r="L2750" s="329"/>
      <c r="M2750" s="329"/>
      <c r="N2750" s="329"/>
      <c r="O2750" s="329"/>
      <c r="P2750" s="329"/>
      <c r="Q2750" s="329"/>
      <c r="R2750" s="329"/>
    </row>
    <row r="2751" spans="1:18" ht="13">
      <c r="A2751" s="282"/>
      <c r="B2751" s="282"/>
      <c r="C2751" s="282"/>
      <c r="D2751" s="282"/>
      <c r="E2751" s="282"/>
      <c r="F2751" s="282"/>
      <c r="G2751" s="329"/>
      <c r="H2751" s="329"/>
      <c r="I2751" s="329"/>
      <c r="J2751" s="329"/>
      <c r="K2751" s="329"/>
      <c r="L2751" s="329"/>
      <c r="M2751" s="329"/>
      <c r="N2751" s="329"/>
      <c r="O2751" s="329"/>
      <c r="P2751" s="329"/>
      <c r="Q2751" s="329"/>
      <c r="R2751" s="329"/>
    </row>
    <row r="2752" spans="1:18" ht="13">
      <c r="A2752" s="282"/>
      <c r="B2752" s="282"/>
      <c r="C2752" s="282"/>
      <c r="D2752" s="282"/>
      <c r="E2752" s="282"/>
      <c r="F2752" s="282"/>
      <c r="G2752" s="329"/>
      <c r="H2752" s="329"/>
      <c r="I2752" s="329"/>
      <c r="J2752" s="329"/>
      <c r="K2752" s="329"/>
      <c r="L2752" s="329"/>
      <c r="M2752" s="329"/>
      <c r="N2752" s="329"/>
      <c r="O2752" s="329"/>
      <c r="P2752" s="329"/>
      <c r="Q2752" s="329"/>
      <c r="R2752" s="329"/>
    </row>
    <row r="2753" spans="1:18" ht="13">
      <c r="A2753" s="282"/>
      <c r="B2753" s="282"/>
      <c r="C2753" s="282"/>
      <c r="D2753" s="282"/>
      <c r="E2753" s="282"/>
      <c r="F2753" s="282"/>
      <c r="G2753" s="329"/>
      <c r="H2753" s="329"/>
      <c r="I2753" s="329"/>
      <c r="J2753" s="329"/>
      <c r="K2753" s="329"/>
      <c r="L2753" s="329"/>
      <c r="M2753" s="329"/>
      <c r="N2753" s="329"/>
      <c r="O2753" s="329"/>
      <c r="P2753" s="329"/>
      <c r="Q2753" s="329"/>
      <c r="R2753" s="329"/>
    </row>
    <row r="2754" spans="1:18" ht="13">
      <c r="A2754" s="282"/>
      <c r="B2754" s="282"/>
      <c r="C2754" s="282"/>
      <c r="D2754" s="282"/>
      <c r="E2754" s="282"/>
      <c r="F2754" s="282"/>
      <c r="G2754" s="329"/>
      <c r="H2754" s="329"/>
      <c r="I2754" s="329"/>
      <c r="J2754" s="329"/>
      <c r="K2754" s="329"/>
      <c r="L2754" s="329"/>
      <c r="M2754" s="329"/>
      <c r="N2754" s="329"/>
      <c r="O2754" s="329"/>
      <c r="P2754" s="329"/>
      <c r="Q2754" s="329"/>
      <c r="R2754" s="329"/>
    </row>
    <row r="2755" spans="1:18" ht="13">
      <c r="A2755" s="282"/>
      <c r="B2755" s="282"/>
      <c r="C2755" s="282"/>
      <c r="D2755" s="282"/>
      <c r="E2755" s="282"/>
      <c r="F2755" s="282"/>
      <c r="G2755" s="329"/>
      <c r="H2755" s="329"/>
      <c r="I2755" s="329"/>
      <c r="J2755" s="329"/>
      <c r="K2755" s="329"/>
      <c r="L2755" s="329"/>
      <c r="M2755" s="329"/>
      <c r="N2755" s="329"/>
      <c r="O2755" s="329"/>
      <c r="P2755" s="329"/>
      <c r="Q2755" s="329"/>
      <c r="R2755" s="329"/>
    </row>
    <row r="2756" spans="1:18" ht="13">
      <c r="A2756" s="282"/>
      <c r="B2756" s="282"/>
      <c r="C2756" s="282"/>
      <c r="D2756" s="282"/>
      <c r="E2756" s="282"/>
      <c r="F2756" s="282"/>
      <c r="G2756" s="329"/>
      <c r="H2756" s="329"/>
      <c r="I2756" s="329"/>
      <c r="J2756" s="329"/>
      <c r="K2756" s="329"/>
      <c r="L2756" s="329"/>
      <c r="M2756" s="329"/>
      <c r="N2756" s="329"/>
      <c r="O2756" s="329"/>
      <c r="P2756" s="329"/>
      <c r="Q2756" s="329"/>
      <c r="R2756" s="329"/>
    </row>
    <row r="2757" spans="1:18" ht="13">
      <c r="A2757" s="282"/>
      <c r="B2757" s="282"/>
      <c r="C2757" s="282"/>
      <c r="D2757" s="282"/>
      <c r="E2757" s="282"/>
      <c r="F2757" s="282"/>
      <c r="G2757" s="329"/>
      <c r="H2757" s="329"/>
      <c r="I2757" s="329"/>
      <c r="J2757" s="329"/>
      <c r="K2757" s="329"/>
      <c r="L2757" s="329"/>
      <c r="M2757" s="329"/>
      <c r="N2757" s="329"/>
      <c r="O2757" s="329"/>
      <c r="P2757" s="329"/>
      <c r="Q2757" s="329"/>
      <c r="R2757" s="329"/>
    </row>
    <row r="2758" spans="1:18" ht="13">
      <c r="A2758" s="282"/>
      <c r="B2758" s="282"/>
      <c r="C2758" s="282"/>
      <c r="D2758" s="282"/>
      <c r="E2758" s="282"/>
      <c r="F2758" s="282"/>
      <c r="G2758" s="329"/>
      <c r="H2758" s="329"/>
      <c r="I2758" s="329"/>
      <c r="J2758" s="329"/>
      <c r="K2758" s="329"/>
      <c r="L2758" s="329"/>
      <c r="M2758" s="329"/>
      <c r="N2758" s="329"/>
      <c r="O2758" s="329"/>
      <c r="P2758" s="329"/>
      <c r="Q2758" s="329"/>
      <c r="R2758" s="329"/>
    </row>
    <row r="2759" spans="1:18" ht="13">
      <c r="A2759" s="282"/>
      <c r="B2759" s="282"/>
      <c r="C2759" s="282"/>
      <c r="D2759" s="282"/>
      <c r="E2759" s="282"/>
      <c r="F2759" s="282"/>
      <c r="G2759" s="329"/>
      <c r="H2759" s="329"/>
      <c r="I2759" s="329"/>
      <c r="J2759" s="329"/>
      <c r="K2759" s="329"/>
      <c r="L2759" s="329"/>
      <c r="M2759" s="329"/>
      <c r="N2759" s="329"/>
      <c r="O2759" s="329"/>
      <c r="P2759" s="329"/>
      <c r="Q2759" s="329"/>
      <c r="R2759" s="329"/>
    </row>
    <row r="2760" spans="1:18" ht="13">
      <c r="A2760" s="282"/>
      <c r="B2760" s="282"/>
      <c r="C2760" s="282"/>
      <c r="D2760" s="282"/>
      <c r="E2760" s="282"/>
      <c r="F2760" s="282"/>
      <c r="G2760" s="329"/>
      <c r="H2760" s="329"/>
      <c r="I2760" s="329"/>
      <c r="J2760" s="329"/>
      <c r="K2760" s="329"/>
      <c r="L2760" s="329"/>
      <c r="M2760" s="329"/>
      <c r="N2760" s="329"/>
      <c r="O2760" s="329"/>
      <c r="P2760" s="329"/>
      <c r="Q2760" s="329"/>
      <c r="R2760" s="329"/>
    </row>
    <row r="2761" spans="1:18" ht="13">
      <c r="A2761" s="282"/>
      <c r="B2761" s="282"/>
      <c r="C2761" s="282"/>
      <c r="D2761" s="282"/>
      <c r="E2761" s="282"/>
      <c r="F2761" s="282"/>
      <c r="G2761" s="329"/>
      <c r="H2761" s="329"/>
      <c r="I2761" s="329"/>
      <c r="J2761" s="329"/>
      <c r="K2761" s="329"/>
      <c r="L2761" s="329"/>
      <c r="M2761" s="329"/>
      <c r="N2761" s="329"/>
      <c r="O2761" s="329"/>
      <c r="P2761" s="329"/>
      <c r="Q2761" s="329"/>
      <c r="R2761" s="329"/>
    </row>
    <row r="2762" spans="1:18" ht="13">
      <c r="A2762" s="282"/>
      <c r="B2762" s="282"/>
      <c r="C2762" s="282"/>
      <c r="D2762" s="282"/>
      <c r="E2762" s="282"/>
      <c r="F2762" s="282"/>
      <c r="G2762" s="329"/>
      <c r="H2762" s="329"/>
      <c r="I2762" s="329"/>
      <c r="J2762" s="329"/>
      <c r="K2762" s="329"/>
      <c r="L2762" s="329"/>
      <c r="M2762" s="329"/>
      <c r="N2762" s="329"/>
      <c r="O2762" s="329"/>
      <c r="P2762" s="329"/>
      <c r="Q2762" s="329"/>
      <c r="R2762" s="329"/>
    </row>
    <row r="2763" spans="1:18" ht="13">
      <c r="A2763" s="282"/>
      <c r="B2763" s="282"/>
      <c r="C2763" s="282"/>
      <c r="D2763" s="282"/>
      <c r="E2763" s="282"/>
      <c r="F2763" s="282"/>
      <c r="G2763" s="329"/>
      <c r="H2763" s="329"/>
      <c r="I2763" s="329"/>
      <c r="J2763" s="329"/>
      <c r="K2763" s="329"/>
      <c r="L2763" s="329"/>
      <c r="M2763" s="329"/>
      <c r="N2763" s="329"/>
      <c r="O2763" s="329"/>
      <c r="P2763" s="329"/>
      <c r="Q2763" s="329"/>
      <c r="R2763" s="329"/>
    </row>
    <row r="2764" spans="1:18" ht="13">
      <c r="A2764" s="282"/>
      <c r="B2764" s="282"/>
      <c r="C2764" s="282"/>
      <c r="D2764" s="282"/>
      <c r="E2764" s="282"/>
      <c r="F2764" s="282"/>
      <c r="G2764" s="329"/>
      <c r="H2764" s="329"/>
      <c r="I2764" s="329"/>
      <c r="J2764" s="329"/>
      <c r="K2764" s="329"/>
      <c r="L2764" s="329"/>
      <c r="M2764" s="329"/>
      <c r="N2764" s="329"/>
      <c r="O2764" s="329"/>
      <c r="P2764" s="329"/>
      <c r="Q2764" s="329"/>
      <c r="R2764" s="329"/>
    </row>
    <row r="2765" spans="1:18" ht="13">
      <c r="A2765" s="282"/>
      <c r="B2765" s="282"/>
      <c r="C2765" s="282"/>
      <c r="D2765" s="282"/>
      <c r="E2765" s="282"/>
      <c r="F2765" s="282"/>
      <c r="G2765" s="329"/>
      <c r="H2765" s="329"/>
      <c r="I2765" s="329"/>
      <c r="J2765" s="329"/>
      <c r="K2765" s="329"/>
      <c r="L2765" s="329"/>
      <c r="M2765" s="329"/>
      <c r="N2765" s="329"/>
      <c r="O2765" s="329"/>
      <c r="P2765" s="329"/>
      <c r="Q2765" s="329"/>
      <c r="R2765" s="329"/>
    </row>
    <row r="2766" spans="1:18" ht="13">
      <c r="A2766" s="282"/>
      <c r="B2766" s="282"/>
      <c r="C2766" s="282"/>
      <c r="D2766" s="282"/>
      <c r="E2766" s="282"/>
      <c r="F2766" s="282"/>
      <c r="G2766" s="329"/>
      <c r="H2766" s="329"/>
      <c r="I2766" s="329"/>
      <c r="J2766" s="329"/>
      <c r="K2766" s="329"/>
      <c r="L2766" s="329"/>
      <c r="M2766" s="329"/>
      <c r="N2766" s="329"/>
      <c r="O2766" s="329"/>
      <c r="P2766" s="329"/>
      <c r="Q2766" s="329"/>
      <c r="R2766" s="329"/>
    </row>
    <row r="2767" spans="1:18" ht="13">
      <c r="A2767" s="282"/>
      <c r="B2767" s="282"/>
      <c r="C2767" s="282"/>
      <c r="D2767" s="282"/>
      <c r="E2767" s="282"/>
      <c r="F2767" s="282"/>
      <c r="G2767" s="329"/>
      <c r="H2767" s="329"/>
      <c r="I2767" s="329"/>
      <c r="J2767" s="329"/>
      <c r="K2767" s="329"/>
      <c r="L2767" s="329"/>
      <c r="M2767" s="329"/>
      <c r="N2767" s="329"/>
      <c r="O2767" s="329"/>
      <c r="P2767" s="329"/>
      <c r="Q2767" s="329"/>
      <c r="R2767" s="329"/>
    </row>
    <row r="2768" spans="1:18" ht="13">
      <c r="A2768" s="282"/>
      <c r="B2768" s="282"/>
      <c r="C2768" s="282"/>
      <c r="D2768" s="282"/>
      <c r="E2768" s="282"/>
      <c r="F2768" s="282"/>
      <c r="G2768" s="329"/>
      <c r="H2768" s="329"/>
      <c r="I2768" s="329"/>
      <c r="J2768" s="329"/>
      <c r="K2768" s="329"/>
      <c r="L2768" s="329"/>
      <c r="M2768" s="329"/>
      <c r="N2768" s="329"/>
      <c r="O2768" s="329"/>
      <c r="P2768" s="329"/>
      <c r="Q2768" s="329"/>
      <c r="R2768" s="329"/>
    </row>
    <row r="2769" spans="1:18" ht="13">
      <c r="A2769" s="282"/>
      <c r="B2769" s="282"/>
      <c r="C2769" s="282"/>
      <c r="D2769" s="282"/>
      <c r="E2769" s="282"/>
      <c r="F2769" s="282"/>
      <c r="G2769" s="329"/>
      <c r="H2769" s="329"/>
      <c r="I2769" s="329"/>
      <c r="J2769" s="329"/>
      <c r="K2769" s="329"/>
      <c r="L2769" s="329"/>
      <c r="M2769" s="329"/>
      <c r="N2769" s="329"/>
      <c r="O2769" s="329"/>
      <c r="P2769" s="329"/>
      <c r="Q2769" s="329"/>
      <c r="R2769" s="329"/>
    </row>
    <row r="2770" spans="1:18" ht="13">
      <c r="A2770" s="282"/>
      <c r="B2770" s="282"/>
      <c r="C2770" s="282"/>
      <c r="D2770" s="282"/>
      <c r="E2770" s="282"/>
      <c r="F2770" s="282"/>
      <c r="G2770" s="329"/>
      <c r="H2770" s="329"/>
      <c r="I2770" s="329"/>
      <c r="J2770" s="329"/>
      <c r="K2770" s="329"/>
      <c r="L2770" s="329"/>
      <c r="M2770" s="329"/>
      <c r="N2770" s="329"/>
      <c r="O2770" s="329"/>
      <c r="P2770" s="329"/>
      <c r="Q2770" s="329"/>
      <c r="R2770" s="329"/>
    </row>
    <row r="2771" spans="1:18" ht="13">
      <c r="A2771" s="282"/>
      <c r="B2771" s="282"/>
      <c r="C2771" s="282"/>
      <c r="D2771" s="282"/>
      <c r="E2771" s="282"/>
      <c r="F2771" s="282"/>
      <c r="G2771" s="329"/>
      <c r="H2771" s="329"/>
      <c r="I2771" s="329"/>
      <c r="J2771" s="329"/>
      <c r="K2771" s="329"/>
      <c r="L2771" s="329"/>
      <c r="M2771" s="329"/>
      <c r="N2771" s="329"/>
      <c r="O2771" s="329"/>
      <c r="P2771" s="329"/>
      <c r="Q2771" s="329"/>
      <c r="R2771" s="329"/>
    </row>
    <row r="2772" spans="1:18" ht="13">
      <c r="A2772" s="282"/>
      <c r="B2772" s="282"/>
      <c r="C2772" s="282"/>
      <c r="D2772" s="282"/>
      <c r="E2772" s="282"/>
      <c r="F2772" s="282"/>
      <c r="G2772" s="329"/>
      <c r="H2772" s="329"/>
      <c r="I2772" s="329"/>
      <c r="J2772" s="329"/>
      <c r="K2772" s="329"/>
      <c r="L2772" s="329"/>
      <c r="M2772" s="329"/>
      <c r="N2772" s="329"/>
      <c r="O2772" s="329"/>
      <c r="P2772" s="329"/>
      <c r="Q2772" s="329"/>
      <c r="R2772" s="329"/>
    </row>
    <row r="2773" spans="1:18" ht="13">
      <c r="A2773" s="282"/>
      <c r="B2773" s="282"/>
      <c r="C2773" s="282"/>
      <c r="D2773" s="282"/>
      <c r="E2773" s="282"/>
      <c r="F2773" s="282"/>
      <c r="G2773" s="329"/>
      <c r="H2773" s="329"/>
      <c r="I2773" s="329"/>
      <c r="J2773" s="329"/>
      <c r="K2773" s="329"/>
      <c r="L2773" s="329"/>
      <c r="M2773" s="329"/>
      <c r="N2773" s="329"/>
      <c r="O2773" s="329"/>
      <c r="P2773" s="329"/>
      <c r="Q2773" s="329"/>
      <c r="R2773" s="329"/>
    </row>
    <row r="2774" spans="1:18" ht="13">
      <c r="A2774" s="282"/>
      <c r="B2774" s="282"/>
      <c r="C2774" s="282"/>
      <c r="D2774" s="282"/>
      <c r="E2774" s="282"/>
      <c r="F2774" s="282"/>
      <c r="G2774" s="329"/>
      <c r="H2774" s="329"/>
      <c r="I2774" s="329"/>
      <c r="J2774" s="329"/>
      <c r="K2774" s="329"/>
      <c r="L2774" s="329"/>
      <c r="M2774" s="329"/>
      <c r="N2774" s="329"/>
      <c r="O2774" s="329"/>
      <c r="P2774" s="329"/>
      <c r="Q2774" s="329"/>
      <c r="R2774" s="329"/>
    </row>
    <row r="2775" spans="1:18" ht="13">
      <c r="A2775" s="282"/>
      <c r="B2775" s="282"/>
      <c r="C2775" s="282"/>
      <c r="D2775" s="282"/>
      <c r="E2775" s="282"/>
      <c r="F2775" s="282"/>
      <c r="G2775" s="329"/>
      <c r="H2775" s="329"/>
      <c r="I2775" s="329"/>
      <c r="J2775" s="329"/>
      <c r="K2775" s="329"/>
      <c r="L2775" s="329"/>
      <c r="M2775" s="329"/>
      <c r="N2775" s="329"/>
      <c r="O2775" s="329"/>
      <c r="P2775" s="329"/>
      <c r="Q2775" s="329"/>
      <c r="R2775" s="329"/>
    </row>
    <row r="2776" spans="1:18" ht="13">
      <c r="A2776" s="282"/>
      <c r="B2776" s="282"/>
      <c r="C2776" s="282"/>
      <c r="D2776" s="282"/>
      <c r="E2776" s="282"/>
      <c r="F2776" s="282"/>
      <c r="G2776" s="329"/>
      <c r="H2776" s="329"/>
      <c r="I2776" s="329"/>
      <c r="J2776" s="329"/>
      <c r="K2776" s="329"/>
      <c r="L2776" s="329"/>
      <c r="M2776" s="329"/>
      <c r="N2776" s="329"/>
      <c r="O2776" s="329"/>
      <c r="P2776" s="329"/>
      <c r="Q2776" s="329"/>
      <c r="R2776" s="329"/>
    </row>
    <row r="2777" spans="1:18" ht="13">
      <c r="A2777" s="282"/>
      <c r="B2777" s="282"/>
      <c r="C2777" s="282"/>
      <c r="D2777" s="282"/>
      <c r="E2777" s="282"/>
      <c r="F2777" s="282"/>
      <c r="G2777" s="329"/>
      <c r="H2777" s="329"/>
      <c r="I2777" s="329"/>
      <c r="J2777" s="329"/>
      <c r="K2777" s="329"/>
      <c r="L2777" s="329"/>
      <c r="M2777" s="329"/>
      <c r="N2777" s="329"/>
      <c r="O2777" s="329"/>
      <c r="P2777" s="329"/>
      <c r="Q2777" s="329"/>
      <c r="R2777" s="329"/>
    </row>
    <row r="2778" spans="1:18" ht="13">
      <c r="A2778" s="282"/>
      <c r="B2778" s="282"/>
      <c r="C2778" s="282"/>
      <c r="D2778" s="282"/>
      <c r="E2778" s="282"/>
      <c r="F2778" s="282"/>
      <c r="G2778" s="329"/>
      <c r="H2778" s="329"/>
      <c r="I2778" s="329"/>
      <c r="J2778" s="329"/>
      <c r="K2778" s="329"/>
      <c r="L2778" s="329"/>
      <c r="M2778" s="329"/>
      <c r="N2778" s="329"/>
      <c r="O2778" s="329"/>
      <c r="P2778" s="329"/>
      <c r="Q2778" s="329"/>
      <c r="R2778" s="329"/>
    </row>
    <row r="2779" spans="1:18" ht="13">
      <c r="A2779" s="282"/>
      <c r="B2779" s="282"/>
      <c r="C2779" s="282"/>
      <c r="D2779" s="282"/>
      <c r="E2779" s="282"/>
      <c r="F2779" s="282"/>
      <c r="G2779" s="329"/>
      <c r="H2779" s="329"/>
      <c r="I2779" s="329"/>
      <c r="J2779" s="329"/>
      <c r="K2779" s="329"/>
      <c r="L2779" s="329"/>
      <c r="M2779" s="329"/>
      <c r="N2779" s="329"/>
      <c r="O2779" s="329"/>
      <c r="P2779" s="329"/>
      <c r="Q2779" s="329"/>
      <c r="R2779" s="329"/>
    </row>
    <row r="2780" spans="1:18" ht="13">
      <c r="A2780" s="282"/>
      <c r="B2780" s="282"/>
      <c r="C2780" s="282"/>
      <c r="D2780" s="282"/>
      <c r="E2780" s="282"/>
      <c r="F2780" s="282"/>
      <c r="G2780" s="329"/>
      <c r="H2780" s="329"/>
      <c r="I2780" s="329"/>
      <c r="J2780" s="329"/>
      <c r="K2780" s="329"/>
      <c r="L2780" s="329"/>
      <c r="M2780" s="329"/>
      <c r="N2780" s="329"/>
      <c r="O2780" s="329"/>
      <c r="P2780" s="329"/>
      <c r="Q2780" s="329"/>
      <c r="R2780" s="329"/>
    </row>
    <row r="2781" spans="1:18" ht="13">
      <c r="A2781" s="282"/>
      <c r="B2781" s="282"/>
      <c r="C2781" s="282"/>
      <c r="D2781" s="282"/>
      <c r="E2781" s="282"/>
      <c r="F2781" s="282"/>
      <c r="G2781" s="329"/>
      <c r="H2781" s="329"/>
      <c r="I2781" s="329"/>
      <c r="J2781" s="329"/>
      <c r="K2781" s="329"/>
      <c r="L2781" s="329"/>
      <c r="M2781" s="329"/>
      <c r="N2781" s="329"/>
      <c r="O2781" s="329"/>
      <c r="P2781" s="329"/>
      <c r="Q2781" s="329"/>
      <c r="R2781" s="329"/>
    </row>
    <row r="2782" spans="1:18" ht="13">
      <c r="A2782" s="282"/>
      <c r="B2782" s="282"/>
      <c r="C2782" s="282"/>
      <c r="D2782" s="282"/>
      <c r="E2782" s="282"/>
      <c r="F2782" s="282"/>
      <c r="G2782" s="329"/>
      <c r="H2782" s="329"/>
      <c r="I2782" s="329"/>
      <c r="J2782" s="329"/>
      <c r="K2782" s="329"/>
      <c r="L2782" s="329"/>
      <c r="M2782" s="329"/>
      <c r="N2782" s="329"/>
      <c r="O2782" s="329"/>
      <c r="P2782" s="329"/>
      <c r="Q2782" s="329"/>
      <c r="R2782" s="329"/>
    </row>
    <row r="2783" spans="1:18" ht="13">
      <c r="A2783" s="282"/>
      <c r="B2783" s="282"/>
      <c r="C2783" s="282"/>
      <c r="D2783" s="282"/>
      <c r="E2783" s="282"/>
      <c r="F2783" s="282"/>
      <c r="G2783" s="329"/>
      <c r="H2783" s="329"/>
      <c r="I2783" s="329"/>
      <c r="J2783" s="329"/>
      <c r="K2783" s="329"/>
      <c r="L2783" s="329"/>
      <c r="M2783" s="329"/>
      <c r="N2783" s="329"/>
      <c r="O2783" s="329"/>
      <c r="P2783" s="329"/>
      <c r="Q2783" s="329"/>
      <c r="R2783" s="329"/>
    </row>
    <row r="2784" spans="1:18" ht="13">
      <c r="A2784" s="282"/>
      <c r="B2784" s="282"/>
      <c r="C2784" s="282"/>
      <c r="D2784" s="282"/>
      <c r="E2784" s="282"/>
      <c r="F2784" s="282"/>
      <c r="G2784" s="329"/>
      <c r="H2784" s="329"/>
      <c r="I2784" s="329"/>
      <c r="J2784" s="329"/>
      <c r="K2784" s="329"/>
      <c r="L2784" s="329"/>
      <c r="M2784" s="329"/>
      <c r="N2784" s="329"/>
      <c r="O2784" s="329"/>
      <c r="P2784" s="329"/>
      <c r="Q2784" s="329"/>
      <c r="R2784" s="329"/>
    </row>
    <row r="2785" spans="1:18" ht="13">
      <c r="A2785" s="282"/>
      <c r="B2785" s="282"/>
      <c r="C2785" s="282"/>
      <c r="D2785" s="282"/>
      <c r="E2785" s="282"/>
      <c r="F2785" s="282"/>
      <c r="G2785" s="329"/>
      <c r="H2785" s="329"/>
      <c r="I2785" s="329"/>
      <c r="J2785" s="329"/>
      <c r="K2785" s="329"/>
      <c r="L2785" s="329"/>
      <c r="M2785" s="329"/>
      <c r="N2785" s="329"/>
      <c r="O2785" s="329"/>
      <c r="P2785" s="329"/>
      <c r="Q2785" s="329"/>
      <c r="R2785" s="329"/>
    </row>
    <row r="2786" spans="1:18" ht="13">
      <c r="A2786" s="282"/>
      <c r="B2786" s="282"/>
      <c r="C2786" s="282"/>
      <c r="D2786" s="282"/>
      <c r="E2786" s="282"/>
      <c r="F2786" s="282"/>
      <c r="G2786" s="329"/>
      <c r="H2786" s="329"/>
      <c r="I2786" s="329"/>
      <c r="J2786" s="329"/>
      <c r="K2786" s="329"/>
      <c r="L2786" s="329"/>
      <c r="M2786" s="329"/>
      <c r="N2786" s="329"/>
      <c r="O2786" s="329"/>
      <c r="P2786" s="329"/>
      <c r="Q2786" s="329"/>
      <c r="R2786" s="329"/>
    </row>
    <row r="2787" spans="1:18" ht="13">
      <c r="A2787" s="282"/>
      <c r="B2787" s="282"/>
      <c r="C2787" s="282"/>
      <c r="D2787" s="282"/>
      <c r="E2787" s="282"/>
      <c r="F2787" s="282"/>
      <c r="G2787" s="329"/>
      <c r="H2787" s="329"/>
      <c r="I2787" s="329"/>
      <c r="J2787" s="329"/>
      <c r="K2787" s="329"/>
      <c r="L2787" s="329"/>
      <c r="M2787" s="329"/>
      <c r="N2787" s="329"/>
      <c r="O2787" s="329"/>
      <c r="P2787" s="329"/>
      <c r="Q2787" s="329"/>
      <c r="R2787" s="329"/>
    </row>
    <row r="2788" spans="1:18" ht="13">
      <c r="A2788" s="282"/>
      <c r="B2788" s="282"/>
      <c r="C2788" s="282"/>
      <c r="D2788" s="282"/>
      <c r="E2788" s="282"/>
      <c r="F2788" s="282"/>
      <c r="G2788" s="329"/>
      <c r="H2788" s="329"/>
      <c r="I2788" s="329"/>
      <c r="J2788" s="329"/>
      <c r="K2788" s="329"/>
      <c r="L2788" s="329"/>
      <c r="M2788" s="329"/>
      <c r="N2788" s="329"/>
      <c r="O2788" s="329"/>
      <c r="P2788" s="329"/>
      <c r="Q2788" s="329"/>
      <c r="R2788" s="329"/>
    </row>
    <row r="2789" spans="1:18" ht="13">
      <c r="A2789" s="282"/>
      <c r="B2789" s="282"/>
      <c r="C2789" s="282"/>
      <c r="D2789" s="282"/>
      <c r="E2789" s="282"/>
      <c r="F2789" s="282"/>
      <c r="G2789" s="329"/>
      <c r="H2789" s="329"/>
      <c r="I2789" s="329"/>
      <c r="J2789" s="329"/>
      <c r="K2789" s="329"/>
      <c r="L2789" s="329"/>
      <c r="M2789" s="329"/>
      <c r="N2789" s="329"/>
      <c r="O2789" s="329"/>
      <c r="P2789" s="329"/>
      <c r="Q2789" s="329"/>
      <c r="R2789" s="329"/>
    </row>
    <row r="2790" spans="1:18" ht="13">
      <c r="A2790" s="282"/>
      <c r="B2790" s="282"/>
      <c r="C2790" s="282"/>
      <c r="D2790" s="282"/>
      <c r="E2790" s="282"/>
      <c r="F2790" s="282"/>
      <c r="G2790" s="329"/>
      <c r="H2790" s="329"/>
      <c r="I2790" s="329"/>
      <c r="J2790" s="329"/>
      <c r="K2790" s="329"/>
      <c r="L2790" s="329"/>
      <c r="M2790" s="329"/>
      <c r="N2790" s="329"/>
      <c r="O2790" s="329"/>
      <c r="P2790" s="329"/>
      <c r="Q2790" s="329"/>
      <c r="R2790" s="329"/>
    </row>
    <row r="2791" spans="1:18" ht="13">
      <c r="A2791" s="282"/>
      <c r="B2791" s="282"/>
      <c r="C2791" s="282"/>
      <c r="D2791" s="282"/>
      <c r="E2791" s="282"/>
      <c r="F2791" s="282"/>
      <c r="G2791" s="329"/>
      <c r="H2791" s="329"/>
      <c r="I2791" s="329"/>
      <c r="J2791" s="329"/>
      <c r="K2791" s="329"/>
      <c r="L2791" s="329"/>
      <c r="M2791" s="329"/>
      <c r="N2791" s="329"/>
      <c r="O2791" s="329"/>
      <c r="P2791" s="329"/>
      <c r="Q2791" s="329"/>
      <c r="R2791" s="329"/>
    </row>
    <row r="2792" spans="1:18" ht="13">
      <c r="A2792" s="282"/>
      <c r="B2792" s="282"/>
      <c r="C2792" s="282"/>
      <c r="D2792" s="282"/>
      <c r="E2792" s="282"/>
      <c r="F2792" s="282"/>
      <c r="G2792" s="329"/>
      <c r="H2792" s="329"/>
      <c r="I2792" s="329"/>
      <c r="J2792" s="329"/>
      <c r="K2792" s="329"/>
      <c r="L2792" s="329"/>
      <c r="M2792" s="329"/>
      <c r="N2792" s="329"/>
      <c r="O2792" s="329"/>
      <c r="P2792" s="329"/>
      <c r="Q2792" s="329"/>
      <c r="R2792" s="329"/>
    </row>
    <row r="2793" spans="1:18" ht="13">
      <c r="A2793" s="282"/>
      <c r="B2793" s="282"/>
      <c r="C2793" s="282"/>
      <c r="D2793" s="282"/>
      <c r="E2793" s="282"/>
      <c r="F2793" s="282"/>
      <c r="G2793" s="329"/>
      <c r="H2793" s="329"/>
      <c r="I2793" s="329"/>
      <c r="J2793" s="329"/>
      <c r="K2793" s="329"/>
      <c r="L2793" s="329"/>
      <c r="M2793" s="329"/>
      <c r="N2793" s="329"/>
      <c r="O2793" s="329"/>
      <c r="P2793" s="329"/>
      <c r="Q2793" s="329"/>
      <c r="R2793" s="329"/>
    </row>
    <row r="2794" spans="1:18" ht="13">
      <c r="A2794" s="282"/>
      <c r="B2794" s="282"/>
      <c r="C2794" s="282"/>
      <c r="D2794" s="282"/>
      <c r="E2794" s="282"/>
      <c r="F2794" s="282"/>
      <c r="G2794" s="329"/>
      <c r="H2794" s="329"/>
      <c r="I2794" s="329"/>
      <c r="J2794" s="329"/>
      <c r="K2794" s="329"/>
      <c r="L2794" s="329"/>
      <c r="M2794" s="329"/>
      <c r="N2794" s="329"/>
      <c r="O2794" s="329"/>
      <c r="P2794" s="329"/>
      <c r="Q2794" s="329"/>
      <c r="R2794" s="329"/>
    </row>
    <row r="2795" spans="1:18" ht="13">
      <c r="A2795" s="282"/>
      <c r="B2795" s="282"/>
      <c r="C2795" s="282"/>
      <c r="D2795" s="282"/>
      <c r="E2795" s="282"/>
      <c r="F2795" s="282"/>
      <c r="G2795" s="329"/>
      <c r="H2795" s="329"/>
      <c r="I2795" s="329"/>
      <c r="J2795" s="329"/>
      <c r="K2795" s="329"/>
      <c r="L2795" s="329"/>
      <c r="M2795" s="329"/>
      <c r="N2795" s="329"/>
      <c r="O2795" s="329"/>
      <c r="P2795" s="329"/>
      <c r="Q2795" s="329"/>
      <c r="R2795" s="329"/>
    </row>
    <row r="2796" spans="1:18" ht="13">
      <c r="A2796" s="282"/>
      <c r="B2796" s="282"/>
      <c r="C2796" s="282"/>
      <c r="D2796" s="282"/>
      <c r="E2796" s="282"/>
      <c r="F2796" s="282"/>
      <c r="G2796" s="329"/>
      <c r="H2796" s="329"/>
      <c r="I2796" s="329"/>
      <c r="J2796" s="329"/>
      <c r="K2796" s="329"/>
      <c r="L2796" s="329"/>
      <c r="M2796" s="329"/>
      <c r="N2796" s="329"/>
      <c r="O2796" s="329"/>
      <c r="P2796" s="329"/>
      <c r="Q2796" s="329"/>
      <c r="R2796" s="329"/>
    </row>
    <row r="2797" spans="1:18" ht="13">
      <c r="A2797" s="282"/>
      <c r="B2797" s="282"/>
      <c r="C2797" s="282"/>
      <c r="D2797" s="282"/>
      <c r="E2797" s="282"/>
      <c r="F2797" s="282"/>
      <c r="G2797" s="329"/>
      <c r="H2797" s="329"/>
      <c r="I2797" s="329"/>
      <c r="J2797" s="329"/>
      <c r="K2797" s="329"/>
      <c r="L2797" s="329"/>
      <c r="M2797" s="329"/>
      <c r="N2797" s="329"/>
      <c r="O2797" s="329"/>
      <c r="P2797" s="329"/>
      <c r="Q2797" s="329"/>
      <c r="R2797" s="329"/>
    </row>
    <row r="2798" spans="1:18" ht="13">
      <c r="A2798" s="282"/>
      <c r="B2798" s="282"/>
      <c r="C2798" s="282"/>
      <c r="D2798" s="282"/>
      <c r="E2798" s="282"/>
      <c r="F2798" s="282"/>
      <c r="G2798" s="329"/>
      <c r="H2798" s="329"/>
      <c r="I2798" s="329"/>
      <c r="J2798" s="329"/>
      <c r="K2798" s="329"/>
      <c r="L2798" s="329"/>
      <c r="M2798" s="329"/>
      <c r="N2798" s="329"/>
      <c r="O2798" s="329"/>
      <c r="P2798" s="329"/>
      <c r="Q2798" s="329"/>
      <c r="R2798" s="329"/>
    </row>
    <row r="2799" spans="1:18" ht="13">
      <c r="A2799" s="282"/>
      <c r="B2799" s="282"/>
      <c r="C2799" s="282"/>
      <c r="D2799" s="282"/>
      <c r="E2799" s="282"/>
      <c r="F2799" s="282"/>
      <c r="G2799" s="329"/>
      <c r="H2799" s="329"/>
      <c r="I2799" s="329"/>
      <c r="J2799" s="329"/>
      <c r="K2799" s="329"/>
      <c r="L2799" s="329"/>
      <c r="M2799" s="329"/>
      <c r="N2799" s="329"/>
      <c r="O2799" s="329"/>
      <c r="P2799" s="329"/>
      <c r="Q2799" s="329"/>
      <c r="R2799" s="329"/>
    </row>
    <row r="2800" spans="1:18" ht="13">
      <c r="A2800" s="282"/>
      <c r="B2800" s="282"/>
      <c r="C2800" s="282"/>
      <c r="D2800" s="282"/>
      <c r="E2800" s="282"/>
      <c r="F2800" s="282"/>
      <c r="G2800" s="329"/>
      <c r="H2800" s="329"/>
      <c r="I2800" s="329"/>
      <c r="J2800" s="329"/>
      <c r="K2800" s="329"/>
      <c r="L2800" s="329"/>
      <c r="M2800" s="329"/>
      <c r="N2800" s="329"/>
      <c r="O2800" s="329"/>
      <c r="P2800" s="329"/>
      <c r="Q2800" s="329"/>
      <c r="R2800" s="329"/>
    </row>
    <row r="2801" spans="1:18" ht="13">
      <c r="A2801" s="282"/>
      <c r="B2801" s="282"/>
      <c r="C2801" s="282"/>
      <c r="D2801" s="282"/>
      <c r="E2801" s="282"/>
      <c r="F2801" s="282"/>
      <c r="G2801" s="329"/>
      <c r="H2801" s="329"/>
      <c r="I2801" s="329"/>
      <c r="J2801" s="329"/>
      <c r="K2801" s="329"/>
      <c r="L2801" s="329"/>
      <c r="M2801" s="329"/>
      <c r="N2801" s="329"/>
      <c r="O2801" s="329"/>
      <c r="P2801" s="329"/>
      <c r="Q2801" s="329"/>
      <c r="R2801" s="329"/>
    </row>
    <row r="2802" spans="1:18" ht="13">
      <c r="A2802" s="282"/>
      <c r="B2802" s="282"/>
      <c r="C2802" s="282"/>
      <c r="D2802" s="282"/>
      <c r="E2802" s="282"/>
      <c r="F2802" s="282"/>
      <c r="G2802" s="329"/>
      <c r="H2802" s="329"/>
      <c r="I2802" s="329"/>
      <c r="J2802" s="329"/>
      <c r="K2802" s="329"/>
      <c r="L2802" s="329"/>
      <c r="M2802" s="329"/>
      <c r="N2802" s="329"/>
      <c r="O2802" s="329"/>
      <c r="P2802" s="329"/>
      <c r="Q2802" s="329"/>
      <c r="R2802" s="329"/>
    </row>
    <row r="2803" spans="1:18" ht="13">
      <c r="A2803" s="282"/>
      <c r="B2803" s="282"/>
      <c r="C2803" s="282"/>
      <c r="D2803" s="282"/>
      <c r="E2803" s="282"/>
      <c r="F2803" s="282"/>
      <c r="G2803" s="329"/>
      <c r="H2803" s="329"/>
      <c r="I2803" s="329"/>
      <c r="J2803" s="329"/>
      <c r="K2803" s="329"/>
      <c r="L2803" s="329"/>
      <c r="M2803" s="329"/>
      <c r="N2803" s="329"/>
      <c r="O2803" s="329"/>
      <c r="P2803" s="329"/>
      <c r="Q2803" s="329"/>
      <c r="R2803" s="329"/>
    </row>
    <row r="2804" spans="1:18" ht="13">
      <c r="A2804" s="282"/>
      <c r="B2804" s="282"/>
      <c r="C2804" s="282"/>
      <c r="D2804" s="282"/>
      <c r="E2804" s="282"/>
      <c r="F2804" s="282"/>
      <c r="G2804" s="329"/>
      <c r="H2804" s="329"/>
      <c r="I2804" s="329"/>
      <c r="J2804" s="329"/>
      <c r="K2804" s="329"/>
      <c r="L2804" s="329"/>
      <c r="M2804" s="329"/>
      <c r="N2804" s="329"/>
      <c r="O2804" s="329"/>
      <c r="P2804" s="329"/>
      <c r="Q2804" s="329"/>
      <c r="R2804" s="329"/>
    </row>
    <row r="2805" spans="1:18" ht="13">
      <c r="A2805" s="282"/>
      <c r="B2805" s="282"/>
      <c r="C2805" s="282"/>
      <c r="D2805" s="282"/>
      <c r="E2805" s="282"/>
      <c r="F2805" s="282"/>
      <c r="G2805" s="329"/>
      <c r="H2805" s="329"/>
      <c r="I2805" s="329"/>
      <c r="J2805" s="329"/>
      <c r="K2805" s="329"/>
      <c r="L2805" s="329"/>
      <c r="M2805" s="329"/>
      <c r="N2805" s="329"/>
      <c r="O2805" s="329"/>
      <c r="P2805" s="329"/>
      <c r="Q2805" s="329"/>
      <c r="R2805" s="329"/>
    </row>
    <row r="2806" spans="1:18" ht="13">
      <c r="A2806" s="282"/>
      <c r="B2806" s="282"/>
      <c r="C2806" s="282"/>
      <c r="D2806" s="282"/>
      <c r="E2806" s="282"/>
      <c r="F2806" s="282"/>
      <c r="G2806" s="329"/>
      <c r="H2806" s="329"/>
      <c r="I2806" s="329"/>
      <c r="J2806" s="329"/>
      <c r="K2806" s="329"/>
      <c r="L2806" s="329"/>
      <c r="M2806" s="329"/>
      <c r="N2806" s="329"/>
      <c r="O2806" s="329"/>
      <c r="P2806" s="329"/>
      <c r="Q2806" s="329"/>
      <c r="R2806" s="329"/>
    </row>
    <row r="2807" spans="1:18" ht="13">
      <c r="A2807" s="282"/>
      <c r="B2807" s="282"/>
      <c r="C2807" s="282"/>
      <c r="D2807" s="282"/>
      <c r="E2807" s="282"/>
      <c r="F2807" s="282"/>
      <c r="G2807" s="329"/>
      <c r="H2807" s="329"/>
      <c r="I2807" s="329"/>
      <c r="J2807" s="329"/>
      <c r="K2807" s="329"/>
      <c r="L2807" s="329"/>
      <c r="M2807" s="329"/>
      <c r="N2807" s="329"/>
      <c r="O2807" s="329"/>
      <c r="P2807" s="329"/>
      <c r="Q2807" s="329"/>
      <c r="R2807" s="329"/>
    </row>
    <row r="2808" spans="1:18" ht="13">
      <c r="A2808" s="282"/>
      <c r="B2808" s="282"/>
      <c r="C2808" s="282"/>
      <c r="D2808" s="282"/>
      <c r="E2808" s="282"/>
      <c r="F2808" s="282"/>
      <c r="G2808" s="329"/>
      <c r="H2808" s="329"/>
      <c r="I2808" s="329"/>
      <c r="J2808" s="329"/>
      <c r="K2808" s="329"/>
      <c r="L2808" s="329"/>
      <c r="M2808" s="329"/>
      <c r="N2808" s="329"/>
      <c r="O2808" s="329"/>
      <c r="P2808" s="329"/>
      <c r="Q2808" s="329"/>
      <c r="R2808" s="329"/>
    </row>
    <row r="2809" spans="1:18" ht="13">
      <c r="A2809" s="282"/>
      <c r="B2809" s="282"/>
      <c r="C2809" s="282"/>
      <c r="D2809" s="282"/>
      <c r="E2809" s="282"/>
      <c r="F2809" s="282"/>
      <c r="G2809" s="329"/>
      <c r="H2809" s="329"/>
      <c r="I2809" s="329"/>
      <c r="J2809" s="329"/>
      <c r="K2809" s="329"/>
      <c r="L2809" s="329"/>
      <c r="M2809" s="329"/>
      <c r="N2809" s="329"/>
      <c r="O2809" s="329"/>
      <c r="P2809" s="329"/>
      <c r="Q2809" s="329"/>
      <c r="R2809" s="329"/>
    </row>
    <row r="2810" spans="1:18" ht="13">
      <c r="A2810" s="282"/>
      <c r="B2810" s="282"/>
      <c r="C2810" s="282"/>
      <c r="D2810" s="282"/>
      <c r="E2810" s="282"/>
      <c r="F2810" s="282"/>
      <c r="G2810" s="329"/>
      <c r="H2810" s="329"/>
      <c r="I2810" s="329"/>
      <c r="J2810" s="329"/>
      <c r="K2810" s="329"/>
      <c r="L2810" s="329"/>
      <c r="M2810" s="329"/>
      <c r="N2810" s="329"/>
      <c r="O2810" s="329"/>
      <c r="P2810" s="329"/>
      <c r="Q2810" s="329"/>
      <c r="R2810" s="329"/>
    </row>
    <row r="2811" spans="1:18" ht="13">
      <c r="A2811" s="282"/>
      <c r="B2811" s="282"/>
      <c r="C2811" s="282"/>
      <c r="D2811" s="282"/>
      <c r="E2811" s="282"/>
      <c r="F2811" s="282"/>
      <c r="G2811" s="329"/>
      <c r="H2811" s="329"/>
      <c r="I2811" s="329"/>
      <c r="J2811" s="329"/>
      <c r="K2811" s="329"/>
      <c r="L2811" s="329"/>
      <c r="M2811" s="329"/>
      <c r="N2811" s="329"/>
      <c r="O2811" s="329"/>
      <c r="P2811" s="329"/>
      <c r="Q2811" s="329"/>
      <c r="R2811" s="329"/>
    </row>
    <row r="2812" spans="1:18" ht="13">
      <c r="A2812" s="282"/>
      <c r="B2812" s="282"/>
      <c r="C2812" s="282"/>
      <c r="D2812" s="282"/>
      <c r="E2812" s="282"/>
      <c r="F2812" s="282"/>
      <c r="G2812" s="329"/>
      <c r="H2812" s="329"/>
      <c r="I2812" s="329"/>
      <c r="J2812" s="329"/>
      <c r="K2812" s="329"/>
      <c r="L2812" s="329"/>
      <c r="M2812" s="329"/>
      <c r="N2812" s="329"/>
      <c r="O2812" s="329"/>
      <c r="P2812" s="329"/>
      <c r="Q2812" s="329"/>
      <c r="R2812" s="329"/>
    </row>
    <row r="2813" spans="1:18" ht="13">
      <c r="A2813" s="282"/>
      <c r="B2813" s="282"/>
      <c r="C2813" s="282"/>
      <c r="D2813" s="282"/>
      <c r="E2813" s="282"/>
      <c r="F2813" s="282"/>
      <c r="G2813" s="329"/>
      <c r="H2813" s="329"/>
      <c r="I2813" s="329"/>
      <c r="J2813" s="329"/>
      <c r="K2813" s="329"/>
      <c r="L2813" s="329"/>
      <c r="M2813" s="329"/>
      <c r="N2813" s="329"/>
      <c r="O2813" s="329"/>
      <c r="P2813" s="329"/>
      <c r="Q2813" s="329"/>
      <c r="R2813" s="329"/>
    </row>
    <row r="2814" spans="1:18" ht="13">
      <c r="A2814" s="282"/>
      <c r="B2814" s="282"/>
      <c r="C2814" s="282"/>
      <c r="D2814" s="282"/>
      <c r="E2814" s="282"/>
      <c r="F2814" s="282"/>
      <c r="G2814" s="329"/>
      <c r="H2814" s="329"/>
      <c r="I2814" s="329"/>
      <c r="J2814" s="329"/>
      <c r="K2814" s="329"/>
      <c r="L2814" s="329"/>
      <c r="M2814" s="329"/>
      <c r="N2814" s="329"/>
      <c r="O2814" s="329"/>
      <c r="P2814" s="329"/>
      <c r="Q2814" s="329"/>
      <c r="R2814" s="329"/>
    </row>
    <row r="2815" spans="1:18" ht="13">
      <c r="A2815" s="282"/>
      <c r="B2815" s="282"/>
      <c r="C2815" s="282"/>
      <c r="D2815" s="282"/>
      <c r="E2815" s="282"/>
      <c r="F2815" s="282"/>
      <c r="G2815" s="329"/>
      <c r="H2815" s="329"/>
      <c r="I2815" s="329"/>
      <c r="J2815" s="329"/>
      <c r="K2815" s="329"/>
      <c r="L2815" s="329"/>
      <c r="M2815" s="329"/>
      <c r="N2815" s="329"/>
      <c r="O2815" s="329"/>
      <c r="P2815" s="329"/>
      <c r="Q2815" s="329"/>
      <c r="R2815" s="329"/>
    </row>
    <row r="2816" spans="1:18" ht="13">
      <c r="A2816" s="282"/>
      <c r="B2816" s="282"/>
      <c r="C2816" s="282"/>
      <c r="D2816" s="282"/>
      <c r="E2816" s="282"/>
      <c r="F2816" s="282"/>
      <c r="G2816" s="329"/>
      <c r="H2816" s="329"/>
      <c r="I2816" s="329"/>
      <c r="J2816" s="329"/>
      <c r="K2816" s="329"/>
      <c r="L2816" s="329"/>
      <c r="M2816" s="329"/>
      <c r="N2816" s="329"/>
      <c r="O2816" s="329"/>
      <c r="P2816" s="329"/>
      <c r="Q2816" s="329"/>
      <c r="R2816" s="329"/>
    </row>
    <row r="2817" spans="1:18" ht="13">
      <c r="A2817" s="282"/>
      <c r="B2817" s="282"/>
      <c r="C2817" s="282"/>
      <c r="D2817" s="282"/>
      <c r="E2817" s="282"/>
      <c r="F2817" s="282"/>
      <c r="G2817" s="329"/>
      <c r="H2817" s="329"/>
      <c r="I2817" s="329"/>
      <c r="J2817" s="329"/>
      <c r="K2817" s="329"/>
      <c r="L2817" s="329"/>
      <c r="M2817" s="329"/>
      <c r="N2817" s="329"/>
      <c r="O2817" s="329"/>
      <c r="P2817" s="329"/>
      <c r="Q2817" s="329"/>
      <c r="R2817" s="329"/>
    </row>
    <row r="2818" spans="1:18" ht="13">
      <c r="A2818" s="282"/>
      <c r="B2818" s="282"/>
      <c r="C2818" s="282"/>
      <c r="D2818" s="282"/>
      <c r="E2818" s="282"/>
      <c r="F2818" s="282"/>
      <c r="G2818" s="329"/>
      <c r="H2818" s="329"/>
      <c r="I2818" s="329"/>
      <c r="J2818" s="329"/>
      <c r="K2818" s="329"/>
      <c r="L2818" s="329"/>
      <c r="M2818" s="329"/>
      <c r="N2818" s="329"/>
      <c r="O2818" s="329"/>
      <c r="P2818" s="329"/>
      <c r="Q2818" s="329"/>
      <c r="R2818" s="329"/>
    </row>
    <row r="2819" spans="1:18" ht="13">
      <c r="A2819" s="282"/>
      <c r="B2819" s="282"/>
      <c r="C2819" s="282"/>
      <c r="D2819" s="282"/>
      <c r="E2819" s="282"/>
      <c r="F2819" s="282"/>
      <c r="G2819" s="329"/>
      <c r="H2819" s="329"/>
      <c r="I2819" s="329"/>
      <c r="J2819" s="329"/>
      <c r="K2819" s="329"/>
      <c r="L2819" s="329"/>
      <c r="M2819" s="329"/>
      <c r="N2819" s="329"/>
      <c r="O2819" s="329"/>
      <c r="P2819" s="329"/>
      <c r="Q2819" s="329"/>
      <c r="R2819" s="329"/>
    </row>
    <row r="2820" spans="1:18" ht="13">
      <c r="A2820" s="282"/>
      <c r="B2820" s="282"/>
      <c r="C2820" s="282"/>
      <c r="D2820" s="282"/>
      <c r="E2820" s="282"/>
      <c r="F2820" s="282"/>
      <c r="G2820" s="329"/>
      <c r="H2820" s="329"/>
      <c r="I2820" s="329"/>
      <c r="J2820" s="329"/>
      <c r="K2820" s="329"/>
      <c r="L2820" s="329"/>
      <c r="M2820" s="329"/>
      <c r="N2820" s="329"/>
      <c r="O2820" s="329"/>
      <c r="P2820" s="329"/>
      <c r="Q2820" s="329"/>
      <c r="R2820" s="329"/>
    </row>
    <row r="2821" spans="1:18" ht="13">
      <c r="A2821" s="282"/>
      <c r="B2821" s="282"/>
      <c r="C2821" s="282"/>
      <c r="D2821" s="282"/>
      <c r="E2821" s="282"/>
      <c r="F2821" s="282"/>
      <c r="G2821" s="329"/>
      <c r="H2821" s="329"/>
      <c r="I2821" s="329"/>
      <c r="J2821" s="329"/>
      <c r="K2821" s="329"/>
      <c r="L2821" s="329"/>
      <c r="M2821" s="329"/>
      <c r="N2821" s="329"/>
      <c r="O2821" s="329"/>
      <c r="P2821" s="329"/>
      <c r="Q2821" s="329"/>
      <c r="R2821" s="329"/>
    </row>
    <row r="2822" spans="1:18" ht="13">
      <c r="A2822" s="282"/>
      <c r="B2822" s="282"/>
      <c r="C2822" s="282"/>
      <c r="D2822" s="282"/>
      <c r="E2822" s="282"/>
      <c r="F2822" s="282"/>
      <c r="G2822" s="329"/>
      <c r="H2822" s="329"/>
      <c r="I2822" s="329"/>
      <c r="J2822" s="329"/>
      <c r="K2822" s="329"/>
      <c r="L2822" s="329"/>
      <c r="M2822" s="329"/>
      <c r="N2822" s="329"/>
      <c r="O2822" s="329"/>
      <c r="P2822" s="329"/>
      <c r="Q2822" s="329"/>
      <c r="R2822" s="329"/>
    </row>
    <row r="2823" spans="1:18" ht="13">
      <c r="A2823" s="282"/>
      <c r="B2823" s="282"/>
      <c r="C2823" s="282"/>
      <c r="D2823" s="282"/>
      <c r="E2823" s="282"/>
      <c r="F2823" s="282"/>
      <c r="G2823" s="329"/>
      <c r="H2823" s="329"/>
      <c r="I2823" s="329"/>
      <c r="J2823" s="329"/>
      <c r="K2823" s="329"/>
      <c r="L2823" s="329"/>
      <c r="M2823" s="329"/>
      <c r="N2823" s="329"/>
      <c r="O2823" s="329"/>
      <c r="P2823" s="329"/>
      <c r="Q2823" s="329"/>
      <c r="R2823" s="329"/>
    </row>
    <row r="2824" spans="1:18" ht="13">
      <c r="A2824" s="282"/>
      <c r="B2824" s="282"/>
      <c r="C2824" s="282"/>
      <c r="D2824" s="282"/>
      <c r="E2824" s="282"/>
      <c r="F2824" s="282"/>
      <c r="G2824" s="329"/>
      <c r="H2824" s="329"/>
      <c r="I2824" s="329"/>
      <c r="J2824" s="329"/>
      <c r="K2824" s="329"/>
      <c r="L2824" s="329"/>
      <c r="M2824" s="329"/>
      <c r="N2824" s="329"/>
      <c r="O2824" s="329"/>
      <c r="P2824" s="329"/>
      <c r="Q2824" s="329"/>
      <c r="R2824" s="329"/>
    </row>
    <row r="2825" spans="1:18" ht="13">
      <c r="A2825" s="282"/>
      <c r="B2825" s="282"/>
      <c r="C2825" s="282"/>
      <c r="D2825" s="282"/>
      <c r="E2825" s="282"/>
      <c r="F2825" s="282"/>
      <c r="G2825" s="329"/>
      <c r="H2825" s="329"/>
      <c r="I2825" s="329"/>
      <c r="J2825" s="329"/>
      <c r="K2825" s="329"/>
      <c r="L2825" s="329"/>
      <c r="M2825" s="329"/>
      <c r="N2825" s="329"/>
      <c r="O2825" s="329"/>
      <c r="P2825" s="329"/>
      <c r="Q2825" s="329"/>
      <c r="R2825" s="329"/>
    </row>
    <row r="2826" spans="1:18" ht="13">
      <c r="A2826" s="282"/>
      <c r="B2826" s="282"/>
      <c r="C2826" s="282"/>
      <c r="D2826" s="282"/>
      <c r="E2826" s="282"/>
      <c r="F2826" s="282"/>
      <c r="G2826" s="329"/>
      <c r="H2826" s="329"/>
      <c r="I2826" s="329"/>
      <c r="J2826" s="329"/>
      <c r="K2826" s="329"/>
      <c r="L2826" s="329"/>
      <c r="M2826" s="329"/>
      <c r="N2826" s="329"/>
      <c r="O2826" s="329"/>
      <c r="P2826" s="329"/>
      <c r="Q2826" s="329"/>
      <c r="R2826" s="329"/>
    </row>
    <row r="2827" spans="1:18" ht="13">
      <c r="A2827" s="282"/>
      <c r="B2827" s="282"/>
      <c r="C2827" s="282"/>
      <c r="D2827" s="282"/>
      <c r="E2827" s="282"/>
      <c r="F2827" s="282"/>
      <c r="G2827" s="329"/>
      <c r="H2827" s="329"/>
      <c r="I2827" s="329"/>
      <c r="J2827" s="329"/>
      <c r="K2827" s="329"/>
      <c r="L2827" s="329"/>
      <c r="M2827" s="329"/>
      <c r="N2827" s="329"/>
      <c r="O2827" s="329"/>
      <c r="P2827" s="329"/>
      <c r="Q2827" s="329"/>
      <c r="R2827" s="329"/>
    </row>
    <row r="2828" spans="1:18" ht="13">
      <c r="A2828" s="282"/>
      <c r="B2828" s="282"/>
      <c r="C2828" s="282"/>
      <c r="D2828" s="282"/>
      <c r="E2828" s="282"/>
      <c r="F2828" s="282"/>
      <c r="G2828" s="329"/>
      <c r="H2828" s="329"/>
      <c r="I2828" s="329"/>
      <c r="J2828" s="329"/>
      <c r="K2828" s="329"/>
      <c r="L2828" s="329"/>
      <c r="M2828" s="329"/>
      <c r="N2828" s="329"/>
      <c r="O2828" s="329"/>
      <c r="P2828" s="329"/>
      <c r="Q2828" s="329"/>
      <c r="R2828" s="329"/>
    </row>
    <row r="2829" spans="1:18" ht="13">
      <c r="A2829" s="282"/>
      <c r="B2829" s="282"/>
      <c r="C2829" s="282"/>
      <c r="D2829" s="282"/>
      <c r="E2829" s="282"/>
      <c r="F2829" s="282"/>
      <c r="G2829" s="329"/>
      <c r="H2829" s="329"/>
      <c r="I2829" s="329"/>
      <c r="J2829" s="329"/>
      <c r="K2829" s="329"/>
      <c r="L2829" s="329"/>
      <c r="M2829" s="329"/>
      <c r="N2829" s="329"/>
      <c r="O2829" s="329"/>
      <c r="P2829" s="329"/>
      <c r="Q2829" s="329"/>
      <c r="R2829" s="329"/>
    </row>
    <row r="2830" spans="1:18" ht="13">
      <c r="A2830" s="282"/>
      <c r="B2830" s="282"/>
      <c r="C2830" s="282"/>
      <c r="D2830" s="282"/>
      <c r="E2830" s="282"/>
      <c r="F2830" s="282"/>
      <c r="G2830" s="329"/>
      <c r="H2830" s="329"/>
      <c r="I2830" s="329"/>
      <c r="J2830" s="329"/>
      <c r="K2830" s="329"/>
      <c r="L2830" s="329"/>
      <c r="M2830" s="329"/>
      <c r="N2830" s="329"/>
      <c r="O2830" s="329"/>
      <c r="P2830" s="329"/>
      <c r="Q2830" s="329"/>
      <c r="R2830" s="329"/>
    </row>
    <row r="2831" spans="1:18" ht="13">
      <c r="A2831" s="282"/>
      <c r="B2831" s="282"/>
      <c r="C2831" s="282"/>
      <c r="D2831" s="282"/>
      <c r="E2831" s="282"/>
      <c r="F2831" s="282"/>
      <c r="G2831" s="329"/>
      <c r="H2831" s="329"/>
      <c r="I2831" s="329"/>
      <c r="J2831" s="329"/>
      <c r="K2831" s="329"/>
      <c r="L2831" s="329"/>
      <c r="M2831" s="329"/>
      <c r="N2831" s="329"/>
      <c r="O2831" s="329"/>
      <c r="P2831" s="329"/>
      <c r="Q2831" s="329"/>
      <c r="R2831" s="329"/>
    </row>
    <row r="2832" spans="1:18" ht="13">
      <c r="A2832" s="282"/>
      <c r="B2832" s="282"/>
      <c r="C2832" s="282"/>
      <c r="D2832" s="282"/>
      <c r="E2832" s="282"/>
      <c r="F2832" s="282"/>
      <c r="G2832" s="329"/>
      <c r="H2832" s="329"/>
      <c r="I2832" s="329"/>
      <c r="J2832" s="329"/>
      <c r="K2832" s="329"/>
      <c r="L2832" s="329"/>
      <c r="M2832" s="329"/>
      <c r="N2832" s="329"/>
      <c r="O2832" s="329"/>
      <c r="P2832" s="329"/>
      <c r="Q2832" s="329"/>
      <c r="R2832" s="329"/>
    </row>
    <row r="2833" spans="1:18" ht="13">
      <c r="A2833" s="282"/>
      <c r="B2833" s="282"/>
      <c r="C2833" s="282"/>
      <c r="D2833" s="282"/>
      <c r="E2833" s="282"/>
      <c r="F2833" s="282"/>
      <c r="G2833" s="329"/>
      <c r="H2833" s="329"/>
      <c r="I2833" s="329"/>
      <c r="J2833" s="329"/>
      <c r="K2833" s="329"/>
      <c r="L2833" s="329"/>
      <c r="M2833" s="329"/>
      <c r="N2833" s="329"/>
      <c r="O2833" s="329"/>
      <c r="P2833" s="329"/>
      <c r="Q2833" s="329"/>
      <c r="R2833" s="329"/>
    </row>
    <row r="2834" spans="1:18" ht="13">
      <c r="A2834" s="282"/>
      <c r="B2834" s="282"/>
      <c r="C2834" s="282"/>
      <c r="D2834" s="282"/>
      <c r="E2834" s="282"/>
      <c r="F2834" s="282"/>
      <c r="G2834" s="329"/>
      <c r="H2834" s="329"/>
      <c r="I2834" s="329"/>
      <c r="J2834" s="329"/>
      <c r="K2834" s="329"/>
      <c r="L2834" s="329"/>
      <c r="M2834" s="329"/>
      <c r="N2834" s="329"/>
      <c r="O2834" s="329"/>
      <c r="P2834" s="329"/>
      <c r="Q2834" s="329"/>
      <c r="R2834" s="329"/>
    </row>
    <row r="2835" spans="1:18" ht="13">
      <c r="A2835" s="282"/>
      <c r="B2835" s="282"/>
      <c r="C2835" s="282"/>
      <c r="D2835" s="282"/>
      <c r="E2835" s="282"/>
      <c r="F2835" s="282"/>
      <c r="G2835" s="329"/>
      <c r="H2835" s="329"/>
      <c r="I2835" s="329"/>
      <c r="J2835" s="329"/>
      <c r="K2835" s="329"/>
      <c r="L2835" s="329"/>
      <c r="M2835" s="329"/>
      <c r="N2835" s="329"/>
      <c r="O2835" s="329"/>
      <c r="P2835" s="329"/>
      <c r="Q2835" s="329"/>
      <c r="R2835" s="329"/>
    </row>
    <row r="2836" spans="1:18" ht="13">
      <c r="A2836" s="282"/>
      <c r="B2836" s="282"/>
      <c r="C2836" s="282"/>
      <c r="D2836" s="282"/>
      <c r="E2836" s="282"/>
      <c r="F2836" s="282"/>
      <c r="G2836" s="329"/>
      <c r="H2836" s="329"/>
      <c r="I2836" s="329"/>
      <c r="J2836" s="329"/>
      <c r="K2836" s="329"/>
      <c r="L2836" s="329"/>
      <c r="M2836" s="329"/>
      <c r="N2836" s="329"/>
      <c r="O2836" s="329"/>
      <c r="P2836" s="329"/>
      <c r="Q2836" s="329"/>
      <c r="R2836" s="329"/>
    </row>
    <row r="2837" spans="1:18" ht="13">
      <c r="A2837" s="282"/>
      <c r="B2837" s="282"/>
      <c r="C2837" s="282"/>
      <c r="D2837" s="282"/>
      <c r="E2837" s="282"/>
      <c r="F2837" s="282"/>
      <c r="G2837" s="329"/>
      <c r="H2837" s="329"/>
      <c r="I2837" s="329"/>
      <c r="J2837" s="329"/>
      <c r="K2837" s="329"/>
      <c r="L2837" s="329"/>
      <c r="M2837" s="329"/>
      <c r="N2837" s="329"/>
      <c r="O2837" s="329"/>
      <c r="P2837" s="329"/>
      <c r="Q2837" s="329"/>
      <c r="R2837" s="329"/>
    </row>
    <row r="2838" spans="1:18" ht="13">
      <c r="A2838" s="282"/>
      <c r="B2838" s="282"/>
      <c r="C2838" s="282"/>
      <c r="D2838" s="282"/>
      <c r="E2838" s="282"/>
      <c r="F2838" s="282"/>
      <c r="G2838" s="329"/>
      <c r="H2838" s="329"/>
      <c r="I2838" s="329"/>
      <c r="J2838" s="329"/>
      <c r="K2838" s="329"/>
      <c r="L2838" s="329"/>
      <c r="M2838" s="329"/>
      <c r="N2838" s="329"/>
      <c r="O2838" s="329"/>
      <c r="P2838" s="329"/>
      <c r="Q2838" s="329"/>
      <c r="R2838" s="329"/>
    </row>
    <row r="2839" spans="1:18" ht="13">
      <c r="A2839" s="282"/>
      <c r="B2839" s="282"/>
      <c r="C2839" s="282"/>
      <c r="D2839" s="282"/>
      <c r="E2839" s="282"/>
      <c r="F2839" s="282"/>
      <c r="G2839" s="329"/>
      <c r="H2839" s="329"/>
      <c r="I2839" s="329"/>
      <c r="J2839" s="329"/>
      <c r="K2839" s="329"/>
      <c r="L2839" s="329"/>
      <c r="M2839" s="329"/>
      <c r="N2839" s="329"/>
      <c r="O2839" s="329"/>
      <c r="P2839" s="329"/>
      <c r="Q2839" s="329"/>
      <c r="R2839" s="329"/>
    </row>
    <row r="2840" spans="1:18" ht="13">
      <c r="A2840" s="282"/>
      <c r="B2840" s="282"/>
      <c r="C2840" s="282"/>
      <c r="D2840" s="282"/>
      <c r="E2840" s="282"/>
      <c r="F2840" s="282"/>
      <c r="G2840" s="329"/>
      <c r="H2840" s="329"/>
      <c r="I2840" s="329"/>
      <c r="J2840" s="329"/>
      <c r="K2840" s="329"/>
      <c r="L2840" s="329"/>
      <c r="M2840" s="329"/>
      <c r="N2840" s="329"/>
      <c r="O2840" s="329"/>
      <c r="P2840" s="329"/>
      <c r="Q2840" s="329"/>
      <c r="R2840" s="329"/>
    </row>
    <row r="2841" spans="1:18" ht="13">
      <c r="A2841" s="282"/>
      <c r="B2841" s="282"/>
      <c r="C2841" s="282"/>
      <c r="D2841" s="282"/>
      <c r="E2841" s="282"/>
      <c r="F2841" s="282"/>
      <c r="G2841" s="329"/>
      <c r="H2841" s="329"/>
      <c r="I2841" s="329"/>
      <c r="J2841" s="329"/>
      <c r="K2841" s="329"/>
      <c r="L2841" s="329"/>
      <c r="M2841" s="329"/>
      <c r="N2841" s="329"/>
      <c r="O2841" s="329"/>
      <c r="P2841" s="329"/>
      <c r="Q2841" s="329"/>
      <c r="R2841" s="329"/>
    </row>
    <row r="2842" spans="1:18" ht="13">
      <c r="A2842" s="282"/>
      <c r="B2842" s="282"/>
      <c r="C2842" s="282"/>
      <c r="D2842" s="282"/>
      <c r="E2842" s="282"/>
      <c r="F2842" s="282"/>
      <c r="G2842" s="329"/>
      <c r="H2842" s="329"/>
      <c r="I2842" s="329"/>
      <c r="J2842" s="329"/>
      <c r="K2842" s="329"/>
      <c r="L2842" s="329"/>
      <c r="M2842" s="329"/>
      <c r="N2842" s="329"/>
      <c r="O2842" s="329"/>
      <c r="P2842" s="329"/>
      <c r="Q2842" s="329"/>
      <c r="R2842" s="329"/>
    </row>
    <row r="2843" spans="1:18" ht="13">
      <c r="A2843" s="282"/>
      <c r="B2843" s="282"/>
      <c r="C2843" s="282"/>
      <c r="D2843" s="282"/>
      <c r="E2843" s="282"/>
      <c r="F2843" s="282"/>
      <c r="G2843" s="329"/>
      <c r="H2843" s="329"/>
      <c r="I2843" s="329"/>
      <c r="J2843" s="329"/>
      <c r="K2843" s="329"/>
      <c r="L2843" s="329"/>
      <c r="M2843" s="329"/>
      <c r="N2843" s="329"/>
      <c r="O2843" s="329"/>
      <c r="P2843" s="329"/>
      <c r="Q2843" s="329"/>
      <c r="R2843" s="329"/>
    </row>
    <row r="2844" spans="1:18" ht="13">
      <c r="A2844" s="282"/>
      <c r="B2844" s="282"/>
      <c r="C2844" s="282"/>
      <c r="D2844" s="282"/>
      <c r="E2844" s="282"/>
      <c r="F2844" s="282"/>
      <c r="G2844" s="329"/>
      <c r="H2844" s="329"/>
      <c r="I2844" s="329"/>
      <c r="J2844" s="329"/>
      <c r="K2844" s="329"/>
      <c r="L2844" s="329"/>
      <c r="M2844" s="329"/>
      <c r="N2844" s="329"/>
      <c r="O2844" s="329"/>
      <c r="P2844" s="329"/>
      <c r="Q2844" s="329"/>
      <c r="R2844" s="329"/>
    </row>
    <row r="2845" spans="1:18" ht="13">
      <c r="A2845" s="282"/>
      <c r="B2845" s="282"/>
      <c r="C2845" s="282"/>
      <c r="D2845" s="282"/>
      <c r="E2845" s="282"/>
      <c r="F2845" s="282"/>
      <c r="G2845" s="329"/>
      <c r="H2845" s="329"/>
      <c r="I2845" s="329"/>
      <c r="J2845" s="329"/>
      <c r="K2845" s="329"/>
      <c r="L2845" s="329"/>
      <c r="M2845" s="329"/>
      <c r="N2845" s="329"/>
      <c r="O2845" s="329"/>
      <c r="P2845" s="329"/>
      <c r="Q2845" s="329"/>
      <c r="R2845" s="329"/>
    </row>
    <row r="2846" spans="1:18" ht="13">
      <c r="A2846" s="282"/>
      <c r="B2846" s="282"/>
      <c r="C2846" s="282"/>
      <c r="D2846" s="282"/>
      <c r="E2846" s="282"/>
      <c r="F2846" s="282"/>
      <c r="G2846" s="329"/>
      <c r="H2846" s="329"/>
      <c r="I2846" s="329"/>
      <c r="J2846" s="329"/>
      <c r="K2846" s="329"/>
      <c r="L2846" s="329"/>
      <c r="M2846" s="329"/>
      <c r="N2846" s="329"/>
      <c r="O2846" s="329"/>
      <c r="P2846" s="329"/>
      <c r="Q2846" s="329"/>
      <c r="R2846" s="329"/>
    </row>
    <row r="2847" spans="1:18" ht="13">
      <c r="A2847" s="282"/>
      <c r="B2847" s="282"/>
      <c r="C2847" s="282"/>
      <c r="D2847" s="282"/>
      <c r="E2847" s="282"/>
      <c r="F2847" s="282"/>
      <c r="G2847" s="329"/>
      <c r="H2847" s="329"/>
      <c r="I2847" s="329"/>
      <c r="J2847" s="329"/>
      <c r="K2847" s="329"/>
      <c r="L2847" s="329"/>
      <c r="M2847" s="329"/>
      <c r="N2847" s="329"/>
      <c r="O2847" s="329"/>
      <c r="P2847" s="329"/>
      <c r="Q2847" s="329"/>
      <c r="R2847" s="329"/>
    </row>
    <row r="2848" spans="1:18" ht="13">
      <c r="A2848" s="282"/>
      <c r="B2848" s="282"/>
      <c r="C2848" s="282"/>
      <c r="D2848" s="282"/>
      <c r="E2848" s="282"/>
      <c r="F2848" s="282"/>
      <c r="G2848" s="329"/>
      <c r="H2848" s="329"/>
      <c r="I2848" s="329"/>
      <c r="J2848" s="329"/>
      <c r="K2848" s="329"/>
      <c r="L2848" s="329"/>
      <c r="M2848" s="329"/>
      <c r="N2848" s="329"/>
      <c r="O2848" s="329"/>
      <c r="P2848" s="329"/>
      <c r="Q2848" s="329"/>
      <c r="R2848" s="329"/>
    </row>
    <row r="2849" spans="1:18" ht="13">
      <c r="A2849" s="282"/>
      <c r="B2849" s="282"/>
      <c r="C2849" s="282"/>
      <c r="D2849" s="282"/>
      <c r="E2849" s="282"/>
      <c r="F2849" s="282"/>
      <c r="G2849" s="329"/>
      <c r="H2849" s="329"/>
      <c r="I2849" s="329"/>
      <c r="J2849" s="329"/>
      <c r="K2849" s="329"/>
      <c r="L2849" s="329"/>
      <c r="M2849" s="329"/>
      <c r="N2849" s="329"/>
      <c r="O2849" s="329"/>
      <c r="P2849" s="329"/>
      <c r="Q2849" s="329"/>
      <c r="R2849" s="329"/>
    </row>
    <row r="2850" spans="1:18" ht="13">
      <c r="A2850" s="282"/>
      <c r="B2850" s="282"/>
      <c r="C2850" s="282"/>
      <c r="D2850" s="282"/>
      <c r="E2850" s="282"/>
      <c r="F2850" s="282"/>
      <c r="G2850" s="329"/>
      <c r="H2850" s="329"/>
      <c r="I2850" s="329"/>
      <c r="J2850" s="329"/>
      <c r="K2850" s="329"/>
      <c r="L2850" s="329"/>
      <c r="M2850" s="329"/>
      <c r="N2850" s="329"/>
      <c r="O2850" s="329"/>
      <c r="P2850" s="329"/>
      <c r="Q2850" s="329"/>
      <c r="R2850" s="329"/>
    </row>
    <row r="2851" spans="1:18" ht="13">
      <c r="A2851" s="282"/>
      <c r="B2851" s="282"/>
      <c r="C2851" s="282"/>
      <c r="D2851" s="282"/>
      <c r="E2851" s="282"/>
      <c r="F2851" s="282"/>
      <c r="G2851" s="329"/>
      <c r="H2851" s="329"/>
      <c r="I2851" s="329"/>
      <c r="J2851" s="329"/>
      <c r="K2851" s="329"/>
      <c r="L2851" s="329"/>
      <c r="M2851" s="329"/>
      <c r="N2851" s="329"/>
      <c r="O2851" s="329"/>
      <c r="P2851" s="329"/>
      <c r="Q2851" s="329"/>
      <c r="R2851" s="329"/>
    </row>
    <row r="2852" spans="1:18" ht="13">
      <c r="A2852" s="282"/>
      <c r="B2852" s="282"/>
      <c r="C2852" s="282"/>
      <c r="D2852" s="282"/>
      <c r="E2852" s="282"/>
      <c r="F2852" s="282"/>
      <c r="G2852" s="329"/>
      <c r="H2852" s="329"/>
      <c r="I2852" s="329"/>
      <c r="J2852" s="329"/>
      <c r="K2852" s="329"/>
      <c r="L2852" s="329"/>
      <c r="M2852" s="329"/>
      <c r="N2852" s="329"/>
      <c r="O2852" s="329"/>
      <c r="P2852" s="329"/>
      <c r="Q2852" s="329"/>
      <c r="R2852" s="329"/>
    </row>
    <row r="2853" spans="1:18" ht="13">
      <c r="A2853" s="282"/>
      <c r="B2853" s="282"/>
      <c r="C2853" s="282"/>
      <c r="D2853" s="282"/>
      <c r="E2853" s="282"/>
      <c r="F2853" s="282"/>
      <c r="G2853" s="329"/>
      <c r="H2853" s="329"/>
      <c r="I2853" s="329"/>
      <c r="J2853" s="329"/>
      <c r="K2853" s="329"/>
      <c r="L2853" s="329"/>
      <c r="M2853" s="329"/>
      <c r="N2853" s="329"/>
      <c r="O2853" s="329"/>
      <c r="P2853" s="329"/>
      <c r="Q2853" s="329"/>
      <c r="R2853" s="329"/>
    </row>
    <row r="2854" spans="1:18" ht="13">
      <c r="A2854" s="282"/>
      <c r="B2854" s="282"/>
      <c r="C2854" s="282"/>
      <c r="D2854" s="282"/>
      <c r="E2854" s="282"/>
      <c r="F2854" s="282"/>
      <c r="G2854" s="329"/>
      <c r="H2854" s="329"/>
      <c r="I2854" s="329"/>
      <c r="J2854" s="329"/>
      <c r="K2854" s="329"/>
      <c r="L2854" s="329"/>
      <c r="M2854" s="329"/>
      <c r="N2854" s="329"/>
      <c r="O2854" s="329"/>
      <c r="P2854" s="329"/>
      <c r="Q2854" s="329"/>
      <c r="R2854" s="329"/>
    </row>
    <row r="2855" spans="1:18" ht="13">
      <c r="A2855" s="282"/>
      <c r="B2855" s="282"/>
      <c r="C2855" s="282"/>
      <c r="D2855" s="282"/>
      <c r="E2855" s="282"/>
      <c r="F2855" s="282"/>
      <c r="G2855" s="329"/>
      <c r="H2855" s="329"/>
      <c r="I2855" s="329"/>
      <c r="J2855" s="329"/>
      <c r="K2855" s="329"/>
      <c r="L2855" s="329"/>
      <c r="M2855" s="329"/>
      <c r="N2855" s="329"/>
      <c r="O2855" s="329"/>
      <c r="P2855" s="329"/>
      <c r="Q2855" s="329"/>
      <c r="R2855" s="329"/>
    </row>
    <row r="2856" spans="1:18" ht="13">
      <c r="A2856" s="282"/>
      <c r="B2856" s="282"/>
      <c r="C2856" s="282"/>
      <c r="D2856" s="282"/>
      <c r="E2856" s="282"/>
      <c r="F2856" s="282"/>
      <c r="G2856" s="329"/>
      <c r="H2856" s="329"/>
      <c r="I2856" s="329"/>
      <c r="J2856" s="329"/>
      <c r="K2856" s="329"/>
      <c r="L2856" s="329"/>
      <c r="M2856" s="329"/>
      <c r="N2856" s="329"/>
      <c r="O2856" s="329"/>
      <c r="P2856" s="329"/>
      <c r="Q2856" s="329"/>
      <c r="R2856" s="329"/>
    </row>
    <row r="2857" spans="1:18" ht="13">
      <c r="A2857" s="282"/>
      <c r="B2857" s="282"/>
      <c r="C2857" s="282"/>
      <c r="D2857" s="282"/>
      <c r="E2857" s="282"/>
      <c r="F2857" s="282"/>
      <c r="G2857" s="329"/>
      <c r="H2857" s="329"/>
      <c r="I2857" s="329"/>
      <c r="J2857" s="329"/>
      <c r="K2857" s="329"/>
      <c r="L2857" s="329"/>
      <c r="M2857" s="329"/>
      <c r="N2857" s="329"/>
      <c r="O2857" s="329"/>
      <c r="P2857" s="329"/>
      <c r="Q2857" s="329"/>
      <c r="R2857" s="329"/>
    </row>
    <row r="2858" spans="1:18" ht="13">
      <c r="A2858" s="282"/>
      <c r="B2858" s="282"/>
      <c r="C2858" s="282"/>
      <c r="D2858" s="282"/>
      <c r="E2858" s="282"/>
      <c r="F2858" s="282"/>
      <c r="G2858" s="329"/>
      <c r="H2858" s="329"/>
      <c r="I2858" s="329"/>
      <c r="J2858" s="329"/>
      <c r="K2858" s="329"/>
      <c r="L2858" s="329"/>
      <c r="M2858" s="329"/>
      <c r="N2858" s="329"/>
      <c r="O2858" s="329"/>
      <c r="P2858" s="329"/>
      <c r="Q2858" s="329"/>
      <c r="R2858" s="329"/>
    </row>
    <row r="2859" spans="1:18" ht="13">
      <c r="A2859" s="282"/>
      <c r="B2859" s="282"/>
      <c r="C2859" s="282"/>
      <c r="D2859" s="282"/>
      <c r="E2859" s="282"/>
      <c r="F2859" s="282"/>
      <c r="G2859" s="329"/>
      <c r="H2859" s="329"/>
      <c r="I2859" s="329"/>
      <c r="J2859" s="329"/>
      <c r="K2859" s="329"/>
      <c r="L2859" s="329"/>
      <c r="M2859" s="329"/>
      <c r="N2859" s="329"/>
      <c r="O2859" s="329"/>
      <c r="P2859" s="329"/>
      <c r="Q2859" s="329"/>
      <c r="R2859" s="329"/>
    </row>
    <row r="2860" spans="1:18" ht="13">
      <c r="A2860" s="282"/>
      <c r="B2860" s="282"/>
      <c r="C2860" s="282"/>
      <c r="D2860" s="282"/>
      <c r="E2860" s="282"/>
      <c r="F2860" s="282"/>
      <c r="G2860" s="329"/>
      <c r="H2860" s="329"/>
      <c r="I2860" s="329"/>
      <c r="J2860" s="329"/>
      <c r="K2860" s="329"/>
      <c r="L2860" s="329"/>
      <c r="M2860" s="329"/>
      <c r="N2860" s="329"/>
      <c r="O2860" s="329"/>
      <c r="P2860" s="329"/>
      <c r="Q2860" s="329"/>
      <c r="R2860" s="329"/>
    </row>
    <row r="2861" spans="1:18" ht="13">
      <c r="A2861" s="282"/>
      <c r="B2861" s="282"/>
      <c r="C2861" s="282"/>
      <c r="D2861" s="282"/>
      <c r="E2861" s="282"/>
      <c r="F2861" s="282"/>
      <c r="G2861" s="329"/>
      <c r="H2861" s="329"/>
      <c r="I2861" s="329"/>
      <c r="J2861" s="329"/>
      <c r="K2861" s="329"/>
      <c r="L2861" s="329"/>
      <c r="M2861" s="329"/>
      <c r="N2861" s="329"/>
      <c r="O2861" s="329"/>
      <c r="P2861" s="329"/>
      <c r="Q2861" s="329"/>
      <c r="R2861" s="329"/>
    </row>
    <row r="2862" spans="1:18" ht="13">
      <c r="A2862" s="282"/>
      <c r="B2862" s="282"/>
      <c r="C2862" s="282"/>
      <c r="D2862" s="282"/>
      <c r="E2862" s="282"/>
      <c r="F2862" s="282"/>
      <c r="G2862" s="329"/>
      <c r="H2862" s="329"/>
      <c r="I2862" s="329"/>
      <c r="J2862" s="329"/>
      <c r="K2862" s="329"/>
      <c r="L2862" s="329"/>
      <c r="M2862" s="329"/>
      <c r="N2862" s="329"/>
      <c r="O2862" s="329"/>
      <c r="P2862" s="329"/>
      <c r="Q2862" s="329"/>
      <c r="R2862" s="329"/>
    </row>
    <row r="2863" spans="1:18" ht="13">
      <c r="A2863" s="282"/>
      <c r="B2863" s="282"/>
      <c r="C2863" s="282"/>
      <c r="D2863" s="282"/>
      <c r="E2863" s="282"/>
      <c r="F2863" s="282"/>
      <c r="G2863" s="329"/>
      <c r="H2863" s="329"/>
      <c r="I2863" s="329"/>
      <c r="J2863" s="329"/>
      <c r="K2863" s="329"/>
      <c r="L2863" s="329"/>
      <c r="M2863" s="329"/>
      <c r="N2863" s="329"/>
      <c r="O2863" s="329"/>
      <c r="P2863" s="329"/>
      <c r="Q2863" s="329"/>
      <c r="R2863" s="329"/>
    </row>
    <row r="2864" spans="1:18" ht="13">
      <c r="A2864" s="282"/>
      <c r="B2864" s="282"/>
      <c r="C2864" s="282"/>
      <c r="D2864" s="282"/>
      <c r="E2864" s="282"/>
      <c r="F2864" s="282"/>
      <c r="G2864" s="329"/>
      <c r="H2864" s="329"/>
      <c r="I2864" s="329"/>
      <c r="J2864" s="329"/>
      <c r="K2864" s="329"/>
      <c r="L2864" s="329"/>
      <c r="M2864" s="329"/>
      <c r="N2864" s="329"/>
      <c r="O2864" s="329"/>
      <c r="P2864" s="329"/>
      <c r="Q2864" s="329"/>
      <c r="R2864" s="329"/>
    </row>
    <row r="2865" spans="1:18" ht="13">
      <c r="A2865" s="282"/>
      <c r="B2865" s="282"/>
      <c r="C2865" s="282"/>
      <c r="D2865" s="282"/>
      <c r="E2865" s="282"/>
      <c r="F2865" s="282"/>
      <c r="G2865" s="329"/>
      <c r="H2865" s="329"/>
      <c r="I2865" s="329"/>
      <c r="J2865" s="329"/>
      <c r="K2865" s="329"/>
      <c r="L2865" s="329"/>
      <c r="M2865" s="329"/>
      <c r="N2865" s="329"/>
      <c r="O2865" s="329"/>
      <c r="P2865" s="329"/>
      <c r="Q2865" s="329"/>
      <c r="R2865" s="329"/>
    </row>
    <row r="2866" spans="1:18" ht="13">
      <c r="A2866" s="282"/>
      <c r="B2866" s="282"/>
      <c r="C2866" s="282"/>
      <c r="D2866" s="282"/>
      <c r="E2866" s="282"/>
      <c r="F2866" s="282"/>
      <c r="G2866" s="329"/>
      <c r="H2866" s="329"/>
      <c r="I2866" s="329"/>
      <c r="J2866" s="329"/>
      <c r="K2866" s="329"/>
      <c r="L2866" s="329"/>
      <c r="M2866" s="329"/>
      <c r="N2866" s="329"/>
      <c r="O2866" s="329"/>
      <c r="P2866" s="329"/>
      <c r="Q2866" s="329"/>
      <c r="R2866" s="329"/>
    </row>
    <row r="2867" spans="1:18" ht="13">
      <c r="A2867" s="282"/>
      <c r="B2867" s="282"/>
      <c r="C2867" s="282"/>
      <c r="D2867" s="282"/>
      <c r="E2867" s="282"/>
      <c r="F2867" s="282"/>
      <c r="G2867" s="329"/>
      <c r="H2867" s="329"/>
      <c r="I2867" s="329"/>
      <c r="J2867" s="329"/>
      <c r="K2867" s="329"/>
      <c r="L2867" s="329"/>
      <c r="M2867" s="329"/>
      <c r="N2867" s="329"/>
      <c r="O2867" s="329"/>
      <c r="P2867" s="329"/>
      <c r="Q2867" s="329"/>
      <c r="R2867" s="329"/>
    </row>
    <row r="2868" spans="1:18" ht="13">
      <c r="A2868" s="282"/>
      <c r="B2868" s="282"/>
      <c r="C2868" s="282"/>
      <c r="D2868" s="282"/>
      <c r="E2868" s="282"/>
      <c r="F2868" s="282"/>
      <c r="G2868" s="329"/>
      <c r="H2868" s="329"/>
      <c r="I2868" s="329"/>
      <c r="J2868" s="329"/>
      <c r="K2868" s="329"/>
      <c r="L2868" s="329"/>
      <c r="M2868" s="329"/>
      <c r="N2868" s="329"/>
      <c r="O2868" s="329"/>
      <c r="P2868" s="329"/>
      <c r="Q2868" s="329"/>
      <c r="R2868" s="329"/>
    </row>
    <row r="2869" spans="1:18" ht="13">
      <c r="A2869" s="282"/>
      <c r="B2869" s="282"/>
      <c r="C2869" s="282"/>
      <c r="D2869" s="282"/>
      <c r="E2869" s="282"/>
      <c r="F2869" s="282"/>
      <c r="G2869" s="329"/>
      <c r="H2869" s="329"/>
      <c r="I2869" s="329"/>
      <c r="J2869" s="329"/>
      <c r="K2869" s="329"/>
      <c r="L2869" s="329"/>
      <c r="M2869" s="329"/>
      <c r="N2869" s="329"/>
      <c r="O2869" s="329"/>
      <c r="P2869" s="329"/>
      <c r="Q2869" s="329"/>
      <c r="R2869" s="329"/>
    </row>
    <row r="2870" spans="1:18" ht="13">
      <c r="A2870" s="282"/>
      <c r="B2870" s="282"/>
      <c r="C2870" s="282"/>
      <c r="D2870" s="282"/>
      <c r="E2870" s="282"/>
      <c r="F2870" s="282"/>
      <c r="G2870" s="329"/>
      <c r="H2870" s="329"/>
      <c r="I2870" s="329"/>
      <c r="J2870" s="329"/>
      <c r="K2870" s="329"/>
      <c r="L2870" s="329"/>
      <c r="M2870" s="329"/>
      <c r="N2870" s="329"/>
      <c r="O2870" s="329"/>
      <c r="P2870" s="329"/>
      <c r="Q2870" s="329"/>
      <c r="R2870" s="329"/>
    </row>
    <row r="2871" spans="1:18" ht="13">
      <c r="A2871" s="282"/>
      <c r="B2871" s="282"/>
      <c r="C2871" s="282"/>
      <c r="D2871" s="282"/>
      <c r="E2871" s="282"/>
      <c r="F2871" s="282"/>
      <c r="G2871" s="329"/>
      <c r="H2871" s="329"/>
      <c r="I2871" s="329"/>
      <c r="J2871" s="329"/>
      <c r="K2871" s="329"/>
      <c r="L2871" s="329"/>
      <c r="M2871" s="329"/>
      <c r="N2871" s="329"/>
      <c r="O2871" s="329"/>
      <c r="P2871" s="329"/>
      <c r="Q2871" s="329"/>
      <c r="R2871" s="329"/>
    </row>
    <row r="2872" spans="1:18" ht="13">
      <c r="A2872" s="282"/>
      <c r="B2872" s="282"/>
      <c r="C2872" s="282"/>
      <c r="D2872" s="282"/>
      <c r="E2872" s="282"/>
      <c r="F2872" s="282"/>
      <c r="G2872" s="329"/>
      <c r="H2872" s="329"/>
      <c r="I2872" s="329"/>
      <c r="J2872" s="329"/>
      <c r="K2872" s="329"/>
      <c r="L2872" s="329"/>
      <c r="M2872" s="329"/>
      <c r="N2872" s="329"/>
      <c r="O2872" s="329"/>
      <c r="P2872" s="329"/>
      <c r="Q2872" s="329"/>
      <c r="R2872" s="329"/>
    </row>
    <row r="2873" spans="1:18" ht="13">
      <c r="A2873" s="282"/>
      <c r="B2873" s="282"/>
      <c r="C2873" s="282"/>
      <c r="D2873" s="282"/>
      <c r="E2873" s="282"/>
      <c r="F2873" s="282"/>
      <c r="G2873" s="329"/>
      <c r="H2873" s="329"/>
      <c r="I2873" s="329"/>
      <c r="J2873" s="329"/>
      <c r="K2873" s="329"/>
      <c r="L2873" s="329"/>
      <c r="M2873" s="329"/>
      <c r="N2873" s="329"/>
      <c r="O2873" s="329"/>
      <c r="P2873" s="329"/>
      <c r="Q2873" s="329"/>
      <c r="R2873" s="329"/>
    </row>
    <row r="2874" spans="1:18" ht="13">
      <c r="A2874" s="282"/>
      <c r="B2874" s="282"/>
      <c r="C2874" s="282"/>
      <c r="D2874" s="282"/>
      <c r="E2874" s="282"/>
      <c r="F2874" s="282"/>
      <c r="G2874" s="329"/>
      <c r="H2874" s="329"/>
      <c r="I2874" s="329"/>
      <c r="J2874" s="329"/>
      <c r="K2874" s="329"/>
      <c r="L2874" s="329"/>
      <c r="M2874" s="329"/>
      <c r="N2874" s="329"/>
      <c r="O2874" s="329"/>
      <c r="P2874" s="329"/>
      <c r="Q2874" s="329"/>
      <c r="R2874" s="329"/>
    </row>
    <row r="2875" spans="1:18" ht="13">
      <c r="A2875" s="282"/>
      <c r="B2875" s="282"/>
      <c r="C2875" s="282"/>
      <c r="D2875" s="282"/>
      <c r="E2875" s="282"/>
      <c r="F2875" s="282"/>
      <c r="G2875" s="329"/>
      <c r="H2875" s="329"/>
      <c r="I2875" s="329"/>
      <c r="J2875" s="329"/>
      <c r="K2875" s="329"/>
      <c r="L2875" s="329"/>
      <c r="M2875" s="329"/>
      <c r="N2875" s="329"/>
      <c r="O2875" s="329"/>
      <c r="P2875" s="329"/>
      <c r="Q2875" s="329"/>
      <c r="R2875" s="329"/>
    </row>
    <row r="2876" spans="1:18" ht="13">
      <c r="A2876" s="282"/>
      <c r="B2876" s="282"/>
      <c r="C2876" s="282"/>
      <c r="D2876" s="282"/>
      <c r="E2876" s="282"/>
      <c r="F2876" s="282"/>
      <c r="G2876" s="329"/>
      <c r="H2876" s="329"/>
      <c r="I2876" s="329"/>
      <c r="J2876" s="329"/>
      <c r="K2876" s="329"/>
      <c r="L2876" s="329"/>
      <c r="M2876" s="329"/>
      <c r="N2876" s="329"/>
      <c r="O2876" s="329"/>
      <c r="P2876" s="329"/>
      <c r="Q2876" s="329"/>
      <c r="R2876" s="329"/>
    </row>
    <row r="2877" spans="1:18" ht="13">
      <c r="A2877" s="282"/>
      <c r="B2877" s="282"/>
      <c r="C2877" s="282"/>
      <c r="D2877" s="282"/>
      <c r="E2877" s="282"/>
      <c r="F2877" s="282"/>
      <c r="G2877" s="329"/>
      <c r="H2877" s="329"/>
      <c r="I2877" s="329"/>
      <c r="J2877" s="329"/>
      <c r="K2877" s="329"/>
      <c r="L2877" s="329"/>
      <c r="M2877" s="329"/>
      <c r="N2877" s="329"/>
      <c r="O2877" s="329"/>
      <c r="P2877" s="329"/>
      <c r="Q2877" s="329"/>
      <c r="R2877" s="329"/>
    </row>
    <row r="2878" spans="1:18" ht="13">
      <c r="A2878" s="282"/>
      <c r="B2878" s="282"/>
      <c r="C2878" s="282"/>
      <c r="D2878" s="282"/>
      <c r="E2878" s="282"/>
      <c r="F2878" s="282"/>
      <c r="G2878" s="329"/>
      <c r="H2878" s="329"/>
      <c r="I2878" s="329"/>
      <c r="J2878" s="329"/>
      <c r="K2878" s="329"/>
      <c r="L2878" s="329"/>
      <c r="M2878" s="329"/>
      <c r="N2878" s="329"/>
      <c r="O2878" s="329"/>
      <c r="P2878" s="329"/>
      <c r="Q2878" s="329"/>
      <c r="R2878" s="329"/>
    </row>
    <row r="2879" spans="1:18" ht="13">
      <c r="A2879" s="282"/>
      <c r="B2879" s="282"/>
      <c r="C2879" s="282"/>
      <c r="D2879" s="282"/>
      <c r="E2879" s="282"/>
      <c r="F2879" s="282"/>
      <c r="G2879" s="329"/>
      <c r="H2879" s="329"/>
      <c r="I2879" s="329"/>
      <c r="J2879" s="329"/>
      <c r="K2879" s="329"/>
      <c r="L2879" s="329"/>
      <c r="M2879" s="329"/>
      <c r="N2879" s="329"/>
      <c r="O2879" s="329"/>
      <c r="P2879" s="329"/>
      <c r="Q2879" s="329"/>
      <c r="R2879" s="329"/>
    </row>
    <row r="2880" spans="1:18" ht="13">
      <c r="A2880" s="282"/>
      <c r="B2880" s="282"/>
      <c r="C2880" s="282"/>
      <c r="D2880" s="282"/>
      <c r="E2880" s="282"/>
      <c r="F2880" s="282"/>
      <c r="G2880" s="329"/>
      <c r="H2880" s="329"/>
      <c r="I2880" s="329"/>
      <c r="J2880" s="329"/>
      <c r="K2880" s="329"/>
      <c r="L2880" s="329"/>
      <c r="M2880" s="329"/>
      <c r="N2880" s="329"/>
      <c r="O2880" s="329"/>
      <c r="P2880" s="329"/>
      <c r="Q2880" s="329"/>
      <c r="R2880" s="329"/>
    </row>
    <row r="2881" spans="1:18" ht="13">
      <c r="A2881" s="282"/>
      <c r="B2881" s="282"/>
      <c r="C2881" s="282"/>
      <c r="D2881" s="282"/>
      <c r="E2881" s="282"/>
      <c r="F2881" s="282"/>
      <c r="G2881" s="329"/>
      <c r="H2881" s="329"/>
      <c r="I2881" s="329"/>
      <c r="J2881" s="329"/>
      <c r="K2881" s="329"/>
      <c r="L2881" s="329"/>
      <c r="M2881" s="329"/>
      <c r="N2881" s="329"/>
      <c r="O2881" s="329"/>
      <c r="P2881" s="329"/>
      <c r="Q2881" s="329"/>
      <c r="R2881" s="329"/>
    </row>
    <row r="2882" spans="1:18" ht="13">
      <c r="A2882" s="282"/>
      <c r="B2882" s="282"/>
      <c r="C2882" s="282"/>
      <c r="D2882" s="282"/>
      <c r="E2882" s="282"/>
      <c r="F2882" s="282"/>
      <c r="G2882" s="329"/>
      <c r="H2882" s="329"/>
      <c r="I2882" s="329"/>
      <c r="J2882" s="329"/>
      <c r="K2882" s="329"/>
      <c r="L2882" s="329"/>
      <c r="M2882" s="329"/>
      <c r="N2882" s="329"/>
      <c r="O2882" s="329"/>
      <c r="P2882" s="329"/>
      <c r="Q2882" s="329"/>
      <c r="R2882" s="329"/>
    </row>
    <row r="2883" spans="1:18" ht="13">
      <c r="A2883" s="282"/>
      <c r="B2883" s="282"/>
      <c r="C2883" s="282"/>
      <c r="D2883" s="282"/>
      <c r="E2883" s="282"/>
      <c r="F2883" s="282"/>
      <c r="G2883" s="329"/>
      <c r="H2883" s="329"/>
      <c r="I2883" s="329"/>
      <c r="J2883" s="329"/>
      <c r="K2883" s="329"/>
      <c r="L2883" s="329"/>
      <c r="M2883" s="329"/>
      <c r="N2883" s="329"/>
      <c r="O2883" s="329"/>
      <c r="P2883" s="329"/>
      <c r="Q2883" s="329"/>
      <c r="R2883" s="329"/>
    </row>
    <row r="2884" spans="1:18" ht="13">
      <c r="A2884" s="282"/>
      <c r="B2884" s="282"/>
      <c r="C2884" s="282"/>
      <c r="D2884" s="282"/>
      <c r="E2884" s="282"/>
      <c r="F2884" s="282"/>
      <c r="G2884" s="329"/>
      <c r="H2884" s="329"/>
      <c r="I2884" s="329"/>
      <c r="J2884" s="329"/>
      <c r="K2884" s="329"/>
      <c r="L2884" s="329"/>
      <c r="M2884" s="329"/>
      <c r="N2884" s="329"/>
      <c r="O2884" s="329"/>
      <c r="P2884" s="329"/>
      <c r="Q2884" s="329"/>
      <c r="R2884" s="329"/>
    </row>
    <row r="2885" spans="1:18" ht="13">
      <c r="A2885" s="282"/>
      <c r="B2885" s="282"/>
      <c r="C2885" s="282"/>
      <c r="D2885" s="282"/>
      <c r="E2885" s="282"/>
      <c r="F2885" s="282"/>
      <c r="G2885" s="329"/>
      <c r="H2885" s="329"/>
      <c r="I2885" s="329"/>
      <c r="J2885" s="329"/>
      <c r="K2885" s="329"/>
      <c r="L2885" s="329"/>
      <c r="M2885" s="329"/>
      <c r="N2885" s="329"/>
      <c r="O2885" s="329"/>
      <c r="P2885" s="329"/>
      <c r="Q2885" s="329"/>
      <c r="R2885" s="329"/>
    </row>
    <row r="2886" spans="1:18" ht="13">
      <c r="A2886" s="282"/>
      <c r="B2886" s="282"/>
      <c r="C2886" s="282"/>
      <c r="D2886" s="282"/>
      <c r="E2886" s="282"/>
      <c r="F2886" s="282"/>
      <c r="G2886" s="329"/>
      <c r="H2886" s="329"/>
      <c r="I2886" s="329"/>
      <c r="J2886" s="329"/>
      <c r="K2886" s="329"/>
      <c r="L2886" s="329"/>
      <c r="M2886" s="329"/>
      <c r="N2886" s="329"/>
      <c r="O2886" s="329"/>
      <c r="P2886" s="329"/>
      <c r="Q2886" s="329"/>
      <c r="R2886" s="329"/>
    </row>
    <row r="2887" spans="1:18" ht="13">
      <c r="A2887" s="282"/>
      <c r="B2887" s="282"/>
      <c r="C2887" s="282"/>
      <c r="D2887" s="282"/>
      <c r="E2887" s="282"/>
      <c r="F2887" s="282"/>
      <c r="G2887" s="329"/>
      <c r="H2887" s="329"/>
      <c r="I2887" s="329"/>
      <c r="J2887" s="329"/>
      <c r="K2887" s="329"/>
      <c r="L2887" s="329"/>
      <c r="M2887" s="329"/>
      <c r="N2887" s="329"/>
      <c r="O2887" s="329"/>
      <c r="P2887" s="329"/>
      <c r="Q2887" s="329"/>
      <c r="R2887" s="329"/>
    </row>
    <row r="2888" spans="1:18" ht="13">
      <c r="A2888" s="282"/>
      <c r="B2888" s="282"/>
      <c r="C2888" s="282"/>
      <c r="D2888" s="282"/>
      <c r="E2888" s="282"/>
      <c r="F2888" s="282"/>
      <c r="G2888" s="329"/>
      <c r="H2888" s="329"/>
      <c r="I2888" s="329"/>
      <c r="J2888" s="329"/>
      <c r="K2888" s="329"/>
      <c r="L2888" s="329"/>
      <c r="M2888" s="329"/>
      <c r="N2888" s="329"/>
      <c r="O2888" s="329"/>
      <c r="P2888" s="329"/>
      <c r="Q2888" s="329"/>
      <c r="R2888" s="329"/>
    </row>
    <row r="2889" spans="1:18" ht="13">
      <c r="A2889" s="282"/>
      <c r="B2889" s="282"/>
      <c r="C2889" s="282"/>
      <c r="D2889" s="282"/>
      <c r="E2889" s="282"/>
      <c r="F2889" s="282"/>
      <c r="G2889" s="329"/>
      <c r="H2889" s="329"/>
      <c r="I2889" s="329"/>
      <c r="J2889" s="329"/>
      <c r="K2889" s="329"/>
      <c r="L2889" s="329"/>
      <c r="M2889" s="329"/>
      <c r="N2889" s="329"/>
      <c r="O2889" s="329"/>
      <c r="P2889" s="329"/>
      <c r="Q2889" s="329"/>
      <c r="R2889" s="329"/>
    </row>
    <row r="2890" spans="1:18" ht="13">
      <c r="A2890" s="282"/>
      <c r="B2890" s="282"/>
      <c r="C2890" s="282"/>
      <c r="D2890" s="282"/>
      <c r="E2890" s="282"/>
      <c r="F2890" s="282"/>
      <c r="G2890" s="329"/>
      <c r="H2890" s="329"/>
      <c r="I2890" s="329"/>
      <c r="J2890" s="329"/>
      <c r="K2890" s="329"/>
      <c r="L2890" s="329"/>
      <c r="M2890" s="329"/>
      <c r="N2890" s="329"/>
      <c r="O2890" s="329"/>
      <c r="P2890" s="329"/>
      <c r="Q2890" s="329"/>
      <c r="R2890" s="329"/>
    </row>
    <row r="2891" spans="1:18" ht="13">
      <c r="A2891" s="282"/>
      <c r="B2891" s="282"/>
      <c r="C2891" s="282"/>
      <c r="D2891" s="282"/>
      <c r="E2891" s="282"/>
      <c r="F2891" s="282"/>
      <c r="G2891" s="329"/>
      <c r="H2891" s="329"/>
      <c r="I2891" s="329"/>
      <c r="J2891" s="329"/>
      <c r="K2891" s="329"/>
      <c r="L2891" s="329"/>
      <c r="M2891" s="329"/>
      <c r="N2891" s="329"/>
      <c r="O2891" s="329"/>
      <c r="P2891" s="329"/>
      <c r="Q2891" s="329"/>
      <c r="R2891" s="329"/>
    </row>
    <row r="2892" spans="1:18" ht="13">
      <c r="A2892" s="282"/>
      <c r="B2892" s="282"/>
      <c r="C2892" s="282"/>
      <c r="D2892" s="282"/>
      <c r="E2892" s="282"/>
      <c r="F2892" s="282"/>
      <c r="G2892" s="329"/>
      <c r="H2892" s="329"/>
      <c r="I2892" s="329"/>
      <c r="J2892" s="329"/>
      <c r="K2892" s="329"/>
      <c r="L2892" s="329"/>
      <c r="M2892" s="329"/>
      <c r="N2892" s="329"/>
      <c r="O2892" s="329"/>
      <c r="P2892" s="329"/>
      <c r="Q2892" s="329"/>
      <c r="R2892" s="329"/>
    </row>
    <row r="2893" spans="1:18" ht="13">
      <c r="A2893" s="282"/>
      <c r="B2893" s="282"/>
      <c r="C2893" s="282"/>
      <c r="D2893" s="282"/>
      <c r="E2893" s="282"/>
      <c r="F2893" s="282"/>
      <c r="G2893" s="329"/>
      <c r="H2893" s="329"/>
      <c r="I2893" s="329"/>
      <c r="J2893" s="329"/>
      <c r="K2893" s="329"/>
      <c r="L2893" s="329"/>
      <c r="M2893" s="329"/>
      <c r="N2893" s="329"/>
      <c r="O2893" s="329"/>
      <c r="P2893" s="329"/>
      <c r="Q2893" s="329"/>
      <c r="R2893" s="329"/>
    </row>
    <row r="2894" spans="1:18" ht="13">
      <c r="A2894" s="282"/>
      <c r="B2894" s="282"/>
      <c r="C2894" s="282"/>
      <c r="D2894" s="282"/>
      <c r="E2894" s="282"/>
      <c r="F2894" s="282"/>
      <c r="G2894" s="329"/>
      <c r="H2894" s="329"/>
      <c r="I2894" s="329"/>
      <c r="J2894" s="329"/>
      <c r="K2894" s="329"/>
      <c r="L2894" s="329"/>
      <c r="M2894" s="329"/>
      <c r="N2894" s="329"/>
      <c r="O2894" s="329"/>
      <c r="P2894" s="329"/>
      <c r="Q2894" s="329"/>
      <c r="R2894" s="329"/>
    </row>
    <row r="2895" spans="1:18" ht="13">
      <c r="A2895" s="282"/>
      <c r="B2895" s="282"/>
      <c r="C2895" s="282"/>
      <c r="D2895" s="282"/>
      <c r="E2895" s="282"/>
      <c r="F2895" s="282"/>
      <c r="G2895" s="329"/>
      <c r="H2895" s="329"/>
      <c r="I2895" s="329"/>
      <c r="J2895" s="329"/>
      <c r="K2895" s="329"/>
      <c r="L2895" s="329"/>
      <c r="M2895" s="329"/>
      <c r="N2895" s="329"/>
      <c r="O2895" s="329"/>
      <c r="P2895" s="329"/>
      <c r="Q2895" s="329"/>
      <c r="R2895" s="329"/>
    </row>
    <row r="2896" spans="1:18" ht="13">
      <c r="A2896" s="282"/>
      <c r="B2896" s="282"/>
      <c r="C2896" s="282"/>
      <c r="D2896" s="282"/>
      <c r="E2896" s="282"/>
      <c r="F2896" s="282"/>
      <c r="G2896" s="329"/>
      <c r="H2896" s="329"/>
      <c r="I2896" s="329"/>
      <c r="J2896" s="329"/>
      <c r="K2896" s="329"/>
      <c r="L2896" s="329"/>
      <c r="M2896" s="329"/>
      <c r="N2896" s="329"/>
      <c r="O2896" s="329"/>
      <c r="P2896" s="329"/>
      <c r="Q2896" s="329"/>
      <c r="R2896" s="329"/>
    </row>
    <row r="2897" spans="1:18" ht="13">
      <c r="A2897" s="282"/>
      <c r="B2897" s="282"/>
      <c r="C2897" s="282"/>
      <c r="D2897" s="282"/>
      <c r="E2897" s="282"/>
      <c r="F2897" s="282"/>
      <c r="G2897" s="329"/>
      <c r="H2897" s="329"/>
      <c r="I2897" s="329"/>
      <c r="J2897" s="329"/>
      <c r="K2897" s="329"/>
      <c r="L2897" s="329"/>
      <c r="M2897" s="329"/>
      <c r="N2897" s="329"/>
      <c r="O2897" s="329"/>
      <c r="P2897" s="329"/>
      <c r="Q2897" s="329"/>
      <c r="R2897" s="329"/>
    </row>
    <row r="2898" spans="1:18" ht="13">
      <c r="A2898" s="282"/>
      <c r="B2898" s="282"/>
      <c r="C2898" s="282"/>
      <c r="D2898" s="282"/>
      <c r="E2898" s="282"/>
      <c r="F2898" s="282"/>
      <c r="G2898" s="329"/>
      <c r="H2898" s="329"/>
      <c r="I2898" s="329"/>
      <c r="J2898" s="329"/>
      <c r="K2898" s="329"/>
      <c r="L2898" s="329"/>
      <c r="M2898" s="329"/>
      <c r="N2898" s="329"/>
      <c r="O2898" s="329"/>
      <c r="P2898" s="329"/>
      <c r="Q2898" s="329"/>
      <c r="R2898" s="329"/>
    </row>
    <row r="2899" spans="1:18" ht="13">
      <c r="A2899" s="282"/>
      <c r="B2899" s="282"/>
      <c r="C2899" s="282"/>
      <c r="D2899" s="282"/>
      <c r="E2899" s="282"/>
      <c r="F2899" s="282"/>
      <c r="G2899" s="329"/>
      <c r="H2899" s="329"/>
      <c r="I2899" s="329"/>
      <c r="J2899" s="329"/>
      <c r="K2899" s="329"/>
      <c r="L2899" s="329"/>
      <c r="M2899" s="329"/>
      <c r="N2899" s="329"/>
      <c r="O2899" s="329"/>
      <c r="P2899" s="329"/>
      <c r="Q2899" s="329"/>
      <c r="R2899" s="329"/>
    </row>
    <row r="2900" spans="1:18" ht="13">
      <c r="A2900" s="282"/>
      <c r="B2900" s="282"/>
      <c r="C2900" s="282"/>
      <c r="D2900" s="282"/>
      <c r="E2900" s="282"/>
      <c r="F2900" s="282"/>
      <c r="G2900" s="329"/>
      <c r="H2900" s="329"/>
      <c r="I2900" s="329"/>
      <c r="J2900" s="329"/>
      <c r="K2900" s="329"/>
      <c r="L2900" s="329"/>
      <c r="M2900" s="329"/>
      <c r="N2900" s="329"/>
      <c r="O2900" s="329"/>
      <c r="P2900" s="329"/>
      <c r="Q2900" s="329"/>
      <c r="R2900" s="329"/>
    </row>
    <row r="2901" spans="1:18" ht="13">
      <c r="A2901" s="282"/>
      <c r="B2901" s="282"/>
      <c r="C2901" s="282"/>
      <c r="D2901" s="282"/>
      <c r="E2901" s="282"/>
      <c r="F2901" s="282"/>
      <c r="G2901" s="329"/>
      <c r="H2901" s="329"/>
      <c r="I2901" s="329"/>
      <c r="J2901" s="329"/>
      <c r="K2901" s="329"/>
      <c r="L2901" s="329"/>
      <c r="M2901" s="329"/>
      <c r="N2901" s="329"/>
      <c r="O2901" s="329"/>
      <c r="P2901" s="329"/>
      <c r="Q2901" s="329"/>
      <c r="R2901" s="329"/>
    </row>
    <row r="2902" spans="1:18" ht="13">
      <c r="A2902" s="282"/>
      <c r="B2902" s="282"/>
      <c r="C2902" s="282"/>
      <c r="D2902" s="282"/>
      <c r="E2902" s="282"/>
      <c r="F2902" s="282"/>
      <c r="G2902" s="329"/>
      <c r="H2902" s="329"/>
      <c r="I2902" s="329"/>
      <c r="J2902" s="329"/>
      <c r="K2902" s="329"/>
      <c r="L2902" s="329"/>
      <c r="M2902" s="329"/>
      <c r="N2902" s="329"/>
      <c r="O2902" s="329"/>
      <c r="P2902" s="329"/>
      <c r="Q2902" s="329"/>
      <c r="R2902" s="329"/>
    </row>
    <row r="2903" spans="1:18" ht="13">
      <c r="A2903" s="282"/>
      <c r="B2903" s="282"/>
      <c r="C2903" s="282"/>
      <c r="D2903" s="282"/>
      <c r="E2903" s="282"/>
      <c r="F2903" s="282"/>
      <c r="G2903" s="329"/>
      <c r="H2903" s="329"/>
      <c r="I2903" s="329"/>
      <c r="J2903" s="329"/>
      <c r="K2903" s="329"/>
      <c r="L2903" s="329"/>
      <c r="M2903" s="329"/>
      <c r="N2903" s="329"/>
      <c r="O2903" s="329"/>
      <c r="P2903" s="329"/>
      <c r="Q2903" s="329"/>
      <c r="R2903" s="329"/>
    </row>
    <row r="2904" spans="1:18" ht="13">
      <c r="A2904" s="282"/>
      <c r="B2904" s="282"/>
      <c r="C2904" s="282"/>
      <c r="D2904" s="282"/>
      <c r="E2904" s="282"/>
      <c r="F2904" s="282"/>
      <c r="G2904" s="329"/>
      <c r="H2904" s="329"/>
      <c r="I2904" s="329"/>
      <c r="J2904" s="329"/>
      <c r="K2904" s="329"/>
      <c r="L2904" s="329"/>
      <c r="M2904" s="329"/>
      <c r="N2904" s="329"/>
      <c r="O2904" s="329"/>
      <c r="P2904" s="329"/>
      <c r="Q2904" s="329"/>
      <c r="R2904" s="329"/>
    </row>
    <row r="2905" spans="1:18" ht="13">
      <c r="A2905" s="282"/>
      <c r="B2905" s="282"/>
      <c r="C2905" s="282"/>
      <c r="D2905" s="282"/>
      <c r="E2905" s="282"/>
      <c r="F2905" s="282"/>
      <c r="G2905" s="329"/>
      <c r="H2905" s="329"/>
      <c r="I2905" s="329"/>
      <c r="J2905" s="329"/>
      <c r="K2905" s="329"/>
      <c r="L2905" s="329"/>
      <c r="M2905" s="329"/>
      <c r="N2905" s="329"/>
      <c r="O2905" s="329"/>
      <c r="P2905" s="329"/>
      <c r="Q2905" s="329"/>
      <c r="R2905" s="329"/>
    </row>
    <row r="2906" spans="1:18" ht="13">
      <c r="A2906" s="282"/>
      <c r="B2906" s="282"/>
      <c r="C2906" s="282"/>
      <c r="D2906" s="282"/>
      <c r="E2906" s="282"/>
      <c r="F2906" s="282"/>
      <c r="G2906" s="329"/>
      <c r="H2906" s="329"/>
      <c r="I2906" s="329"/>
      <c r="J2906" s="329"/>
      <c r="K2906" s="329"/>
      <c r="L2906" s="329"/>
      <c r="M2906" s="329"/>
      <c r="N2906" s="329"/>
      <c r="O2906" s="329"/>
      <c r="P2906" s="329"/>
      <c r="Q2906" s="329"/>
      <c r="R2906" s="329"/>
    </row>
    <row r="2907" spans="1:18" ht="13">
      <c r="A2907" s="282"/>
      <c r="B2907" s="282"/>
      <c r="C2907" s="282"/>
      <c r="D2907" s="282"/>
      <c r="E2907" s="282"/>
      <c r="F2907" s="282"/>
      <c r="G2907" s="329"/>
      <c r="H2907" s="329"/>
      <c r="I2907" s="329"/>
      <c r="J2907" s="329"/>
      <c r="K2907" s="329"/>
      <c r="L2907" s="329"/>
      <c r="M2907" s="329"/>
      <c r="N2907" s="329"/>
      <c r="O2907" s="329"/>
      <c r="P2907" s="329"/>
      <c r="Q2907" s="329"/>
      <c r="R2907" s="329"/>
    </row>
    <row r="2908" spans="1:18" ht="13">
      <c r="A2908" s="282"/>
      <c r="B2908" s="282"/>
      <c r="C2908" s="282"/>
      <c r="D2908" s="282"/>
      <c r="E2908" s="282"/>
      <c r="F2908" s="282"/>
      <c r="G2908" s="329"/>
      <c r="H2908" s="329"/>
      <c r="I2908" s="329"/>
      <c r="J2908" s="329"/>
      <c r="K2908" s="329"/>
      <c r="L2908" s="329"/>
      <c r="M2908" s="329"/>
      <c r="N2908" s="329"/>
      <c r="O2908" s="329"/>
      <c r="P2908" s="329"/>
      <c r="Q2908" s="329"/>
      <c r="R2908" s="329"/>
    </row>
    <row r="2909" spans="1:18" ht="13">
      <c r="A2909" s="282"/>
      <c r="B2909" s="282"/>
      <c r="C2909" s="282"/>
      <c r="D2909" s="282"/>
      <c r="E2909" s="282"/>
      <c r="F2909" s="282"/>
      <c r="G2909" s="329"/>
      <c r="H2909" s="329"/>
      <c r="I2909" s="329"/>
      <c r="J2909" s="329"/>
      <c r="K2909" s="329"/>
      <c r="L2909" s="329"/>
      <c r="M2909" s="329"/>
      <c r="N2909" s="329"/>
      <c r="O2909" s="329"/>
      <c r="P2909" s="329"/>
      <c r="Q2909" s="329"/>
      <c r="R2909" s="329"/>
    </row>
    <row r="2910" spans="1:18" ht="13">
      <c r="A2910" s="282"/>
      <c r="B2910" s="282"/>
      <c r="C2910" s="282"/>
      <c r="D2910" s="282"/>
      <c r="E2910" s="282"/>
      <c r="F2910" s="282"/>
      <c r="G2910" s="329"/>
      <c r="H2910" s="329"/>
      <c r="I2910" s="329"/>
      <c r="J2910" s="329"/>
      <c r="K2910" s="329"/>
      <c r="L2910" s="329"/>
      <c r="M2910" s="329"/>
      <c r="N2910" s="329"/>
      <c r="O2910" s="329"/>
      <c r="P2910" s="329"/>
      <c r="Q2910" s="329"/>
      <c r="R2910" s="329"/>
    </row>
    <row r="2911" spans="1:18" ht="13">
      <c r="A2911" s="282"/>
      <c r="B2911" s="282"/>
      <c r="C2911" s="282"/>
      <c r="D2911" s="282"/>
      <c r="E2911" s="282"/>
      <c r="F2911" s="282"/>
      <c r="G2911" s="329"/>
      <c r="H2911" s="329"/>
      <c r="I2911" s="329"/>
      <c r="J2911" s="329"/>
      <c r="K2911" s="329"/>
      <c r="L2911" s="329"/>
      <c r="M2911" s="329"/>
      <c r="N2911" s="329"/>
      <c r="O2911" s="329"/>
      <c r="P2911" s="329"/>
      <c r="Q2911" s="329"/>
      <c r="R2911" s="329"/>
    </row>
    <row r="2912" spans="1:18" ht="13">
      <c r="A2912" s="282"/>
      <c r="B2912" s="282"/>
      <c r="C2912" s="282"/>
      <c r="D2912" s="282"/>
      <c r="E2912" s="282"/>
      <c r="F2912" s="282"/>
      <c r="G2912" s="329"/>
      <c r="H2912" s="329"/>
      <c r="I2912" s="329"/>
      <c r="J2912" s="329"/>
      <c r="K2912" s="329"/>
      <c r="L2912" s="329"/>
      <c r="M2912" s="329"/>
      <c r="N2912" s="329"/>
      <c r="O2912" s="329"/>
      <c r="P2912" s="329"/>
      <c r="Q2912" s="329"/>
      <c r="R2912" s="329"/>
    </row>
    <row r="2913" spans="1:18" ht="13">
      <c r="A2913" s="282"/>
      <c r="B2913" s="282"/>
      <c r="C2913" s="282"/>
      <c r="D2913" s="282"/>
      <c r="E2913" s="282"/>
      <c r="F2913" s="282"/>
      <c r="G2913" s="329"/>
      <c r="H2913" s="329"/>
      <c r="I2913" s="329"/>
      <c r="J2913" s="329"/>
      <c r="K2913" s="329"/>
      <c r="L2913" s="329"/>
      <c r="M2913" s="329"/>
      <c r="N2913" s="329"/>
      <c r="O2913" s="329"/>
      <c r="P2913" s="329"/>
      <c r="Q2913" s="329"/>
      <c r="R2913" s="329"/>
    </row>
    <row r="2914" spans="1:18" ht="13">
      <c r="A2914" s="282"/>
      <c r="B2914" s="282"/>
      <c r="C2914" s="282"/>
      <c r="D2914" s="282"/>
      <c r="E2914" s="282"/>
      <c r="F2914" s="282"/>
      <c r="G2914" s="329"/>
      <c r="H2914" s="329"/>
      <c r="I2914" s="329"/>
      <c r="J2914" s="329"/>
      <c r="K2914" s="329"/>
      <c r="L2914" s="329"/>
      <c r="M2914" s="329"/>
      <c r="N2914" s="329"/>
      <c r="O2914" s="329"/>
      <c r="P2914" s="329"/>
      <c r="Q2914" s="329"/>
      <c r="R2914" s="329"/>
    </row>
    <row r="2915" spans="1:18" ht="13">
      <c r="A2915" s="282"/>
      <c r="B2915" s="282"/>
      <c r="C2915" s="282"/>
      <c r="D2915" s="282"/>
      <c r="E2915" s="282"/>
      <c r="F2915" s="282"/>
      <c r="G2915" s="329"/>
      <c r="H2915" s="329"/>
      <c r="I2915" s="329"/>
      <c r="J2915" s="329"/>
      <c r="K2915" s="329"/>
      <c r="L2915" s="329"/>
      <c r="M2915" s="329"/>
      <c r="N2915" s="329"/>
      <c r="O2915" s="329"/>
      <c r="P2915" s="329"/>
      <c r="Q2915" s="329"/>
      <c r="R2915" s="329"/>
    </row>
    <row r="2916" spans="1:18" ht="13">
      <c r="A2916" s="282"/>
      <c r="B2916" s="282"/>
      <c r="C2916" s="282"/>
      <c r="D2916" s="282"/>
      <c r="E2916" s="282"/>
      <c r="F2916" s="282"/>
      <c r="G2916" s="329"/>
      <c r="H2916" s="329"/>
      <c r="I2916" s="329"/>
      <c r="J2916" s="329"/>
      <c r="K2916" s="329"/>
      <c r="L2916" s="329"/>
      <c r="M2916" s="329"/>
      <c r="N2916" s="329"/>
      <c r="O2916" s="329"/>
      <c r="P2916" s="329"/>
      <c r="Q2916" s="329"/>
      <c r="R2916" s="329"/>
    </row>
    <row r="2917" spans="1:18" ht="13">
      <c r="A2917" s="282"/>
      <c r="B2917" s="282"/>
      <c r="C2917" s="282"/>
      <c r="D2917" s="282"/>
      <c r="E2917" s="282"/>
      <c r="F2917" s="282"/>
      <c r="G2917" s="329"/>
      <c r="H2917" s="329"/>
      <c r="I2917" s="329"/>
      <c r="J2917" s="329"/>
      <c r="K2917" s="329"/>
      <c r="L2917" s="329"/>
      <c r="M2917" s="329"/>
      <c r="N2917" s="329"/>
      <c r="O2917" s="329"/>
      <c r="P2917" s="329"/>
      <c r="Q2917" s="329"/>
      <c r="R2917" s="329"/>
    </row>
    <row r="2918" spans="1:18" ht="13">
      <c r="A2918" s="282"/>
      <c r="B2918" s="282"/>
      <c r="C2918" s="282"/>
      <c r="D2918" s="282"/>
      <c r="E2918" s="282"/>
      <c r="F2918" s="282"/>
      <c r="G2918" s="329"/>
      <c r="H2918" s="329"/>
      <c r="I2918" s="329"/>
      <c r="J2918" s="329"/>
      <c r="K2918" s="329"/>
      <c r="L2918" s="329"/>
      <c r="M2918" s="329"/>
      <c r="N2918" s="329"/>
      <c r="O2918" s="329"/>
      <c r="P2918" s="329"/>
      <c r="Q2918" s="329"/>
      <c r="R2918" s="329"/>
    </row>
    <row r="2919" spans="1:18" ht="13">
      <c r="A2919" s="282"/>
      <c r="B2919" s="282"/>
      <c r="C2919" s="282"/>
      <c r="D2919" s="282"/>
      <c r="E2919" s="282"/>
      <c r="F2919" s="282"/>
      <c r="G2919" s="329"/>
      <c r="H2919" s="329"/>
      <c r="I2919" s="329"/>
      <c r="J2919" s="329"/>
      <c r="K2919" s="329"/>
      <c r="L2919" s="329"/>
      <c r="M2919" s="329"/>
      <c r="N2919" s="329"/>
      <c r="O2919" s="329"/>
      <c r="P2919" s="329"/>
      <c r="Q2919" s="329"/>
      <c r="R2919" s="329"/>
    </row>
    <row r="2920" spans="1:18" ht="13">
      <c r="A2920" s="282"/>
      <c r="B2920" s="282"/>
      <c r="C2920" s="282"/>
      <c r="D2920" s="282"/>
      <c r="E2920" s="282"/>
      <c r="F2920" s="282"/>
      <c r="G2920" s="329"/>
      <c r="H2920" s="329"/>
      <c r="I2920" s="329"/>
      <c r="J2920" s="329"/>
      <c r="K2920" s="329"/>
      <c r="L2920" s="329"/>
      <c r="M2920" s="329"/>
      <c r="N2920" s="329"/>
      <c r="O2920" s="329"/>
      <c r="P2920" s="329"/>
      <c r="Q2920" s="329"/>
      <c r="R2920" s="329"/>
    </row>
    <row r="2921" spans="1:18" ht="13">
      <c r="A2921" s="282"/>
      <c r="B2921" s="282"/>
      <c r="C2921" s="282"/>
      <c r="D2921" s="282"/>
      <c r="E2921" s="282"/>
      <c r="F2921" s="282"/>
      <c r="G2921" s="329"/>
      <c r="H2921" s="329"/>
      <c r="I2921" s="329"/>
      <c r="J2921" s="329"/>
      <c r="K2921" s="329"/>
      <c r="L2921" s="329"/>
      <c r="M2921" s="329"/>
      <c r="N2921" s="329"/>
      <c r="O2921" s="329"/>
      <c r="P2921" s="329"/>
      <c r="Q2921" s="329"/>
      <c r="R2921" s="329"/>
    </row>
    <row r="2922" spans="1:18" ht="13">
      <c r="A2922" s="282"/>
      <c r="B2922" s="282"/>
      <c r="C2922" s="282"/>
      <c r="D2922" s="282"/>
      <c r="E2922" s="282"/>
      <c r="F2922" s="282"/>
      <c r="G2922" s="329"/>
      <c r="H2922" s="329"/>
      <c r="I2922" s="329"/>
      <c r="J2922" s="329"/>
      <c r="K2922" s="329"/>
      <c r="L2922" s="329"/>
      <c r="M2922" s="329"/>
      <c r="N2922" s="329"/>
      <c r="O2922" s="329"/>
      <c r="P2922" s="329"/>
      <c r="Q2922" s="329"/>
      <c r="R2922" s="329"/>
    </row>
    <row r="2923" spans="1:18" ht="13">
      <c r="A2923" s="282"/>
      <c r="B2923" s="282"/>
      <c r="C2923" s="282"/>
      <c r="D2923" s="282"/>
      <c r="E2923" s="282"/>
      <c r="F2923" s="282"/>
      <c r="G2923" s="329"/>
      <c r="H2923" s="329"/>
      <c r="I2923" s="329"/>
      <c r="J2923" s="329"/>
      <c r="K2923" s="329"/>
      <c r="L2923" s="329"/>
      <c r="M2923" s="329"/>
      <c r="N2923" s="329"/>
      <c r="O2923" s="329"/>
      <c r="P2923" s="329"/>
      <c r="Q2923" s="329"/>
      <c r="R2923" s="329"/>
    </row>
    <row r="2924" spans="1:18" ht="13">
      <c r="A2924" s="282"/>
      <c r="B2924" s="282"/>
      <c r="C2924" s="282"/>
      <c r="D2924" s="282"/>
      <c r="E2924" s="282"/>
      <c r="F2924" s="282"/>
      <c r="G2924" s="329"/>
      <c r="H2924" s="329"/>
      <c r="I2924" s="329"/>
      <c r="J2924" s="329"/>
      <c r="K2924" s="329"/>
      <c r="L2924" s="329"/>
      <c r="M2924" s="329"/>
      <c r="N2924" s="329"/>
      <c r="O2924" s="329"/>
      <c r="P2924" s="329"/>
      <c r="Q2924" s="329"/>
      <c r="R2924" s="329"/>
    </row>
    <row r="2925" spans="1:18" ht="13">
      <c r="A2925" s="282"/>
      <c r="B2925" s="282"/>
      <c r="C2925" s="282"/>
      <c r="D2925" s="282"/>
      <c r="E2925" s="282"/>
      <c r="F2925" s="282"/>
      <c r="G2925" s="329"/>
      <c r="H2925" s="329"/>
      <c r="I2925" s="329"/>
      <c r="J2925" s="329"/>
      <c r="K2925" s="329"/>
      <c r="L2925" s="329"/>
      <c r="M2925" s="329"/>
      <c r="N2925" s="329"/>
      <c r="O2925" s="329"/>
      <c r="P2925" s="329"/>
      <c r="Q2925" s="329"/>
      <c r="R2925" s="329"/>
    </row>
    <row r="2926" spans="1:18" ht="13">
      <c r="A2926" s="282"/>
      <c r="B2926" s="282"/>
      <c r="C2926" s="282"/>
      <c r="D2926" s="282"/>
      <c r="E2926" s="282"/>
      <c r="F2926" s="282"/>
      <c r="G2926" s="329"/>
      <c r="H2926" s="329"/>
      <c r="I2926" s="329"/>
      <c r="J2926" s="329"/>
      <c r="K2926" s="329"/>
      <c r="L2926" s="329"/>
      <c r="M2926" s="329"/>
      <c r="N2926" s="329"/>
      <c r="O2926" s="329"/>
      <c r="P2926" s="329"/>
      <c r="Q2926" s="329"/>
      <c r="R2926" s="329"/>
    </row>
    <row r="2927" spans="1:18" ht="13">
      <c r="A2927" s="282"/>
      <c r="B2927" s="282"/>
      <c r="C2927" s="282"/>
      <c r="D2927" s="282"/>
      <c r="E2927" s="282"/>
      <c r="F2927" s="282"/>
      <c r="G2927" s="329"/>
      <c r="H2927" s="329"/>
      <c r="I2927" s="329"/>
      <c r="J2927" s="329"/>
      <c r="K2927" s="329"/>
      <c r="L2927" s="329"/>
      <c r="M2927" s="329"/>
      <c r="N2927" s="329"/>
      <c r="O2927" s="329"/>
      <c r="P2927" s="329"/>
      <c r="Q2927" s="329"/>
      <c r="R2927" s="329"/>
    </row>
    <row r="2928" spans="1:18" ht="13">
      <c r="A2928" s="282"/>
      <c r="B2928" s="282"/>
      <c r="C2928" s="282"/>
      <c r="D2928" s="282"/>
      <c r="E2928" s="282"/>
      <c r="F2928" s="282"/>
      <c r="G2928" s="329"/>
      <c r="H2928" s="329"/>
      <c r="I2928" s="329"/>
      <c r="J2928" s="329"/>
      <c r="K2928" s="329"/>
      <c r="L2928" s="329"/>
      <c r="M2928" s="329"/>
      <c r="N2928" s="329"/>
      <c r="O2928" s="329"/>
      <c r="P2928" s="329"/>
      <c r="Q2928" s="329"/>
      <c r="R2928" s="329"/>
    </row>
    <row r="2929" spans="1:18" ht="13">
      <c r="A2929" s="282"/>
      <c r="B2929" s="282"/>
      <c r="C2929" s="282"/>
      <c r="D2929" s="282"/>
      <c r="E2929" s="282"/>
      <c r="F2929" s="282"/>
      <c r="G2929" s="329"/>
      <c r="H2929" s="329"/>
      <c r="I2929" s="329"/>
      <c r="J2929" s="329"/>
      <c r="K2929" s="329"/>
      <c r="L2929" s="329"/>
      <c r="M2929" s="329"/>
      <c r="N2929" s="329"/>
      <c r="O2929" s="329"/>
      <c r="P2929" s="329"/>
      <c r="Q2929" s="329"/>
      <c r="R2929" s="329"/>
    </row>
    <row r="2930" spans="1:18" ht="13">
      <c r="A2930" s="282"/>
      <c r="B2930" s="282"/>
      <c r="C2930" s="282"/>
      <c r="D2930" s="282"/>
      <c r="E2930" s="282"/>
      <c r="F2930" s="282"/>
      <c r="G2930" s="329"/>
      <c r="H2930" s="329"/>
      <c r="I2930" s="329"/>
      <c r="J2930" s="329"/>
      <c r="K2930" s="329"/>
      <c r="L2930" s="329"/>
      <c r="M2930" s="329"/>
      <c r="N2930" s="329"/>
      <c r="O2930" s="329"/>
      <c r="P2930" s="329"/>
      <c r="Q2930" s="329"/>
      <c r="R2930" s="329"/>
    </row>
    <row r="2931" spans="1:18" ht="13">
      <c r="A2931" s="282"/>
      <c r="B2931" s="282"/>
      <c r="C2931" s="282"/>
      <c r="D2931" s="282"/>
      <c r="E2931" s="282"/>
      <c r="F2931" s="282"/>
      <c r="G2931" s="329"/>
      <c r="H2931" s="329"/>
      <c r="I2931" s="329"/>
      <c r="J2931" s="329"/>
      <c r="K2931" s="329"/>
      <c r="L2931" s="329"/>
      <c r="M2931" s="329"/>
      <c r="N2931" s="329"/>
      <c r="O2931" s="329"/>
      <c r="P2931" s="329"/>
      <c r="Q2931" s="329"/>
      <c r="R2931" s="329"/>
    </row>
    <row r="2932" spans="1:18" ht="13">
      <c r="A2932" s="282"/>
      <c r="B2932" s="282"/>
      <c r="C2932" s="282"/>
      <c r="D2932" s="282"/>
      <c r="E2932" s="282"/>
      <c r="F2932" s="282"/>
      <c r="G2932" s="329"/>
      <c r="H2932" s="329"/>
      <c r="I2932" s="329"/>
      <c r="J2932" s="329"/>
      <c r="K2932" s="329"/>
      <c r="L2932" s="329"/>
      <c r="M2932" s="329"/>
      <c r="N2932" s="329"/>
      <c r="O2932" s="329"/>
      <c r="P2932" s="329"/>
      <c r="Q2932" s="329"/>
      <c r="R2932" s="329"/>
    </row>
    <row r="2933" spans="1:18" ht="13">
      <c r="A2933" s="282"/>
      <c r="B2933" s="282"/>
      <c r="C2933" s="282"/>
      <c r="D2933" s="282"/>
      <c r="E2933" s="282"/>
      <c r="F2933" s="282"/>
      <c r="G2933" s="329"/>
      <c r="H2933" s="329"/>
      <c r="I2933" s="329"/>
      <c r="J2933" s="329"/>
      <c r="K2933" s="329"/>
      <c r="L2933" s="329"/>
      <c r="M2933" s="329"/>
      <c r="N2933" s="329"/>
      <c r="O2933" s="329"/>
      <c r="P2933" s="329"/>
      <c r="Q2933" s="329"/>
      <c r="R2933" s="329"/>
    </row>
    <row r="2934" spans="1:18" ht="13">
      <c r="A2934" s="282"/>
      <c r="B2934" s="282"/>
      <c r="C2934" s="282"/>
      <c r="D2934" s="282"/>
      <c r="E2934" s="282"/>
      <c r="F2934" s="282"/>
      <c r="G2934" s="329"/>
      <c r="H2934" s="329"/>
      <c r="I2934" s="329"/>
      <c r="J2934" s="329"/>
      <c r="K2934" s="329"/>
      <c r="L2934" s="329"/>
      <c r="M2934" s="329"/>
      <c r="N2934" s="329"/>
      <c r="O2934" s="329"/>
      <c r="P2934" s="329"/>
      <c r="Q2934" s="329"/>
      <c r="R2934" s="329"/>
    </row>
    <row r="2935" spans="1:18" ht="13">
      <c r="A2935" s="282"/>
      <c r="B2935" s="282"/>
      <c r="C2935" s="282"/>
      <c r="D2935" s="282"/>
      <c r="E2935" s="282"/>
      <c r="F2935" s="282"/>
      <c r="G2935" s="329"/>
      <c r="H2935" s="329"/>
      <c r="I2935" s="329"/>
      <c r="J2935" s="329"/>
      <c r="K2935" s="329"/>
      <c r="L2935" s="329"/>
      <c r="M2935" s="329"/>
      <c r="N2935" s="329"/>
      <c r="O2935" s="329"/>
      <c r="P2935" s="329"/>
      <c r="Q2935" s="329"/>
      <c r="R2935" s="329"/>
    </row>
    <row r="2936" spans="1:18" ht="13">
      <c r="A2936" s="282"/>
      <c r="B2936" s="282"/>
      <c r="C2936" s="282"/>
      <c r="D2936" s="282"/>
      <c r="E2936" s="282"/>
      <c r="F2936" s="282"/>
      <c r="G2936" s="329"/>
      <c r="H2936" s="329"/>
      <c r="I2936" s="329"/>
      <c r="J2936" s="329"/>
      <c r="K2936" s="329"/>
      <c r="L2936" s="329"/>
      <c r="M2936" s="329"/>
      <c r="N2936" s="329"/>
      <c r="O2936" s="329"/>
      <c r="P2936" s="329"/>
      <c r="Q2936" s="329"/>
      <c r="R2936" s="329"/>
    </row>
    <row r="2937" spans="1:18" ht="13">
      <c r="A2937" s="282"/>
      <c r="B2937" s="282"/>
      <c r="C2937" s="282"/>
      <c r="D2937" s="282"/>
      <c r="E2937" s="282"/>
      <c r="F2937" s="282"/>
      <c r="G2937" s="329"/>
      <c r="H2937" s="329"/>
      <c r="I2937" s="329"/>
      <c r="J2937" s="329"/>
      <c r="K2937" s="329"/>
      <c r="L2937" s="329"/>
      <c r="M2937" s="329"/>
      <c r="N2937" s="329"/>
      <c r="O2937" s="329"/>
      <c r="P2937" s="329"/>
      <c r="Q2937" s="329"/>
      <c r="R2937" s="329"/>
    </row>
    <row r="2938" spans="1:18" ht="13">
      <c r="A2938" s="282"/>
      <c r="B2938" s="282"/>
      <c r="C2938" s="282"/>
      <c r="D2938" s="282"/>
      <c r="E2938" s="282"/>
      <c r="F2938" s="282"/>
      <c r="G2938" s="329"/>
      <c r="H2938" s="329"/>
      <c r="I2938" s="329"/>
      <c r="J2938" s="329"/>
      <c r="K2938" s="329"/>
      <c r="L2938" s="329"/>
      <c r="M2938" s="329"/>
      <c r="N2938" s="329"/>
      <c r="O2938" s="329"/>
      <c r="P2938" s="329"/>
      <c r="Q2938" s="329"/>
      <c r="R2938" s="329"/>
    </row>
    <row r="2939" spans="1:18" ht="13">
      <c r="A2939" s="282"/>
      <c r="B2939" s="282"/>
      <c r="C2939" s="282"/>
      <c r="D2939" s="282"/>
      <c r="E2939" s="282"/>
      <c r="F2939" s="282"/>
      <c r="G2939" s="329"/>
      <c r="H2939" s="329"/>
      <c r="I2939" s="329"/>
      <c r="J2939" s="329"/>
      <c r="K2939" s="329"/>
      <c r="L2939" s="329"/>
      <c r="M2939" s="329"/>
      <c r="N2939" s="329"/>
      <c r="O2939" s="329"/>
      <c r="P2939" s="329"/>
      <c r="Q2939" s="329"/>
      <c r="R2939" s="329"/>
    </row>
    <row r="2940" spans="1:18" ht="13">
      <c r="A2940" s="282"/>
      <c r="B2940" s="282"/>
      <c r="C2940" s="282"/>
      <c r="D2940" s="282"/>
      <c r="E2940" s="282"/>
      <c r="F2940" s="282"/>
      <c r="G2940" s="329"/>
      <c r="H2940" s="329"/>
      <c r="I2940" s="329"/>
      <c r="J2940" s="329"/>
      <c r="K2940" s="329"/>
      <c r="L2940" s="329"/>
      <c r="M2940" s="329"/>
      <c r="N2940" s="329"/>
      <c r="O2940" s="329"/>
      <c r="P2940" s="329"/>
      <c r="Q2940" s="329"/>
      <c r="R2940" s="329"/>
    </row>
    <row r="2941" spans="1:18" ht="13">
      <c r="A2941" s="282"/>
      <c r="B2941" s="282"/>
      <c r="C2941" s="282"/>
      <c r="D2941" s="282"/>
      <c r="E2941" s="282"/>
      <c r="F2941" s="282"/>
      <c r="G2941" s="329"/>
      <c r="H2941" s="329"/>
      <c r="I2941" s="329"/>
      <c r="J2941" s="329"/>
      <c r="K2941" s="329"/>
      <c r="L2941" s="329"/>
      <c r="M2941" s="329"/>
      <c r="N2941" s="329"/>
      <c r="O2941" s="329"/>
      <c r="P2941" s="329"/>
      <c r="Q2941" s="329"/>
      <c r="R2941" s="329"/>
    </row>
    <row r="2942" spans="1:18" ht="13">
      <c r="A2942" s="282"/>
      <c r="B2942" s="282"/>
      <c r="C2942" s="282"/>
      <c r="D2942" s="282"/>
      <c r="E2942" s="282"/>
      <c r="F2942" s="282"/>
      <c r="G2942" s="329"/>
      <c r="H2942" s="329"/>
      <c r="I2942" s="329"/>
      <c r="J2942" s="329"/>
      <c r="K2942" s="329"/>
      <c r="L2942" s="329"/>
      <c r="M2942" s="329"/>
      <c r="N2942" s="329"/>
      <c r="O2942" s="329"/>
      <c r="P2942" s="329"/>
      <c r="Q2942" s="329"/>
      <c r="R2942" s="329"/>
    </row>
    <row r="2943" spans="1:18" ht="13">
      <c r="A2943" s="282"/>
      <c r="B2943" s="282"/>
      <c r="C2943" s="282"/>
      <c r="D2943" s="282"/>
      <c r="E2943" s="282"/>
      <c r="F2943" s="282"/>
      <c r="G2943" s="329"/>
      <c r="H2943" s="329"/>
      <c r="I2943" s="329"/>
      <c r="J2943" s="329"/>
      <c r="K2943" s="329"/>
      <c r="L2943" s="329"/>
      <c r="M2943" s="329"/>
      <c r="N2943" s="329"/>
      <c r="O2943" s="329"/>
      <c r="P2943" s="329"/>
      <c r="Q2943" s="329"/>
      <c r="R2943" s="329"/>
    </row>
    <row r="2944" spans="1:18" ht="13">
      <c r="A2944" s="282"/>
      <c r="B2944" s="282"/>
      <c r="C2944" s="282"/>
      <c r="D2944" s="282"/>
      <c r="E2944" s="282"/>
      <c r="F2944" s="282"/>
      <c r="G2944" s="329"/>
      <c r="H2944" s="329"/>
      <c r="I2944" s="329"/>
      <c r="J2944" s="329"/>
      <c r="K2944" s="329"/>
      <c r="L2944" s="329"/>
      <c r="M2944" s="329"/>
      <c r="N2944" s="329"/>
      <c r="O2944" s="329"/>
      <c r="P2944" s="329"/>
      <c r="Q2944" s="329"/>
      <c r="R2944" s="329"/>
    </row>
    <row r="2945" spans="1:18" ht="13">
      <c r="A2945" s="282"/>
      <c r="B2945" s="282"/>
      <c r="C2945" s="282"/>
      <c r="D2945" s="282"/>
      <c r="E2945" s="282"/>
      <c r="F2945" s="282"/>
      <c r="G2945" s="329"/>
      <c r="H2945" s="329"/>
      <c r="I2945" s="329"/>
      <c r="J2945" s="329"/>
      <c r="K2945" s="329"/>
      <c r="L2945" s="329"/>
      <c r="M2945" s="329"/>
      <c r="N2945" s="329"/>
      <c r="O2945" s="329"/>
      <c r="P2945" s="329"/>
      <c r="Q2945" s="329"/>
      <c r="R2945" s="329"/>
    </row>
    <row r="2946" spans="1:18" ht="13">
      <c r="A2946" s="282"/>
      <c r="B2946" s="282"/>
      <c r="C2946" s="282"/>
      <c r="D2946" s="282"/>
      <c r="E2946" s="282"/>
      <c r="F2946" s="282"/>
      <c r="G2946" s="329"/>
      <c r="H2946" s="329"/>
      <c r="I2946" s="329"/>
      <c r="J2946" s="329"/>
      <c r="K2946" s="329"/>
      <c r="L2946" s="329"/>
      <c r="M2946" s="329"/>
      <c r="N2946" s="329"/>
      <c r="O2946" s="329"/>
      <c r="P2946" s="329"/>
      <c r="Q2946" s="329"/>
      <c r="R2946" s="329"/>
    </row>
    <row r="2947" spans="1:18" ht="13">
      <c r="A2947" s="282"/>
      <c r="B2947" s="282"/>
      <c r="C2947" s="282"/>
      <c r="D2947" s="282"/>
      <c r="E2947" s="282"/>
      <c r="F2947" s="282"/>
      <c r="G2947" s="329"/>
      <c r="H2947" s="329"/>
      <c r="I2947" s="329"/>
      <c r="J2947" s="329"/>
      <c r="K2947" s="329"/>
      <c r="L2947" s="329"/>
      <c r="M2947" s="329"/>
      <c r="N2947" s="329"/>
      <c r="O2947" s="329"/>
      <c r="P2947" s="329"/>
      <c r="Q2947" s="329"/>
      <c r="R2947" s="329"/>
    </row>
    <row r="2948" spans="1:18" ht="13">
      <c r="A2948" s="282"/>
      <c r="B2948" s="282"/>
      <c r="C2948" s="282"/>
      <c r="D2948" s="282"/>
      <c r="E2948" s="282"/>
      <c r="F2948" s="282"/>
      <c r="G2948" s="329"/>
      <c r="H2948" s="329"/>
      <c r="I2948" s="329"/>
      <c r="J2948" s="329"/>
      <c r="K2948" s="329"/>
      <c r="L2948" s="329"/>
      <c r="M2948" s="329"/>
      <c r="N2948" s="329"/>
      <c r="O2948" s="329"/>
      <c r="P2948" s="329"/>
      <c r="Q2948" s="329"/>
      <c r="R2948" s="329"/>
    </row>
    <row r="2949" spans="1:18" ht="13">
      <c r="A2949" s="282"/>
      <c r="B2949" s="282"/>
      <c r="C2949" s="282"/>
      <c r="D2949" s="282"/>
      <c r="E2949" s="282"/>
      <c r="F2949" s="282"/>
      <c r="G2949" s="329"/>
      <c r="H2949" s="329"/>
      <c r="I2949" s="329"/>
      <c r="J2949" s="329"/>
      <c r="K2949" s="329"/>
      <c r="L2949" s="329"/>
      <c r="M2949" s="329"/>
      <c r="N2949" s="329"/>
      <c r="O2949" s="329"/>
      <c r="P2949" s="329"/>
      <c r="Q2949" s="329"/>
      <c r="R2949" s="329"/>
    </row>
    <row r="2950" spans="1:18" ht="13">
      <c r="A2950" s="282"/>
      <c r="B2950" s="282"/>
      <c r="C2950" s="282"/>
      <c r="D2950" s="282"/>
      <c r="E2950" s="282"/>
      <c r="F2950" s="282"/>
      <c r="G2950" s="329"/>
      <c r="H2950" s="329"/>
      <c r="I2950" s="329"/>
      <c r="J2950" s="329"/>
      <c r="K2950" s="329"/>
      <c r="L2950" s="329"/>
      <c r="M2950" s="329"/>
      <c r="N2950" s="329"/>
      <c r="O2950" s="329"/>
      <c r="P2950" s="329"/>
      <c r="Q2950" s="329"/>
      <c r="R2950" s="329"/>
    </row>
    <row r="2951" spans="1:18" ht="13">
      <c r="A2951" s="282"/>
      <c r="B2951" s="282"/>
      <c r="C2951" s="282"/>
      <c r="D2951" s="282"/>
      <c r="E2951" s="282"/>
      <c r="F2951" s="282"/>
      <c r="G2951" s="329"/>
      <c r="H2951" s="329"/>
      <c r="I2951" s="329"/>
      <c r="J2951" s="329"/>
      <c r="K2951" s="329"/>
      <c r="L2951" s="329"/>
      <c r="M2951" s="329"/>
      <c r="N2951" s="329"/>
      <c r="O2951" s="329"/>
      <c r="P2951" s="329"/>
      <c r="Q2951" s="329"/>
      <c r="R2951" s="329"/>
    </row>
    <row r="2952" spans="1:18" ht="13">
      <c r="A2952" s="282"/>
      <c r="B2952" s="282"/>
      <c r="C2952" s="282"/>
      <c r="D2952" s="282"/>
      <c r="E2952" s="282"/>
      <c r="F2952" s="282"/>
      <c r="G2952" s="329"/>
      <c r="H2952" s="329"/>
      <c r="I2952" s="329"/>
      <c r="J2952" s="329"/>
      <c r="K2952" s="329"/>
      <c r="L2952" s="329"/>
      <c r="M2952" s="329"/>
      <c r="N2952" s="329"/>
      <c r="O2952" s="329"/>
      <c r="P2952" s="329"/>
      <c r="Q2952" s="329"/>
      <c r="R2952" s="329"/>
    </row>
    <row r="2953" spans="1:18" ht="13">
      <c r="A2953" s="282"/>
      <c r="B2953" s="282"/>
      <c r="C2953" s="282"/>
      <c r="D2953" s="282"/>
      <c r="E2953" s="282"/>
      <c r="F2953" s="282"/>
      <c r="G2953" s="329"/>
      <c r="H2953" s="329"/>
      <c r="I2953" s="329"/>
      <c r="J2953" s="329"/>
      <c r="K2953" s="329"/>
      <c r="L2953" s="329"/>
      <c r="M2953" s="329"/>
      <c r="N2953" s="329"/>
      <c r="O2953" s="329"/>
      <c r="P2953" s="329"/>
      <c r="Q2953" s="329"/>
      <c r="R2953" s="329"/>
    </row>
    <row r="2954" spans="1:18" ht="13">
      <c r="A2954" s="282"/>
      <c r="B2954" s="282"/>
      <c r="C2954" s="282"/>
      <c r="D2954" s="282"/>
      <c r="E2954" s="282"/>
      <c r="F2954" s="282"/>
      <c r="G2954" s="329"/>
      <c r="H2954" s="329"/>
      <c r="I2954" s="329"/>
      <c r="J2954" s="329"/>
      <c r="K2954" s="329"/>
      <c r="L2954" s="329"/>
      <c r="M2954" s="329"/>
      <c r="N2954" s="329"/>
      <c r="O2954" s="329"/>
      <c r="P2954" s="329"/>
      <c r="Q2954" s="329"/>
      <c r="R2954" s="329"/>
    </row>
    <row r="2955" spans="1:18" ht="13">
      <c r="A2955" s="282"/>
      <c r="B2955" s="282"/>
      <c r="C2955" s="282"/>
      <c r="D2955" s="282"/>
      <c r="E2955" s="282"/>
      <c r="F2955" s="282"/>
      <c r="G2955" s="329"/>
      <c r="H2955" s="329"/>
      <c r="I2955" s="329"/>
      <c r="J2955" s="329"/>
      <c r="K2955" s="329"/>
      <c r="L2955" s="329"/>
      <c r="M2955" s="329"/>
      <c r="N2955" s="329"/>
      <c r="O2955" s="329"/>
      <c r="P2955" s="329"/>
      <c r="Q2955" s="329"/>
      <c r="R2955" s="329"/>
    </row>
    <row r="2956" spans="1:18" ht="13">
      <c r="A2956" s="282"/>
      <c r="B2956" s="282"/>
      <c r="C2956" s="282"/>
      <c r="D2956" s="282"/>
      <c r="E2956" s="282"/>
      <c r="F2956" s="282"/>
      <c r="G2956" s="329"/>
      <c r="H2956" s="329"/>
      <c r="I2956" s="329"/>
      <c r="J2956" s="329"/>
      <c r="K2956" s="329"/>
      <c r="L2956" s="329"/>
      <c r="M2956" s="329"/>
      <c r="N2956" s="329"/>
      <c r="O2956" s="329"/>
      <c r="P2956" s="329"/>
      <c r="Q2956" s="329"/>
      <c r="R2956" s="329"/>
    </row>
    <row r="2957" spans="1:18" ht="13">
      <c r="A2957" s="282"/>
      <c r="B2957" s="282"/>
      <c r="C2957" s="282"/>
      <c r="D2957" s="282"/>
      <c r="E2957" s="282"/>
      <c r="F2957" s="282"/>
      <c r="G2957" s="329"/>
      <c r="H2957" s="329"/>
      <c r="I2957" s="329"/>
      <c r="J2957" s="329"/>
      <c r="K2957" s="329"/>
      <c r="L2957" s="329"/>
      <c r="M2957" s="329"/>
      <c r="N2957" s="329"/>
      <c r="O2957" s="329"/>
      <c r="P2957" s="329"/>
      <c r="Q2957" s="329"/>
      <c r="R2957" s="329"/>
    </row>
    <row r="2958" spans="1:18" ht="13">
      <c r="A2958" s="282"/>
      <c r="B2958" s="282"/>
      <c r="C2958" s="282"/>
      <c r="D2958" s="282"/>
      <c r="E2958" s="282"/>
      <c r="F2958" s="282"/>
      <c r="G2958" s="329"/>
      <c r="H2958" s="329"/>
      <c r="I2958" s="329"/>
      <c r="J2958" s="329"/>
      <c r="K2958" s="329"/>
      <c r="L2958" s="329"/>
      <c r="M2958" s="329"/>
      <c r="N2958" s="329"/>
      <c r="O2958" s="329"/>
      <c r="P2958" s="329"/>
      <c r="Q2958" s="329"/>
      <c r="R2958" s="329"/>
    </row>
    <row r="2959" spans="1:18" ht="13">
      <c r="A2959" s="282"/>
      <c r="B2959" s="282"/>
      <c r="C2959" s="282"/>
      <c r="D2959" s="282"/>
      <c r="E2959" s="282"/>
      <c r="F2959" s="282"/>
      <c r="G2959" s="329"/>
      <c r="H2959" s="329"/>
      <c r="I2959" s="329"/>
      <c r="J2959" s="329"/>
      <c r="K2959" s="329"/>
      <c r="L2959" s="329"/>
      <c r="M2959" s="329"/>
      <c r="N2959" s="329"/>
      <c r="O2959" s="329"/>
      <c r="P2959" s="329"/>
      <c r="Q2959" s="329"/>
      <c r="R2959" s="329"/>
    </row>
    <row r="2960" spans="1:18" ht="13">
      <c r="A2960" s="282"/>
      <c r="B2960" s="282"/>
      <c r="C2960" s="282"/>
      <c r="D2960" s="282"/>
      <c r="E2960" s="282"/>
      <c r="F2960" s="282"/>
      <c r="G2960" s="329"/>
      <c r="H2960" s="329"/>
      <c r="I2960" s="329"/>
      <c r="J2960" s="329"/>
      <c r="K2960" s="329"/>
      <c r="L2960" s="329"/>
      <c r="M2960" s="329"/>
      <c r="N2960" s="329"/>
      <c r="O2960" s="329"/>
      <c r="P2960" s="329"/>
      <c r="Q2960" s="329"/>
      <c r="R2960" s="329"/>
    </row>
    <row r="2961" spans="1:18" ht="13">
      <c r="A2961" s="282"/>
      <c r="B2961" s="282"/>
      <c r="C2961" s="282"/>
      <c r="D2961" s="282"/>
      <c r="E2961" s="282"/>
      <c r="F2961" s="282"/>
      <c r="G2961" s="329"/>
      <c r="H2961" s="329"/>
      <c r="I2961" s="329"/>
      <c r="J2961" s="329"/>
      <c r="K2961" s="329"/>
      <c r="L2961" s="329"/>
      <c r="M2961" s="329"/>
      <c r="N2961" s="329"/>
      <c r="O2961" s="329"/>
      <c r="P2961" s="329"/>
      <c r="Q2961" s="329"/>
      <c r="R2961" s="329"/>
    </row>
    <row r="2962" spans="1:18" ht="13">
      <c r="A2962" s="282"/>
      <c r="B2962" s="282"/>
      <c r="C2962" s="282"/>
      <c r="D2962" s="282"/>
      <c r="E2962" s="282"/>
      <c r="F2962" s="282"/>
      <c r="G2962" s="329"/>
      <c r="H2962" s="329"/>
      <c r="I2962" s="329"/>
      <c r="J2962" s="329"/>
      <c r="K2962" s="329"/>
      <c r="L2962" s="329"/>
      <c r="M2962" s="329"/>
      <c r="N2962" s="329"/>
      <c r="O2962" s="329"/>
      <c r="P2962" s="329"/>
      <c r="Q2962" s="329"/>
      <c r="R2962" s="329"/>
    </row>
    <row r="2963" spans="1:18" ht="13">
      <c r="A2963" s="282"/>
      <c r="B2963" s="282"/>
      <c r="C2963" s="282"/>
      <c r="D2963" s="282"/>
      <c r="E2963" s="282"/>
      <c r="F2963" s="282"/>
      <c r="G2963" s="329"/>
      <c r="H2963" s="329"/>
      <c r="I2963" s="329"/>
      <c r="J2963" s="329"/>
      <c r="K2963" s="329"/>
      <c r="L2963" s="329"/>
      <c r="M2963" s="329"/>
      <c r="N2963" s="329"/>
      <c r="O2963" s="329"/>
      <c r="P2963" s="329"/>
      <c r="Q2963" s="329"/>
      <c r="R2963" s="329"/>
    </row>
    <row r="2964" spans="1:18" ht="13">
      <c r="A2964" s="282"/>
      <c r="B2964" s="282"/>
      <c r="C2964" s="282"/>
      <c r="D2964" s="282"/>
      <c r="E2964" s="282"/>
      <c r="F2964" s="282"/>
      <c r="G2964" s="329"/>
      <c r="H2964" s="329"/>
      <c r="I2964" s="329"/>
      <c r="J2964" s="329"/>
      <c r="K2964" s="329"/>
      <c r="L2964" s="329"/>
      <c r="M2964" s="329"/>
      <c r="N2964" s="329"/>
      <c r="O2964" s="329"/>
      <c r="P2964" s="329"/>
      <c r="Q2964" s="329"/>
      <c r="R2964" s="329"/>
    </row>
    <row r="2965" spans="1:18" ht="13">
      <c r="A2965" s="282"/>
      <c r="B2965" s="282"/>
      <c r="C2965" s="282"/>
      <c r="D2965" s="282"/>
      <c r="E2965" s="282"/>
      <c r="F2965" s="282"/>
      <c r="G2965" s="329"/>
      <c r="H2965" s="329"/>
      <c r="I2965" s="329"/>
      <c r="J2965" s="329"/>
      <c r="K2965" s="329"/>
      <c r="L2965" s="329"/>
      <c r="M2965" s="329"/>
      <c r="N2965" s="329"/>
      <c r="O2965" s="329"/>
      <c r="P2965" s="329"/>
      <c r="Q2965" s="329"/>
      <c r="R2965" s="329"/>
    </row>
    <row r="2966" spans="1:18" ht="13">
      <c r="A2966" s="282"/>
      <c r="B2966" s="282"/>
      <c r="C2966" s="282"/>
      <c r="D2966" s="282"/>
      <c r="E2966" s="282"/>
      <c r="F2966" s="282"/>
      <c r="G2966" s="329"/>
      <c r="H2966" s="329"/>
      <c r="I2966" s="329"/>
      <c r="J2966" s="329"/>
      <c r="K2966" s="329"/>
      <c r="L2966" s="329"/>
      <c r="M2966" s="329"/>
      <c r="N2966" s="329"/>
      <c r="O2966" s="329"/>
      <c r="P2966" s="329"/>
      <c r="Q2966" s="329"/>
      <c r="R2966" s="329"/>
    </row>
    <row r="2967" spans="1:18" ht="13">
      <c r="A2967" s="282"/>
      <c r="B2967" s="282"/>
      <c r="C2967" s="282"/>
      <c r="D2967" s="282"/>
      <c r="E2967" s="282"/>
      <c r="F2967" s="282"/>
      <c r="G2967" s="329"/>
      <c r="H2967" s="329"/>
      <c r="I2967" s="329"/>
      <c r="J2967" s="329"/>
      <c r="K2967" s="329"/>
      <c r="L2967" s="329"/>
      <c r="M2967" s="329"/>
      <c r="N2967" s="329"/>
      <c r="O2967" s="329"/>
      <c r="P2967" s="329"/>
      <c r="Q2967" s="329"/>
      <c r="R2967" s="329"/>
    </row>
    <row r="2968" spans="1:18" ht="13">
      <c r="A2968" s="282"/>
      <c r="B2968" s="282"/>
      <c r="C2968" s="282"/>
      <c r="D2968" s="282"/>
      <c r="E2968" s="282"/>
      <c r="F2968" s="282"/>
      <c r="G2968" s="329"/>
      <c r="H2968" s="329"/>
      <c r="I2968" s="329"/>
      <c r="J2968" s="329"/>
      <c r="K2968" s="329"/>
      <c r="L2968" s="329"/>
      <c r="M2968" s="329"/>
      <c r="N2968" s="329"/>
      <c r="O2968" s="329"/>
      <c r="P2968" s="329"/>
      <c r="Q2968" s="329"/>
      <c r="R2968" s="329"/>
    </row>
    <row r="2969" spans="1:18" ht="13">
      <c r="A2969" s="282"/>
      <c r="B2969" s="282"/>
      <c r="C2969" s="282"/>
      <c r="D2969" s="282"/>
      <c r="E2969" s="282"/>
      <c r="F2969" s="282"/>
      <c r="G2969" s="329"/>
      <c r="H2969" s="329"/>
      <c r="I2969" s="329"/>
      <c r="J2969" s="329"/>
      <c r="K2969" s="329"/>
      <c r="L2969" s="329"/>
      <c r="M2969" s="329"/>
      <c r="N2969" s="329"/>
      <c r="O2969" s="329"/>
      <c r="P2969" s="329"/>
      <c r="Q2969" s="329"/>
      <c r="R2969" s="329"/>
    </row>
    <row r="2970" spans="1:18" ht="13">
      <c r="A2970" s="282"/>
      <c r="B2970" s="282"/>
      <c r="C2970" s="282"/>
      <c r="D2970" s="282"/>
      <c r="E2970" s="282"/>
      <c r="F2970" s="282"/>
      <c r="G2970" s="329"/>
      <c r="H2970" s="329"/>
      <c r="I2970" s="329"/>
      <c r="J2970" s="329"/>
      <c r="K2970" s="329"/>
      <c r="L2970" s="329"/>
      <c r="M2970" s="329"/>
      <c r="N2970" s="329"/>
      <c r="O2970" s="329"/>
      <c r="P2970" s="329"/>
      <c r="Q2970" s="329"/>
      <c r="R2970" s="329"/>
    </row>
    <row r="2971" spans="1:18" ht="13">
      <c r="A2971" s="282"/>
      <c r="B2971" s="282"/>
      <c r="C2971" s="282"/>
      <c r="D2971" s="282"/>
      <c r="E2971" s="282"/>
      <c r="F2971" s="282"/>
      <c r="G2971" s="329"/>
      <c r="H2971" s="329"/>
      <c r="I2971" s="329"/>
      <c r="J2971" s="329"/>
      <c r="K2971" s="329"/>
      <c r="L2971" s="329"/>
      <c r="M2971" s="329"/>
      <c r="N2971" s="329"/>
      <c r="O2971" s="329"/>
      <c r="P2971" s="329"/>
      <c r="Q2971" s="329"/>
      <c r="R2971" s="329"/>
    </row>
    <row r="2972" spans="1:18" ht="13">
      <c r="A2972" s="282"/>
      <c r="B2972" s="282"/>
      <c r="C2972" s="282"/>
      <c r="D2972" s="282"/>
      <c r="E2972" s="282"/>
      <c r="F2972" s="282"/>
      <c r="G2972" s="329"/>
      <c r="H2972" s="329"/>
      <c r="I2972" s="329"/>
      <c r="J2972" s="329"/>
      <c r="K2972" s="329"/>
      <c r="L2972" s="329"/>
      <c r="M2972" s="329"/>
      <c r="N2972" s="329"/>
      <c r="O2972" s="329"/>
      <c r="P2972" s="329"/>
      <c r="Q2972" s="329"/>
      <c r="R2972" s="329"/>
    </row>
    <row r="2973" spans="1:18" ht="13">
      <c r="A2973" s="282"/>
      <c r="B2973" s="282"/>
      <c r="C2973" s="282"/>
      <c r="D2973" s="282"/>
      <c r="E2973" s="282"/>
      <c r="F2973" s="282"/>
      <c r="G2973" s="329"/>
      <c r="H2973" s="329"/>
      <c r="I2973" s="329"/>
      <c r="J2973" s="329"/>
      <c r="K2973" s="329"/>
      <c r="L2973" s="329"/>
      <c r="M2973" s="329"/>
      <c r="N2973" s="329"/>
      <c r="O2973" s="329"/>
      <c r="P2973" s="329"/>
      <c r="Q2973" s="329"/>
      <c r="R2973" s="329"/>
    </row>
    <row r="2974" spans="1:18" ht="13">
      <c r="A2974" s="282"/>
      <c r="B2974" s="282"/>
      <c r="C2974" s="282"/>
      <c r="D2974" s="282"/>
      <c r="E2974" s="282"/>
      <c r="F2974" s="282"/>
      <c r="G2974" s="329"/>
      <c r="H2974" s="329"/>
      <c r="I2974" s="329"/>
      <c r="J2974" s="329"/>
      <c r="K2974" s="329"/>
      <c r="L2974" s="329"/>
      <c r="M2974" s="329"/>
      <c r="N2974" s="329"/>
      <c r="O2974" s="329"/>
      <c r="P2974" s="329"/>
      <c r="Q2974" s="329"/>
      <c r="R2974" s="329"/>
    </row>
    <row r="2975" spans="1:18" ht="13">
      <c r="A2975" s="282"/>
      <c r="B2975" s="282"/>
      <c r="C2975" s="282"/>
      <c r="D2975" s="282"/>
      <c r="E2975" s="282"/>
      <c r="F2975" s="282"/>
      <c r="G2975" s="329"/>
      <c r="H2975" s="329"/>
      <c r="I2975" s="329"/>
      <c r="J2975" s="329"/>
      <c r="K2975" s="329"/>
      <c r="L2975" s="329"/>
      <c r="M2975" s="329"/>
      <c r="N2975" s="329"/>
      <c r="O2975" s="329"/>
      <c r="P2975" s="329"/>
      <c r="Q2975" s="329"/>
      <c r="R2975" s="329"/>
    </row>
    <row r="2976" spans="1:18" ht="13">
      <c r="A2976" s="282"/>
      <c r="B2976" s="282"/>
      <c r="C2976" s="282"/>
      <c r="D2976" s="282"/>
      <c r="E2976" s="282"/>
      <c r="F2976" s="282"/>
      <c r="G2976" s="329"/>
      <c r="H2976" s="329"/>
      <c r="I2976" s="329"/>
      <c r="J2976" s="329"/>
      <c r="K2976" s="329"/>
      <c r="L2976" s="329"/>
      <c r="M2976" s="329"/>
      <c r="N2976" s="329"/>
      <c r="O2976" s="329"/>
      <c r="P2976" s="329"/>
      <c r="Q2976" s="329"/>
      <c r="R2976" s="329"/>
    </row>
    <row r="2977" spans="1:18" ht="13">
      <c r="A2977" s="282"/>
      <c r="B2977" s="282"/>
      <c r="C2977" s="282"/>
      <c r="D2977" s="282"/>
      <c r="E2977" s="282"/>
      <c r="F2977" s="282"/>
      <c r="G2977" s="329"/>
      <c r="H2977" s="329"/>
      <c r="I2977" s="329"/>
      <c r="J2977" s="329"/>
      <c r="K2977" s="329"/>
      <c r="L2977" s="329"/>
      <c r="M2977" s="329"/>
      <c r="N2977" s="329"/>
      <c r="O2977" s="329"/>
      <c r="P2977" s="329"/>
      <c r="Q2977" s="329"/>
      <c r="R2977" s="329"/>
    </row>
    <row r="2978" spans="1:18" ht="13">
      <c r="A2978" s="282"/>
      <c r="B2978" s="282"/>
      <c r="C2978" s="282"/>
      <c r="D2978" s="282"/>
      <c r="E2978" s="282"/>
      <c r="F2978" s="282"/>
      <c r="G2978" s="329"/>
      <c r="H2978" s="329"/>
      <c r="I2978" s="329"/>
      <c r="J2978" s="329"/>
      <c r="K2978" s="329"/>
      <c r="L2978" s="329"/>
      <c r="M2978" s="329"/>
      <c r="N2978" s="329"/>
      <c r="O2978" s="329"/>
      <c r="P2978" s="329"/>
      <c r="Q2978" s="329"/>
      <c r="R2978" s="329"/>
    </row>
    <row r="2979" spans="1:18" ht="13">
      <c r="A2979" s="282"/>
      <c r="B2979" s="282"/>
      <c r="C2979" s="282"/>
      <c r="D2979" s="282"/>
      <c r="E2979" s="282"/>
      <c r="F2979" s="282"/>
      <c r="G2979" s="329"/>
      <c r="H2979" s="329"/>
      <c r="I2979" s="329"/>
      <c r="J2979" s="329"/>
      <c r="K2979" s="329"/>
      <c r="L2979" s="329"/>
      <c r="M2979" s="329"/>
      <c r="N2979" s="329"/>
      <c r="O2979" s="329"/>
      <c r="P2979" s="329"/>
      <c r="Q2979" s="329"/>
      <c r="R2979" s="329"/>
    </row>
    <row r="2980" spans="1:18" ht="13">
      <c r="A2980" s="282"/>
      <c r="B2980" s="282"/>
      <c r="C2980" s="282"/>
      <c r="D2980" s="282"/>
      <c r="E2980" s="282"/>
      <c r="F2980" s="282"/>
      <c r="G2980" s="329"/>
      <c r="H2980" s="329"/>
      <c r="I2980" s="329"/>
      <c r="J2980" s="329"/>
      <c r="K2980" s="329"/>
      <c r="L2980" s="329"/>
      <c r="M2980" s="329"/>
      <c r="N2980" s="329"/>
      <c r="O2980" s="329"/>
      <c r="P2980" s="329"/>
      <c r="Q2980" s="329"/>
      <c r="R2980" s="329"/>
    </row>
    <row r="2981" spans="1:18" ht="13">
      <c r="A2981" s="282"/>
      <c r="B2981" s="282"/>
      <c r="C2981" s="282"/>
      <c r="D2981" s="282"/>
      <c r="E2981" s="282"/>
      <c r="F2981" s="282"/>
      <c r="G2981" s="329"/>
      <c r="H2981" s="329"/>
      <c r="I2981" s="329"/>
      <c r="J2981" s="329"/>
      <c r="K2981" s="329"/>
      <c r="L2981" s="329"/>
      <c r="M2981" s="329"/>
      <c r="N2981" s="329"/>
      <c r="O2981" s="329"/>
      <c r="P2981" s="329"/>
      <c r="Q2981" s="329"/>
      <c r="R2981" s="329"/>
    </row>
    <row r="2982" spans="1:18" ht="13">
      <c r="A2982" s="282"/>
      <c r="B2982" s="282"/>
      <c r="C2982" s="282"/>
      <c r="D2982" s="282"/>
      <c r="E2982" s="282"/>
      <c r="F2982" s="282"/>
      <c r="G2982" s="329"/>
      <c r="H2982" s="329"/>
      <c r="I2982" s="329"/>
      <c r="J2982" s="329"/>
      <c r="K2982" s="329"/>
      <c r="L2982" s="329"/>
      <c r="M2982" s="329"/>
      <c r="N2982" s="329"/>
      <c r="O2982" s="329"/>
      <c r="P2982" s="329"/>
      <c r="Q2982" s="329"/>
      <c r="R2982" s="329"/>
    </row>
    <row r="2983" spans="1:18" ht="13">
      <c r="A2983" s="282"/>
      <c r="B2983" s="282"/>
      <c r="C2983" s="282"/>
      <c r="D2983" s="282"/>
      <c r="E2983" s="282"/>
      <c r="F2983" s="282"/>
      <c r="G2983" s="329"/>
      <c r="H2983" s="329"/>
      <c r="I2983" s="329"/>
      <c r="J2983" s="329"/>
      <c r="K2983" s="329"/>
      <c r="L2983" s="329"/>
      <c r="M2983" s="329"/>
      <c r="N2983" s="329"/>
      <c r="O2983" s="329"/>
      <c r="P2983" s="329"/>
      <c r="Q2983" s="329"/>
      <c r="R2983" s="329"/>
    </row>
    <row r="2984" spans="1:18" ht="13">
      <c r="A2984" s="282"/>
      <c r="B2984" s="282"/>
      <c r="C2984" s="282"/>
      <c r="D2984" s="282"/>
      <c r="E2984" s="282"/>
      <c r="F2984" s="282"/>
      <c r="G2984" s="329"/>
      <c r="H2984" s="329"/>
      <c r="I2984" s="329"/>
      <c r="J2984" s="329"/>
      <c r="K2984" s="329"/>
      <c r="L2984" s="329"/>
      <c r="M2984" s="329"/>
      <c r="N2984" s="329"/>
      <c r="O2984" s="329"/>
      <c r="P2984" s="329"/>
      <c r="Q2984" s="329"/>
      <c r="R2984" s="329"/>
    </row>
    <row r="2985" spans="1:18" ht="13">
      <c r="A2985" s="282"/>
      <c r="B2985" s="282"/>
      <c r="C2985" s="282"/>
      <c r="D2985" s="282"/>
      <c r="E2985" s="282"/>
      <c r="F2985" s="282"/>
      <c r="G2985" s="329"/>
      <c r="H2985" s="329"/>
      <c r="I2985" s="329"/>
      <c r="J2985" s="329"/>
      <c r="K2985" s="329"/>
      <c r="L2985" s="329"/>
      <c r="M2985" s="329"/>
      <c r="N2985" s="329"/>
      <c r="O2985" s="329"/>
      <c r="P2985" s="329"/>
      <c r="Q2985" s="329"/>
      <c r="R2985" s="329"/>
    </row>
    <row r="2986" spans="1:18" ht="13">
      <c r="A2986" s="282"/>
      <c r="B2986" s="282"/>
      <c r="C2986" s="282"/>
      <c r="D2986" s="282"/>
      <c r="E2986" s="282"/>
      <c r="F2986" s="282"/>
      <c r="G2986" s="329"/>
      <c r="H2986" s="329"/>
      <c r="I2986" s="329"/>
      <c r="J2986" s="329"/>
      <c r="K2986" s="329"/>
      <c r="L2986" s="329"/>
      <c r="M2986" s="329"/>
      <c r="N2986" s="329"/>
      <c r="O2986" s="329"/>
      <c r="P2986" s="329"/>
      <c r="Q2986" s="329"/>
      <c r="R2986" s="329"/>
    </row>
    <row r="2987" spans="1:18" ht="13">
      <c r="A2987" s="282"/>
      <c r="B2987" s="282"/>
      <c r="C2987" s="282"/>
      <c r="D2987" s="282"/>
      <c r="E2987" s="282"/>
      <c r="F2987" s="282"/>
      <c r="G2987" s="329"/>
      <c r="H2987" s="329"/>
      <c r="I2987" s="329"/>
      <c r="J2987" s="329"/>
      <c r="K2987" s="329"/>
      <c r="L2987" s="329"/>
      <c r="M2987" s="329"/>
      <c r="N2987" s="329"/>
      <c r="O2987" s="329"/>
      <c r="P2987" s="329"/>
      <c r="Q2987" s="329"/>
      <c r="R2987" s="329"/>
    </row>
    <row r="2988" spans="1:18" ht="13">
      <c r="A2988" s="282"/>
      <c r="B2988" s="282"/>
      <c r="C2988" s="282"/>
      <c r="D2988" s="282"/>
      <c r="E2988" s="282"/>
      <c r="F2988" s="282"/>
      <c r="G2988" s="329"/>
      <c r="H2988" s="329"/>
      <c r="I2988" s="329"/>
      <c r="J2988" s="329"/>
      <c r="K2988" s="329"/>
      <c r="L2988" s="329"/>
      <c r="M2988" s="329"/>
      <c r="N2988" s="329"/>
      <c r="O2988" s="329"/>
      <c r="P2988" s="329"/>
      <c r="Q2988" s="329"/>
      <c r="R2988" s="329"/>
    </row>
    <row r="2989" spans="1:18" ht="13">
      <c r="A2989" s="282"/>
      <c r="B2989" s="282"/>
      <c r="C2989" s="282"/>
      <c r="D2989" s="282"/>
      <c r="E2989" s="282"/>
      <c r="F2989" s="282"/>
      <c r="G2989" s="329"/>
      <c r="H2989" s="329"/>
      <c r="I2989" s="329"/>
      <c r="J2989" s="329"/>
      <c r="K2989" s="329"/>
      <c r="L2989" s="329"/>
      <c r="M2989" s="329"/>
      <c r="N2989" s="329"/>
      <c r="O2989" s="329"/>
      <c r="P2989" s="329"/>
      <c r="Q2989" s="329"/>
      <c r="R2989" s="329"/>
    </row>
    <row r="2990" spans="1:18" ht="13">
      <c r="A2990" s="282"/>
      <c r="B2990" s="282"/>
      <c r="C2990" s="282"/>
      <c r="D2990" s="282"/>
      <c r="E2990" s="282"/>
      <c r="F2990" s="282"/>
      <c r="G2990" s="329"/>
      <c r="H2990" s="329"/>
      <c r="I2990" s="329"/>
      <c r="J2990" s="329"/>
      <c r="K2990" s="329"/>
      <c r="L2990" s="329"/>
      <c r="M2990" s="329"/>
      <c r="N2990" s="329"/>
      <c r="O2990" s="329"/>
      <c r="P2990" s="329"/>
      <c r="Q2990" s="329"/>
      <c r="R2990" s="329"/>
    </row>
    <row r="2991" spans="1:18" ht="13">
      <c r="A2991" s="282"/>
      <c r="B2991" s="282"/>
      <c r="C2991" s="282"/>
      <c r="D2991" s="282"/>
      <c r="E2991" s="282"/>
      <c r="F2991" s="282"/>
      <c r="G2991" s="329"/>
      <c r="H2991" s="329"/>
      <c r="I2991" s="329"/>
      <c r="J2991" s="329"/>
      <c r="K2991" s="329"/>
      <c r="L2991" s="329"/>
      <c r="M2991" s="329"/>
      <c r="N2991" s="329"/>
      <c r="O2991" s="329"/>
      <c r="P2991" s="329"/>
      <c r="Q2991" s="329"/>
      <c r="R2991" s="329"/>
    </row>
    <row r="2992" spans="1:18" ht="13">
      <c r="A2992" s="282"/>
      <c r="B2992" s="282"/>
      <c r="C2992" s="282"/>
      <c r="D2992" s="282"/>
      <c r="E2992" s="282"/>
      <c r="F2992" s="282"/>
      <c r="G2992" s="329"/>
      <c r="H2992" s="329"/>
      <c r="I2992" s="329"/>
      <c r="J2992" s="329"/>
      <c r="K2992" s="329"/>
      <c r="L2992" s="329"/>
      <c r="M2992" s="329"/>
      <c r="N2992" s="329"/>
      <c r="O2992" s="329"/>
      <c r="P2992" s="329"/>
      <c r="Q2992" s="329"/>
      <c r="R2992" s="329"/>
    </row>
    <row r="2993" spans="1:18" ht="13">
      <c r="A2993" s="282"/>
      <c r="B2993" s="282"/>
      <c r="C2993" s="282"/>
      <c r="D2993" s="282"/>
      <c r="E2993" s="282"/>
      <c r="F2993" s="282"/>
      <c r="G2993" s="329"/>
      <c r="H2993" s="329"/>
      <c r="I2993" s="329"/>
      <c r="J2993" s="329"/>
      <c r="K2993" s="329"/>
      <c r="L2993" s="329"/>
      <c r="M2993" s="329"/>
      <c r="N2993" s="329"/>
      <c r="O2993" s="329"/>
      <c r="P2993" s="329"/>
      <c r="Q2993" s="329"/>
      <c r="R2993" s="329"/>
    </row>
    <row r="2994" spans="1:18" ht="13">
      <c r="A2994" s="282"/>
      <c r="B2994" s="282"/>
      <c r="C2994" s="282"/>
      <c r="D2994" s="282"/>
      <c r="E2994" s="282"/>
      <c r="F2994" s="282"/>
      <c r="G2994" s="329"/>
      <c r="H2994" s="329"/>
      <c r="I2994" s="329"/>
      <c r="J2994" s="329"/>
      <c r="K2994" s="329"/>
      <c r="L2994" s="329"/>
      <c r="M2994" s="329"/>
      <c r="N2994" s="329"/>
      <c r="O2994" s="329"/>
      <c r="P2994" s="329"/>
      <c r="Q2994" s="329"/>
      <c r="R2994" s="329"/>
    </row>
    <row r="2995" spans="1:18" ht="13">
      <c r="A2995" s="282"/>
      <c r="B2995" s="282"/>
      <c r="C2995" s="282"/>
      <c r="D2995" s="282"/>
      <c r="E2995" s="282"/>
      <c r="F2995" s="282"/>
      <c r="G2995" s="329"/>
      <c r="H2995" s="329"/>
      <c r="I2995" s="329"/>
      <c r="J2995" s="329"/>
      <c r="K2995" s="329"/>
      <c r="L2995" s="329"/>
      <c r="M2995" s="329"/>
      <c r="N2995" s="329"/>
      <c r="O2995" s="329"/>
      <c r="P2995" s="329"/>
      <c r="Q2995" s="329"/>
      <c r="R2995" s="329"/>
    </row>
    <row r="2996" spans="1:18" ht="13">
      <c r="A2996" s="282"/>
      <c r="B2996" s="282"/>
      <c r="C2996" s="282"/>
      <c r="D2996" s="282"/>
      <c r="E2996" s="282"/>
      <c r="F2996" s="282"/>
      <c r="G2996" s="329"/>
      <c r="H2996" s="329"/>
      <c r="I2996" s="329"/>
      <c r="J2996" s="329"/>
      <c r="K2996" s="329"/>
      <c r="L2996" s="329"/>
      <c r="M2996" s="329"/>
      <c r="N2996" s="329"/>
      <c r="O2996" s="329"/>
      <c r="P2996" s="329"/>
      <c r="Q2996" s="329"/>
      <c r="R2996" s="329"/>
    </row>
    <row r="2997" spans="1:18" ht="13">
      <c r="A2997" s="282"/>
      <c r="B2997" s="282"/>
      <c r="C2997" s="282"/>
      <c r="D2997" s="282"/>
      <c r="E2997" s="282"/>
      <c r="F2997" s="282"/>
      <c r="G2997" s="329"/>
      <c r="H2997" s="329"/>
      <c r="I2997" s="329"/>
      <c r="J2997" s="329"/>
      <c r="K2997" s="329"/>
      <c r="L2997" s="329"/>
      <c r="M2997" s="329"/>
      <c r="N2997" s="329"/>
      <c r="O2997" s="329"/>
      <c r="P2997" s="329"/>
      <c r="Q2997" s="329"/>
      <c r="R2997" s="329"/>
    </row>
    <row r="2998" spans="1:18" ht="13">
      <c r="A2998" s="282"/>
      <c r="B2998" s="282"/>
      <c r="C2998" s="282"/>
      <c r="D2998" s="282"/>
      <c r="E2998" s="282"/>
      <c r="F2998" s="282"/>
      <c r="G2998" s="329"/>
      <c r="H2998" s="329"/>
      <c r="I2998" s="329"/>
      <c r="J2998" s="329"/>
      <c r="K2998" s="329"/>
      <c r="L2998" s="329"/>
      <c r="M2998" s="329"/>
      <c r="N2998" s="329"/>
      <c r="O2998" s="329"/>
      <c r="P2998" s="329"/>
      <c r="Q2998" s="329"/>
      <c r="R2998" s="329"/>
    </row>
    <row r="2999" spans="1:18" ht="13">
      <c r="A2999" s="282"/>
      <c r="B2999" s="282"/>
      <c r="C2999" s="282"/>
      <c r="D2999" s="282"/>
      <c r="E2999" s="282"/>
      <c r="F2999" s="282"/>
      <c r="G2999" s="329"/>
      <c r="H2999" s="329"/>
      <c r="I2999" s="329"/>
      <c r="J2999" s="329"/>
      <c r="K2999" s="329"/>
      <c r="L2999" s="329"/>
      <c r="M2999" s="329"/>
      <c r="N2999" s="329"/>
      <c r="O2999" s="329"/>
      <c r="P2999" s="329"/>
      <c r="Q2999" s="329"/>
      <c r="R2999" s="329"/>
    </row>
    <row r="3000" spans="1:18" ht="13">
      <c r="A3000" s="282"/>
      <c r="B3000" s="282"/>
      <c r="C3000" s="282"/>
      <c r="D3000" s="282"/>
      <c r="E3000" s="282"/>
      <c r="F3000" s="282"/>
      <c r="G3000" s="329"/>
      <c r="H3000" s="329"/>
      <c r="I3000" s="329"/>
      <c r="J3000" s="329"/>
      <c r="K3000" s="329"/>
      <c r="L3000" s="329"/>
      <c r="M3000" s="329"/>
      <c r="N3000" s="329"/>
      <c r="O3000" s="329"/>
      <c r="P3000" s="329"/>
      <c r="Q3000" s="329"/>
      <c r="R3000" s="329"/>
    </row>
    <row r="3001" spans="1:18" ht="13">
      <c r="A3001" s="282"/>
      <c r="B3001" s="282"/>
      <c r="C3001" s="282"/>
      <c r="D3001" s="282"/>
      <c r="E3001" s="282"/>
      <c r="F3001" s="282"/>
      <c r="G3001" s="329"/>
      <c r="H3001" s="329"/>
      <c r="I3001" s="329"/>
      <c r="J3001" s="329"/>
      <c r="K3001" s="329"/>
      <c r="L3001" s="329"/>
      <c r="M3001" s="329"/>
      <c r="N3001" s="329"/>
      <c r="O3001" s="329"/>
      <c r="P3001" s="329"/>
      <c r="Q3001" s="329"/>
      <c r="R3001" s="329"/>
    </row>
    <row r="3002" spans="1:18" ht="13">
      <c r="A3002" s="282"/>
      <c r="B3002" s="282"/>
      <c r="C3002" s="282"/>
      <c r="D3002" s="282"/>
      <c r="E3002" s="282"/>
      <c r="F3002" s="282"/>
      <c r="G3002" s="329"/>
      <c r="H3002" s="329"/>
      <c r="I3002" s="329"/>
      <c r="J3002" s="329"/>
      <c r="K3002" s="329"/>
      <c r="L3002" s="329"/>
      <c r="M3002" s="329"/>
      <c r="N3002" s="329"/>
      <c r="O3002" s="329"/>
      <c r="P3002" s="329"/>
      <c r="Q3002" s="329"/>
      <c r="R3002" s="329"/>
    </row>
    <row r="3003" spans="1:18" ht="13">
      <c r="A3003" s="282"/>
      <c r="B3003" s="282"/>
      <c r="C3003" s="282"/>
      <c r="D3003" s="282"/>
      <c r="E3003" s="282"/>
      <c r="F3003" s="282"/>
      <c r="G3003" s="329"/>
      <c r="H3003" s="329"/>
      <c r="I3003" s="329"/>
      <c r="J3003" s="329"/>
      <c r="K3003" s="329"/>
      <c r="L3003" s="329"/>
      <c r="M3003" s="329"/>
      <c r="N3003" s="329"/>
      <c r="O3003" s="329"/>
      <c r="P3003" s="329"/>
      <c r="Q3003" s="329"/>
      <c r="R3003" s="329"/>
    </row>
    <row r="3004" spans="1:18" ht="13">
      <c r="A3004" s="282"/>
      <c r="B3004" s="282"/>
      <c r="C3004" s="282"/>
      <c r="D3004" s="282"/>
      <c r="E3004" s="282"/>
      <c r="F3004" s="282"/>
      <c r="G3004" s="329"/>
      <c r="H3004" s="329"/>
      <c r="I3004" s="329"/>
      <c r="J3004" s="329"/>
      <c r="K3004" s="329"/>
      <c r="L3004" s="329"/>
      <c r="M3004" s="329"/>
      <c r="N3004" s="329"/>
      <c r="O3004" s="329"/>
      <c r="P3004" s="329"/>
      <c r="Q3004" s="329"/>
      <c r="R3004" s="329"/>
    </row>
    <row r="3005" spans="1:18" ht="13">
      <c r="A3005" s="282"/>
      <c r="B3005" s="282"/>
      <c r="C3005" s="282"/>
      <c r="D3005" s="282"/>
      <c r="E3005" s="282"/>
      <c r="F3005" s="282"/>
      <c r="G3005" s="329"/>
      <c r="H3005" s="329"/>
      <c r="I3005" s="329"/>
      <c r="J3005" s="329"/>
      <c r="K3005" s="329"/>
      <c r="L3005" s="329"/>
      <c r="M3005" s="329"/>
      <c r="N3005" s="329"/>
      <c r="O3005" s="329"/>
      <c r="P3005" s="329"/>
      <c r="Q3005" s="329"/>
      <c r="R3005" s="329"/>
    </row>
    <row r="3006" spans="1:18" ht="13">
      <c r="A3006" s="282"/>
      <c r="B3006" s="282"/>
      <c r="C3006" s="282"/>
      <c r="D3006" s="282"/>
      <c r="E3006" s="282"/>
      <c r="F3006" s="282"/>
      <c r="G3006" s="329"/>
      <c r="H3006" s="329"/>
      <c r="I3006" s="329"/>
      <c r="J3006" s="329"/>
      <c r="K3006" s="329"/>
      <c r="L3006" s="329"/>
      <c r="M3006" s="329"/>
      <c r="N3006" s="329"/>
      <c r="O3006" s="329"/>
      <c r="P3006" s="329"/>
      <c r="Q3006" s="329"/>
      <c r="R3006" s="329"/>
    </row>
    <row r="3007" spans="1:18" ht="13">
      <c r="A3007" s="282"/>
      <c r="B3007" s="282"/>
      <c r="C3007" s="282"/>
      <c r="D3007" s="282"/>
      <c r="E3007" s="282"/>
      <c r="F3007" s="282"/>
      <c r="G3007" s="329"/>
      <c r="H3007" s="329"/>
      <c r="I3007" s="329"/>
      <c r="J3007" s="329"/>
      <c r="K3007" s="329"/>
      <c r="L3007" s="329"/>
      <c r="M3007" s="329"/>
      <c r="N3007" s="329"/>
      <c r="O3007" s="329"/>
      <c r="P3007" s="329"/>
      <c r="Q3007" s="329"/>
      <c r="R3007" s="329"/>
    </row>
    <row r="3008" spans="1:18" ht="13">
      <c r="A3008" s="282"/>
      <c r="B3008" s="282"/>
      <c r="C3008" s="282"/>
      <c r="D3008" s="282"/>
      <c r="E3008" s="282"/>
      <c r="F3008" s="282"/>
      <c r="G3008" s="329"/>
      <c r="H3008" s="329"/>
      <c r="I3008" s="329"/>
      <c r="J3008" s="329"/>
      <c r="K3008" s="329"/>
      <c r="L3008" s="329"/>
      <c r="M3008" s="329"/>
      <c r="N3008" s="329"/>
      <c r="O3008" s="329"/>
      <c r="P3008" s="329"/>
      <c r="Q3008" s="329"/>
      <c r="R3008" s="329"/>
    </row>
    <row r="3009" spans="1:18" ht="13">
      <c r="A3009" s="282"/>
      <c r="B3009" s="282"/>
      <c r="C3009" s="282"/>
      <c r="D3009" s="282"/>
      <c r="E3009" s="282"/>
      <c r="F3009" s="282"/>
      <c r="G3009" s="329"/>
      <c r="H3009" s="329"/>
      <c r="I3009" s="329"/>
      <c r="J3009" s="329"/>
      <c r="K3009" s="329"/>
      <c r="L3009" s="329"/>
      <c r="M3009" s="329"/>
      <c r="N3009" s="329"/>
      <c r="O3009" s="329"/>
      <c r="P3009" s="329"/>
      <c r="Q3009" s="329"/>
      <c r="R3009" s="329"/>
    </row>
    <row r="3010" spans="1:18" ht="13">
      <c r="A3010" s="282"/>
      <c r="B3010" s="282"/>
      <c r="C3010" s="282"/>
      <c r="D3010" s="282"/>
      <c r="E3010" s="282"/>
      <c r="F3010" s="282"/>
      <c r="G3010" s="329"/>
      <c r="H3010" s="329"/>
      <c r="I3010" s="329"/>
      <c r="J3010" s="329"/>
      <c r="K3010" s="329"/>
      <c r="L3010" s="329"/>
      <c r="M3010" s="329"/>
      <c r="N3010" s="329"/>
      <c r="O3010" s="329"/>
      <c r="P3010" s="329"/>
      <c r="Q3010" s="329"/>
      <c r="R3010" s="329"/>
    </row>
    <row r="3011" spans="1:18" ht="13">
      <c r="A3011" s="282"/>
      <c r="B3011" s="282"/>
      <c r="C3011" s="282"/>
      <c r="D3011" s="282"/>
      <c r="E3011" s="282"/>
      <c r="F3011" s="282"/>
      <c r="G3011" s="329"/>
      <c r="H3011" s="329"/>
      <c r="I3011" s="329"/>
      <c r="J3011" s="329"/>
      <c r="K3011" s="329"/>
      <c r="L3011" s="329"/>
      <c r="M3011" s="329"/>
      <c r="N3011" s="329"/>
      <c r="O3011" s="329"/>
      <c r="P3011" s="329"/>
      <c r="Q3011" s="329"/>
      <c r="R3011" s="329"/>
    </row>
    <row r="3012" spans="1:18" ht="13">
      <c r="A3012" s="282"/>
      <c r="B3012" s="282"/>
      <c r="C3012" s="282"/>
      <c r="D3012" s="282"/>
      <c r="E3012" s="282"/>
      <c r="F3012" s="282"/>
      <c r="G3012" s="329"/>
      <c r="H3012" s="329"/>
      <c r="I3012" s="329"/>
      <c r="J3012" s="329"/>
      <c r="K3012" s="329"/>
      <c r="L3012" s="329"/>
      <c r="M3012" s="329"/>
      <c r="N3012" s="329"/>
      <c r="O3012" s="329"/>
      <c r="P3012" s="329"/>
      <c r="Q3012" s="329"/>
      <c r="R3012" s="329"/>
    </row>
    <row r="3013" spans="1:18" ht="13">
      <c r="A3013" s="282"/>
      <c r="B3013" s="282"/>
      <c r="C3013" s="282"/>
      <c r="D3013" s="282"/>
      <c r="E3013" s="282"/>
      <c r="F3013" s="282"/>
      <c r="G3013" s="329"/>
      <c r="H3013" s="329"/>
      <c r="I3013" s="329"/>
      <c r="J3013" s="329"/>
      <c r="K3013" s="329"/>
      <c r="L3013" s="329"/>
      <c r="M3013" s="329"/>
      <c r="N3013" s="329"/>
      <c r="O3013" s="329"/>
      <c r="P3013" s="329"/>
      <c r="Q3013" s="329"/>
      <c r="R3013" s="329"/>
    </row>
    <row r="3014" spans="1:18" ht="13">
      <c r="A3014" s="282"/>
      <c r="B3014" s="282"/>
      <c r="C3014" s="282"/>
      <c r="D3014" s="282"/>
      <c r="E3014" s="282"/>
      <c r="F3014" s="282"/>
      <c r="G3014" s="329"/>
      <c r="H3014" s="329"/>
      <c r="I3014" s="329"/>
      <c r="J3014" s="329"/>
      <c r="K3014" s="329"/>
      <c r="L3014" s="329"/>
      <c r="M3014" s="329"/>
      <c r="N3014" s="329"/>
      <c r="O3014" s="329"/>
      <c r="P3014" s="329"/>
      <c r="Q3014" s="329"/>
      <c r="R3014" s="329"/>
    </row>
    <row r="3015" spans="1:18" ht="13">
      <c r="A3015" s="282"/>
      <c r="B3015" s="282"/>
      <c r="C3015" s="282"/>
      <c r="D3015" s="282"/>
      <c r="E3015" s="282"/>
      <c r="F3015" s="282"/>
      <c r="G3015" s="329"/>
      <c r="H3015" s="329"/>
      <c r="I3015" s="329"/>
      <c r="J3015" s="329"/>
      <c r="K3015" s="329"/>
      <c r="L3015" s="329"/>
      <c r="M3015" s="329"/>
      <c r="N3015" s="329"/>
      <c r="O3015" s="329"/>
      <c r="P3015" s="329"/>
      <c r="Q3015" s="329"/>
      <c r="R3015" s="329"/>
    </row>
    <row r="3016" spans="1:18" ht="13">
      <c r="A3016" s="282"/>
      <c r="B3016" s="282"/>
      <c r="C3016" s="282"/>
      <c r="D3016" s="282"/>
      <c r="E3016" s="282"/>
      <c r="F3016" s="282"/>
      <c r="G3016" s="329"/>
      <c r="H3016" s="329"/>
      <c r="I3016" s="329"/>
      <c r="J3016" s="329"/>
      <c r="K3016" s="329"/>
      <c r="L3016" s="329"/>
      <c r="M3016" s="329"/>
      <c r="N3016" s="329"/>
      <c r="O3016" s="329"/>
      <c r="P3016" s="329"/>
      <c r="Q3016" s="329"/>
      <c r="R3016" s="329"/>
    </row>
    <row r="3017" spans="1:18" ht="13">
      <c r="A3017" s="282"/>
      <c r="B3017" s="282"/>
      <c r="C3017" s="282"/>
      <c r="D3017" s="282"/>
      <c r="E3017" s="282"/>
      <c r="F3017" s="282"/>
      <c r="G3017" s="329"/>
      <c r="H3017" s="329"/>
      <c r="I3017" s="329"/>
      <c r="J3017" s="329"/>
      <c r="K3017" s="329"/>
      <c r="L3017" s="329"/>
      <c r="M3017" s="329"/>
      <c r="N3017" s="329"/>
      <c r="O3017" s="329"/>
      <c r="P3017" s="329"/>
      <c r="Q3017" s="329"/>
      <c r="R3017" s="329"/>
    </row>
    <row r="3018" spans="1:18" ht="13">
      <c r="A3018" s="282"/>
      <c r="B3018" s="282"/>
      <c r="C3018" s="282"/>
      <c r="D3018" s="282"/>
      <c r="E3018" s="282"/>
      <c r="F3018" s="282"/>
      <c r="G3018" s="329"/>
      <c r="H3018" s="329"/>
      <c r="I3018" s="329"/>
      <c r="J3018" s="329"/>
      <c r="K3018" s="329"/>
      <c r="L3018" s="329"/>
      <c r="M3018" s="329"/>
      <c r="N3018" s="329"/>
      <c r="O3018" s="329"/>
      <c r="P3018" s="329"/>
      <c r="Q3018" s="329"/>
      <c r="R3018" s="329"/>
    </row>
    <row r="3019" spans="1:18" ht="13">
      <c r="A3019" s="282"/>
      <c r="B3019" s="282"/>
      <c r="C3019" s="282"/>
      <c r="D3019" s="282"/>
      <c r="E3019" s="282"/>
      <c r="F3019" s="282"/>
      <c r="G3019" s="329"/>
      <c r="H3019" s="329"/>
      <c r="I3019" s="329"/>
      <c r="J3019" s="329"/>
      <c r="K3019" s="329"/>
      <c r="L3019" s="329"/>
      <c r="M3019" s="329"/>
      <c r="N3019" s="329"/>
      <c r="O3019" s="329"/>
      <c r="P3019" s="329"/>
      <c r="Q3019" s="329"/>
      <c r="R3019" s="329"/>
    </row>
    <row r="3020" spans="1:18" ht="13">
      <c r="A3020" s="282"/>
      <c r="B3020" s="282"/>
      <c r="C3020" s="282"/>
      <c r="D3020" s="282"/>
      <c r="E3020" s="282"/>
      <c r="F3020" s="282"/>
      <c r="G3020" s="329"/>
      <c r="H3020" s="329"/>
      <c r="I3020" s="329"/>
      <c r="J3020" s="329"/>
      <c r="K3020" s="329"/>
      <c r="L3020" s="329"/>
      <c r="M3020" s="329"/>
      <c r="N3020" s="329"/>
      <c r="O3020" s="329"/>
      <c r="P3020" s="329"/>
      <c r="Q3020" s="329"/>
      <c r="R3020" s="329"/>
    </row>
    <row r="3021" spans="1:18" ht="13">
      <c r="A3021" s="282"/>
      <c r="B3021" s="282"/>
      <c r="C3021" s="282"/>
      <c r="D3021" s="282"/>
      <c r="E3021" s="282"/>
      <c r="F3021" s="282"/>
      <c r="G3021" s="329"/>
      <c r="H3021" s="329"/>
      <c r="I3021" s="329"/>
      <c r="J3021" s="329"/>
      <c r="K3021" s="329"/>
      <c r="L3021" s="329"/>
      <c r="M3021" s="329"/>
      <c r="N3021" s="329"/>
      <c r="O3021" s="329"/>
      <c r="P3021" s="329"/>
      <c r="Q3021" s="329"/>
      <c r="R3021" s="329"/>
    </row>
    <row r="3022" spans="1:18" ht="13">
      <c r="A3022" s="282"/>
      <c r="B3022" s="282"/>
      <c r="C3022" s="282"/>
      <c r="D3022" s="282"/>
      <c r="E3022" s="282"/>
      <c r="F3022" s="282"/>
      <c r="G3022" s="329"/>
      <c r="H3022" s="329"/>
      <c r="I3022" s="329"/>
      <c r="J3022" s="329"/>
      <c r="K3022" s="329"/>
      <c r="L3022" s="329"/>
      <c r="M3022" s="329"/>
      <c r="N3022" s="329"/>
      <c r="O3022" s="329"/>
      <c r="P3022" s="329"/>
      <c r="Q3022" s="329"/>
      <c r="R3022" s="329"/>
    </row>
    <row r="3023" spans="1:18" ht="13">
      <c r="A3023" s="282"/>
      <c r="B3023" s="282"/>
      <c r="C3023" s="282"/>
      <c r="D3023" s="282"/>
      <c r="E3023" s="282"/>
      <c r="F3023" s="282"/>
      <c r="G3023" s="329"/>
      <c r="H3023" s="329"/>
      <c r="I3023" s="329"/>
      <c r="J3023" s="329"/>
      <c r="K3023" s="329"/>
      <c r="L3023" s="329"/>
      <c r="M3023" s="329"/>
      <c r="N3023" s="329"/>
      <c r="O3023" s="329"/>
      <c r="P3023" s="329"/>
      <c r="Q3023" s="329"/>
      <c r="R3023" s="329"/>
    </row>
    <row r="3024" spans="1:18" ht="13">
      <c r="A3024" s="282"/>
      <c r="B3024" s="282"/>
      <c r="C3024" s="282"/>
      <c r="D3024" s="282"/>
      <c r="E3024" s="282"/>
      <c r="F3024" s="282"/>
      <c r="G3024" s="329"/>
      <c r="H3024" s="329"/>
      <c r="I3024" s="329"/>
      <c r="J3024" s="329"/>
      <c r="K3024" s="329"/>
      <c r="L3024" s="329"/>
      <c r="M3024" s="329"/>
      <c r="N3024" s="329"/>
      <c r="O3024" s="329"/>
      <c r="P3024" s="329"/>
      <c r="Q3024" s="329"/>
      <c r="R3024" s="329"/>
    </row>
    <row r="3025" spans="1:18" ht="13">
      <c r="A3025" s="282"/>
      <c r="B3025" s="282"/>
      <c r="C3025" s="282"/>
      <c r="D3025" s="282"/>
      <c r="E3025" s="282"/>
      <c r="F3025" s="282"/>
      <c r="G3025" s="329"/>
      <c r="H3025" s="329"/>
      <c r="I3025" s="329"/>
      <c r="J3025" s="329"/>
      <c r="K3025" s="329"/>
      <c r="L3025" s="329"/>
      <c r="M3025" s="329"/>
      <c r="N3025" s="329"/>
      <c r="O3025" s="329"/>
      <c r="P3025" s="329"/>
      <c r="Q3025" s="329"/>
      <c r="R3025" s="329"/>
    </row>
    <row r="3026" spans="1:18" ht="13">
      <c r="A3026" s="282"/>
      <c r="B3026" s="282"/>
      <c r="C3026" s="282"/>
      <c r="D3026" s="282"/>
      <c r="E3026" s="282"/>
      <c r="F3026" s="282"/>
      <c r="G3026" s="329"/>
      <c r="H3026" s="329"/>
      <c r="I3026" s="329"/>
      <c r="J3026" s="329"/>
      <c r="K3026" s="329"/>
      <c r="L3026" s="329"/>
      <c r="M3026" s="329"/>
      <c r="N3026" s="329"/>
      <c r="O3026" s="329"/>
      <c r="P3026" s="329"/>
      <c r="Q3026" s="329"/>
      <c r="R3026" s="329"/>
    </row>
    <row r="3027" spans="1:18" ht="13">
      <c r="A3027" s="282"/>
      <c r="B3027" s="282"/>
      <c r="C3027" s="282"/>
      <c r="D3027" s="282"/>
      <c r="E3027" s="282"/>
      <c r="F3027" s="282"/>
      <c r="G3027" s="329"/>
      <c r="H3027" s="329"/>
      <c r="I3027" s="329"/>
      <c r="J3027" s="329"/>
      <c r="K3027" s="329"/>
      <c r="L3027" s="329"/>
      <c r="M3027" s="329"/>
      <c r="N3027" s="329"/>
      <c r="O3027" s="329"/>
      <c r="P3027" s="329"/>
      <c r="Q3027" s="329"/>
      <c r="R3027" s="329"/>
    </row>
    <row r="3028" spans="1:18" ht="13">
      <c r="A3028" s="282"/>
      <c r="B3028" s="282"/>
      <c r="C3028" s="282"/>
      <c r="D3028" s="282"/>
      <c r="E3028" s="282"/>
      <c r="F3028" s="282"/>
      <c r="G3028" s="329"/>
      <c r="H3028" s="329"/>
      <c r="I3028" s="329"/>
      <c r="J3028" s="329"/>
      <c r="K3028" s="329"/>
      <c r="L3028" s="329"/>
      <c r="M3028" s="329"/>
      <c r="N3028" s="329"/>
      <c r="O3028" s="329"/>
      <c r="P3028" s="329"/>
      <c r="Q3028" s="329"/>
      <c r="R3028" s="329"/>
    </row>
    <row r="3029" spans="1:18" ht="13">
      <c r="A3029" s="282"/>
      <c r="B3029" s="282"/>
      <c r="C3029" s="282"/>
      <c r="D3029" s="282"/>
      <c r="E3029" s="282"/>
      <c r="F3029" s="282"/>
      <c r="G3029" s="329"/>
      <c r="H3029" s="329"/>
      <c r="I3029" s="329"/>
      <c r="J3029" s="329"/>
      <c r="K3029" s="329"/>
      <c r="L3029" s="329"/>
      <c r="M3029" s="329"/>
      <c r="N3029" s="329"/>
      <c r="O3029" s="329"/>
      <c r="P3029" s="329"/>
      <c r="Q3029" s="329"/>
      <c r="R3029" s="329"/>
    </row>
    <row r="3030" spans="1:18" ht="13">
      <c r="A3030" s="282"/>
      <c r="B3030" s="282"/>
      <c r="C3030" s="282"/>
      <c r="D3030" s="282"/>
      <c r="E3030" s="282"/>
      <c r="F3030" s="282"/>
      <c r="G3030" s="329"/>
      <c r="H3030" s="329"/>
      <c r="I3030" s="329"/>
      <c r="J3030" s="329"/>
      <c r="K3030" s="329"/>
      <c r="L3030" s="329"/>
      <c r="M3030" s="329"/>
      <c r="N3030" s="329"/>
      <c r="O3030" s="329"/>
      <c r="P3030" s="329"/>
      <c r="Q3030" s="329"/>
      <c r="R3030" s="329"/>
    </row>
    <row r="3031" spans="1:18" ht="13">
      <c r="A3031" s="282"/>
      <c r="B3031" s="282"/>
      <c r="C3031" s="282"/>
      <c r="D3031" s="282"/>
      <c r="E3031" s="282"/>
      <c r="F3031" s="282"/>
      <c r="G3031" s="329"/>
      <c r="H3031" s="329"/>
      <c r="I3031" s="329"/>
      <c r="J3031" s="329"/>
      <c r="K3031" s="329"/>
      <c r="L3031" s="329"/>
      <c r="M3031" s="329"/>
      <c r="N3031" s="329"/>
      <c r="O3031" s="329"/>
      <c r="P3031" s="329"/>
      <c r="Q3031" s="329"/>
      <c r="R3031" s="329"/>
    </row>
    <row r="3032" spans="1:18" ht="13">
      <c r="A3032" s="282"/>
      <c r="B3032" s="282"/>
      <c r="C3032" s="282"/>
      <c r="D3032" s="282"/>
      <c r="E3032" s="282"/>
      <c r="F3032" s="282"/>
      <c r="G3032" s="329"/>
      <c r="H3032" s="329"/>
      <c r="I3032" s="329"/>
      <c r="J3032" s="329"/>
      <c r="K3032" s="329"/>
      <c r="L3032" s="329"/>
      <c r="M3032" s="329"/>
      <c r="N3032" s="329"/>
      <c r="O3032" s="329"/>
      <c r="P3032" s="329"/>
      <c r="Q3032" s="329"/>
      <c r="R3032" s="329"/>
    </row>
    <row r="3033" spans="1:18" ht="13">
      <c r="A3033" s="282"/>
      <c r="B3033" s="282"/>
      <c r="C3033" s="282"/>
      <c r="D3033" s="282"/>
      <c r="E3033" s="282"/>
      <c r="F3033" s="282"/>
      <c r="G3033" s="329"/>
      <c r="H3033" s="329"/>
      <c r="I3033" s="329"/>
      <c r="J3033" s="329"/>
      <c r="K3033" s="329"/>
      <c r="L3033" s="329"/>
      <c r="M3033" s="329"/>
      <c r="N3033" s="329"/>
      <c r="O3033" s="329"/>
      <c r="P3033" s="329"/>
      <c r="Q3033" s="329"/>
      <c r="R3033" s="329"/>
    </row>
    <row r="3034" spans="1:18" ht="13">
      <c r="A3034" s="282"/>
      <c r="B3034" s="282"/>
      <c r="C3034" s="282"/>
      <c r="D3034" s="282"/>
      <c r="E3034" s="282"/>
      <c r="F3034" s="282"/>
      <c r="G3034" s="329"/>
      <c r="H3034" s="329"/>
      <c r="I3034" s="329"/>
      <c r="J3034" s="329"/>
      <c r="K3034" s="329"/>
      <c r="L3034" s="329"/>
      <c r="M3034" s="329"/>
      <c r="N3034" s="329"/>
      <c r="O3034" s="329"/>
      <c r="P3034" s="329"/>
      <c r="Q3034" s="329"/>
      <c r="R3034" s="329"/>
    </row>
    <row r="3035" spans="1:18" ht="13">
      <c r="A3035" s="282"/>
      <c r="B3035" s="282"/>
      <c r="C3035" s="282"/>
      <c r="D3035" s="282"/>
      <c r="E3035" s="282"/>
      <c r="F3035" s="282"/>
      <c r="G3035" s="329"/>
      <c r="H3035" s="329"/>
      <c r="I3035" s="329"/>
      <c r="J3035" s="329"/>
      <c r="K3035" s="329"/>
      <c r="L3035" s="329"/>
      <c r="M3035" s="329"/>
      <c r="N3035" s="329"/>
      <c r="O3035" s="329"/>
      <c r="P3035" s="329"/>
      <c r="Q3035" s="329"/>
      <c r="R3035" s="329"/>
    </row>
    <row r="3036" spans="1:18" ht="13">
      <c r="A3036" s="282"/>
      <c r="B3036" s="282"/>
      <c r="C3036" s="282"/>
      <c r="D3036" s="282"/>
      <c r="E3036" s="282"/>
      <c r="F3036" s="282"/>
      <c r="G3036" s="329"/>
      <c r="H3036" s="329"/>
      <c r="I3036" s="329"/>
      <c r="J3036" s="329"/>
      <c r="K3036" s="329"/>
      <c r="L3036" s="329"/>
      <c r="M3036" s="329"/>
      <c r="N3036" s="329"/>
      <c r="O3036" s="329"/>
      <c r="P3036" s="329"/>
      <c r="Q3036" s="329"/>
      <c r="R3036" s="329"/>
    </row>
    <row r="3037" spans="1:18" ht="13">
      <c r="A3037" s="282"/>
      <c r="B3037" s="282"/>
      <c r="C3037" s="282"/>
      <c r="D3037" s="282"/>
      <c r="E3037" s="282"/>
      <c r="F3037" s="282"/>
      <c r="G3037" s="329"/>
      <c r="H3037" s="329"/>
      <c r="I3037" s="329"/>
      <c r="J3037" s="329"/>
      <c r="K3037" s="329"/>
      <c r="L3037" s="329"/>
      <c r="M3037" s="329"/>
      <c r="N3037" s="329"/>
      <c r="O3037" s="329"/>
      <c r="P3037" s="329"/>
      <c r="Q3037" s="329"/>
      <c r="R3037" s="329"/>
    </row>
    <row r="3038" spans="1:18" ht="13">
      <c r="A3038" s="282"/>
      <c r="B3038" s="282"/>
      <c r="C3038" s="282"/>
      <c r="D3038" s="282"/>
      <c r="E3038" s="282"/>
      <c r="F3038" s="282"/>
      <c r="G3038" s="329"/>
      <c r="H3038" s="329"/>
      <c r="I3038" s="329"/>
      <c r="J3038" s="329"/>
      <c r="K3038" s="329"/>
      <c r="L3038" s="329"/>
      <c r="M3038" s="329"/>
      <c r="N3038" s="329"/>
      <c r="O3038" s="329"/>
      <c r="P3038" s="329"/>
      <c r="Q3038" s="329"/>
      <c r="R3038" s="329"/>
    </row>
    <row r="3039" spans="1:18" ht="13">
      <c r="A3039" s="282"/>
      <c r="B3039" s="282"/>
      <c r="C3039" s="282"/>
      <c r="D3039" s="282"/>
      <c r="E3039" s="282"/>
      <c r="F3039" s="282"/>
      <c r="G3039" s="329"/>
      <c r="H3039" s="329"/>
      <c r="I3039" s="329"/>
      <c r="J3039" s="329"/>
      <c r="K3039" s="329"/>
      <c r="L3039" s="329"/>
      <c r="M3039" s="329"/>
      <c r="N3039" s="329"/>
      <c r="O3039" s="329"/>
      <c r="P3039" s="329"/>
      <c r="Q3039" s="329"/>
      <c r="R3039" s="329"/>
    </row>
    <row r="3040" spans="1:18" ht="13">
      <c r="A3040" s="282"/>
      <c r="B3040" s="282"/>
      <c r="C3040" s="282"/>
      <c r="D3040" s="282"/>
      <c r="E3040" s="282"/>
      <c r="F3040" s="282"/>
      <c r="G3040" s="329"/>
      <c r="H3040" s="329"/>
      <c r="I3040" s="329"/>
      <c r="J3040" s="329"/>
      <c r="K3040" s="329"/>
      <c r="L3040" s="329"/>
      <c r="M3040" s="329"/>
      <c r="N3040" s="329"/>
      <c r="O3040" s="329"/>
      <c r="P3040" s="329"/>
      <c r="Q3040" s="329"/>
      <c r="R3040" s="329"/>
    </row>
    <row r="3041" spans="1:18" ht="13">
      <c r="A3041" s="282"/>
      <c r="B3041" s="282"/>
      <c r="C3041" s="282"/>
      <c r="D3041" s="282"/>
      <c r="E3041" s="282"/>
      <c r="F3041" s="282"/>
      <c r="G3041" s="329"/>
      <c r="H3041" s="329"/>
      <c r="I3041" s="329"/>
      <c r="J3041" s="329"/>
      <c r="K3041" s="329"/>
      <c r="L3041" s="329"/>
      <c r="M3041" s="329"/>
      <c r="N3041" s="329"/>
      <c r="O3041" s="329"/>
      <c r="P3041" s="329"/>
      <c r="Q3041" s="329"/>
      <c r="R3041" s="329"/>
    </row>
    <row r="3042" spans="1:18" ht="13">
      <c r="A3042" s="282"/>
      <c r="B3042" s="282"/>
      <c r="C3042" s="282"/>
      <c r="D3042" s="282"/>
      <c r="E3042" s="282"/>
      <c r="F3042" s="282"/>
      <c r="G3042" s="329"/>
      <c r="H3042" s="329"/>
      <c r="I3042" s="329"/>
      <c r="J3042" s="329"/>
      <c r="K3042" s="329"/>
      <c r="L3042" s="329"/>
      <c r="M3042" s="329"/>
      <c r="N3042" s="329"/>
      <c r="O3042" s="329"/>
      <c r="P3042" s="329"/>
      <c r="Q3042" s="329"/>
      <c r="R3042" s="329"/>
    </row>
    <row r="3043" spans="1:18" ht="13">
      <c r="A3043" s="282"/>
      <c r="B3043" s="282"/>
      <c r="C3043" s="282"/>
      <c r="D3043" s="282"/>
      <c r="E3043" s="282"/>
      <c r="F3043" s="282"/>
      <c r="G3043" s="329"/>
      <c r="H3043" s="329"/>
      <c r="I3043" s="329"/>
      <c r="J3043" s="329"/>
      <c r="K3043" s="329"/>
      <c r="L3043" s="329"/>
      <c r="M3043" s="329"/>
      <c r="N3043" s="329"/>
      <c r="O3043" s="329"/>
      <c r="P3043" s="329"/>
      <c r="Q3043" s="329"/>
      <c r="R3043" s="329"/>
    </row>
    <row r="3044" spans="1:18" ht="13">
      <c r="A3044" s="282"/>
      <c r="B3044" s="282"/>
      <c r="C3044" s="282"/>
      <c r="D3044" s="282"/>
      <c r="E3044" s="282"/>
      <c r="F3044" s="282"/>
      <c r="G3044" s="329"/>
      <c r="H3044" s="329"/>
      <c r="I3044" s="329"/>
      <c r="J3044" s="329"/>
      <c r="K3044" s="329"/>
      <c r="L3044" s="329"/>
      <c r="M3044" s="329"/>
      <c r="N3044" s="329"/>
      <c r="O3044" s="329"/>
      <c r="P3044" s="329"/>
      <c r="Q3044" s="329"/>
      <c r="R3044" s="329"/>
    </row>
    <row r="3045" spans="1:18" ht="13">
      <c r="A3045" s="282"/>
      <c r="B3045" s="282"/>
      <c r="C3045" s="282"/>
      <c r="D3045" s="282"/>
      <c r="E3045" s="282"/>
      <c r="F3045" s="282"/>
      <c r="G3045" s="329"/>
      <c r="H3045" s="329"/>
      <c r="I3045" s="329"/>
      <c r="J3045" s="329"/>
      <c r="K3045" s="329"/>
      <c r="L3045" s="329"/>
      <c r="M3045" s="329"/>
      <c r="N3045" s="329"/>
      <c r="O3045" s="329"/>
      <c r="P3045" s="329"/>
      <c r="Q3045" s="329"/>
      <c r="R3045" s="329"/>
    </row>
    <row r="3046" spans="1:18" ht="13">
      <c r="A3046" s="282"/>
      <c r="B3046" s="282"/>
      <c r="C3046" s="282"/>
      <c r="D3046" s="282"/>
      <c r="E3046" s="282"/>
      <c r="F3046" s="282"/>
      <c r="G3046" s="329"/>
      <c r="H3046" s="329"/>
      <c r="I3046" s="329"/>
      <c r="J3046" s="329"/>
      <c r="K3046" s="329"/>
      <c r="L3046" s="329"/>
      <c r="M3046" s="329"/>
      <c r="N3046" s="329"/>
      <c r="O3046" s="329"/>
      <c r="P3046" s="329"/>
      <c r="Q3046" s="329"/>
      <c r="R3046" s="329"/>
    </row>
    <row r="3047" spans="1:18" ht="13">
      <c r="A3047" s="282"/>
      <c r="B3047" s="282"/>
      <c r="C3047" s="282"/>
      <c r="D3047" s="282"/>
      <c r="E3047" s="282"/>
      <c r="F3047" s="282"/>
      <c r="G3047" s="329"/>
      <c r="H3047" s="329"/>
      <c r="I3047" s="329"/>
      <c r="J3047" s="329"/>
      <c r="K3047" s="329"/>
      <c r="L3047" s="329"/>
      <c r="M3047" s="329"/>
      <c r="N3047" s="329"/>
      <c r="O3047" s="329"/>
      <c r="P3047" s="329"/>
      <c r="Q3047" s="329"/>
      <c r="R3047" s="329"/>
    </row>
    <row r="3048" spans="1:18" ht="13">
      <c r="A3048" s="282"/>
      <c r="B3048" s="282"/>
      <c r="C3048" s="282"/>
      <c r="D3048" s="282"/>
      <c r="E3048" s="282"/>
      <c r="F3048" s="282"/>
      <c r="G3048" s="329"/>
      <c r="H3048" s="329"/>
      <c r="I3048" s="329"/>
      <c r="J3048" s="329"/>
      <c r="K3048" s="329"/>
      <c r="L3048" s="329"/>
      <c r="M3048" s="329"/>
      <c r="N3048" s="329"/>
      <c r="O3048" s="329"/>
      <c r="P3048" s="329"/>
      <c r="Q3048" s="329"/>
      <c r="R3048" s="329"/>
    </row>
    <row r="3049" spans="1:18" ht="13">
      <c r="A3049" s="282"/>
      <c r="B3049" s="282"/>
      <c r="C3049" s="282"/>
      <c r="D3049" s="282"/>
      <c r="E3049" s="282"/>
      <c r="F3049" s="282"/>
      <c r="G3049" s="329"/>
      <c r="H3049" s="329"/>
      <c r="I3049" s="329"/>
      <c r="J3049" s="329"/>
      <c r="K3049" s="329"/>
      <c r="L3049" s="329"/>
      <c r="M3049" s="329"/>
      <c r="N3049" s="329"/>
      <c r="O3049" s="329"/>
      <c r="P3049" s="329"/>
      <c r="Q3049" s="329"/>
      <c r="R3049" s="329"/>
    </row>
    <row r="3050" spans="1:18" ht="13">
      <c r="A3050" s="282"/>
      <c r="B3050" s="282"/>
      <c r="C3050" s="282"/>
      <c r="D3050" s="282"/>
      <c r="E3050" s="282"/>
      <c r="F3050" s="282"/>
      <c r="G3050" s="329"/>
      <c r="H3050" s="329"/>
      <c r="I3050" s="329"/>
      <c r="J3050" s="329"/>
      <c r="K3050" s="329"/>
      <c r="L3050" s="329"/>
      <c r="M3050" s="329"/>
      <c r="N3050" s="329"/>
      <c r="O3050" s="329"/>
      <c r="P3050" s="329"/>
      <c r="Q3050" s="329"/>
      <c r="R3050" s="329"/>
    </row>
    <row r="3051" spans="1:18" ht="13">
      <c r="A3051" s="282"/>
      <c r="B3051" s="282"/>
      <c r="C3051" s="282"/>
      <c r="D3051" s="282"/>
      <c r="E3051" s="282"/>
      <c r="F3051" s="282"/>
      <c r="G3051" s="329"/>
      <c r="H3051" s="329"/>
      <c r="I3051" s="329"/>
      <c r="J3051" s="329"/>
      <c r="K3051" s="329"/>
      <c r="L3051" s="329"/>
      <c r="M3051" s="329"/>
      <c r="N3051" s="329"/>
      <c r="O3051" s="329"/>
      <c r="P3051" s="329"/>
      <c r="Q3051" s="329"/>
      <c r="R3051" s="329"/>
    </row>
    <row r="3052" spans="1:18" ht="13">
      <c r="A3052" s="282"/>
      <c r="B3052" s="282"/>
      <c r="C3052" s="282"/>
      <c r="D3052" s="282"/>
      <c r="E3052" s="282"/>
      <c r="F3052" s="282"/>
      <c r="G3052" s="329"/>
      <c r="H3052" s="329"/>
      <c r="I3052" s="329"/>
      <c r="J3052" s="329"/>
      <c r="K3052" s="329"/>
      <c r="L3052" s="329"/>
      <c r="M3052" s="329"/>
      <c r="N3052" s="329"/>
      <c r="O3052" s="329"/>
      <c r="P3052" s="329"/>
      <c r="Q3052" s="329"/>
      <c r="R3052" s="329"/>
    </row>
    <row r="3053" spans="1:18" ht="13">
      <c r="A3053" s="282"/>
      <c r="B3053" s="282"/>
      <c r="C3053" s="282"/>
      <c r="D3053" s="282"/>
      <c r="E3053" s="282"/>
      <c r="F3053" s="282"/>
      <c r="G3053" s="329"/>
      <c r="H3053" s="329"/>
      <c r="I3053" s="329"/>
      <c r="J3053" s="329"/>
      <c r="K3053" s="329"/>
      <c r="L3053" s="329"/>
      <c r="M3053" s="329"/>
      <c r="N3053" s="329"/>
      <c r="O3053" s="329"/>
      <c r="P3053" s="329"/>
      <c r="Q3053" s="329"/>
      <c r="R3053" s="329"/>
    </row>
    <row r="3054" spans="1:18" ht="13">
      <c r="A3054" s="282"/>
      <c r="B3054" s="282"/>
      <c r="C3054" s="282"/>
      <c r="D3054" s="282"/>
      <c r="E3054" s="282"/>
      <c r="F3054" s="282"/>
      <c r="G3054" s="329"/>
      <c r="H3054" s="329"/>
      <c r="I3054" s="329"/>
      <c r="J3054" s="329"/>
      <c r="K3054" s="329"/>
      <c r="L3054" s="329"/>
      <c r="M3054" s="329"/>
      <c r="N3054" s="329"/>
      <c r="O3054" s="329"/>
      <c r="P3054" s="329"/>
      <c r="Q3054" s="329"/>
      <c r="R3054" s="329"/>
    </row>
    <row r="3055" spans="1:18" ht="13">
      <c r="A3055" s="282"/>
      <c r="B3055" s="282"/>
      <c r="C3055" s="282"/>
      <c r="D3055" s="282"/>
      <c r="E3055" s="282"/>
      <c r="F3055" s="282"/>
      <c r="G3055" s="329"/>
      <c r="H3055" s="329"/>
      <c r="I3055" s="329"/>
      <c r="J3055" s="329"/>
      <c r="K3055" s="329"/>
      <c r="L3055" s="329"/>
      <c r="M3055" s="329"/>
      <c r="N3055" s="329"/>
      <c r="O3055" s="329"/>
      <c r="P3055" s="329"/>
      <c r="Q3055" s="329"/>
      <c r="R3055" s="329"/>
    </row>
    <row r="3056" spans="1:18" ht="13">
      <c r="A3056" s="282"/>
      <c r="B3056" s="282"/>
      <c r="C3056" s="282"/>
      <c r="D3056" s="282"/>
      <c r="E3056" s="282"/>
      <c r="F3056" s="282"/>
      <c r="G3056" s="329"/>
      <c r="H3056" s="329"/>
      <c r="I3056" s="329"/>
      <c r="J3056" s="329"/>
      <c r="K3056" s="329"/>
      <c r="L3056" s="329"/>
      <c r="M3056" s="329"/>
      <c r="N3056" s="329"/>
      <c r="O3056" s="329"/>
      <c r="P3056" s="329"/>
      <c r="Q3056" s="329"/>
      <c r="R3056" s="329"/>
    </row>
    <row r="3057" spans="1:18" ht="13">
      <c r="A3057" s="282"/>
      <c r="B3057" s="282"/>
      <c r="C3057" s="282"/>
      <c r="D3057" s="282"/>
      <c r="E3057" s="282"/>
      <c r="F3057" s="282"/>
      <c r="G3057" s="329"/>
      <c r="H3057" s="329"/>
      <c r="I3057" s="329"/>
      <c r="J3057" s="329"/>
      <c r="K3057" s="329"/>
      <c r="L3057" s="329"/>
      <c r="M3057" s="329"/>
      <c r="N3057" s="329"/>
      <c r="O3057" s="329"/>
      <c r="P3057" s="329"/>
      <c r="Q3057" s="329"/>
      <c r="R3057" s="329"/>
    </row>
    <row r="3058" spans="1:18" ht="13">
      <c r="A3058" s="282"/>
      <c r="B3058" s="282"/>
      <c r="C3058" s="282"/>
      <c r="D3058" s="282"/>
      <c r="E3058" s="282"/>
      <c r="F3058" s="282"/>
      <c r="G3058" s="329"/>
      <c r="H3058" s="329"/>
      <c r="I3058" s="329"/>
      <c r="J3058" s="329"/>
      <c r="K3058" s="329"/>
      <c r="L3058" s="329"/>
      <c r="M3058" s="329"/>
      <c r="N3058" s="329"/>
      <c r="O3058" s="329"/>
      <c r="P3058" s="329"/>
      <c r="Q3058" s="329"/>
      <c r="R3058" s="329"/>
    </row>
    <row r="3059" spans="1:18" ht="13">
      <c r="A3059" s="282"/>
      <c r="B3059" s="282"/>
      <c r="C3059" s="282"/>
      <c r="D3059" s="282"/>
      <c r="E3059" s="282"/>
      <c r="F3059" s="282"/>
      <c r="G3059" s="329"/>
      <c r="H3059" s="329"/>
      <c r="I3059" s="329"/>
      <c r="J3059" s="329"/>
      <c r="K3059" s="329"/>
      <c r="L3059" s="329"/>
      <c r="M3059" s="329"/>
      <c r="N3059" s="329"/>
      <c r="O3059" s="329"/>
      <c r="P3059" s="329"/>
      <c r="Q3059" s="329"/>
      <c r="R3059" s="329"/>
    </row>
    <row r="3060" spans="1:18" ht="13">
      <c r="A3060" s="282"/>
      <c r="B3060" s="282"/>
      <c r="C3060" s="282"/>
      <c r="D3060" s="282"/>
      <c r="E3060" s="282"/>
      <c r="F3060" s="282"/>
      <c r="G3060" s="329"/>
      <c r="H3060" s="329"/>
      <c r="I3060" s="329"/>
      <c r="J3060" s="329"/>
      <c r="K3060" s="329"/>
      <c r="L3060" s="329"/>
      <c r="M3060" s="329"/>
      <c r="N3060" s="329"/>
      <c r="O3060" s="329"/>
      <c r="P3060" s="329"/>
      <c r="Q3060" s="329"/>
      <c r="R3060" s="329"/>
    </row>
    <row r="3061" spans="1:18" ht="13">
      <c r="A3061" s="282"/>
      <c r="B3061" s="282"/>
      <c r="C3061" s="282"/>
      <c r="D3061" s="282"/>
      <c r="E3061" s="282"/>
      <c r="F3061" s="282"/>
      <c r="G3061" s="329"/>
      <c r="H3061" s="329"/>
      <c r="I3061" s="329"/>
      <c r="J3061" s="329"/>
      <c r="K3061" s="329"/>
      <c r="L3061" s="329"/>
      <c r="M3061" s="329"/>
      <c r="N3061" s="329"/>
      <c r="O3061" s="329"/>
      <c r="P3061" s="329"/>
      <c r="Q3061" s="329"/>
      <c r="R3061" s="329"/>
    </row>
    <row r="3062" spans="1:18" ht="13">
      <c r="A3062" s="282"/>
      <c r="B3062" s="282"/>
      <c r="C3062" s="282"/>
      <c r="D3062" s="282"/>
      <c r="E3062" s="282"/>
      <c r="F3062" s="282"/>
      <c r="G3062" s="329"/>
      <c r="H3062" s="329"/>
      <c r="I3062" s="329"/>
      <c r="J3062" s="329"/>
      <c r="K3062" s="329"/>
      <c r="L3062" s="329"/>
      <c r="M3062" s="329"/>
      <c r="N3062" s="329"/>
      <c r="O3062" s="329"/>
      <c r="P3062" s="329"/>
      <c r="Q3062" s="329"/>
      <c r="R3062" s="329"/>
    </row>
    <row r="3063" spans="1:18" ht="13">
      <c r="A3063" s="282"/>
      <c r="B3063" s="282"/>
      <c r="C3063" s="282"/>
      <c r="D3063" s="282"/>
      <c r="E3063" s="282"/>
      <c r="F3063" s="282"/>
      <c r="G3063" s="329"/>
      <c r="H3063" s="329"/>
      <c r="I3063" s="329"/>
      <c r="J3063" s="329"/>
      <c r="K3063" s="329"/>
      <c r="L3063" s="329"/>
      <c r="M3063" s="329"/>
      <c r="N3063" s="329"/>
      <c r="O3063" s="329"/>
      <c r="P3063" s="329"/>
      <c r="Q3063" s="329"/>
      <c r="R3063" s="329"/>
    </row>
    <row r="3064" spans="1:18" ht="13">
      <c r="A3064" s="282"/>
      <c r="B3064" s="282"/>
      <c r="C3064" s="282"/>
      <c r="D3064" s="282"/>
      <c r="E3064" s="282"/>
      <c r="F3064" s="282"/>
      <c r="G3064" s="329"/>
      <c r="H3064" s="329"/>
      <c r="I3064" s="329"/>
      <c r="J3064" s="329"/>
      <c r="K3064" s="329"/>
      <c r="L3064" s="329"/>
      <c r="M3064" s="329"/>
      <c r="N3064" s="329"/>
      <c r="O3064" s="329"/>
      <c r="P3064" s="329"/>
      <c r="Q3064" s="329"/>
      <c r="R3064" s="329"/>
    </row>
    <row r="3065" spans="1:18" ht="13">
      <c r="A3065" s="282"/>
      <c r="B3065" s="282"/>
      <c r="C3065" s="282"/>
      <c r="D3065" s="282"/>
      <c r="E3065" s="282"/>
      <c r="F3065" s="282"/>
      <c r="G3065" s="329"/>
      <c r="H3065" s="329"/>
      <c r="I3065" s="329"/>
      <c r="J3065" s="329"/>
      <c r="K3065" s="329"/>
      <c r="L3065" s="329"/>
      <c r="M3065" s="329"/>
      <c r="N3065" s="329"/>
      <c r="O3065" s="329"/>
      <c r="P3065" s="329"/>
      <c r="Q3065" s="329"/>
      <c r="R3065" s="329"/>
    </row>
    <row r="3066" spans="1:18" ht="13">
      <c r="A3066" s="282"/>
      <c r="B3066" s="282"/>
      <c r="C3066" s="282"/>
      <c r="D3066" s="282"/>
      <c r="E3066" s="282"/>
      <c r="F3066" s="282"/>
      <c r="G3066" s="329"/>
      <c r="H3066" s="329"/>
      <c r="I3066" s="329"/>
      <c r="J3066" s="329"/>
      <c r="K3066" s="329"/>
      <c r="L3066" s="329"/>
      <c r="M3066" s="329"/>
      <c r="N3066" s="329"/>
      <c r="O3066" s="329"/>
      <c r="P3066" s="329"/>
      <c r="Q3066" s="329"/>
      <c r="R3066" s="329"/>
    </row>
    <row r="3067" spans="1:18" ht="13">
      <c r="A3067" s="282"/>
      <c r="B3067" s="282"/>
      <c r="C3067" s="282"/>
      <c r="D3067" s="282"/>
      <c r="E3067" s="282"/>
      <c r="F3067" s="282"/>
      <c r="G3067" s="329"/>
      <c r="H3067" s="329"/>
      <c r="I3067" s="329"/>
      <c r="J3067" s="329"/>
      <c r="K3067" s="329"/>
      <c r="L3067" s="329"/>
      <c r="M3067" s="329"/>
      <c r="N3067" s="329"/>
      <c r="O3067" s="329"/>
      <c r="P3067" s="329"/>
      <c r="Q3067" s="329"/>
      <c r="R3067" s="329"/>
    </row>
    <row r="3068" spans="1:18" ht="13">
      <c r="A3068" s="282"/>
      <c r="B3068" s="282"/>
      <c r="C3068" s="282"/>
      <c r="D3068" s="282"/>
      <c r="E3068" s="282"/>
      <c r="F3068" s="282"/>
      <c r="G3068" s="329"/>
      <c r="H3068" s="329"/>
      <c r="I3068" s="329"/>
      <c r="J3068" s="329"/>
      <c r="K3068" s="329"/>
      <c r="L3068" s="329"/>
      <c r="M3068" s="329"/>
      <c r="N3068" s="329"/>
      <c r="O3068" s="329"/>
      <c r="P3068" s="329"/>
      <c r="Q3068" s="329"/>
      <c r="R3068" s="329"/>
    </row>
    <row r="3069" spans="1:18" ht="13">
      <c r="A3069" s="282"/>
      <c r="B3069" s="282"/>
      <c r="C3069" s="282"/>
      <c r="D3069" s="282"/>
      <c r="E3069" s="282"/>
      <c r="F3069" s="282"/>
      <c r="G3069" s="329"/>
      <c r="H3069" s="329"/>
      <c r="I3069" s="329"/>
      <c r="J3069" s="329"/>
      <c r="K3069" s="329"/>
      <c r="L3069" s="329"/>
      <c r="M3069" s="329"/>
      <c r="N3069" s="329"/>
      <c r="O3069" s="329"/>
      <c r="P3069" s="329"/>
      <c r="Q3069" s="329"/>
      <c r="R3069" s="329"/>
    </row>
    <row r="3070" spans="1:18" ht="13">
      <c r="A3070" s="282"/>
      <c r="B3070" s="282"/>
      <c r="C3070" s="282"/>
      <c r="D3070" s="282"/>
      <c r="E3070" s="282"/>
      <c r="F3070" s="282"/>
      <c r="G3070" s="329"/>
      <c r="H3070" s="329"/>
      <c r="I3070" s="329"/>
      <c r="J3070" s="329"/>
      <c r="K3070" s="329"/>
      <c r="L3070" s="329"/>
      <c r="M3070" s="329"/>
      <c r="N3070" s="329"/>
      <c r="O3070" s="329"/>
      <c r="P3070" s="329"/>
      <c r="Q3070" s="329"/>
      <c r="R3070" s="329"/>
    </row>
    <row r="3071" spans="1:18" ht="13">
      <c r="A3071" s="282"/>
      <c r="B3071" s="282"/>
      <c r="C3071" s="282"/>
      <c r="D3071" s="282"/>
      <c r="E3071" s="282"/>
      <c r="F3071" s="282"/>
      <c r="G3071" s="329"/>
      <c r="H3071" s="329"/>
      <c r="I3071" s="329"/>
      <c r="J3071" s="329"/>
      <c r="K3071" s="329"/>
      <c r="L3071" s="329"/>
      <c r="M3071" s="329"/>
      <c r="N3071" s="329"/>
      <c r="O3071" s="329"/>
      <c r="P3071" s="329"/>
      <c r="Q3071" s="329"/>
      <c r="R3071" s="329"/>
    </row>
    <row r="3072" spans="1:18" ht="13">
      <c r="A3072" s="282"/>
      <c r="B3072" s="282"/>
      <c r="C3072" s="282"/>
      <c r="D3072" s="282"/>
      <c r="E3072" s="282"/>
      <c r="F3072" s="282"/>
      <c r="G3072" s="329"/>
      <c r="H3072" s="329"/>
      <c r="I3072" s="329"/>
      <c r="J3072" s="329"/>
      <c r="K3072" s="329"/>
      <c r="L3072" s="329"/>
      <c r="M3072" s="329"/>
      <c r="N3072" s="329"/>
      <c r="O3072" s="329"/>
      <c r="P3072" s="329"/>
      <c r="Q3072" s="329"/>
      <c r="R3072" s="329"/>
    </row>
    <row r="3073" spans="1:18" ht="13">
      <c r="A3073" s="282"/>
      <c r="B3073" s="282"/>
      <c r="C3073" s="282"/>
      <c r="D3073" s="282"/>
      <c r="E3073" s="282"/>
      <c r="F3073" s="282"/>
      <c r="G3073" s="329"/>
      <c r="H3073" s="329"/>
      <c r="I3073" s="329"/>
      <c r="J3073" s="329"/>
      <c r="K3073" s="329"/>
      <c r="L3073" s="329"/>
      <c r="M3073" s="329"/>
      <c r="N3073" s="329"/>
      <c r="O3073" s="329"/>
      <c r="P3073" s="329"/>
      <c r="Q3073" s="329"/>
      <c r="R3073" s="329"/>
    </row>
    <row r="3074" spans="1:18" ht="13">
      <c r="A3074" s="282"/>
      <c r="B3074" s="282"/>
      <c r="C3074" s="282"/>
      <c r="D3074" s="282"/>
      <c r="E3074" s="282"/>
      <c r="F3074" s="282"/>
      <c r="G3074" s="329"/>
      <c r="H3074" s="329"/>
      <c r="I3074" s="329"/>
      <c r="J3074" s="329"/>
      <c r="K3074" s="329"/>
      <c r="L3074" s="329"/>
      <c r="M3074" s="329"/>
      <c r="N3074" s="329"/>
      <c r="O3074" s="329"/>
      <c r="P3074" s="329"/>
      <c r="Q3074" s="329"/>
      <c r="R3074" s="329"/>
    </row>
    <row r="3075" spans="1:18" ht="13">
      <c r="A3075" s="282"/>
      <c r="B3075" s="282"/>
      <c r="C3075" s="282"/>
      <c r="D3075" s="282"/>
      <c r="E3075" s="282"/>
      <c r="F3075" s="282"/>
      <c r="G3075" s="329"/>
      <c r="H3075" s="329"/>
      <c r="I3075" s="329"/>
      <c r="J3075" s="329"/>
      <c r="K3075" s="329"/>
      <c r="L3075" s="329"/>
      <c r="M3075" s="329"/>
      <c r="N3075" s="329"/>
      <c r="O3075" s="329"/>
      <c r="P3075" s="329"/>
      <c r="Q3075" s="329"/>
      <c r="R3075" s="329"/>
    </row>
    <row r="3076" spans="1:18" ht="13">
      <c r="A3076" s="282"/>
      <c r="B3076" s="282"/>
      <c r="C3076" s="282"/>
      <c r="D3076" s="282"/>
      <c r="E3076" s="282"/>
      <c r="F3076" s="282"/>
      <c r="G3076" s="329"/>
      <c r="H3076" s="329"/>
      <c r="I3076" s="329"/>
      <c r="J3076" s="329"/>
      <c r="K3076" s="329"/>
      <c r="L3076" s="329"/>
      <c r="M3076" s="329"/>
      <c r="N3076" s="329"/>
      <c r="O3076" s="329"/>
      <c r="P3076" s="329"/>
      <c r="Q3076" s="329"/>
      <c r="R3076" s="329"/>
    </row>
    <row r="3077" spans="1:18" ht="13">
      <c r="A3077" s="282"/>
      <c r="B3077" s="282"/>
      <c r="C3077" s="282"/>
      <c r="D3077" s="282"/>
      <c r="E3077" s="282"/>
      <c r="F3077" s="282"/>
      <c r="G3077" s="329"/>
      <c r="H3077" s="329"/>
      <c r="I3077" s="329"/>
      <c r="J3077" s="329"/>
      <c r="K3077" s="329"/>
      <c r="L3077" s="329"/>
      <c r="M3077" s="329"/>
      <c r="N3077" s="329"/>
      <c r="O3077" s="329"/>
      <c r="P3077" s="329"/>
      <c r="Q3077" s="329"/>
      <c r="R3077" s="329"/>
    </row>
    <row r="3078" spans="1:18" ht="13">
      <c r="A3078" s="282"/>
      <c r="B3078" s="282"/>
      <c r="C3078" s="282"/>
      <c r="D3078" s="282"/>
      <c r="E3078" s="282"/>
      <c r="F3078" s="282"/>
      <c r="G3078" s="329"/>
      <c r="H3078" s="329"/>
      <c r="I3078" s="329"/>
      <c r="J3078" s="329"/>
      <c r="K3078" s="329"/>
      <c r="L3078" s="329"/>
      <c r="M3078" s="329"/>
      <c r="N3078" s="329"/>
      <c r="O3078" s="329"/>
      <c r="P3078" s="329"/>
      <c r="Q3078" s="329"/>
      <c r="R3078" s="329"/>
    </row>
    <row r="3079" spans="1:18" ht="13">
      <c r="A3079" s="282"/>
      <c r="B3079" s="282"/>
      <c r="C3079" s="282"/>
      <c r="D3079" s="282"/>
      <c r="E3079" s="282"/>
      <c r="F3079" s="282"/>
      <c r="G3079" s="329"/>
      <c r="H3079" s="329"/>
      <c r="I3079" s="329"/>
      <c r="J3079" s="329"/>
      <c r="K3079" s="329"/>
      <c r="L3079" s="329"/>
      <c r="M3079" s="329"/>
      <c r="N3079" s="329"/>
      <c r="O3079" s="329"/>
      <c r="P3079" s="329"/>
      <c r="Q3079" s="329"/>
      <c r="R3079" s="329"/>
    </row>
    <row r="3080" spans="1:18" ht="13">
      <c r="A3080" s="282"/>
      <c r="B3080" s="282"/>
      <c r="C3080" s="282"/>
      <c r="D3080" s="282"/>
      <c r="E3080" s="282"/>
      <c r="F3080" s="282"/>
      <c r="G3080" s="329"/>
      <c r="H3080" s="329"/>
      <c r="I3080" s="329"/>
      <c r="J3080" s="329"/>
      <c r="K3080" s="329"/>
      <c r="L3080" s="329"/>
      <c r="M3080" s="329"/>
      <c r="N3080" s="329"/>
      <c r="O3080" s="329"/>
      <c r="P3080" s="329"/>
      <c r="Q3080" s="329"/>
      <c r="R3080" s="329"/>
    </row>
    <row r="3081" spans="1:18" ht="13">
      <c r="A3081" s="282"/>
      <c r="B3081" s="282"/>
      <c r="C3081" s="282"/>
      <c r="D3081" s="282"/>
      <c r="E3081" s="282"/>
      <c r="F3081" s="282"/>
      <c r="G3081" s="329"/>
      <c r="H3081" s="329"/>
      <c r="I3081" s="329"/>
      <c r="J3081" s="329"/>
      <c r="K3081" s="329"/>
      <c r="L3081" s="329"/>
      <c r="M3081" s="329"/>
      <c r="N3081" s="329"/>
      <c r="O3081" s="329"/>
      <c r="P3081" s="329"/>
      <c r="Q3081" s="329"/>
      <c r="R3081" s="329"/>
    </row>
    <row r="3082" spans="1:18" ht="13">
      <c r="A3082" s="282"/>
      <c r="B3082" s="282"/>
      <c r="C3082" s="282"/>
      <c r="D3082" s="282"/>
      <c r="E3082" s="282"/>
      <c r="F3082" s="282"/>
      <c r="G3082" s="329"/>
      <c r="H3082" s="329"/>
      <c r="I3082" s="329"/>
      <c r="J3082" s="329"/>
      <c r="K3082" s="329"/>
      <c r="L3082" s="329"/>
      <c r="M3082" s="329"/>
      <c r="N3082" s="329"/>
      <c r="O3082" s="329"/>
      <c r="P3082" s="329"/>
      <c r="Q3082" s="329"/>
      <c r="R3082" s="329"/>
    </row>
    <row r="3083" spans="1:18" ht="13">
      <c r="A3083" s="282"/>
      <c r="B3083" s="282"/>
      <c r="C3083" s="282"/>
      <c r="D3083" s="282"/>
      <c r="E3083" s="282"/>
      <c r="F3083" s="282"/>
      <c r="G3083" s="329"/>
      <c r="H3083" s="329"/>
      <c r="I3083" s="329"/>
      <c r="J3083" s="329"/>
      <c r="K3083" s="329"/>
      <c r="L3083" s="329"/>
      <c r="M3083" s="329"/>
      <c r="N3083" s="329"/>
      <c r="O3083" s="329"/>
      <c r="P3083" s="329"/>
      <c r="Q3083" s="329"/>
      <c r="R3083" s="329"/>
    </row>
    <row r="3084" spans="1:18" ht="13">
      <c r="A3084" s="282"/>
      <c r="B3084" s="282"/>
      <c r="C3084" s="282"/>
      <c r="D3084" s="282"/>
      <c r="E3084" s="282"/>
      <c r="F3084" s="282"/>
      <c r="G3084" s="329"/>
      <c r="H3084" s="329"/>
      <c r="I3084" s="329"/>
      <c r="J3084" s="329"/>
      <c r="K3084" s="329"/>
      <c r="L3084" s="329"/>
      <c r="M3084" s="329"/>
      <c r="N3084" s="329"/>
      <c r="O3084" s="329"/>
      <c r="P3084" s="329"/>
      <c r="Q3084" s="329"/>
      <c r="R3084" s="329"/>
    </row>
    <row r="3085" spans="1:18" ht="13">
      <c r="A3085" s="282"/>
      <c r="B3085" s="282"/>
      <c r="C3085" s="282"/>
      <c r="D3085" s="282"/>
      <c r="E3085" s="282"/>
      <c r="F3085" s="282"/>
      <c r="G3085" s="329"/>
      <c r="H3085" s="329"/>
      <c r="I3085" s="329"/>
      <c r="J3085" s="329"/>
      <c r="K3085" s="329"/>
      <c r="L3085" s="329"/>
      <c r="M3085" s="329"/>
      <c r="N3085" s="329"/>
      <c r="O3085" s="329"/>
      <c r="P3085" s="329"/>
      <c r="Q3085" s="329"/>
      <c r="R3085" s="329"/>
    </row>
    <row r="3086" spans="1:18" ht="13">
      <c r="A3086" s="282"/>
      <c r="B3086" s="282"/>
      <c r="C3086" s="282"/>
      <c r="D3086" s="282"/>
      <c r="E3086" s="282"/>
      <c r="F3086" s="282"/>
      <c r="G3086" s="329"/>
      <c r="H3086" s="329"/>
      <c r="I3086" s="329"/>
      <c r="J3086" s="329"/>
      <c r="K3086" s="329"/>
      <c r="L3086" s="329"/>
      <c r="M3086" s="329"/>
      <c r="N3086" s="329"/>
      <c r="O3086" s="329"/>
      <c r="P3086" s="329"/>
      <c r="Q3086" s="329"/>
      <c r="R3086" s="329"/>
    </row>
    <row r="3087" spans="1:18" ht="13">
      <c r="A3087" s="282"/>
      <c r="B3087" s="282"/>
      <c r="C3087" s="282"/>
      <c r="D3087" s="282"/>
      <c r="E3087" s="282"/>
      <c r="F3087" s="282"/>
      <c r="G3087" s="329"/>
      <c r="H3087" s="329"/>
      <c r="I3087" s="329"/>
      <c r="J3087" s="329"/>
      <c r="K3087" s="329"/>
      <c r="L3087" s="329"/>
      <c r="M3087" s="329"/>
      <c r="N3087" s="329"/>
      <c r="O3087" s="329"/>
      <c r="P3087" s="329"/>
      <c r="Q3087" s="329"/>
      <c r="R3087" s="329"/>
    </row>
    <row r="3088" spans="1:18" ht="13">
      <c r="A3088" s="282"/>
      <c r="B3088" s="282"/>
      <c r="C3088" s="282"/>
      <c r="D3088" s="282"/>
      <c r="E3088" s="282"/>
      <c r="F3088" s="282"/>
      <c r="G3088" s="329"/>
      <c r="H3088" s="329"/>
      <c r="I3088" s="329"/>
      <c r="J3088" s="329"/>
      <c r="K3088" s="329"/>
      <c r="L3088" s="329"/>
      <c r="M3088" s="329"/>
      <c r="N3088" s="329"/>
      <c r="O3088" s="329"/>
      <c r="P3088" s="329"/>
      <c r="Q3088" s="329"/>
      <c r="R3088" s="329"/>
    </row>
    <row r="3089" spans="1:18" ht="13">
      <c r="A3089" s="282"/>
      <c r="B3089" s="282"/>
      <c r="C3089" s="282"/>
      <c r="D3089" s="282"/>
      <c r="E3089" s="282"/>
      <c r="F3089" s="282"/>
      <c r="G3089" s="329"/>
      <c r="H3089" s="329"/>
      <c r="I3089" s="329"/>
      <c r="J3089" s="329"/>
      <c r="K3089" s="329"/>
      <c r="L3089" s="329"/>
      <c r="M3089" s="329"/>
      <c r="N3089" s="329"/>
      <c r="O3089" s="329"/>
      <c r="P3089" s="329"/>
      <c r="Q3089" s="329"/>
      <c r="R3089" s="329"/>
    </row>
    <row r="3090" spans="1:18" ht="13">
      <c r="A3090" s="282"/>
      <c r="B3090" s="282"/>
      <c r="C3090" s="282"/>
      <c r="D3090" s="282"/>
      <c r="E3090" s="282"/>
      <c r="F3090" s="282"/>
      <c r="G3090" s="329"/>
      <c r="H3090" s="329"/>
      <c r="I3090" s="329"/>
      <c r="J3090" s="329"/>
      <c r="K3090" s="329"/>
      <c r="L3090" s="329"/>
      <c r="M3090" s="329"/>
      <c r="N3090" s="329"/>
      <c r="O3090" s="329"/>
      <c r="P3090" s="329"/>
      <c r="Q3090" s="329"/>
      <c r="R3090" s="329"/>
    </row>
    <row r="3091" spans="1:18" ht="13">
      <c r="A3091" s="282"/>
      <c r="B3091" s="282"/>
      <c r="C3091" s="282"/>
      <c r="D3091" s="282"/>
      <c r="E3091" s="282"/>
      <c r="F3091" s="282"/>
      <c r="G3091" s="329"/>
      <c r="H3091" s="329"/>
      <c r="I3091" s="329"/>
      <c r="J3091" s="329"/>
      <c r="K3091" s="329"/>
      <c r="L3091" s="329"/>
      <c r="M3091" s="329"/>
      <c r="N3091" s="329"/>
      <c r="O3091" s="329"/>
      <c r="P3091" s="329"/>
      <c r="Q3091" s="329"/>
      <c r="R3091" s="329"/>
    </row>
    <row r="3092" spans="1:18" ht="13">
      <c r="A3092" s="282"/>
      <c r="B3092" s="282"/>
      <c r="C3092" s="282"/>
      <c r="D3092" s="282"/>
      <c r="E3092" s="282"/>
      <c r="F3092" s="282"/>
      <c r="G3092" s="329"/>
      <c r="H3092" s="329"/>
      <c r="I3092" s="329"/>
      <c r="J3092" s="329"/>
      <c r="K3092" s="329"/>
      <c r="L3092" s="329"/>
      <c r="M3092" s="329"/>
      <c r="N3092" s="329"/>
      <c r="O3092" s="329"/>
      <c r="P3092" s="329"/>
      <c r="Q3092" s="329"/>
      <c r="R3092" s="329"/>
    </row>
    <row r="3093" spans="1:18" ht="13">
      <c r="A3093" s="282"/>
      <c r="B3093" s="282"/>
      <c r="C3093" s="282"/>
      <c r="D3093" s="282"/>
      <c r="E3093" s="282"/>
      <c r="F3093" s="282"/>
      <c r="G3093" s="329"/>
      <c r="H3093" s="329"/>
      <c r="I3093" s="329"/>
      <c r="J3093" s="329"/>
      <c r="K3093" s="329"/>
      <c r="L3093" s="329"/>
      <c r="M3093" s="329"/>
      <c r="N3093" s="329"/>
      <c r="O3093" s="329"/>
      <c r="P3093" s="329"/>
      <c r="Q3093" s="329"/>
      <c r="R3093" s="329"/>
    </row>
    <row r="3094" spans="1:18" ht="13">
      <c r="A3094" s="282"/>
      <c r="B3094" s="282"/>
      <c r="C3094" s="282"/>
      <c r="D3094" s="282"/>
      <c r="E3094" s="282"/>
      <c r="F3094" s="282"/>
      <c r="G3094" s="329"/>
      <c r="H3094" s="329"/>
      <c r="I3094" s="329"/>
      <c r="J3094" s="329"/>
      <c r="K3094" s="329"/>
      <c r="L3094" s="329"/>
      <c r="M3094" s="329"/>
      <c r="N3094" s="329"/>
      <c r="O3094" s="329"/>
      <c r="P3094" s="329"/>
      <c r="Q3094" s="329"/>
      <c r="R3094" s="329"/>
    </row>
    <row r="3095" spans="1:18" ht="13">
      <c r="A3095" s="282"/>
      <c r="B3095" s="282"/>
      <c r="C3095" s="282"/>
      <c r="D3095" s="282"/>
      <c r="E3095" s="282"/>
      <c r="F3095" s="282"/>
      <c r="G3095" s="329"/>
      <c r="H3095" s="329"/>
      <c r="I3095" s="329"/>
      <c r="J3095" s="329"/>
      <c r="K3095" s="329"/>
      <c r="L3095" s="329"/>
      <c r="M3095" s="329"/>
      <c r="N3095" s="329"/>
      <c r="O3095" s="329"/>
      <c r="P3095" s="329"/>
      <c r="Q3095" s="329"/>
      <c r="R3095" s="329"/>
    </row>
    <row r="3096" spans="1:18" ht="13">
      <c r="A3096" s="282"/>
      <c r="B3096" s="282"/>
      <c r="C3096" s="282"/>
      <c r="D3096" s="282"/>
      <c r="E3096" s="282"/>
      <c r="F3096" s="282"/>
      <c r="G3096" s="329"/>
      <c r="H3096" s="329"/>
      <c r="I3096" s="329"/>
      <c r="J3096" s="329"/>
      <c r="K3096" s="329"/>
      <c r="L3096" s="329"/>
      <c r="M3096" s="329"/>
      <c r="N3096" s="329"/>
      <c r="O3096" s="329"/>
      <c r="P3096" s="329"/>
      <c r="Q3096" s="329"/>
      <c r="R3096" s="329"/>
    </row>
    <row r="3097" spans="1:18" ht="13">
      <c r="A3097" s="282"/>
      <c r="B3097" s="282"/>
      <c r="C3097" s="282"/>
      <c r="D3097" s="282"/>
      <c r="E3097" s="282"/>
      <c r="F3097" s="282"/>
      <c r="G3097" s="329"/>
      <c r="H3097" s="329"/>
      <c r="I3097" s="329"/>
      <c r="J3097" s="329"/>
      <c r="K3097" s="329"/>
      <c r="L3097" s="329"/>
      <c r="M3097" s="329"/>
      <c r="N3097" s="329"/>
      <c r="O3097" s="329"/>
      <c r="P3097" s="329"/>
      <c r="Q3097" s="329"/>
      <c r="R3097" s="329"/>
    </row>
    <row r="3098" spans="1:18" ht="13">
      <c r="A3098" s="282"/>
      <c r="B3098" s="282"/>
      <c r="C3098" s="282"/>
      <c r="D3098" s="282"/>
      <c r="E3098" s="282"/>
      <c r="F3098" s="282"/>
      <c r="G3098" s="329"/>
      <c r="H3098" s="329"/>
      <c r="I3098" s="329"/>
      <c r="J3098" s="329"/>
      <c r="K3098" s="329"/>
      <c r="L3098" s="329"/>
      <c r="M3098" s="329"/>
      <c r="N3098" s="329"/>
      <c r="O3098" s="329"/>
      <c r="P3098" s="329"/>
      <c r="Q3098" s="329"/>
      <c r="R3098" s="329"/>
    </row>
    <row r="3099" spans="1:18" ht="13">
      <c r="A3099" s="282"/>
      <c r="B3099" s="282"/>
      <c r="C3099" s="282"/>
      <c r="D3099" s="282"/>
      <c r="E3099" s="282"/>
      <c r="F3099" s="282"/>
      <c r="G3099" s="329"/>
      <c r="H3099" s="329"/>
      <c r="I3099" s="329"/>
      <c r="J3099" s="329"/>
      <c r="K3099" s="329"/>
      <c r="L3099" s="329"/>
      <c r="M3099" s="329"/>
      <c r="N3099" s="329"/>
      <c r="O3099" s="329"/>
      <c r="P3099" s="329"/>
      <c r="Q3099" s="329"/>
      <c r="R3099" s="329"/>
    </row>
    <row r="3100" spans="1:18" ht="13">
      <c r="A3100" s="282"/>
      <c r="B3100" s="282"/>
      <c r="C3100" s="282"/>
      <c r="D3100" s="282"/>
      <c r="E3100" s="282"/>
      <c r="F3100" s="282"/>
      <c r="G3100" s="329"/>
      <c r="H3100" s="329"/>
      <c r="I3100" s="329"/>
      <c r="J3100" s="329"/>
      <c r="K3100" s="329"/>
      <c r="L3100" s="329"/>
      <c r="M3100" s="329"/>
      <c r="N3100" s="329"/>
      <c r="O3100" s="329"/>
      <c r="P3100" s="329"/>
      <c r="Q3100" s="329"/>
      <c r="R3100" s="329"/>
    </row>
    <row r="3101" spans="1:18" ht="13">
      <c r="A3101" s="282"/>
      <c r="B3101" s="282"/>
      <c r="C3101" s="282"/>
      <c r="D3101" s="282"/>
      <c r="E3101" s="282"/>
      <c r="F3101" s="282"/>
      <c r="G3101" s="329"/>
      <c r="H3101" s="329"/>
      <c r="I3101" s="329"/>
      <c r="J3101" s="329"/>
      <c r="K3101" s="329"/>
      <c r="L3101" s="329"/>
      <c r="M3101" s="329"/>
      <c r="N3101" s="329"/>
      <c r="O3101" s="329"/>
      <c r="P3101" s="329"/>
      <c r="Q3101" s="329"/>
      <c r="R3101" s="329"/>
    </row>
    <row r="3102" spans="1:18" ht="13">
      <c r="A3102" s="282"/>
      <c r="B3102" s="282"/>
      <c r="C3102" s="282"/>
      <c r="D3102" s="282"/>
      <c r="E3102" s="282"/>
      <c r="F3102" s="282"/>
      <c r="G3102" s="329"/>
      <c r="H3102" s="329"/>
      <c r="I3102" s="329"/>
      <c r="J3102" s="329"/>
      <c r="K3102" s="329"/>
      <c r="L3102" s="329"/>
      <c r="M3102" s="329"/>
      <c r="N3102" s="329"/>
      <c r="O3102" s="329"/>
      <c r="P3102" s="329"/>
      <c r="Q3102" s="329"/>
      <c r="R3102" s="329"/>
    </row>
    <row r="3103" spans="1:18" ht="13">
      <c r="A3103" s="282"/>
      <c r="B3103" s="282"/>
      <c r="C3103" s="282"/>
      <c r="D3103" s="282"/>
      <c r="E3103" s="282"/>
      <c r="F3103" s="282"/>
      <c r="G3103" s="329"/>
      <c r="H3103" s="329"/>
      <c r="I3103" s="329"/>
      <c r="J3103" s="329"/>
      <c r="K3103" s="329"/>
      <c r="L3103" s="329"/>
      <c r="M3103" s="329"/>
      <c r="N3103" s="329"/>
      <c r="O3103" s="329"/>
      <c r="P3103" s="329"/>
      <c r="Q3103" s="329"/>
      <c r="R3103" s="329"/>
    </row>
    <row r="3104" spans="1:18" ht="13">
      <c r="A3104" s="282"/>
      <c r="B3104" s="282"/>
      <c r="C3104" s="282"/>
      <c r="D3104" s="282"/>
      <c r="E3104" s="282"/>
      <c r="F3104" s="282"/>
      <c r="G3104" s="329"/>
      <c r="H3104" s="329"/>
      <c r="I3104" s="329"/>
      <c r="J3104" s="329"/>
      <c r="K3104" s="329"/>
      <c r="L3104" s="329"/>
      <c r="M3104" s="329"/>
      <c r="N3104" s="329"/>
      <c r="O3104" s="329"/>
      <c r="P3104" s="329"/>
      <c r="Q3104" s="329"/>
      <c r="R3104" s="329"/>
    </row>
    <row r="3105" spans="1:18" ht="13">
      <c r="A3105" s="282"/>
      <c r="B3105" s="282"/>
      <c r="C3105" s="282"/>
      <c r="D3105" s="282"/>
      <c r="E3105" s="282"/>
      <c r="F3105" s="282"/>
      <c r="G3105" s="329"/>
      <c r="H3105" s="329"/>
      <c r="I3105" s="329"/>
      <c r="J3105" s="329"/>
      <c r="K3105" s="329"/>
      <c r="L3105" s="329"/>
      <c r="M3105" s="329"/>
      <c r="N3105" s="329"/>
      <c r="O3105" s="329"/>
      <c r="P3105" s="329"/>
      <c r="Q3105" s="329"/>
      <c r="R3105" s="329"/>
    </row>
    <row r="3106" spans="1:18" ht="13">
      <c r="A3106" s="282"/>
      <c r="B3106" s="282"/>
      <c r="C3106" s="282"/>
      <c r="D3106" s="282"/>
      <c r="E3106" s="282"/>
      <c r="F3106" s="282"/>
      <c r="G3106" s="329"/>
      <c r="H3106" s="329"/>
      <c r="I3106" s="329"/>
      <c r="J3106" s="329"/>
      <c r="K3106" s="329"/>
      <c r="L3106" s="329"/>
      <c r="M3106" s="329"/>
      <c r="N3106" s="329"/>
      <c r="O3106" s="329"/>
      <c r="P3106" s="329"/>
      <c r="Q3106" s="329"/>
      <c r="R3106" s="329"/>
    </row>
    <row r="3107" spans="1:18" ht="13">
      <c r="A3107" s="282"/>
      <c r="B3107" s="282"/>
      <c r="C3107" s="282"/>
      <c r="D3107" s="282"/>
      <c r="E3107" s="282"/>
      <c r="F3107" s="282"/>
      <c r="G3107" s="329"/>
      <c r="H3107" s="329"/>
      <c r="I3107" s="329"/>
      <c r="J3107" s="329"/>
      <c r="K3107" s="329"/>
      <c r="L3107" s="329"/>
      <c r="M3107" s="329"/>
      <c r="N3107" s="329"/>
      <c r="O3107" s="329"/>
      <c r="P3107" s="329"/>
      <c r="Q3107" s="329"/>
      <c r="R3107" s="329"/>
    </row>
    <row r="3108" spans="1:18" ht="13">
      <c r="A3108" s="282"/>
      <c r="B3108" s="282"/>
      <c r="C3108" s="282"/>
      <c r="D3108" s="282"/>
      <c r="E3108" s="282"/>
      <c r="F3108" s="282"/>
      <c r="G3108" s="329"/>
      <c r="H3108" s="329"/>
      <c r="I3108" s="329"/>
      <c r="J3108" s="329"/>
      <c r="K3108" s="329"/>
      <c r="L3108" s="329"/>
      <c r="M3108" s="329"/>
      <c r="N3108" s="329"/>
      <c r="O3108" s="329"/>
      <c r="P3108" s="329"/>
      <c r="Q3108" s="329"/>
      <c r="R3108" s="329"/>
    </row>
    <row r="3109" spans="1:18" ht="13">
      <c r="A3109" s="282"/>
      <c r="B3109" s="282"/>
      <c r="C3109" s="282"/>
      <c r="D3109" s="282"/>
      <c r="E3109" s="282"/>
      <c r="F3109" s="282"/>
      <c r="G3109" s="329"/>
      <c r="H3109" s="329"/>
      <c r="I3109" s="329"/>
      <c r="J3109" s="329"/>
      <c r="K3109" s="329"/>
      <c r="L3109" s="329"/>
      <c r="M3109" s="329"/>
      <c r="N3109" s="329"/>
      <c r="O3109" s="329"/>
      <c r="P3109" s="329"/>
      <c r="Q3109" s="329"/>
      <c r="R3109" s="329"/>
    </row>
    <row r="3110" spans="1:18" ht="13">
      <c r="A3110" s="282"/>
      <c r="B3110" s="282"/>
      <c r="C3110" s="282"/>
      <c r="D3110" s="282"/>
      <c r="E3110" s="282"/>
      <c r="F3110" s="282"/>
      <c r="G3110" s="329"/>
      <c r="H3110" s="329"/>
      <c r="I3110" s="329"/>
      <c r="J3110" s="329"/>
      <c r="K3110" s="329"/>
      <c r="L3110" s="329"/>
      <c r="M3110" s="329"/>
      <c r="N3110" s="329"/>
      <c r="O3110" s="329"/>
      <c r="P3110" s="329"/>
      <c r="Q3110" s="329"/>
      <c r="R3110" s="329"/>
    </row>
    <row r="3111" spans="1:18" ht="13">
      <c r="A3111" s="282"/>
      <c r="B3111" s="282"/>
      <c r="C3111" s="282"/>
      <c r="D3111" s="282"/>
      <c r="E3111" s="282"/>
      <c r="F3111" s="282"/>
      <c r="G3111" s="329"/>
      <c r="H3111" s="329"/>
      <c r="I3111" s="329"/>
      <c r="J3111" s="329"/>
      <c r="K3111" s="329"/>
      <c r="L3111" s="329"/>
      <c r="M3111" s="329"/>
      <c r="N3111" s="329"/>
      <c r="O3111" s="329"/>
      <c r="P3111" s="329"/>
      <c r="Q3111" s="329"/>
      <c r="R3111" s="329"/>
    </row>
    <row r="3112" spans="1:18" ht="13">
      <c r="A3112" s="282"/>
      <c r="B3112" s="282"/>
      <c r="C3112" s="282"/>
      <c r="D3112" s="282"/>
      <c r="E3112" s="282"/>
      <c r="F3112" s="282"/>
      <c r="G3112" s="329"/>
      <c r="H3112" s="329"/>
      <c r="I3112" s="329"/>
      <c r="J3112" s="329"/>
      <c r="K3112" s="329"/>
      <c r="L3112" s="329"/>
      <c r="M3112" s="329"/>
      <c r="N3112" s="329"/>
      <c r="O3112" s="329"/>
      <c r="P3112" s="329"/>
      <c r="Q3112" s="329"/>
      <c r="R3112" s="329"/>
    </row>
    <row r="3113" spans="1:18" ht="13">
      <c r="A3113" s="282"/>
      <c r="B3113" s="282"/>
      <c r="C3113" s="282"/>
      <c r="D3113" s="282"/>
      <c r="E3113" s="282"/>
      <c r="F3113" s="282"/>
      <c r="G3113" s="329"/>
      <c r="H3113" s="329"/>
      <c r="I3113" s="329"/>
      <c r="J3113" s="329"/>
      <c r="K3113" s="329"/>
      <c r="L3113" s="329"/>
      <c r="M3113" s="329"/>
      <c r="N3113" s="329"/>
      <c r="O3113" s="329"/>
      <c r="P3113" s="329"/>
      <c r="Q3113" s="329"/>
      <c r="R3113" s="329"/>
    </row>
    <row r="3114" spans="1:18" ht="13">
      <c r="A3114" s="282"/>
      <c r="B3114" s="282"/>
      <c r="C3114" s="282"/>
      <c r="D3114" s="282"/>
      <c r="E3114" s="282"/>
      <c r="F3114" s="282"/>
      <c r="G3114" s="329"/>
      <c r="H3114" s="329"/>
      <c r="I3114" s="329"/>
      <c r="J3114" s="329"/>
      <c r="K3114" s="329"/>
      <c r="L3114" s="329"/>
      <c r="M3114" s="329"/>
      <c r="N3114" s="329"/>
      <c r="O3114" s="329"/>
      <c r="P3114" s="329"/>
      <c r="Q3114" s="329"/>
      <c r="R3114" s="329"/>
    </row>
    <row r="3115" spans="1:18" ht="13">
      <c r="A3115" s="282"/>
      <c r="B3115" s="282"/>
      <c r="C3115" s="282"/>
      <c r="D3115" s="282"/>
      <c r="E3115" s="282"/>
      <c r="F3115" s="282"/>
      <c r="G3115" s="329"/>
      <c r="H3115" s="329"/>
      <c r="I3115" s="329"/>
      <c r="J3115" s="329"/>
      <c r="K3115" s="329"/>
      <c r="L3115" s="329"/>
      <c r="M3115" s="329"/>
      <c r="N3115" s="329"/>
      <c r="O3115" s="329"/>
      <c r="P3115" s="329"/>
      <c r="Q3115" s="329"/>
      <c r="R3115" s="329"/>
    </row>
    <row r="3116" spans="1:18" ht="13">
      <c r="A3116" s="282"/>
      <c r="B3116" s="282"/>
      <c r="C3116" s="282"/>
      <c r="D3116" s="282"/>
      <c r="E3116" s="282"/>
      <c r="F3116" s="282"/>
      <c r="G3116" s="329"/>
      <c r="H3116" s="329"/>
      <c r="I3116" s="329"/>
      <c r="J3116" s="329"/>
      <c r="K3116" s="329"/>
      <c r="L3116" s="329"/>
      <c r="M3116" s="329"/>
      <c r="N3116" s="329"/>
      <c r="O3116" s="329"/>
      <c r="P3116" s="329"/>
      <c r="Q3116" s="329"/>
      <c r="R3116" s="329"/>
    </row>
    <row r="3117" spans="1:18" ht="13">
      <c r="A3117" s="282"/>
      <c r="B3117" s="282"/>
      <c r="C3117" s="282"/>
      <c r="D3117" s="282"/>
      <c r="E3117" s="282"/>
      <c r="F3117" s="282"/>
      <c r="G3117" s="329"/>
      <c r="H3117" s="329"/>
      <c r="I3117" s="329"/>
      <c r="J3117" s="329"/>
      <c r="K3117" s="329"/>
      <c r="L3117" s="329"/>
      <c r="M3117" s="329"/>
      <c r="N3117" s="329"/>
      <c r="O3117" s="329"/>
      <c r="P3117" s="329"/>
      <c r="Q3117" s="329"/>
      <c r="R3117" s="329"/>
    </row>
    <row r="3118" spans="1:18" ht="13">
      <c r="A3118" s="282"/>
      <c r="B3118" s="282"/>
      <c r="C3118" s="282"/>
      <c r="D3118" s="282"/>
      <c r="E3118" s="282"/>
      <c r="F3118" s="282"/>
      <c r="G3118" s="329"/>
      <c r="H3118" s="329"/>
      <c r="I3118" s="329"/>
      <c r="J3118" s="329"/>
      <c r="K3118" s="329"/>
      <c r="L3118" s="329"/>
      <c r="M3118" s="329"/>
      <c r="N3118" s="329"/>
      <c r="O3118" s="329"/>
      <c r="P3118" s="329"/>
      <c r="Q3118" s="329"/>
      <c r="R3118" s="329"/>
    </row>
    <row r="3119" spans="1:18" ht="13">
      <c r="A3119" s="282"/>
      <c r="B3119" s="282"/>
      <c r="C3119" s="282"/>
      <c r="D3119" s="282"/>
      <c r="E3119" s="282"/>
      <c r="F3119" s="282"/>
      <c r="G3119" s="329"/>
      <c r="H3119" s="329"/>
      <c r="I3119" s="329"/>
      <c r="J3119" s="329"/>
      <c r="K3119" s="329"/>
      <c r="L3119" s="329"/>
      <c r="M3119" s="329"/>
      <c r="N3119" s="329"/>
      <c r="O3119" s="329"/>
      <c r="P3119" s="329"/>
      <c r="Q3119" s="329"/>
      <c r="R3119" s="329"/>
    </row>
    <row r="3120" spans="1:18" ht="13">
      <c r="A3120" s="282"/>
      <c r="B3120" s="282"/>
      <c r="C3120" s="282"/>
      <c r="D3120" s="282"/>
      <c r="E3120" s="282"/>
      <c r="F3120" s="282"/>
      <c r="G3120" s="329"/>
      <c r="H3120" s="329"/>
      <c r="I3120" s="329"/>
      <c r="J3120" s="329"/>
      <c r="K3120" s="329"/>
      <c r="L3120" s="329"/>
      <c r="M3120" s="329"/>
      <c r="N3120" s="329"/>
      <c r="O3120" s="329"/>
      <c r="P3120" s="329"/>
      <c r="Q3120" s="329"/>
      <c r="R3120" s="329"/>
    </row>
    <row r="3121" spans="1:18" ht="13">
      <c r="A3121" s="282"/>
      <c r="B3121" s="282"/>
      <c r="C3121" s="282"/>
      <c r="D3121" s="282"/>
      <c r="E3121" s="282"/>
      <c r="F3121" s="282"/>
      <c r="G3121" s="329"/>
      <c r="H3121" s="329"/>
      <c r="I3121" s="329"/>
      <c r="J3121" s="329"/>
      <c r="K3121" s="329"/>
      <c r="L3121" s="329"/>
      <c r="M3121" s="329"/>
      <c r="N3121" s="329"/>
      <c r="O3121" s="329"/>
      <c r="P3121" s="329"/>
      <c r="Q3121" s="329"/>
      <c r="R3121" s="329"/>
    </row>
    <row r="3122" spans="1:18" ht="13">
      <c r="A3122" s="282"/>
      <c r="B3122" s="282"/>
      <c r="C3122" s="282"/>
      <c r="D3122" s="282"/>
      <c r="E3122" s="282"/>
      <c r="F3122" s="282"/>
      <c r="G3122" s="329"/>
      <c r="H3122" s="329"/>
      <c r="I3122" s="329"/>
      <c r="J3122" s="329"/>
      <c r="K3122" s="329"/>
      <c r="L3122" s="329"/>
      <c r="M3122" s="329"/>
      <c r="N3122" s="329"/>
      <c r="O3122" s="329"/>
      <c r="P3122" s="329"/>
      <c r="Q3122" s="329"/>
      <c r="R3122" s="329"/>
    </row>
    <row r="3123" spans="1:18" ht="13">
      <c r="A3123" s="282"/>
      <c r="B3123" s="282"/>
      <c r="C3123" s="282"/>
      <c r="D3123" s="282"/>
      <c r="E3123" s="282"/>
      <c r="F3123" s="282"/>
      <c r="G3123" s="329"/>
      <c r="H3123" s="329"/>
      <c r="I3123" s="329"/>
      <c r="J3123" s="329"/>
      <c r="K3123" s="329"/>
      <c r="L3123" s="329"/>
      <c r="M3123" s="329"/>
      <c r="N3123" s="329"/>
      <c r="O3123" s="329"/>
      <c r="P3123" s="329"/>
      <c r="Q3123" s="329"/>
      <c r="R3123" s="329"/>
    </row>
    <row r="3124" spans="1:18" ht="13">
      <c r="A3124" s="282"/>
      <c r="B3124" s="282"/>
      <c r="C3124" s="282"/>
      <c r="D3124" s="282"/>
      <c r="E3124" s="282"/>
      <c r="F3124" s="282"/>
      <c r="G3124" s="329"/>
      <c r="H3124" s="329"/>
      <c r="I3124" s="329"/>
      <c r="J3124" s="329"/>
      <c r="K3124" s="329"/>
      <c r="L3124" s="329"/>
      <c r="M3124" s="329"/>
      <c r="N3124" s="329"/>
      <c r="O3124" s="329"/>
      <c r="P3124" s="329"/>
      <c r="Q3124" s="329"/>
      <c r="R3124" s="329"/>
    </row>
    <row r="3125" spans="1:18" ht="13">
      <c r="A3125" s="282"/>
      <c r="B3125" s="282"/>
      <c r="C3125" s="282"/>
      <c r="D3125" s="282"/>
      <c r="E3125" s="282"/>
      <c r="F3125" s="282"/>
      <c r="G3125" s="329"/>
      <c r="H3125" s="329"/>
      <c r="I3125" s="329"/>
      <c r="J3125" s="329"/>
      <c r="K3125" s="329"/>
      <c r="L3125" s="329"/>
      <c r="M3125" s="329"/>
      <c r="N3125" s="329"/>
      <c r="O3125" s="329"/>
      <c r="P3125" s="329"/>
      <c r="Q3125" s="329"/>
      <c r="R3125" s="329"/>
    </row>
    <row r="3126" spans="1:18" ht="13">
      <c r="A3126" s="282"/>
      <c r="B3126" s="282"/>
      <c r="C3126" s="282"/>
      <c r="D3126" s="282"/>
      <c r="E3126" s="282"/>
      <c r="F3126" s="282"/>
      <c r="G3126" s="329"/>
      <c r="H3126" s="329"/>
      <c r="I3126" s="329"/>
      <c r="J3126" s="329"/>
      <c r="K3126" s="329"/>
      <c r="L3126" s="329"/>
      <c r="M3126" s="329"/>
      <c r="N3126" s="329"/>
      <c r="O3126" s="329"/>
      <c r="P3126" s="329"/>
      <c r="Q3126" s="329"/>
      <c r="R3126" s="329"/>
    </row>
    <row r="3127" spans="1:18" ht="13">
      <c r="A3127" s="282"/>
      <c r="B3127" s="282"/>
      <c r="C3127" s="282"/>
      <c r="D3127" s="282"/>
      <c r="E3127" s="282"/>
      <c r="F3127" s="282"/>
      <c r="G3127" s="329"/>
      <c r="H3127" s="329"/>
      <c r="I3127" s="329"/>
      <c r="J3127" s="329"/>
      <c r="K3127" s="329"/>
      <c r="L3127" s="329"/>
      <c r="M3127" s="329"/>
      <c r="N3127" s="329"/>
      <c r="O3127" s="329"/>
      <c r="P3127" s="329"/>
      <c r="Q3127" s="329"/>
      <c r="R3127" s="329"/>
    </row>
    <row r="3128" spans="1:18" ht="13">
      <c r="A3128" s="282"/>
      <c r="B3128" s="282"/>
      <c r="C3128" s="282"/>
      <c r="D3128" s="282"/>
      <c r="E3128" s="282"/>
      <c r="F3128" s="282"/>
      <c r="G3128" s="329"/>
      <c r="H3128" s="329"/>
      <c r="I3128" s="329"/>
      <c r="J3128" s="329"/>
      <c r="K3128" s="329"/>
      <c r="L3128" s="329"/>
      <c r="M3128" s="329"/>
      <c r="N3128" s="329"/>
      <c r="O3128" s="329"/>
      <c r="P3128" s="329"/>
      <c r="Q3128" s="329"/>
      <c r="R3128" s="329"/>
    </row>
    <row r="3129" spans="1:18" ht="13">
      <c r="A3129" s="282"/>
      <c r="B3129" s="282"/>
      <c r="C3129" s="282"/>
      <c r="D3129" s="282"/>
      <c r="E3129" s="282"/>
      <c r="F3129" s="282"/>
      <c r="G3129" s="329"/>
      <c r="H3129" s="329"/>
      <c r="I3129" s="329"/>
      <c r="J3129" s="329"/>
      <c r="K3129" s="329"/>
      <c r="L3129" s="329"/>
      <c r="M3129" s="329"/>
      <c r="N3129" s="329"/>
      <c r="O3129" s="329"/>
      <c r="P3129" s="329"/>
      <c r="Q3129" s="329"/>
      <c r="R3129" s="329"/>
    </row>
    <row r="3130" spans="1:18" ht="13">
      <c r="A3130" s="282"/>
      <c r="B3130" s="282"/>
      <c r="C3130" s="282"/>
      <c r="D3130" s="282"/>
      <c r="E3130" s="282"/>
      <c r="F3130" s="282"/>
      <c r="G3130" s="329"/>
      <c r="H3130" s="329"/>
      <c r="I3130" s="329"/>
      <c r="J3130" s="329"/>
      <c r="K3130" s="329"/>
      <c r="L3130" s="329"/>
      <c r="M3130" s="329"/>
      <c r="N3130" s="329"/>
      <c r="O3130" s="329"/>
      <c r="P3130" s="329"/>
      <c r="Q3130" s="329"/>
      <c r="R3130" s="329"/>
    </row>
    <row r="3131" spans="1:18" ht="13">
      <c r="A3131" s="282"/>
      <c r="B3131" s="282"/>
      <c r="C3131" s="282"/>
      <c r="D3131" s="282"/>
      <c r="E3131" s="282"/>
      <c r="F3131" s="282"/>
      <c r="G3131" s="329"/>
      <c r="H3131" s="329"/>
      <c r="I3131" s="329"/>
      <c r="J3131" s="329"/>
      <c r="K3131" s="329"/>
      <c r="L3131" s="329"/>
      <c r="M3131" s="329"/>
      <c r="N3131" s="329"/>
      <c r="O3131" s="329"/>
      <c r="P3131" s="329"/>
      <c r="Q3131" s="329"/>
      <c r="R3131" s="329"/>
    </row>
    <row r="3132" spans="1:18" ht="13">
      <c r="A3132" s="282"/>
      <c r="B3132" s="282"/>
      <c r="C3132" s="282"/>
      <c r="D3132" s="282"/>
      <c r="E3132" s="282"/>
      <c r="F3132" s="282"/>
      <c r="G3132" s="329"/>
      <c r="H3132" s="329"/>
      <c r="I3132" s="329"/>
      <c r="J3132" s="329"/>
      <c r="K3132" s="329"/>
      <c r="L3132" s="329"/>
      <c r="M3132" s="329"/>
      <c r="N3132" s="329"/>
      <c r="O3132" s="329"/>
      <c r="P3132" s="329"/>
      <c r="Q3132" s="329"/>
      <c r="R3132" s="329"/>
    </row>
    <row r="3133" spans="1:18" ht="13">
      <c r="A3133" s="282"/>
      <c r="B3133" s="282"/>
      <c r="C3133" s="282"/>
      <c r="D3133" s="282"/>
      <c r="E3133" s="282"/>
      <c r="F3133" s="282"/>
      <c r="G3133" s="329"/>
      <c r="H3133" s="329"/>
      <c r="I3133" s="329"/>
      <c r="J3133" s="329"/>
      <c r="K3133" s="329"/>
      <c r="L3133" s="329"/>
      <c r="M3133" s="329"/>
      <c r="N3133" s="329"/>
      <c r="O3133" s="329"/>
      <c r="P3133" s="329"/>
      <c r="Q3133" s="329"/>
      <c r="R3133" s="329"/>
    </row>
    <row r="3134" spans="1:18" ht="13">
      <c r="A3134" s="282"/>
      <c r="B3134" s="282"/>
      <c r="C3134" s="282"/>
      <c r="D3134" s="282"/>
      <c r="E3134" s="282"/>
      <c r="F3134" s="282"/>
      <c r="G3134" s="329"/>
      <c r="H3134" s="329"/>
      <c r="I3134" s="329"/>
      <c r="J3134" s="329"/>
      <c r="K3134" s="329"/>
      <c r="L3134" s="329"/>
      <c r="M3134" s="329"/>
      <c r="N3134" s="329"/>
      <c r="O3134" s="329"/>
      <c r="P3134" s="329"/>
      <c r="Q3134" s="329"/>
      <c r="R3134" s="329"/>
    </row>
    <row r="3135" spans="1:18" ht="13">
      <c r="A3135" s="282"/>
      <c r="B3135" s="282"/>
      <c r="C3135" s="282"/>
      <c r="D3135" s="282"/>
      <c r="E3135" s="282"/>
      <c r="F3135" s="282"/>
      <c r="G3135" s="329"/>
      <c r="H3135" s="329"/>
      <c r="I3135" s="329"/>
      <c r="J3135" s="329"/>
      <c r="K3135" s="329"/>
      <c r="L3135" s="329"/>
      <c r="M3135" s="329"/>
      <c r="N3135" s="329"/>
      <c r="O3135" s="329"/>
      <c r="P3135" s="329"/>
      <c r="Q3135" s="329"/>
      <c r="R3135" s="329"/>
    </row>
    <row r="3136" spans="1:18" ht="13">
      <c r="A3136" s="282"/>
      <c r="B3136" s="282"/>
      <c r="C3136" s="282"/>
      <c r="D3136" s="282"/>
      <c r="E3136" s="282"/>
      <c r="F3136" s="282"/>
      <c r="G3136" s="329"/>
      <c r="H3136" s="329"/>
      <c r="I3136" s="329"/>
      <c r="J3136" s="329"/>
      <c r="K3136" s="329"/>
      <c r="L3136" s="329"/>
      <c r="M3136" s="329"/>
      <c r="N3136" s="329"/>
      <c r="O3136" s="329"/>
      <c r="P3136" s="329"/>
      <c r="Q3136" s="329"/>
      <c r="R3136" s="329"/>
    </row>
    <row r="3137" spans="1:18" ht="13">
      <c r="A3137" s="282"/>
      <c r="B3137" s="282"/>
      <c r="C3137" s="282"/>
      <c r="D3137" s="282"/>
      <c r="E3137" s="282"/>
      <c r="F3137" s="282"/>
      <c r="G3137" s="329"/>
      <c r="H3137" s="329"/>
      <c r="I3137" s="329"/>
      <c r="J3137" s="329"/>
      <c r="K3137" s="329"/>
      <c r="L3137" s="329"/>
      <c r="M3137" s="329"/>
      <c r="N3137" s="329"/>
      <c r="O3137" s="329"/>
      <c r="P3137" s="329"/>
      <c r="Q3137" s="329"/>
      <c r="R3137" s="329"/>
    </row>
    <row r="3138" spans="1:18" ht="13">
      <c r="A3138" s="282"/>
      <c r="B3138" s="282"/>
      <c r="C3138" s="282"/>
      <c r="D3138" s="282"/>
      <c r="E3138" s="282"/>
      <c r="F3138" s="282"/>
      <c r="G3138" s="329"/>
      <c r="H3138" s="329"/>
      <c r="I3138" s="329"/>
      <c r="J3138" s="329"/>
      <c r="K3138" s="329"/>
      <c r="L3138" s="329"/>
      <c r="M3138" s="329"/>
      <c r="N3138" s="329"/>
      <c r="O3138" s="329"/>
      <c r="P3138" s="329"/>
      <c r="Q3138" s="329"/>
      <c r="R3138" s="329"/>
    </row>
    <row r="3139" spans="1:18" ht="13">
      <c r="A3139" s="282"/>
      <c r="B3139" s="282"/>
      <c r="C3139" s="282"/>
      <c r="D3139" s="282"/>
      <c r="E3139" s="282"/>
      <c r="F3139" s="282"/>
      <c r="G3139" s="329"/>
      <c r="H3139" s="329"/>
      <c r="I3139" s="329"/>
      <c r="J3139" s="329"/>
      <c r="K3139" s="329"/>
      <c r="L3139" s="329"/>
      <c r="M3139" s="329"/>
      <c r="N3139" s="329"/>
      <c r="O3139" s="329"/>
      <c r="P3139" s="329"/>
      <c r="Q3139" s="329"/>
      <c r="R3139" s="329"/>
    </row>
    <row r="3140" spans="1:18" ht="13">
      <c r="A3140" s="282"/>
      <c r="B3140" s="282"/>
      <c r="C3140" s="282"/>
      <c r="D3140" s="282"/>
      <c r="E3140" s="282"/>
      <c r="F3140" s="282"/>
      <c r="G3140" s="329"/>
      <c r="H3140" s="329"/>
      <c r="I3140" s="329"/>
      <c r="J3140" s="329"/>
      <c r="K3140" s="329"/>
      <c r="L3140" s="329"/>
      <c r="M3140" s="329"/>
      <c r="N3140" s="329"/>
      <c r="O3140" s="329"/>
      <c r="P3140" s="329"/>
      <c r="Q3140" s="329"/>
      <c r="R3140" s="329"/>
    </row>
    <row r="3141" spans="1:18" ht="13">
      <c r="A3141" s="282"/>
      <c r="B3141" s="282"/>
      <c r="C3141" s="282"/>
      <c r="D3141" s="282"/>
      <c r="E3141" s="282"/>
      <c r="F3141" s="282"/>
      <c r="G3141" s="329"/>
      <c r="H3141" s="329"/>
      <c r="I3141" s="329"/>
      <c r="J3141" s="329"/>
      <c r="K3141" s="329"/>
      <c r="L3141" s="329"/>
      <c r="M3141" s="329"/>
      <c r="N3141" s="329"/>
      <c r="O3141" s="329"/>
      <c r="P3141" s="329"/>
      <c r="Q3141" s="329"/>
      <c r="R3141" s="329"/>
    </row>
    <row r="3142" spans="1:18" ht="13">
      <c r="A3142" s="282"/>
      <c r="B3142" s="282"/>
      <c r="C3142" s="282"/>
      <c r="D3142" s="282"/>
      <c r="E3142" s="282"/>
      <c r="F3142" s="282"/>
      <c r="G3142" s="329"/>
      <c r="H3142" s="329"/>
      <c r="I3142" s="329"/>
      <c r="J3142" s="329"/>
      <c r="K3142" s="329"/>
      <c r="L3142" s="329"/>
      <c r="M3142" s="329"/>
      <c r="N3142" s="329"/>
      <c r="O3142" s="329"/>
      <c r="P3142" s="329"/>
      <c r="Q3142" s="329"/>
      <c r="R3142" s="329"/>
    </row>
    <row r="3143" spans="1:18" ht="13">
      <c r="A3143" s="282"/>
      <c r="B3143" s="282"/>
      <c r="C3143" s="282"/>
      <c r="D3143" s="282"/>
      <c r="E3143" s="282"/>
      <c r="F3143" s="282"/>
      <c r="G3143" s="329"/>
      <c r="H3143" s="329"/>
      <c r="I3143" s="329"/>
      <c r="J3143" s="329"/>
      <c r="K3143" s="329"/>
      <c r="L3143" s="329"/>
      <c r="M3143" s="329"/>
      <c r="N3143" s="329"/>
      <c r="O3143" s="329"/>
      <c r="P3143" s="329"/>
      <c r="Q3143" s="329"/>
      <c r="R3143" s="329"/>
    </row>
    <row r="3144" spans="1:18" ht="13">
      <c r="A3144" s="282"/>
      <c r="B3144" s="282"/>
      <c r="C3144" s="282"/>
      <c r="D3144" s="282"/>
      <c r="E3144" s="282"/>
      <c r="F3144" s="282"/>
      <c r="G3144" s="329"/>
      <c r="H3144" s="329"/>
      <c r="I3144" s="329"/>
      <c r="J3144" s="329"/>
      <c r="K3144" s="329"/>
      <c r="L3144" s="329"/>
      <c r="M3144" s="329"/>
      <c r="N3144" s="329"/>
      <c r="O3144" s="329"/>
      <c r="P3144" s="329"/>
      <c r="Q3144" s="329"/>
      <c r="R3144" s="329"/>
    </row>
    <row r="3145" spans="1:18" ht="13">
      <c r="A3145" s="282"/>
      <c r="B3145" s="282"/>
      <c r="C3145" s="282"/>
      <c r="D3145" s="282"/>
      <c r="E3145" s="282"/>
      <c r="F3145" s="282"/>
      <c r="G3145" s="329"/>
      <c r="H3145" s="329"/>
      <c r="I3145" s="329"/>
      <c r="J3145" s="329"/>
      <c r="K3145" s="329"/>
      <c r="L3145" s="329"/>
      <c r="M3145" s="329"/>
      <c r="N3145" s="329"/>
      <c r="O3145" s="329"/>
      <c r="P3145" s="329"/>
      <c r="Q3145" s="329"/>
      <c r="R3145" s="329"/>
    </row>
    <row r="3146" spans="1:18" ht="13">
      <c r="A3146" s="282"/>
      <c r="B3146" s="282"/>
      <c r="C3146" s="282"/>
      <c r="D3146" s="282"/>
      <c r="E3146" s="282"/>
      <c r="F3146" s="282"/>
      <c r="G3146" s="329"/>
      <c r="H3146" s="329"/>
      <c r="I3146" s="329"/>
      <c r="J3146" s="329"/>
      <c r="K3146" s="329"/>
      <c r="L3146" s="329"/>
      <c r="M3146" s="329"/>
      <c r="N3146" s="329"/>
      <c r="O3146" s="329"/>
      <c r="P3146" s="329"/>
      <c r="Q3146" s="329"/>
      <c r="R3146" s="329"/>
    </row>
    <row r="3147" spans="1:18" ht="13">
      <c r="A3147" s="282"/>
      <c r="B3147" s="282"/>
      <c r="C3147" s="282"/>
      <c r="D3147" s="282"/>
      <c r="E3147" s="282"/>
      <c r="F3147" s="282"/>
      <c r="G3147" s="329"/>
      <c r="H3147" s="329"/>
      <c r="I3147" s="329"/>
      <c r="J3147" s="329"/>
      <c r="K3147" s="329"/>
      <c r="L3147" s="329"/>
      <c r="M3147" s="329"/>
      <c r="N3147" s="329"/>
      <c r="O3147" s="329"/>
      <c r="P3147" s="329"/>
      <c r="Q3147" s="329"/>
      <c r="R3147" s="329"/>
    </row>
    <row r="3148" spans="1:18" ht="13">
      <c r="A3148" s="282"/>
      <c r="B3148" s="282"/>
      <c r="C3148" s="282"/>
      <c r="D3148" s="282"/>
      <c r="E3148" s="282"/>
      <c r="F3148" s="282"/>
      <c r="G3148" s="329"/>
      <c r="H3148" s="329"/>
      <c r="I3148" s="329"/>
      <c r="J3148" s="329"/>
      <c r="K3148" s="329"/>
      <c r="L3148" s="329"/>
      <c r="M3148" s="329"/>
      <c r="N3148" s="329"/>
      <c r="O3148" s="329"/>
      <c r="P3148" s="329"/>
      <c r="Q3148" s="329"/>
      <c r="R3148" s="329"/>
    </row>
    <row r="3149" spans="1:18" ht="13">
      <c r="A3149" s="282"/>
      <c r="B3149" s="282"/>
      <c r="C3149" s="282"/>
      <c r="D3149" s="282"/>
      <c r="E3149" s="282"/>
      <c r="F3149" s="282"/>
      <c r="G3149" s="329"/>
      <c r="H3149" s="329"/>
      <c r="I3149" s="329"/>
      <c r="J3149" s="329"/>
      <c r="K3149" s="329"/>
      <c r="L3149" s="329"/>
      <c r="M3149" s="329"/>
      <c r="N3149" s="329"/>
      <c r="O3149" s="329"/>
      <c r="P3149" s="329"/>
      <c r="Q3149" s="329"/>
      <c r="R3149" s="329"/>
    </row>
    <row r="3150" spans="1:18" ht="13">
      <c r="A3150" s="282"/>
      <c r="B3150" s="282"/>
      <c r="C3150" s="282"/>
      <c r="D3150" s="282"/>
      <c r="E3150" s="282"/>
      <c r="F3150" s="282"/>
      <c r="G3150" s="329"/>
      <c r="H3150" s="329"/>
      <c r="I3150" s="329"/>
      <c r="J3150" s="329"/>
      <c r="K3150" s="329"/>
      <c r="L3150" s="329"/>
      <c r="M3150" s="329"/>
      <c r="N3150" s="329"/>
      <c r="O3150" s="329"/>
      <c r="P3150" s="329"/>
      <c r="Q3150" s="329"/>
      <c r="R3150" s="329"/>
    </row>
    <row r="3151" spans="1:18" ht="13">
      <c r="A3151" s="282"/>
      <c r="B3151" s="282"/>
      <c r="C3151" s="282"/>
      <c r="D3151" s="282"/>
      <c r="E3151" s="282"/>
      <c r="F3151" s="282"/>
      <c r="G3151" s="329"/>
      <c r="H3151" s="329"/>
      <c r="I3151" s="329"/>
      <c r="J3151" s="329"/>
      <c r="K3151" s="329"/>
      <c r="L3151" s="329"/>
      <c r="M3151" s="329"/>
      <c r="N3151" s="329"/>
      <c r="O3151" s="329"/>
      <c r="P3151" s="329"/>
      <c r="Q3151" s="329"/>
      <c r="R3151" s="329"/>
    </row>
    <row r="3152" spans="1:18" ht="13">
      <c r="A3152" s="282"/>
      <c r="B3152" s="282"/>
      <c r="C3152" s="282"/>
      <c r="D3152" s="282"/>
      <c r="E3152" s="282"/>
      <c r="F3152" s="282"/>
      <c r="G3152" s="329"/>
      <c r="H3152" s="329"/>
      <c r="I3152" s="329"/>
      <c r="J3152" s="329"/>
      <c r="K3152" s="329"/>
      <c r="L3152" s="329"/>
      <c r="M3152" s="329"/>
      <c r="N3152" s="329"/>
      <c r="O3152" s="329"/>
      <c r="P3152" s="329"/>
      <c r="Q3152" s="329"/>
      <c r="R3152" s="329"/>
    </row>
    <row r="3153" spans="1:18" ht="13">
      <c r="A3153" s="282"/>
      <c r="B3153" s="282"/>
      <c r="C3153" s="282"/>
      <c r="D3153" s="282"/>
      <c r="E3153" s="282"/>
      <c r="F3153" s="282"/>
      <c r="G3153" s="329"/>
      <c r="H3153" s="329"/>
      <c r="I3153" s="329"/>
      <c r="J3153" s="329"/>
      <c r="K3153" s="329"/>
      <c r="L3153" s="329"/>
      <c r="M3153" s="329"/>
      <c r="N3153" s="329"/>
      <c r="O3153" s="329"/>
      <c r="P3153" s="329"/>
      <c r="Q3153" s="329"/>
      <c r="R3153" s="329"/>
    </row>
    <row r="3154" spans="1:18" ht="13">
      <c r="A3154" s="282"/>
      <c r="B3154" s="282"/>
      <c r="C3154" s="282"/>
      <c r="D3154" s="282"/>
      <c r="E3154" s="282"/>
      <c r="F3154" s="282"/>
      <c r="G3154" s="329"/>
      <c r="H3154" s="329"/>
      <c r="I3154" s="329"/>
      <c r="J3154" s="329"/>
      <c r="K3154" s="329"/>
      <c r="L3154" s="329"/>
      <c r="M3154" s="329"/>
      <c r="N3154" s="329"/>
      <c r="O3154" s="329"/>
      <c r="P3154" s="329"/>
      <c r="Q3154" s="329"/>
      <c r="R3154" s="329"/>
    </row>
    <row r="3155" spans="1:18" ht="13">
      <c r="A3155" s="282"/>
      <c r="B3155" s="282"/>
      <c r="C3155" s="282"/>
      <c r="D3155" s="282"/>
      <c r="E3155" s="282"/>
      <c r="F3155" s="282"/>
      <c r="G3155" s="329"/>
      <c r="H3155" s="329"/>
      <c r="I3155" s="329"/>
      <c r="J3155" s="329"/>
      <c r="K3155" s="329"/>
      <c r="L3155" s="329"/>
      <c r="M3155" s="329"/>
      <c r="N3155" s="329"/>
      <c r="O3155" s="329"/>
      <c r="P3155" s="329"/>
      <c r="Q3155" s="329"/>
      <c r="R3155" s="329"/>
    </row>
    <row r="3156" spans="1:18" ht="13">
      <c r="A3156" s="282"/>
      <c r="B3156" s="282"/>
      <c r="C3156" s="282"/>
      <c r="D3156" s="282"/>
      <c r="E3156" s="282"/>
      <c r="F3156" s="282"/>
      <c r="G3156" s="329"/>
      <c r="H3156" s="329"/>
      <c r="I3156" s="329"/>
      <c r="J3156" s="329"/>
      <c r="K3156" s="329"/>
      <c r="L3156" s="329"/>
      <c r="M3156" s="329"/>
      <c r="N3156" s="329"/>
      <c r="O3156" s="329"/>
      <c r="P3156" s="329"/>
      <c r="Q3156" s="329"/>
      <c r="R3156" s="329"/>
    </row>
    <row r="3157" spans="1:18" ht="13">
      <c r="A3157" s="282"/>
      <c r="B3157" s="282"/>
      <c r="C3157" s="282"/>
      <c r="D3157" s="282"/>
      <c r="E3157" s="282"/>
      <c r="F3157" s="282"/>
      <c r="G3157" s="329"/>
      <c r="H3157" s="329"/>
      <c r="I3157" s="329"/>
      <c r="J3157" s="329"/>
      <c r="K3157" s="329"/>
      <c r="L3157" s="329"/>
      <c r="M3157" s="329"/>
      <c r="N3157" s="329"/>
      <c r="O3157" s="329"/>
      <c r="P3157" s="329"/>
      <c r="Q3157" s="329"/>
      <c r="R3157" s="329"/>
    </row>
    <row r="3158" spans="1:18" ht="13">
      <c r="A3158" s="282"/>
      <c r="B3158" s="282"/>
      <c r="C3158" s="282"/>
      <c r="D3158" s="282"/>
      <c r="E3158" s="282"/>
      <c r="F3158" s="282"/>
      <c r="G3158" s="329"/>
      <c r="H3158" s="329"/>
      <c r="I3158" s="329"/>
      <c r="J3158" s="329"/>
      <c r="K3158" s="329"/>
      <c r="L3158" s="329"/>
      <c r="M3158" s="329"/>
      <c r="N3158" s="329"/>
      <c r="O3158" s="329"/>
      <c r="P3158" s="329"/>
      <c r="Q3158" s="329"/>
      <c r="R3158" s="329"/>
    </row>
    <row r="3159" spans="1:18" ht="13">
      <c r="A3159" s="282"/>
      <c r="B3159" s="282"/>
      <c r="C3159" s="282"/>
      <c r="D3159" s="282"/>
      <c r="E3159" s="282"/>
      <c r="F3159" s="282"/>
      <c r="G3159" s="329"/>
      <c r="H3159" s="329"/>
      <c r="I3159" s="329"/>
      <c r="J3159" s="329"/>
      <c r="K3159" s="329"/>
      <c r="L3159" s="329"/>
      <c r="M3159" s="329"/>
      <c r="N3159" s="329"/>
      <c r="O3159" s="329"/>
      <c r="P3159" s="329"/>
      <c r="Q3159" s="329"/>
      <c r="R3159" s="329"/>
    </row>
    <row r="3160" spans="1:18" ht="13">
      <c r="A3160" s="282"/>
      <c r="B3160" s="282"/>
      <c r="C3160" s="282"/>
      <c r="D3160" s="282"/>
      <c r="E3160" s="282"/>
      <c r="F3160" s="282"/>
      <c r="G3160" s="329"/>
      <c r="H3160" s="329"/>
      <c r="I3160" s="329"/>
      <c r="J3160" s="329"/>
      <c r="K3160" s="329"/>
      <c r="L3160" s="329"/>
      <c r="M3160" s="329"/>
      <c r="N3160" s="329"/>
      <c r="O3160" s="329"/>
      <c r="P3160" s="329"/>
      <c r="Q3160" s="329"/>
      <c r="R3160" s="329"/>
    </row>
    <row r="3161" spans="1:18" ht="13">
      <c r="A3161" s="282"/>
      <c r="B3161" s="282"/>
      <c r="C3161" s="282"/>
      <c r="D3161" s="282"/>
      <c r="E3161" s="282"/>
      <c r="F3161" s="282"/>
      <c r="G3161" s="329"/>
      <c r="H3161" s="329"/>
      <c r="I3161" s="329"/>
      <c r="J3161" s="329"/>
      <c r="K3161" s="329"/>
      <c r="L3161" s="329"/>
      <c r="M3161" s="329"/>
      <c r="N3161" s="329"/>
      <c r="O3161" s="329"/>
      <c r="P3161" s="329"/>
      <c r="Q3161" s="329"/>
      <c r="R3161" s="329"/>
    </row>
    <row r="3162" spans="1:18" ht="13">
      <c r="A3162" s="282"/>
      <c r="B3162" s="282"/>
      <c r="C3162" s="282"/>
      <c r="D3162" s="282"/>
      <c r="E3162" s="282"/>
      <c r="F3162" s="282"/>
      <c r="G3162" s="329"/>
      <c r="H3162" s="329"/>
      <c r="I3162" s="329"/>
      <c r="J3162" s="329"/>
      <c r="K3162" s="329"/>
      <c r="L3162" s="329"/>
      <c r="M3162" s="329"/>
      <c r="N3162" s="329"/>
      <c r="O3162" s="329"/>
      <c r="P3162" s="329"/>
      <c r="Q3162" s="329"/>
      <c r="R3162" s="329"/>
    </row>
    <row r="3163" spans="1:18" ht="13">
      <c r="A3163" s="282"/>
      <c r="B3163" s="282"/>
      <c r="C3163" s="282"/>
      <c r="D3163" s="282"/>
      <c r="E3163" s="282"/>
      <c r="F3163" s="282"/>
      <c r="G3163" s="329"/>
      <c r="H3163" s="329"/>
      <c r="I3163" s="329"/>
      <c r="J3163" s="329"/>
      <c r="K3163" s="329"/>
      <c r="L3163" s="329"/>
      <c r="M3163" s="329"/>
      <c r="N3163" s="329"/>
      <c r="O3163" s="329"/>
      <c r="P3163" s="329"/>
      <c r="Q3163" s="329"/>
      <c r="R3163" s="329"/>
    </row>
    <row r="3164" spans="1:18" ht="13">
      <c r="A3164" s="282"/>
      <c r="B3164" s="282"/>
      <c r="C3164" s="282"/>
      <c r="D3164" s="282"/>
      <c r="E3164" s="282"/>
      <c r="F3164" s="282"/>
      <c r="G3164" s="329"/>
      <c r="H3164" s="329"/>
      <c r="I3164" s="329"/>
      <c r="J3164" s="329"/>
      <c r="K3164" s="329"/>
      <c r="L3164" s="329"/>
      <c r="M3164" s="329"/>
      <c r="N3164" s="329"/>
      <c r="O3164" s="329"/>
      <c r="P3164" s="329"/>
      <c r="Q3164" s="329"/>
      <c r="R3164" s="329"/>
    </row>
    <row r="3165" spans="1:18" ht="13">
      <c r="A3165" s="282"/>
      <c r="B3165" s="282"/>
      <c r="C3165" s="282"/>
      <c r="D3165" s="282"/>
      <c r="E3165" s="282"/>
      <c r="F3165" s="282"/>
      <c r="G3165" s="329"/>
      <c r="H3165" s="329"/>
      <c r="I3165" s="329"/>
      <c r="J3165" s="329"/>
      <c r="K3165" s="329"/>
      <c r="L3165" s="329"/>
      <c r="M3165" s="329"/>
      <c r="N3165" s="329"/>
      <c r="O3165" s="329"/>
      <c r="P3165" s="329"/>
      <c r="Q3165" s="329"/>
      <c r="R3165" s="329"/>
    </row>
    <row r="3166" spans="1:18" ht="13">
      <c r="A3166" s="282"/>
      <c r="B3166" s="282"/>
      <c r="C3166" s="282"/>
      <c r="D3166" s="282"/>
      <c r="E3166" s="282"/>
      <c r="F3166" s="282"/>
      <c r="G3166" s="329"/>
      <c r="H3166" s="329"/>
      <c r="I3166" s="329"/>
      <c r="J3166" s="329"/>
      <c r="K3166" s="329"/>
      <c r="L3166" s="329"/>
      <c r="M3166" s="329"/>
      <c r="N3166" s="329"/>
      <c r="O3166" s="329"/>
      <c r="P3166" s="329"/>
      <c r="Q3166" s="329"/>
      <c r="R3166" s="329"/>
    </row>
    <row r="3167" spans="1:18" ht="13">
      <c r="A3167" s="282"/>
      <c r="B3167" s="282"/>
      <c r="C3167" s="282"/>
      <c r="D3167" s="282"/>
      <c r="E3167" s="282"/>
      <c r="F3167" s="282"/>
      <c r="G3167" s="329"/>
      <c r="H3167" s="329"/>
      <c r="I3167" s="329"/>
      <c r="J3167" s="329"/>
      <c r="K3167" s="329"/>
      <c r="L3167" s="329"/>
      <c r="M3167" s="329"/>
      <c r="N3167" s="329"/>
      <c r="O3167" s="329"/>
      <c r="P3167" s="329"/>
      <c r="Q3167" s="329"/>
      <c r="R3167" s="329"/>
    </row>
    <row r="3168" spans="1:18" ht="13">
      <c r="A3168" s="282"/>
      <c r="B3168" s="282"/>
      <c r="C3168" s="282"/>
      <c r="D3168" s="282"/>
      <c r="E3168" s="282"/>
      <c r="F3168" s="282"/>
      <c r="G3168" s="329"/>
      <c r="H3168" s="329"/>
      <c r="I3168" s="329"/>
      <c r="J3168" s="329"/>
      <c r="K3168" s="329"/>
      <c r="L3168" s="329"/>
      <c r="M3168" s="329"/>
      <c r="N3168" s="329"/>
      <c r="O3168" s="329"/>
      <c r="P3168" s="329"/>
      <c r="Q3168" s="329"/>
      <c r="R3168" s="329"/>
    </row>
    <row r="3169" spans="1:18" ht="13">
      <c r="A3169" s="282"/>
      <c r="B3169" s="282"/>
      <c r="C3169" s="282"/>
      <c r="D3169" s="282"/>
      <c r="E3169" s="282"/>
      <c r="F3169" s="282"/>
      <c r="G3169" s="329"/>
      <c r="H3169" s="329"/>
      <c r="I3169" s="329"/>
      <c r="J3169" s="329"/>
      <c r="K3169" s="329"/>
      <c r="L3169" s="329"/>
      <c r="M3169" s="329"/>
      <c r="N3169" s="329"/>
      <c r="O3169" s="329"/>
      <c r="P3169" s="329"/>
      <c r="Q3169" s="329"/>
      <c r="R3169" s="329"/>
    </row>
    <row r="3170" spans="1:18" ht="13">
      <c r="A3170" s="282"/>
      <c r="B3170" s="282"/>
      <c r="C3170" s="282"/>
      <c r="D3170" s="282"/>
      <c r="E3170" s="282"/>
      <c r="F3170" s="282"/>
      <c r="G3170" s="329"/>
      <c r="H3170" s="329"/>
      <c r="I3170" s="329"/>
      <c r="J3170" s="329"/>
      <c r="K3170" s="329"/>
      <c r="L3170" s="329"/>
      <c r="M3170" s="329"/>
      <c r="N3170" s="329"/>
      <c r="O3170" s="329"/>
      <c r="P3170" s="329"/>
      <c r="Q3170" s="329"/>
      <c r="R3170" s="329"/>
    </row>
    <row r="3171" spans="1:18" ht="13">
      <c r="A3171" s="282"/>
      <c r="B3171" s="282"/>
      <c r="C3171" s="282"/>
      <c r="D3171" s="282"/>
      <c r="E3171" s="282"/>
      <c r="F3171" s="282"/>
      <c r="G3171" s="329"/>
      <c r="H3171" s="329"/>
      <c r="I3171" s="329"/>
      <c r="J3171" s="329"/>
      <c r="K3171" s="329"/>
      <c r="L3171" s="329"/>
      <c r="M3171" s="329"/>
      <c r="N3171" s="329"/>
      <c r="O3171" s="329"/>
      <c r="P3171" s="329"/>
      <c r="Q3171" s="329"/>
      <c r="R3171" s="329"/>
    </row>
    <row r="3172" spans="1:18" ht="13">
      <c r="A3172" s="282"/>
      <c r="B3172" s="282"/>
      <c r="C3172" s="282"/>
      <c r="D3172" s="282"/>
      <c r="E3172" s="282"/>
      <c r="F3172" s="282"/>
      <c r="G3172" s="329"/>
      <c r="H3172" s="329"/>
      <c r="I3172" s="329"/>
      <c r="J3172" s="329"/>
      <c r="K3172" s="329"/>
      <c r="L3172" s="329"/>
      <c r="M3172" s="329"/>
      <c r="N3172" s="329"/>
      <c r="O3172" s="329"/>
      <c r="P3172" s="329"/>
      <c r="Q3172" s="329"/>
      <c r="R3172" s="329"/>
    </row>
    <row r="3173" spans="1:18" ht="13">
      <c r="A3173" s="282"/>
      <c r="B3173" s="282"/>
      <c r="C3173" s="282"/>
      <c r="D3173" s="282"/>
      <c r="E3173" s="282"/>
      <c r="F3173" s="282"/>
      <c r="G3173" s="329"/>
      <c r="H3173" s="329"/>
      <c r="I3173" s="329"/>
      <c r="J3173" s="329"/>
      <c r="K3173" s="329"/>
      <c r="L3173" s="329"/>
      <c r="M3173" s="329"/>
      <c r="N3173" s="329"/>
      <c r="O3173" s="329"/>
      <c r="P3173" s="329"/>
      <c r="Q3173" s="329"/>
      <c r="R3173" s="329"/>
    </row>
    <row r="3174" spans="1:18" ht="13">
      <c r="A3174" s="282"/>
      <c r="B3174" s="282"/>
      <c r="C3174" s="282"/>
      <c r="D3174" s="282"/>
      <c r="E3174" s="282"/>
      <c r="F3174" s="282"/>
      <c r="G3174" s="329"/>
      <c r="H3174" s="329"/>
      <c r="I3174" s="329"/>
      <c r="J3174" s="329"/>
      <c r="K3174" s="329"/>
      <c r="L3174" s="329"/>
      <c r="M3174" s="329"/>
      <c r="N3174" s="329"/>
      <c r="O3174" s="329"/>
      <c r="P3174" s="329"/>
      <c r="Q3174" s="329"/>
      <c r="R3174" s="329"/>
    </row>
    <row r="3175" spans="1:18" ht="13">
      <c r="A3175" s="282"/>
      <c r="B3175" s="282"/>
      <c r="C3175" s="282"/>
      <c r="D3175" s="282"/>
      <c r="E3175" s="282"/>
      <c r="F3175" s="282"/>
      <c r="G3175" s="329"/>
      <c r="H3175" s="329"/>
      <c r="I3175" s="329"/>
      <c r="J3175" s="329"/>
      <c r="K3175" s="329"/>
      <c r="L3175" s="329"/>
      <c r="M3175" s="329"/>
      <c r="N3175" s="329"/>
      <c r="O3175" s="329"/>
      <c r="P3175" s="329"/>
      <c r="Q3175" s="329"/>
      <c r="R3175" s="329"/>
    </row>
    <row r="3176" spans="1:18" ht="13">
      <c r="A3176" s="282"/>
      <c r="B3176" s="282"/>
      <c r="C3176" s="282"/>
      <c r="D3176" s="282"/>
      <c r="E3176" s="282"/>
      <c r="F3176" s="282"/>
      <c r="G3176" s="329"/>
      <c r="H3176" s="329"/>
      <c r="I3176" s="329"/>
      <c r="J3176" s="329"/>
      <c r="K3176" s="329"/>
      <c r="L3176" s="329"/>
      <c r="M3176" s="329"/>
      <c r="N3176" s="329"/>
      <c r="O3176" s="329"/>
      <c r="P3176" s="329"/>
      <c r="Q3176" s="329"/>
      <c r="R3176" s="329"/>
    </row>
    <row r="3177" spans="1:18" ht="13">
      <c r="A3177" s="282"/>
      <c r="B3177" s="282"/>
      <c r="C3177" s="282"/>
      <c r="D3177" s="282"/>
      <c r="E3177" s="282"/>
      <c r="F3177" s="282"/>
      <c r="G3177" s="329"/>
      <c r="H3177" s="329"/>
      <c r="I3177" s="329"/>
      <c r="J3177" s="329"/>
      <c r="K3177" s="329"/>
      <c r="L3177" s="329"/>
      <c r="M3177" s="329"/>
      <c r="N3177" s="329"/>
      <c r="O3177" s="329"/>
      <c r="P3177" s="329"/>
      <c r="Q3177" s="329"/>
      <c r="R3177" s="329"/>
    </row>
    <row r="3178" spans="1:18" ht="13">
      <c r="A3178" s="282"/>
      <c r="B3178" s="282"/>
      <c r="C3178" s="282"/>
      <c r="D3178" s="282"/>
      <c r="E3178" s="282"/>
      <c r="F3178" s="282"/>
      <c r="G3178" s="329"/>
      <c r="H3178" s="329"/>
      <c r="I3178" s="329"/>
      <c r="J3178" s="329"/>
      <c r="K3178" s="329"/>
      <c r="L3178" s="329"/>
      <c r="M3178" s="329"/>
      <c r="N3178" s="329"/>
      <c r="O3178" s="329"/>
      <c r="P3178" s="329"/>
      <c r="Q3178" s="329"/>
      <c r="R3178" s="329"/>
    </row>
    <row r="3179" spans="1:18" ht="13">
      <c r="A3179" s="282"/>
      <c r="B3179" s="282"/>
      <c r="C3179" s="282"/>
      <c r="D3179" s="282"/>
      <c r="E3179" s="282"/>
      <c r="F3179" s="282"/>
      <c r="G3179" s="329"/>
      <c r="H3179" s="329"/>
      <c r="I3179" s="329"/>
      <c r="J3179" s="329"/>
      <c r="K3179" s="329"/>
      <c r="L3179" s="329"/>
      <c r="M3179" s="329"/>
      <c r="N3179" s="329"/>
      <c r="O3179" s="329"/>
      <c r="P3179" s="329"/>
      <c r="Q3179" s="329"/>
      <c r="R3179" s="329"/>
    </row>
    <row r="3180" spans="1:18" ht="13">
      <c r="A3180" s="282"/>
      <c r="B3180" s="282"/>
      <c r="C3180" s="282"/>
      <c r="D3180" s="282"/>
      <c r="E3180" s="282"/>
      <c r="F3180" s="282"/>
      <c r="G3180" s="329"/>
      <c r="H3180" s="329"/>
      <c r="I3180" s="329"/>
      <c r="J3180" s="329"/>
      <c r="K3180" s="329"/>
      <c r="L3180" s="329"/>
      <c r="M3180" s="329"/>
      <c r="N3180" s="329"/>
      <c r="O3180" s="329"/>
      <c r="P3180" s="329"/>
      <c r="Q3180" s="329"/>
      <c r="R3180" s="329"/>
    </row>
    <row r="3181" spans="1:18" ht="13">
      <c r="A3181" s="282"/>
      <c r="B3181" s="282"/>
      <c r="C3181" s="282"/>
      <c r="D3181" s="282"/>
      <c r="E3181" s="282"/>
      <c r="F3181" s="282"/>
      <c r="G3181" s="329"/>
      <c r="H3181" s="329"/>
      <c r="I3181" s="329"/>
      <c r="J3181" s="329"/>
      <c r="K3181" s="329"/>
      <c r="L3181" s="329"/>
      <c r="M3181" s="329"/>
      <c r="N3181" s="329"/>
      <c r="O3181" s="329"/>
      <c r="P3181" s="329"/>
      <c r="Q3181" s="329"/>
      <c r="R3181" s="329"/>
    </row>
    <row r="3182" spans="1:18" ht="13">
      <c r="A3182" s="282"/>
      <c r="B3182" s="282"/>
      <c r="C3182" s="282"/>
      <c r="D3182" s="282"/>
      <c r="E3182" s="282"/>
      <c r="F3182" s="282"/>
      <c r="G3182" s="329"/>
      <c r="H3182" s="329"/>
      <c r="I3182" s="329"/>
      <c r="J3182" s="329"/>
      <c r="K3182" s="329"/>
      <c r="L3182" s="329"/>
      <c r="M3182" s="329"/>
      <c r="N3182" s="329"/>
      <c r="O3182" s="329"/>
      <c r="P3182" s="329"/>
      <c r="Q3182" s="329"/>
      <c r="R3182" s="329"/>
    </row>
    <row r="3183" spans="1:18" ht="13">
      <c r="A3183" s="282"/>
      <c r="B3183" s="282"/>
      <c r="C3183" s="282"/>
      <c r="D3183" s="282"/>
      <c r="E3183" s="282"/>
      <c r="F3183" s="282"/>
      <c r="G3183" s="329"/>
      <c r="H3183" s="329"/>
      <c r="I3183" s="329"/>
      <c r="J3183" s="329"/>
      <c r="K3183" s="329"/>
      <c r="L3183" s="329"/>
      <c r="M3183" s="329"/>
      <c r="N3183" s="329"/>
      <c r="O3183" s="329"/>
      <c r="P3183" s="329"/>
      <c r="Q3183" s="329"/>
      <c r="R3183" s="329"/>
    </row>
    <row r="3184" spans="1:18" ht="13">
      <c r="A3184" s="282"/>
      <c r="B3184" s="282"/>
      <c r="C3184" s="282"/>
      <c r="D3184" s="282"/>
      <c r="E3184" s="282"/>
      <c r="F3184" s="282"/>
      <c r="G3184" s="329"/>
      <c r="H3184" s="329"/>
      <c r="I3184" s="329"/>
      <c r="J3184" s="329"/>
      <c r="K3184" s="329"/>
      <c r="L3184" s="329"/>
      <c r="M3184" s="329"/>
      <c r="N3184" s="329"/>
      <c r="O3184" s="329"/>
      <c r="P3184" s="329"/>
      <c r="Q3184" s="329"/>
      <c r="R3184" s="329"/>
    </row>
    <row r="3185" spans="1:18" ht="13">
      <c r="A3185" s="282"/>
      <c r="B3185" s="282"/>
      <c r="C3185" s="282"/>
      <c r="D3185" s="282"/>
      <c r="E3185" s="282"/>
      <c r="F3185" s="282"/>
      <c r="G3185" s="329"/>
      <c r="H3185" s="329"/>
      <c r="I3185" s="329"/>
      <c r="J3185" s="329"/>
      <c r="K3185" s="329"/>
      <c r="L3185" s="329"/>
      <c r="M3185" s="329"/>
      <c r="N3185" s="329"/>
      <c r="O3185" s="329"/>
      <c r="P3185" s="329"/>
      <c r="Q3185" s="329"/>
      <c r="R3185" s="329"/>
    </row>
    <row r="3186" spans="1:18" ht="13">
      <c r="A3186" s="282"/>
      <c r="B3186" s="282"/>
      <c r="C3186" s="282"/>
      <c r="D3186" s="282"/>
      <c r="E3186" s="282"/>
      <c r="F3186" s="282"/>
      <c r="G3186" s="329"/>
      <c r="H3186" s="329"/>
      <c r="I3186" s="329"/>
      <c r="J3186" s="329"/>
      <c r="K3186" s="329"/>
      <c r="L3186" s="329"/>
      <c r="M3186" s="329"/>
      <c r="N3186" s="329"/>
      <c r="O3186" s="329"/>
      <c r="P3186" s="329"/>
      <c r="Q3186" s="329"/>
      <c r="R3186" s="329"/>
    </row>
    <row r="3187" spans="1:18" ht="13">
      <c r="A3187" s="282"/>
      <c r="B3187" s="282"/>
      <c r="C3187" s="282"/>
      <c r="D3187" s="282"/>
      <c r="E3187" s="282"/>
      <c r="F3187" s="282"/>
      <c r="G3187" s="329"/>
      <c r="H3187" s="329"/>
      <c r="I3187" s="329"/>
      <c r="J3187" s="329"/>
      <c r="K3187" s="329"/>
      <c r="L3187" s="329"/>
      <c r="M3187" s="329"/>
      <c r="N3187" s="329"/>
      <c r="O3187" s="329"/>
      <c r="P3187" s="329"/>
      <c r="Q3187" s="329"/>
      <c r="R3187" s="329"/>
    </row>
    <row r="3188" spans="1:18" ht="13">
      <c r="A3188" s="282"/>
      <c r="B3188" s="282"/>
      <c r="C3188" s="282"/>
      <c r="D3188" s="282"/>
      <c r="E3188" s="282"/>
      <c r="F3188" s="282"/>
      <c r="G3188" s="329"/>
      <c r="H3188" s="329"/>
      <c r="I3188" s="329"/>
      <c r="J3188" s="329"/>
      <c r="K3188" s="329"/>
      <c r="L3188" s="329"/>
      <c r="M3188" s="329"/>
      <c r="N3188" s="329"/>
      <c r="O3188" s="329"/>
      <c r="P3188" s="329"/>
      <c r="Q3188" s="329"/>
      <c r="R3188" s="329"/>
    </row>
    <row r="3189" spans="1:18" ht="13">
      <c r="A3189" s="282"/>
      <c r="B3189" s="282"/>
      <c r="C3189" s="282"/>
      <c r="D3189" s="282"/>
      <c r="E3189" s="282"/>
      <c r="F3189" s="282"/>
      <c r="G3189" s="329"/>
      <c r="H3189" s="329"/>
      <c r="I3189" s="329"/>
      <c r="J3189" s="329"/>
      <c r="K3189" s="329"/>
      <c r="L3189" s="329"/>
      <c r="M3189" s="329"/>
      <c r="N3189" s="329"/>
      <c r="O3189" s="329"/>
      <c r="P3189" s="329"/>
      <c r="Q3189" s="329"/>
      <c r="R3189" s="329"/>
    </row>
    <row r="3190" spans="1:18" ht="13">
      <c r="A3190" s="282"/>
      <c r="B3190" s="282"/>
      <c r="C3190" s="282"/>
      <c r="D3190" s="282"/>
      <c r="E3190" s="282"/>
      <c r="F3190" s="282"/>
      <c r="G3190" s="329"/>
      <c r="H3190" s="329"/>
      <c r="I3190" s="329"/>
      <c r="J3190" s="329"/>
      <c r="K3190" s="329"/>
      <c r="L3190" s="329"/>
      <c r="M3190" s="329"/>
      <c r="N3190" s="329"/>
      <c r="O3190" s="329"/>
      <c r="P3190" s="329"/>
      <c r="Q3190" s="329"/>
      <c r="R3190" s="329"/>
    </row>
    <row r="3191" spans="1:18" ht="13">
      <c r="A3191" s="282"/>
      <c r="B3191" s="282"/>
      <c r="C3191" s="282"/>
      <c r="D3191" s="282"/>
      <c r="E3191" s="282"/>
      <c r="F3191" s="282"/>
      <c r="G3191" s="329"/>
      <c r="H3191" s="329"/>
      <c r="I3191" s="329"/>
      <c r="J3191" s="329"/>
      <c r="K3191" s="329"/>
      <c r="L3191" s="329"/>
      <c r="M3191" s="329"/>
      <c r="N3191" s="329"/>
      <c r="O3191" s="329"/>
      <c r="P3191" s="329"/>
      <c r="Q3191" s="329"/>
      <c r="R3191" s="329"/>
    </row>
    <row r="3192" spans="1:18" ht="13">
      <c r="A3192" s="282"/>
      <c r="B3192" s="282"/>
      <c r="C3192" s="282"/>
      <c r="D3192" s="282"/>
      <c r="E3192" s="282"/>
      <c r="F3192" s="282"/>
      <c r="G3192" s="329"/>
      <c r="H3192" s="329"/>
      <c r="I3192" s="329"/>
      <c r="J3192" s="329"/>
      <c r="K3192" s="329"/>
      <c r="L3192" s="329"/>
      <c r="M3192" s="329"/>
      <c r="N3192" s="329"/>
      <c r="O3192" s="329"/>
      <c r="P3192" s="329"/>
      <c r="Q3192" s="329"/>
      <c r="R3192" s="329"/>
    </row>
    <row r="3193" spans="1:18" ht="13">
      <c r="A3193" s="282"/>
      <c r="B3193" s="282"/>
      <c r="C3193" s="282"/>
      <c r="D3193" s="282"/>
      <c r="E3193" s="282"/>
      <c r="F3193" s="282"/>
      <c r="G3193" s="329"/>
      <c r="H3193" s="329"/>
      <c r="I3193" s="329"/>
      <c r="J3193" s="329"/>
      <c r="K3193" s="329"/>
      <c r="L3193" s="329"/>
      <c r="M3193" s="329"/>
      <c r="N3193" s="329"/>
      <c r="O3193" s="329"/>
      <c r="P3193" s="329"/>
      <c r="Q3193" s="329"/>
      <c r="R3193" s="329"/>
    </row>
    <row r="3194" spans="1:18" ht="13">
      <c r="A3194" s="282"/>
      <c r="B3194" s="282"/>
      <c r="C3194" s="282"/>
      <c r="D3194" s="282"/>
      <c r="E3194" s="282"/>
      <c r="F3194" s="282"/>
      <c r="G3194" s="329"/>
      <c r="H3194" s="329"/>
      <c r="I3194" s="329"/>
      <c r="J3194" s="329"/>
      <c r="K3194" s="329"/>
      <c r="L3194" s="329"/>
      <c r="M3194" s="329"/>
      <c r="N3194" s="329"/>
      <c r="O3194" s="329"/>
      <c r="P3194" s="329"/>
      <c r="Q3194" s="329"/>
      <c r="R3194" s="329"/>
    </row>
    <row r="3195" spans="1:18" ht="13">
      <c r="A3195" s="282"/>
      <c r="B3195" s="282"/>
      <c r="C3195" s="282"/>
      <c r="D3195" s="282"/>
      <c r="E3195" s="282"/>
      <c r="F3195" s="282"/>
      <c r="G3195" s="329"/>
      <c r="H3195" s="329"/>
      <c r="I3195" s="329"/>
      <c r="J3195" s="329"/>
      <c r="K3195" s="329"/>
      <c r="L3195" s="329"/>
      <c r="M3195" s="329"/>
      <c r="N3195" s="329"/>
      <c r="O3195" s="329"/>
      <c r="P3195" s="329"/>
      <c r="Q3195" s="329"/>
      <c r="R3195" s="329"/>
    </row>
    <row r="3196" spans="1:18" ht="13">
      <c r="A3196" s="282"/>
      <c r="B3196" s="282"/>
      <c r="C3196" s="282"/>
      <c r="D3196" s="282"/>
      <c r="E3196" s="282"/>
      <c r="F3196" s="282"/>
      <c r="G3196" s="329"/>
      <c r="H3196" s="329"/>
      <c r="I3196" s="329"/>
      <c r="J3196" s="329"/>
      <c r="K3196" s="329"/>
      <c r="L3196" s="329"/>
      <c r="M3196" s="329"/>
      <c r="N3196" s="329"/>
      <c r="O3196" s="329"/>
      <c r="P3196" s="329"/>
      <c r="Q3196" s="329"/>
      <c r="R3196" s="329"/>
    </row>
    <row r="3197" spans="1:18" ht="13">
      <c r="A3197" s="282"/>
      <c r="B3197" s="282"/>
      <c r="C3197" s="282"/>
      <c r="D3197" s="282"/>
      <c r="E3197" s="282"/>
      <c r="F3197" s="282"/>
      <c r="G3197" s="329"/>
      <c r="H3197" s="329"/>
      <c r="I3197" s="329"/>
      <c r="J3197" s="329"/>
      <c r="K3197" s="329"/>
      <c r="L3197" s="329"/>
      <c r="M3197" s="329"/>
      <c r="N3197" s="329"/>
      <c r="O3197" s="329"/>
      <c r="P3197" s="329"/>
      <c r="Q3197" s="329"/>
      <c r="R3197" s="329"/>
    </row>
    <row r="3198" spans="1:18" ht="13">
      <c r="A3198" s="282"/>
      <c r="B3198" s="282"/>
      <c r="C3198" s="282"/>
      <c r="D3198" s="282"/>
      <c r="E3198" s="282"/>
      <c r="F3198" s="282"/>
      <c r="G3198" s="329"/>
      <c r="H3198" s="329"/>
      <c r="I3198" s="329"/>
      <c r="J3198" s="329"/>
      <c r="K3198" s="329"/>
      <c r="L3198" s="329"/>
      <c r="M3198" s="329"/>
      <c r="N3198" s="329"/>
      <c r="O3198" s="329"/>
      <c r="P3198" s="329"/>
      <c r="Q3198" s="329"/>
      <c r="R3198" s="329"/>
    </row>
    <row r="3199" spans="1:18" ht="13">
      <c r="A3199" s="282"/>
      <c r="B3199" s="282"/>
      <c r="C3199" s="282"/>
      <c r="D3199" s="282"/>
      <c r="E3199" s="282"/>
      <c r="F3199" s="282"/>
      <c r="G3199" s="329"/>
      <c r="H3199" s="329"/>
      <c r="I3199" s="329"/>
      <c r="J3199" s="329"/>
      <c r="K3199" s="329"/>
      <c r="L3199" s="329"/>
      <c r="M3199" s="329"/>
      <c r="N3199" s="329"/>
      <c r="O3199" s="329"/>
      <c r="P3199" s="329"/>
      <c r="Q3199" s="329"/>
      <c r="R3199" s="329"/>
    </row>
    <row r="3200" spans="1:18" ht="13">
      <c r="A3200" s="282"/>
      <c r="B3200" s="282"/>
      <c r="C3200" s="282"/>
      <c r="D3200" s="282"/>
      <c r="E3200" s="282"/>
      <c r="F3200" s="282"/>
      <c r="G3200" s="329"/>
      <c r="H3200" s="329"/>
      <c r="I3200" s="329"/>
      <c r="J3200" s="329"/>
      <c r="K3200" s="329"/>
      <c r="L3200" s="329"/>
      <c r="M3200" s="329"/>
      <c r="N3200" s="329"/>
      <c r="O3200" s="329"/>
      <c r="P3200" s="329"/>
      <c r="Q3200" s="329"/>
      <c r="R3200" s="329"/>
    </row>
    <row r="3201" spans="1:18" ht="13">
      <c r="A3201" s="282"/>
      <c r="B3201" s="282"/>
      <c r="C3201" s="282"/>
      <c r="D3201" s="282"/>
      <c r="E3201" s="282"/>
      <c r="F3201" s="282"/>
      <c r="G3201" s="329"/>
      <c r="H3201" s="329"/>
      <c r="I3201" s="329"/>
      <c r="J3201" s="329"/>
      <c r="K3201" s="329"/>
      <c r="L3201" s="329"/>
      <c r="M3201" s="329"/>
      <c r="N3201" s="329"/>
      <c r="O3201" s="329"/>
      <c r="P3201" s="329"/>
      <c r="Q3201" s="329"/>
      <c r="R3201" s="329"/>
    </row>
    <row r="3202" spans="1:18" ht="13">
      <c r="A3202" s="282"/>
      <c r="B3202" s="282"/>
      <c r="C3202" s="282"/>
      <c r="D3202" s="282"/>
      <c r="E3202" s="282"/>
      <c r="F3202" s="282"/>
      <c r="G3202" s="329"/>
      <c r="H3202" s="329"/>
      <c r="I3202" s="329"/>
      <c r="J3202" s="329"/>
      <c r="K3202" s="329"/>
      <c r="L3202" s="329"/>
      <c r="M3202" s="329"/>
      <c r="N3202" s="329"/>
      <c r="O3202" s="329"/>
      <c r="P3202" s="329"/>
      <c r="Q3202" s="329"/>
      <c r="R3202" s="329"/>
    </row>
    <row r="3203" spans="1:18" ht="13">
      <c r="A3203" s="282"/>
      <c r="B3203" s="282"/>
      <c r="C3203" s="282"/>
      <c r="D3203" s="282"/>
      <c r="E3203" s="282"/>
      <c r="F3203" s="282"/>
      <c r="G3203" s="329"/>
      <c r="H3203" s="329"/>
      <c r="I3203" s="329"/>
      <c r="J3203" s="329"/>
      <c r="K3203" s="329"/>
      <c r="L3203" s="329"/>
      <c r="M3203" s="329"/>
      <c r="N3203" s="329"/>
      <c r="O3203" s="329"/>
      <c r="P3203" s="329"/>
      <c r="Q3203" s="329"/>
      <c r="R3203" s="329"/>
    </row>
    <row r="3204" spans="1:18" ht="13">
      <c r="A3204" s="282"/>
      <c r="B3204" s="282"/>
      <c r="C3204" s="282"/>
      <c r="D3204" s="282"/>
      <c r="E3204" s="282"/>
      <c r="F3204" s="282"/>
      <c r="G3204" s="329"/>
      <c r="H3204" s="329"/>
      <c r="I3204" s="329"/>
      <c r="J3204" s="329"/>
      <c r="K3204" s="329"/>
      <c r="L3204" s="329"/>
      <c r="M3204" s="329"/>
      <c r="N3204" s="329"/>
      <c r="O3204" s="329"/>
      <c r="P3204" s="329"/>
      <c r="Q3204" s="329"/>
      <c r="R3204" s="329"/>
    </row>
    <row r="3205" spans="1:18" ht="13">
      <c r="A3205" s="282"/>
      <c r="B3205" s="282"/>
      <c r="C3205" s="282"/>
      <c r="D3205" s="282"/>
      <c r="E3205" s="282"/>
      <c r="F3205" s="282"/>
      <c r="G3205" s="329"/>
      <c r="H3205" s="329"/>
      <c r="I3205" s="329"/>
      <c r="J3205" s="329"/>
      <c r="K3205" s="329"/>
      <c r="L3205" s="329"/>
      <c r="M3205" s="329"/>
      <c r="N3205" s="329"/>
      <c r="O3205" s="329"/>
      <c r="P3205" s="329"/>
      <c r="Q3205" s="329"/>
      <c r="R3205" s="329"/>
    </row>
    <row r="3206" spans="1:18" ht="13">
      <c r="A3206" s="282"/>
      <c r="B3206" s="282"/>
      <c r="C3206" s="282"/>
      <c r="D3206" s="282"/>
      <c r="E3206" s="282"/>
      <c r="F3206" s="282"/>
      <c r="G3206" s="329"/>
      <c r="H3206" s="329"/>
      <c r="I3206" s="329"/>
      <c r="J3206" s="329"/>
      <c r="K3206" s="329"/>
      <c r="L3206" s="329"/>
      <c r="M3206" s="329"/>
      <c r="N3206" s="329"/>
      <c r="O3206" s="329"/>
      <c r="P3206" s="329"/>
      <c r="Q3206" s="329"/>
      <c r="R3206" s="329"/>
    </row>
    <row r="3207" spans="1:18" ht="13">
      <c r="A3207" s="282"/>
      <c r="B3207" s="282"/>
      <c r="C3207" s="282"/>
      <c r="D3207" s="282"/>
      <c r="E3207" s="282"/>
      <c r="F3207" s="282"/>
      <c r="G3207" s="329"/>
      <c r="H3207" s="329"/>
      <c r="I3207" s="329"/>
      <c r="J3207" s="329"/>
      <c r="K3207" s="329"/>
      <c r="L3207" s="329"/>
      <c r="M3207" s="329"/>
      <c r="N3207" s="329"/>
      <c r="O3207" s="329"/>
      <c r="P3207" s="329"/>
      <c r="Q3207" s="329"/>
      <c r="R3207" s="329"/>
    </row>
    <row r="3208" spans="1:18" ht="13">
      <c r="A3208" s="282"/>
      <c r="B3208" s="282"/>
      <c r="C3208" s="282"/>
      <c r="D3208" s="282"/>
      <c r="E3208" s="282"/>
      <c r="F3208" s="282"/>
      <c r="G3208" s="329"/>
      <c r="H3208" s="329"/>
      <c r="I3208" s="329"/>
      <c r="J3208" s="329"/>
      <c r="K3208" s="329"/>
      <c r="L3208" s="329"/>
      <c r="M3208" s="329"/>
      <c r="N3208" s="329"/>
      <c r="O3208" s="329"/>
      <c r="P3208" s="329"/>
      <c r="Q3208" s="329"/>
      <c r="R3208" s="329"/>
    </row>
    <row r="3209" spans="1:18" ht="13">
      <c r="A3209" s="282"/>
      <c r="B3209" s="282"/>
      <c r="C3209" s="282"/>
      <c r="D3209" s="282"/>
      <c r="E3209" s="282"/>
      <c r="F3209" s="282"/>
      <c r="G3209" s="329"/>
      <c r="H3209" s="329"/>
      <c r="I3209" s="329"/>
      <c r="J3209" s="329"/>
      <c r="K3209" s="329"/>
      <c r="L3209" s="329"/>
      <c r="M3209" s="329"/>
      <c r="N3209" s="329"/>
      <c r="O3209" s="329"/>
      <c r="P3209" s="329"/>
      <c r="Q3209" s="329"/>
      <c r="R3209" s="329"/>
    </row>
    <row r="3210" spans="1:18" ht="13">
      <c r="A3210" s="282"/>
      <c r="B3210" s="282"/>
      <c r="C3210" s="282"/>
      <c r="D3210" s="282"/>
      <c r="E3210" s="282"/>
      <c r="F3210" s="282"/>
      <c r="G3210" s="329"/>
      <c r="H3210" s="329"/>
      <c r="I3210" s="329"/>
      <c r="J3210" s="329"/>
      <c r="K3210" s="329"/>
      <c r="L3210" s="329"/>
      <c r="M3210" s="329"/>
      <c r="N3210" s="329"/>
      <c r="O3210" s="329"/>
      <c r="P3210" s="329"/>
      <c r="Q3210" s="329"/>
      <c r="R3210" s="329"/>
    </row>
    <row r="3211" spans="1:18" ht="13">
      <c r="A3211" s="282"/>
      <c r="B3211" s="282"/>
      <c r="C3211" s="282"/>
      <c r="D3211" s="282"/>
      <c r="E3211" s="282"/>
      <c r="F3211" s="282"/>
      <c r="G3211" s="329"/>
      <c r="H3211" s="329"/>
      <c r="I3211" s="329"/>
      <c r="J3211" s="329"/>
      <c r="K3211" s="329"/>
      <c r="L3211" s="329"/>
      <c r="M3211" s="329"/>
      <c r="N3211" s="329"/>
      <c r="O3211" s="329"/>
      <c r="P3211" s="329"/>
      <c r="Q3211" s="329"/>
      <c r="R3211" s="329"/>
    </row>
    <row r="3212" spans="1:18" ht="13">
      <c r="A3212" s="282"/>
      <c r="B3212" s="282"/>
      <c r="C3212" s="282"/>
      <c r="D3212" s="282"/>
      <c r="E3212" s="282"/>
      <c r="F3212" s="282"/>
      <c r="G3212" s="329"/>
      <c r="H3212" s="329"/>
      <c r="I3212" s="329"/>
      <c r="J3212" s="329"/>
      <c r="K3212" s="329"/>
      <c r="L3212" s="329"/>
      <c r="M3212" s="329"/>
      <c r="N3212" s="329"/>
      <c r="O3212" s="329"/>
      <c r="P3212" s="329"/>
      <c r="Q3212" s="329"/>
      <c r="R3212" s="329"/>
    </row>
    <row r="3213" spans="1:18" ht="13">
      <c r="A3213" s="282"/>
      <c r="B3213" s="282"/>
      <c r="C3213" s="282"/>
      <c r="D3213" s="282"/>
      <c r="E3213" s="282"/>
      <c r="F3213" s="282"/>
      <c r="G3213" s="329"/>
      <c r="H3213" s="329"/>
      <c r="I3213" s="329"/>
      <c r="J3213" s="329"/>
      <c r="K3213" s="329"/>
      <c r="L3213" s="329"/>
      <c r="M3213" s="329"/>
      <c r="N3213" s="329"/>
      <c r="O3213" s="329"/>
      <c r="P3213" s="329"/>
      <c r="Q3213" s="329"/>
      <c r="R3213" s="329"/>
    </row>
    <row r="3214" spans="1:18" ht="13">
      <c r="A3214" s="282"/>
      <c r="B3214" s="282"/>
      <c r="C3214" s="282"/>
      <c r="D3214" s="282"/>
      <c r="E3214" s="282"/>
      <c r="F3214" s="282"/>
      <c r="G3214" s="329"/>
      <c r="H3214" s="329"/>
      <c r="I3214" s="329"/>
      <c r="J3214" s="329"/>
      <c r="K3214" s="329"/>
      <c r="L3214" s="329"/>
      <c r="M3214" s="329"/>
      <c r="N3214" s="329"/>
      <c r="O3214" s="329"/>
      <c r="P3214" s="329"/>
      <c r="Q3214" s="329"/>
      <c r="R3214" s="329"/>
    </row>
    <row r="3215" spans="1:18" ht="13">
      <c r="A3215" s="282"/>
      <c r="B3215" s="282"/>
      <c r="C3215" s="282"/>
      <c r="D3215" s="282"/>
      <c r="E3215" s="282"/>
      <c r="F3215" s="282"/>
      <c r="G3215" s="329"/>
      <c r="H3215" s="329"/>
      <c r="I3215" s="329"/>
      <c r="J3215" s="329"/>
      <c r="K3215" s="329"/>
      <c r="L3215" s="329"/>
      <c r="M3215" s="329"/>
      <c r="N3215" s="329"/>
      <c r="O3215" s="329"/>
      <c r="P3215" s="329"/>
      <c r="Q3215" s="329"/>
      <c r="R3215" s="329"/>
    </row>
    <row r="3216" spans="1:18" ht="13">
      <c r="A3216" s="282"/>
      <c r="B3216" s="282"/>
      <c r="C3216" s="282"/>
      <c r="D3216" s="282"/>
      <c r="E3216" s="282"/>
      <c r="F3216" s="282"/>
      <c r="G3216" s="329"/>
      <c r="H3216" s="329"/>
      <c r="I3216" s="329"/>
      <c r="J3216" s="329"/>
      <c r="K3216" s="329"/>
      <c r="L3216" s="329"/>
      <c r="M3216" s="329"/>
      <c r="N3216" s="329"/>
      <c r="O3216" s="329"/>
      <c r="P3216" s="329"/>
      <c r="Q3216" s="329"/>
      <c r="R3216" s="329"/>
    </row>
    <row r="3217" spans="1:18" ht="13">
      <c r="A3217" s="282"/>
      <c r="B3217" s="282"/>
      <c r="C3217" s="282"/>
      <c r="D3217" s="282"/>
      <c r="E3217" s="282"/>
      <c r="F3217" s="282"/>
      <c r="G3217" s="329"/>
      <c r="H3217" s="329"/>
      <c r="I3217" s="329"/>
      <c r="J3217" s="329"/>
      <c r="K3217" s="329"/>
      <c r="L3217" s="329"/>
      <c r="M3217" s="329"/>
      <c r="N3217" s="329"/>
      <c r="O3217" s="329"/>
      <c r="P3217" s="329"/>
      <c r="Q3217" s="329"/>
      <c r="R3217" s="329"/>
    </row>
    <row r="3218" spans="1:18" ht="13">
      <c r="A3218" s="282"/>
      <c r="B3218" s="282"/>
      <c r="C3218" s="282"/>
      <c r="D3218" s="282"/>
      <c r="E3218" s="282"/>
      <c r="F3218" s="282"/>
      <c r="G3218" s="329"/>
      <c r="H3218" s="329"/>
      <c r="I3218" s="329"/>
      <c r="J3218" s="329"/>
      <c r="K3218" s="329"/>
      <c r="L3218" s="329"/>
      <c r="M3218" s="329"/>
      <c r="N3218" s="329"/>
      <c r="O3218" s="329"/>
      <c r="P3218" s="329"/>
      <c r="Q3218" s="329"/>
      <c r="R3218" s="329"/>
    </row>
    <row r="3219" spans="1:18" ht="13">
      <c r="A3219" s="282"/>
      <c r="B3219" s="282"/>
      <c r="C3219" s="282"/>
      <c r="D3219" s="282"/>
      <c r="E3219" s="282"/>
      <c r="F3219" s="282"/>
      <c r="G3219" s="329"/>
      <c r="H3219" s="329"/>
      <c r="I3219" s="329"/>
      <c r="J3219" s="329"/>
      <c r="K3219" s="329"/>
      <c r="L3219" s="329"/>
      <c r="M3219" s="329"/>
      <c r="N3219" s="329"/>
      <c r="O3219" s="329"/>
      <c r="P3219" s="329"/>
      <c r="Q3219" s="329"/>
      <c r="R3219" s="329"/>
    </row>
    <row r="3220" spans="1:18" ht="13">
      <c r="A3220" s="282"/>
      <c r="B3220" s="282"/>
      <c r="C3220" s="282"/>
      <c r="D3220" s="282"/>
      <c r="E3220" s="282"/>
      <c r="F3220" s="282"/>
      <c r="G3220" s="329"/>
      <c r="H3220" s="329"/>
      <c r="I3220" s="329"/>
      <c r="J3220" s="329"/>
      <c r="K3220" s="329"/>
      <c r="L3220" s="329"/>
      <c r="M3220" s="329"/>
      <c r="N3220" s="329"/>
      <c r="O3220" s="329"/>
      <c r="P3220" s="329"/>
      <c r="Q3220" s="329"/>
      <c r="R3220" s="329"/>
    </row>
    <row r="3221" spans="1:18" ht="13">
      <c r="A3221" s="282"/>
      <c r="B3221" s="282"/>
      <c r="C3221" s="282"/>
      <c r="D3221" s="282"/>
      <c r="E3221" s="282"/>
      <c r="F3221" s="282"/>
      <c r="G3221" s="329"/>
      <c r="H3221" s="329"/>
      <c r="I3221" s="329"/>
      <c r="J3221" s="329"/>
      <c r="K3221" s="329"/>
      <c r="L3221" s="329"/>
      <c r="M3221" s="329"/>
      <c r="N3221" s="329"/>
      <c r="O3221" s="329"/>
      <c r="P3221" s="329"/>
      <c r="Q3221" s="329"/>
      <c r="R3221" s="329"/>
    </row>
    <row r="3222" spans="1:18" ht="13">
      <c r="A3222" s="282"/>
      <c r="B3222" s="282"/>
      <c r="C3222" s="282"/>
      <c r="D3222" s="282"/>
      <c r="E3222" s="282"/>
      <c r="F3222" s="282"/>
      <c r="G3222" s="329"/>
      <c r="H3222" s="329"/>
      <c r="I3222" s="329"/>
      <c r="J3222" s="329"/>
      <c r="K3222" s="329"/>
      <c r="L3222" s="329"/>
      <c r="M3222" s="329"/>
      <c r="N3222" s="329"/>
      <c r="O3222" s="329"/>
      <c r="P3222" s="329"/>
      <c r="Q3222" s="329"/>
      <c r="R3222" s="329"/>
    </row>
    <row r="3223" spans="1:18" ht="13">
      <c r="A3223" s="282"/>
      <c r="B3223" s="282"/>
      <c r="C3223" s="282"/>
      <c r="D3223" s="282"/>
      <c r="E3223" s="282"/>
      <c r="F3223" s="282"/>
      <c r="G3223" s="329"/>
      <c r="H3223" s="329"/>
      <c r="I3223" s="329"/>
      <c r="J3223" s="329"/>
      <c r="K3223" s="329"/>
      <c r="L3223" s="329"/>
      <c r="M3223" s="329"/>
      <c r="N3223" s="329"/>
      <c r="O3223" s="329"/>
      <c r="P3223" s="329"/>
      <c r="Q3223" s="329"/>
      <c r="R3223" s="329"/>
    </row>
    <row r="3224" spans="1:18" ht="13">
      <c r="A3224" s="282"/>
      <c r="B3224" s="282"/>
      <c r="C3224" s="282"/>
      <c r="D3224" s="282"/>
      <c r="E3224" s="282"/>
      <c r="F3224" s="282"/>
      <c r="G3224" s="329"/>
      <c r="H3224" s="329"/>
      <c r="I3224" s="329"/>
      <c r="J3224" s="329"/>
      <c r="K3224" s="329"/>
      <c r="L3224" s="329"/>
      <c r="M3224" s="329"/>
      <c r="N3224" s="329"/>
      <c r="O3224" s="329"/>
      <c r="P3224" s="329"/>
      <c r="Q3224" s="329"/>
      <c r="R3224" s="329"/>
    </row>
    <row r="3225" spans="1:18" ht="13">
      <c r="A3225" s="282"/>
      <c r="B3225" s="282"/>
      <c r="C3225" s="282"/>
      <c r="D3225" s="282"/>
      <c r="E3225" s="282"/>
      <c r="F3225" s="282"/>
      <c r="G3225" s="329"/>
      <c r="H3225" s="329"/>
      <c r="I3225" s="329"/>
      <c r="J3225" s="329"/>
      <c r="K3225" s="329"/>
      <c r="L3225" s="329"/>
      <c r="M3225" s="329"/>
      <c r="N3225" s="329"/>
      <c r="O3225" s="329"/>
      <c r="P3225" s="329"/>
      <c r="Q3225" s="329"/>
      <c r="R3225" s="329"/>
    </row>
    <row r="3226" spans="1:18" ht="13">
      <c r="A3226" s="282"/>
      <c r="B3226" s="282"/>
      <c r="C3226" s="282"/>
      <c r="D3226" s="282"/>
      <c r="E3226" s="282"/>
      <c r="F3226" s="282"/>
      <c r="G3226" s="329"/>
      <c r="H3226" s="329"/>
      <c r="I3226" s="329"/>
      <c r="J3226" s="329"/>
      <c r="K3226" s="329"/>
      <c r="L3226" s="329"/>
      <c r="M3226" s="329"/>
      <c r="N3226" s="329"/>
      <c r="O3226" s="329"/>
      <c r="P3226" s="329"/>
      <c r="Q3226" s="329"/>
      <c r="R3226" s="329"/>
    </row>
    <row r="3227" spans="1:18" ht="13">
      <c r="A3227" s="282"/>
      <c r="B3227" s="282"/>
      <c r="C3227" s="282"/>
      <c r="D3227" s="282"/>
      <c r="E3227" s="282"/>
      <c r="F3227" s="282"/>
      <c r="G3227" s="329"/>
      <c r="H3227" s="329"/>
      <c r="I3227" s="329"/>
      <c r="J3227" s="329"/>
      <c r="K3227" s="329"/>
      <c r="L3227" s="329"/>
      <c r="M3227" s="329"/>
      <c r="N3227" s="329"/>
      <c r="O3227" s="329"/>
      <c r="P3227" s="329"/>
      <c r="Q3227" s="329"/>
      <c r="R3227" s="329"/>
    </row>
    <row r="3228" spans="1:18" ht="13">
      <c r="A3228" s="282"/>
      <c r="B3228" s="282"/>
      <c r="C3228" s="282"/>
      <c r="D3228" s="282"/>
      <c r="E3228" s="282"/>
      <c r="F3228" s="282"/>
      <c r="G3228" s="329"/>
      <c r="H3228" s="329"/>
      <c r="I3228" s="329"/>
      <c r="J3228" s="329"/>
      <c r="K3228" s="329"/>
      <c r="L3228" s="329"/>
      <c r="M3228" s="329"/>
      <c r="N3228" s="329"/>
      <c r="O3228" s="329"/>
      <c r="P3228" s="329"/>
      <c r="Q3228" s="329"/>
      <c r="R3228" s="329"/>
    </row>
    <row r="3229" spans="1:18" ht="13">
      <c r="A3229" s="282"/>
      <c r="B3229" s="282"/>
      <c r="C3229" s="282"/>
      <c r="D3229" s="282"/>
      <c r="E3229" s="282"/>
      <c r="F3229" s="282"/>
      <c r="G3229" s="329"/>
      <c r="H3229" s="329"/>
      <c r="I3229" s="329"/>
      <c r="J3229" s="329"/>
      <c r="K3229" s="329"/>
      <c r="L3229" s="329"/>
      <c r="M3229" s="329"/>
      <c r="N3229" s="329"/>
      <c r="O3229" s="329"/>
      <c r="P3229" s="329"/>
      <c r="Q3229" s="329"/>
      <c r="R3229" s="329"/>
    </row>
    <row r="3230" spans="1:18" ht="13">
      <c r="A3230" s="282"/>
      <c r="B3230" s="282"/>
      <c r="C3230" s="282"/>
      <c r="D3230" s="282"/>
      <c r="E3230" s="282"/>
      <c r="F3230" s="282"/>
      <c r="G3230" s="329"/>
      <c r="H3230" s="329"/>
      <c r="I3230" s="329"/>
      <c r="J3230" s="329"/>
      <c r="K3230" s="329"/>
      <c r="L3230" s="329"/>
      <c r="M3230" s="329"/>
      <c r="N3230" s="329"/>
      <c r="O3230" s="329"/>
      <c r="P3230" s="329"/>
      <c r="Q3230" s="329"/>
      <c r="R3230" s="329"/>
    </row>
    <row r="3231" spans="1:18" ht="13">
      <c r="A3231" s="282"/>
      <c r="B3231" s="282"/>
      <c r="C3231" s="282"/>
      <c r="D3231" s="282"/>
      <c r="E3231" s="282"/>
      <c r="F3231" s="282"/>
      <c r="G3231" s="329"/>
      <c r="H3231" s="329"/>
      <c r="I3231" s="329"/>
      <c r="J3231" s="329"/>
      <c r="K3231" s="329"/>
      <c r="L3231" s="329"/>
      <c r="M3231" s="329"/>
      <c r="N3231" s="329"/>
      <c r="O3231" s="329"/>
      <c r="P3231" s="329"/>
      <c r="Q3231" s="329"/>
      <c r="R3231" s="329"/>
    </row>
    <row r="3232" spans="1:18" ht="13">
      <c r="A3232" s="282"/>
      <c r="B3232" s="282"/>
      <c r="C3232" s="282"/>
      <c r="D3232" s="282"/>
      <c r="E3232" s="282"/>
      <c r="F3232" s="282"/>
      <c r="G3232" s="329"/>
      <c r="H3232" s="329"/>
      <c r="I3232" s="329"/>
      <c r="J3232" s="329"/>
      <c r="K3232" s="329"/>
      <c r="L3232" s="329"/>
      <c r="M3232" s="329"/>
      <c r="N3232" s="329"/>
      <c r="O3232" s="329"/>
      <c r="P3232" s="329"/>
      <c r="Q3232" s="329"/>
      <c r="R3232" s="329"/>
    </row>
    <row r="3233" spans="1:18" ht="13">
      <c r="A3233" s="282"/>
      <c r="B3233" s="282"/>
      <c r="C3233" s="282"/>
      <c r="D3233" s="282"/>
      <c r="E3233" s="282"/>
      <c r="F3233" s="282"/>
      <c r="G3233" s="329"/>
      <c r="H3233" s="329"/>
      <c r="I3233" s="329"/>
      <c r="J3233" s="329"/>
      <c r="K3233" s="329"/>
      <c r="L3233" s="329"/>
      <c r="M3233" s="329"/>
      <c r="N3233" s="329"/>
      <c r="O3233" s="329"/>
      <c r="P3233" s="329"/>
      <c r="Q3233" s="329"/>
      <c r="R3233" s="329"/>
    </row>
    <row r="3234" spans="1:18" ht="13">
      <c r="A3234" s="282"/>
      <c r="B3234" s="282"/>
      <c r="C3234" s="282"/>
      <c r="D3234" s="282"/>
      <c r="E3234" s="282"/>
      <c r="F3234" s="282"/>
      <c r="G3234" s="329"/>
      <c r="H3234" s="329"/>
      <c r="I3234" s="329"/>
      <c r="J3234" s="329"/>
      <c r="K3234" s="329"/>
      <c r="L3234" s="329"/>
      <c r="M3234" s="329"/>
      <c r="N3234" s="329"/>
      <c r="O3234" s="329"/>
      <c r="P3234" s="329"/>
      <c r="Q3234" s="329"/>
      <c r="R3234" s="329"/>
    </row>
    <row r="3235" spans="1:18" ht="13">
      <c r="A3235" s="282"/>
      <c r="B3235" s="282"/>
      <c r="C3235" s="282"/>
      <c r="D3235" s="282"/>
      <c r="E3235" s="282"/>
      <c r="F3235" s="282"/>
      <c r="G3235" s="329"/>
      <c r="H3235" s="329"/>
      <c r="I3235" s="329"/>
      <c r="J3235" s="329"/>
      <c r="K3235" s="329"/>
      <c r="L3235" s="329"/>
      <c r="M3235" s="329"/>
      <c r="N3235" s="329"/>
      <c r="O3235" s="329"/>
      <c r="P3235" s="329"/>
      <c r="Q3235" s="329"/>
      <c r="R3235" s="329"/>
    </row>
    <row r="3236" spans="1:18" ht="13">
      <c r="A3236" s="282"/>
      <c r="B3236" s="282"/>
      <c r="C3236" s="282"/>
      <c r="D3236" s="282"/>
      <c r="E3236" s="282"/>
      <c r="F3236" s="282"/>
      <c r="G3236" s="329"/>
      <c r="H3236" s="329"/>
      <c r="I3236" s="329"/>
      <c r="J3236" s="329"/>
      <c r="K3236" s="329"/>
      <c r="L3236" s="329"/>
      <c r="M3236" s="329"/>
      <c r="N3236" s="329"/>
      <c r="O3236" s="329"/>
      <c r="P3236" s="329"/>
      <c r="Q3236" s="329"/>
      <c r="R3236" s="329"/>
    </row>
    <row r="3237" spans="1:18" ht="13">
      <c r="A3237" s="282"/>
      <c r="B3237" s="282"/>
      <c r="C3237" s="282"/>
      <c r="D3237" s="282"/>
      <c r="E3237" s="282"/>
      <c r="F3237" s="282"/>
      <c r="G3237" s="329"/>
      <c r="H3237" s="329"/>
      <c r="I3237" s="329"/>
      <c r="J3237" s="329"/>
      <c r="K3237" s="329"/>
      <c r="L3237" s="329"/>
      <c r="M3237" s="329"/>
      <c r="N3237" s="329"/>
      <c r="O3237" s="329"/>
      <c r="P3237" s="329"/>
      <c r="Q3237" s="329"/>
      <c r="R3237" s="329"/>
    </row>
    <row r="3238" spans="1:18" ht="13">
      <c r="A3238" s="282"/>
      <c r="B3238" s="282"/>
      <c r="C3238" s="282"/>
      <c r="D3238" s="282"/>
      <c r="E3238" s="282"/>
      <c r="F3238" s="282"/>
      <c r="G3238" s="329"/>
      <c r="H3238" s="329"/>
      <c r="I3238" s="329"/>
      <c r="J3238" s="329"/>
      <c r="K3238" s="329"/>
      <c r="L3238" s="329"/>
      <c r="M3238" s="329"/>
      <c r="N3238" s="329"/>
      <c r="O3238" s="329"/>
      <c r="P3238" s="329"/>
      <c r="Q3238" s="329"/>
      <c r="R3238" s="329"/>
    </row>
    <row r="3239" spans="1:18" ht="13">
      <c r="A3239" s="282"/>
      <c r="B3239" s="282"/>
      <c r="C3239" s="282"/>
      <c r="D3239" s="282"/>
      <c r="E3239" s="282"/>
      <c r="F3239" s="282"/>
      <c r="G3239" s="329"/>
      <c r="H3239" s="329"/>
      <c r="I3239" s="329"/>
      <c r="J3239" s="329"/>
      <c r="K3239" s="329"/>
      <c r="L3239" s="329"/>
      <c r="M3239" s="329"/>
      <c r="N3239" s="329"/>
      <c r="O3239" s="329"/>
      <c r="P3239" s="329"/>
      <c r="Q3239" s="329"/>
      <c r="R3239" s="329"/>
    </row>
    <row r="3240" spans="1:18" ht="13">
      <c r="A3240" s="282"/>
      <c r="B3240" s="282"/>
      <c r="C3240" s="282"/>
      <c r="D3240" s="282"/>
      <c r="E3240" s="282"/>
      <c r="F3240" s="282"/>
      <c r="G3240" s="329"/>
      <c r="H3240" s="329"/>
      <c r="I3240" s="329"/>
      <c r="J3240" s="329"/>
      <c r="K3240" s="329"/>
      <c r="L3240" s="329"/>
      <c r="M3240" s="329"/>
      <c r="N3240" s="329"/>
      <c r="O3240" s="329"/>
      <c r="P3240" s="329"/>
      <c r="Q3240" s="329"/>
      <c r="R3240" s="329"/>
    </row>
    <row r="3241" spans="1:18" ht="13">
      <c r="A3241" s="282"/>
      <c r="B3241" s="282"/>
      <c r="C3241" s="282"/>
      <c r="D3241" s="282"/>
      <c r="E3241" s="282"/>
      <c r="F3241" s="282"/>
      <c r="G3241" s="329"/>
      <c r="H3241" s="329"/>
      <c r="I3241" s="329"/>
      <c r="J3241" s="329"/>
      <c r="K3241" s="329"/>
      <c r="L3241" s="329"/>
      <c r="M3241" s="329"/>
      <c r="N3241" s="329"/>
      <c r="O3241" s="329"/>
      <c r="P3241" s="329"/>
      <c r="Q3241" s="329"/>
      <c r="R3241" s="329"/>
    </row>
    <row r="3242" spans="1:18" ht="13">
      <c r="A3242" s="282"/>
      <c r="B3242" s="282"/>
      <c r="C3242" s="282"/>
      <c r="D3242" s="282"/>
      <c r="E3242" s="282"/>
      <c r="F3242" s="282"/>
      <c r="G3242" s="329"/>
      <c r="H3242" s="329"/>
      <c r="I3242" s="329"/>
      <c r="J3242" s="329"/>
      <c r="K3242" s="329"/>
      <c r="L3242" s="329"/>
      <c r="M3242" s="329"/>
      <c r="N3242" s="329"/>
      <c r="O3242" s="329"/>
      <c r="P3242" s="329"/>
      <c r="Q3242" s="329"/>
      <c r="R3242" s="329"/>
    </row>
    <row r="3243" spans="1:18" ht="13">
      <c r="A3243" s="282"/>
      <c r="B3243" s="282"/>
      <c r="C3243" s="282"/>
      <c r="D3243" s="282"/>
      <c r="E3243" s="282"/>
      <c r="F3243" s="282"/>
      <c r="G3243" s="329"/>
      <c r="H3243" s="329"/>
      <c r="I3243" s="329"/>
      <c r="J3243" s="329"/>
      <c r="K3243" s="329"/>
      <c r="L3243" s="329"/>
      <c r="M3243" s="329"/>
      <c r="N3243" s="329"/>
      <c r="O3243" s="329"/>
      <c r="P3243" s="329"/>
      <c r="Q3243" s="329"/>
      <c r="R3243" s="329"/>
    </row>
    <row r="3244" spans="1:18" ht="13">
      <c r="A3244" s="282"/>
      <c r="B3244" s="282"/>
      <c r="C3244" s="282"/>
      <c r="D3244" s="282"/>
      <c r="E3244" s="282"/>
      <c r="F3244" s="282"/>
      <c r="G3244" s="329"/>
      <c r="H3244" s="329"/>
      <c r="I3244" s="329"/>
      <c r="J3244" s="329"/>
      <c r="K3244" s="329"/>
      <c r="L3244" s="329"/>
      <c r="M3244" s="329"/>
      <c r="N3244" s="329"/>
      <c r="O3244" s="329"/>
      <c r="P3244" s="329"/>
      <c r="Q3244" s="329"/>
      <c r="R3244" s="329"/>
    </row>
    <row r="3245" spans="1:18" ht="13">
      <c r="A3245" s="282"/>
      <c r="B3245" s="282"/>
      <c r="C3245" s="282"/>
      <c r="D3245" s="282"/>
      <c r="E3245" s="282"/>
      <c r="F3245" s="282"/>
      <c r="G3245" s="329"/>
      <c r="H3245" s="329"/>
      <c r="I3245" s="329"/>
      <c r="J3245" s="329"/>
      <c r="K3245" s="329"/>
      <c r="L3245" s="329"/>
      <c r="M3245" s="329"/>
      <c r="N3245" s="329"/>
      <c r="O3245" s="329"/>
      <c r="P3245" s="329"/>
      <c r="Q3245" s="329"/>
      <c r="R3245" s="329"/>
    </row>
    <row r="3246" spans="1:18" ht="13">
      <c r="A3246" s="282"/>
      <c r="B3246" s="282"/>
      <c r="C3246" s="282"/>
      <c r="D3246" s="282"/>
      <c r="E3246" s="282"/>
      <c r="F3246" s="282"/>
      <c r="G3246" s="329"/>
      <c r="H3246" s="329"/>
      <c r="I3246" s="329"/>
      <c r="J3246" s="329"/>
      <c r="K3246" s="329"/>
      <c r="L3246" s="329"/>
      <c r="M3246" s="329"/>
      <c r="N3246" s="329"/>
      <c r="O3246" s="329"/>
      <c r="P3246" s="329"/>
      <c r="Q3246" s="329"/>
      <c r="R3246" s="329"/>
    </row>
    <row r="3247" spans="1:18" ht="13">
      <c r="A3247" s="282"/>
      <c r="B3247" s="282"/>
      <c r="C3247" s="282"/>
      <c r="D3247" s="282"/>
      <c r="E3247" s="282"/>
      <c r="F3247" s="282"/>
      <c r="G3247" s="329"/>
      <c r="H3247" s="329"/>
      <c r="I3247" s="329"/>
      <c r="J3247" s="329"/>
      <c r="K3247" s="329"/>
      <c r="L3247" s="329"/>
      <c r="M3247" s="329"/>
      <c r="N3247" s="329"/>
      <c r="O3247" s="329"/>
      <c r="P3247" s="329"/>
      <c r="Q3247" s="329"/>
      <c r="R3247" s="329"/>
    </row>
    <row r="3248" spans="1:18" ht="13">
      <c r="A3248" s="282"/>
      <c r="B3248" s="282"/>
      <c r="C3248" s="282"/>
      <c r="D3248" s="282"/>
      <c r="E3248" s="282"/>
      <c r="F3248" s="282"/>
      <c r="G3248" s="329"/>
      <c r="H3248" s="329"/>
      <c r="I3248" s="329"/>
      <c r="J3248" s="329"/>
      <c r="K3248" s="329"/>
      <c r="L3248" s="329"/>
      <c r="M3248" s="329"/>
      <c r="N3248" s="329"/>
      <c r="O3248" s="329"/>
      <c r="P3248" s="329"/>
      <c r="Q3248" s="329"/>
      <c r="R3248" s="329"/>
    </row>
    <row r="3249" spans="1:18" ht="13">
      <c r="A3249" s="282"/>
      <c r="B3249" s="282"/>
      <c r="C3249" s="282"/>
      <c r="D3249" s="282"/>
      <c r="E3249" s="282"/>
      <c r="F3249" s="282"/>
      <c r="G3249" s="329"/>
      <c r="H3249" s="329"/>
      <c r="I3249" s="329"/>
      <c r="J3249" s="329"/>
      <c r="K3249" s="329"/>
      <c r="L3249" s="329"/>
      <c r="M3249" s="329"/>
      <c r="N3249" s="329"/>
      <c r="O3249" s="329"/>
      <c r="P3249" s="329"/>
      <c r="Q3249" s="329"/>
      <c r="R3249" s="329"/>
    </row>
    <row r="3250" spans="1:18" ht="13">
      <c r="A3250" s="282"/>
      <c r="B3250" s="282"/>
      <c r="C3250" s="282"/>
      <c r="D3250" s="282"/>
      <c r="E3250" s="282"/>
      <c r="F3250" s="282"/>
      <c r="G3250" s="329"/>
      <c r="H3250" s="329"/>
      <c r="I3250" s="329"/>
      <c r="J3250" s="329"/>
      <c r="K3250" s="329"/>
      <c r="L3250" s="329"/>
      <c r="M3250" s="329"/>
      <c r="N3250" s="329"/>
      <c r="O3250" s="329"/>
      <c r="P3250" s="329"/>
      <c r="Q3250" s="329"/>
      <c r="R3250" s="329"/>
    </row>
    <row r="3251" spans="1:18" ht="13">
      <c r="A3251" s="282"/>
      <c r="B3251" s="282"/>
      <c r="C3251" s="282"/>
      <c r="D3251" s="282"/>
      <c r="E3251" s="282"/>
      <c r="F3251" s="282"/>
      <c r="G3251" s="329"/>
      <c r="H3251" s="329"/>
      <c r="I3251" s="329"/>
      <c r="J3251" s="329"/>
      <c r="K3251" s="329"/>
      <c r="L3251" s="329"/>
      <c r="M3251" s="329"/>
      <c r="N3251" s="329"/>
      <c r="O3251" s="329"/>
      <c r="P3251" s="329"/>
      <c r="Q3251" s="329"/>
      <c r="R3251" s="329"/>
    </row>
    <row r="3252" spans="1:18" ht="13">
      <c r="A3252" s="282"/>
      <c r="B3252" s="282"/>
      <c r="C3252" s="282"/>
      <c r="D3252" s="282"/>
      <c r="E3252" s="282"/>
      <c r="F3252" s="282"/>
      <c r="G3252" s="329"/>
      <c r="H3252" s="329"/>
      <c r="I3252" s="329"/>
      <c r="J3252" s="329"/>
      <c r="K3252" s="329"/>
      <c r="L3252" s="329"/>
      <c r="M3252" s="329"/>
      <c r="N3252" s="329"/>
      <c r="O3252" s="329"/>
      <c r="P3252" s="329"/>
      <c r="Q3252" s="329"/>
      <c r="R3252" s="329"/>
    </row>
    <row r="3253" spans="1:18" ht="13">
      <c r="A3253" s="282"/>
      <c r="B3253" s="282"/>
      <c r="C3253" s="282"/>
      <c r="D3253" s="282"/>
      <c r="E3253" s="282"/>
      <c r="F3253" s="282"/>
      <c r="G3253" s="329"/>
      <c r="H3253" s="329"/>
      <c r="I3253" s="329"/>
      <c r="J3253" s="329"/>
      <c r="K3253" s="329"/>
      <c r="L3253" s="329"/>
      <c r="M3253" s="329"/>
      <c r="N3253" s="329"/>
      <c r="O3253" s="329"/>
      <c r="P3253" s="329"/>
      <c r="Q3253" s="329"/>
      <c r="R3253" s="329"/>
    </row>
    <row r="3254" spans="1:18" ht="13">
      <c r="A3254" s="282"/>
      <c r="B3254" s="282"/>
      <c r="C3254" s="282"/>
      <c r="D3254" s="282"/>
      <c r="E3254" s="282"/>
      <c r="F3254" s="282"/>
      <c r="G3254" s="329"/>
      <c r="H3254" s="329"/>
      <c r="I3254" s="329"/>
      <c r="J3254" s="329"/>
      <c r="K3254" s="329"/>
      <c r="L3254" s="329"/>
      <c r="M3254" s="329"/>
      <c r="N3254" s="329"/>
      <c r="O3254" s="329"/>
      <c r="P3254" s="329"/>
      <c r="Q3254" s="329"/>
      <c r="R3254" s="329"/>
    </row>
    <row r="3255" spans="1:18" ht="13">
      <c r="A3255" s="282"/>
      <c r="B3255" s="282"/>
      <c r="C3255" s="282"/>
      <c r="D3255" s="282"/>
      <c r="E3255" s="282"/>
      <c r="F3255" s="282"/>
      <c r="G3255" s="329"/>
      <c r="H3255" s="329"/>
      <c r="I3255" s="329"/>
      <c r="J3255" s="329"/>
      <c r="K3255" s="329"/>
      <c r="L3255" s="329"/>
      <c r="M3255" s="329"/>
      <c r="N3255" s="329"/>
      <c r="O3255" s="329"/>
      <c r="P3255" s="329"/>
      <c r="Q3255" s="329"/>
      <c r="R3255" s="329"/>
    </row>
    <row r="3256" spans="1:18" ht="13">
      <c r="A3256" s="282"/>
      <c r="B3256" s="282"/>
      <c r="C3256" s="282"/>
      <c r="D3256" s="282"/>
      <c r="E3256" s="282"/>
      <c r="F3256" s="282"/>
      <c r="G3256" s="329"/>
      <c r="H3256" s="329"/>
      <c r="I3256" s="329"/>
      <c r="J3256" s="329"/>
      <c r="K3256" s="329"/>
      <c r="L3256" s="329"/>
      <c r="M3256" s="329"/>
      <c r="N3256" s="329"/>
      <c r="O3256" s="329"/>
      <c r="P3256" s="329"/>
      <c r="Q3256" s="329"/>
      <c r="R3256" s="329"/>
    </row>
    <row r="3257" spans="1:18" ht="13">
      <c r="A3257" s="282"/>
      <c r="B3257" s="282"/>
      <c r="C3257" s="282"/>
      <c r="D3257" s="282"/>
      <c r="E3257" s="282"/>
      <c r="F3257" s="282"/>
      <c r="G3257" s="329"/>
      <c r="H3257" s="329"/>
      <c r="I3257" s="329"/>
      <c r="J3257" s="329"/>
      <c r="K3257" s="329"/>
      <c r="L3257" s="329"/>
      <c r="M3257" s="329"/>
      <c r="N3257" s="329"/>
      <c r="O3257" s="329"/>
      <c r="P3257" s="329"/>
      <c r="Q3257" s="329"/>
      <c r="R3257" s="329"/>
    </row>
    <row r="3258" spans="1:18" ht="13">
      <c r="A3258" s="282"/>
      <c r="B3258" s="282"/>
      <c r="C3258" s="282"/>
      <c r="D3258" s="282"/>
      <c r="E3258" s="282"/>
      <c r="F3258" s="282"/>
      <c r="G3258" s="329"/>
      <c r="H3258" s="329"/>
      <c r="I3258" s="329"/>
      <c r="J3258" s="329"/>
      <c r="K3258" s="329"/>
      <c r="L3258" s="329"/>
      <c r="M3258" s="329"/>
      <c r="N3258" s="329"/>
      <c r="O3258" s="329"/>
      <c r="P3258" s="329"/>
      <c r="Q3258" s="329"/>
      <c r="R3258" s="329"/>
    </row>
    <row r="3259" spans="1:18" ht="13">
      <c r="A3259" s="282"/>
      <c r="B3259" s="282"/>
      <c r="C3259" s="282"/>
      <c r="D3259" s="282"/>
      <c r="E3259" s="282"/>
      <c r="F3259" s="282"/>
      <c r="G3259" s="329"/>
      <c r="H3259" s="329"/>
      <c r="I3259" s="329"/>
      <c r="J3259" s="329"/>
      <c r="K3259" s="329"/>
      <c r="L3259" s="329"/>
      <c r="M3259" s="329"/>
      <c r="N3259" s="329"/>
      <c r="O3259" s="329"/>
      <c r="P3259" s="329"/>
      <c r="Q3259" s="329"/>
      <c r="R3259" s="329"/>
    </row>
    <row r="3260" spans="1:18" ht="13">
      <c r="A3260" s="282"/>
      <c r="B3260" s="282"/>
      <c r="C3260" s="282"/>
      <c r="D3260" s="282"/>
      <c r="E3260" s="282"/>
      <c r="F3260" s="282"/>
      <c r="G3260" s="329"/>
      <c r="H3260" s="329"/>
      <c r="I3260" s="329"/>
      <c r="J3260" s="329"/>
      <c r="K3260" s="329"/>
      <c r="L3260" s="329"/>
      <c r="M3260" s="329"/>
      <c r="N3260" s="329"/>
      <c r="O3260" s="329"/>
      <c r="P3260" s="329"/>
      <c r="Q3260" s="329"/>
      <c r="R3260" s="329"/>
    </row>
    <row r="3261" spans="1:18" ht="13">
      <c r="A3261" s="282"/>
      <c r="B3261" s="282"/>
      <c r="C3261" s="282"/>
      <c r="D3261" s="282"/>
      <c r="E3261" s="282"/>
      <c r="F3261" s="282"/>
      <c r="G3261" s="329"/>
      <c r="H3261" s="329"/>
      <c r="I3261" s="329"/>
      <c r="J3261" s="329"/>
      <c r="K3261" s="329"/>
      <c r="L3261" s="329"/>
      <c r="M3261" s="329"/>
      <c r="N3261" s="329"/>
      <c r="O3261" s="329"/>
      <c r="P3261" s="329"/>
      <c r="Q3261" s="329"/>
      <c r="R3261" s="329"/>
    </row>
    <row r="3262" spans="1:18" ht="13">
      <c r="A3262" s="282"/>
      <c r="B3262" s="282"/>
      <c r="C3262" s="282"/>
      <c r="D3262" s="282"/>
      <c r="E3262" s="282"/>
      <c r="F3262" s="282"/>
      <c r="G3262" s="329"/>
      <c r="H3262" s="329"/>
      <c r="I3262" s="329"/>
      <c r="J3262" s="329"/>
      <c r="K3262" s="329"/>
      <c r="L3262" s="329"/>
      <c r="M3262" s="329"/>
      <c r="N3262" s="329"/>
      <c r="O3262" s="329"/>
      <c r="P3262" s="329"/>
      <c r="Q3262" s="329"/>
      <c r="R3262" s="329"/>
    </row>
    <row r="3263" spans="1:18" ht="13">
      <c r="A3263" s="282"/>
      <c r="B3263" s="282"/>
      <c r="C3263" s="282"/>
      <c r="D3263" s="282"/>
      <c r="E3263" s="282"/>
      <c r="F3263" s="282"/>
      <c r="G3263" s="329"/>
      <c r="H3263" s="329"/>
      <c r="I3263" s="329"/>
      <c r="J3263" s="329"/>
      <c r="K3263" s="329"/>
      <c r="L3263" s="329"/>
      <c r="M3263" s="329"/>
      <c r="N3263" s="329"/>
      <c r="O3263" s="329"/>
      <c r="P3263" s="329"/>
      <c r="Q3263" s="329"/>
      <c r="R3263" s="329"/>
    </row>
    <row r="3264" spans="1:18" ht="13">
      <c r="A3264" s="282"/>
      <c r="B3264" s="282"/>
      <c r="C3264" s="282"/>
      <c r="D3264" s="282"/>
      <c r="E3264" s="282"/>
      <c r="F3264" s="282"/>
      <c r="G3264" s="329"/>
      <c r="H3264" s="329"/>
      <c r="I3264" s="329"/>
      <c r="J3264" s="329"/>
      <c r="K3264" s="329"/>
      <c r="L3264" s="329"/>
      <c r="M3264" s="329"/>
      <c r="N3264" s="329"/>
      <c r="O3264" s="329"/>
      <c r="P3264" s="329"/>
      <c r="Q3264" s="329"/>
      <c r="R3264" s="329"/>
    </row>
    <row r="3265" spans="1:18" ht="13">
      <c r="A3265" s="282"/>
      <c r="B3265" s="282"/>
      <c r="C3265" s="282"/>
      <c r="D3265" s="282"/>
      <c r="E3265" s="282"/>
      <c r="F3265" s="282"/>
      <c r="G3265" s="329"/>
      <c r="H3265" s="329"/>
      <c r="I3265" s="329"/>
      <c r="J3265" s="329"/>
      <c r="K3265" s="329"/>
      <c r="L3265" s="329"/>
      <c r="M3265" s="329"/>
      <c r="N3265" s="329"/>
      <c r="O3265" s="329"/>
      <c r="P3265" s="329"/>
      <c r="Q3265" s="329"/>
      <c r="R3265" s="329"/>
    </row>
    <row r="3266" spans="1:18" ht="13">
      <c r="A3266" s="282"/>
      <c r="B3266" s="282"/>
      <c r="C3266" s="282"/>
      <c r="D3266" s="282"/>
      <c r="E3266" s="282"/>
      <c r="F3266" s="282"/>
      <c r="G3266" s="329"/>
      <c r="H3266" s="329"/>
      <c r="I3266" s="329"/>
      <c r="J3266" s="329"/>
      <c r="K3266" s="329"/>
      <c r="L3266" s="329"/>
      <c r="M3266" s="329"/>
      <c r="N3266" s="329"/>
      <c r="O3266" s="329"/>
      <c r="P3266" s="329"/>
      <c r="Q3266" s="329"/>
      <c r="R3266" s="329"/>
    </row>
    <row r="3267" spans="1:18" ht="13">
      <c r="A3267" s="282"/>
      <c r="B3267" s="282"/>
      <c r="C3267" s="282"/>
      <c r="D3267" s="282"/>
      <c r="E3267" s="282"/>
      <c r="F3267" s="282"/>
      <c r="G3267" s="329"/>
      <c r="H3267" s="329"/>
      <c r="I3267" s="329"/>
      <c r="J3267" s="329"/>
      <c r="K3267" s="329"/>
      <c r="L3267" s="329"/>
      <c r="M3267" s="329"/>
      <c r="N3267" s="329"/>
      <c r="O3267" s="329"/>
      <c r="P3267" s="329"/>
      <c r="Q3267" s="329"/>
      <c r="R3267" s="329"/>
    </row>
    <row r="3268" spans="1:18" ht="13">
      <c r="A3268" s="282"/>
      <c r="B3268" s="282"/>
      <c r="C3268" s="282"/>
      <c r="D3268" s="282"/>
      <c r="E3268" s="282"/>
      <c r="F3268" s="282"/>
      <c r="G3268" s="329"/>
      <c r="H3268" s="329"/>
      <c r="I3268" s="329"/>
      <c r="J3268" s="329"/>
      <c r="K3268" s="329"/>
      <c r="L3268" s="329"/>
      <c r="M3268" s="329"/>
      <c r="N3268" s="329"/>
      <c r="O3268" s="329"/>
      <c r="P3268" s="329"/>
      <c r="Q3268" s="329"/>
      <c r="R3268" s="329"/>
    </row>
    <row r="3269" spans="1:18" ht="13">
      <c r="A3269" s="282"/>
      <c r="B3269" s="282"/>
      <c r="C3269" s="282"/>
      <c r="D3269" s="282"/>
      <c r="E3269" s="282"/>
      <c r="F3269" s="282"/>
      <c r="G3269" s="329"/>
      <c r="H3269" s="329"/>
      <c r="I3269" s="329"/>
      <c r="J3269" s="329"/>
      <c r="K3269" s="329"/>
      <c r="L3269" s="329"/>
      <c r="M3269" s="329"/>
      <c r="N3269" s="329"/>
      <c r="O3269" s="329"/>
      <c r="P3269" s="329"/>
      <c r="Q3269" s="329"/>
      <c r="R3269" s="329"/>
    </row>
    <row r="3270" spans="1:18" ht="13">
      <c r="A3270" s="282"/>
      <c r="B3270" s="282"/>
      <c r="C3270" s="282"/>
      <c r="D3270" s="282"/>
      <c r="E3270" s="282"/>
      <c r="F3270" s="282"/>
      <c r="G3270" s="329"/>
      <c r="H3270" s="329"/>
      <c r="I3270" s="329"/>
      <c r="J3270" s="329"/>
      <c r="K3270" s="329"/>
      <c r="L3270" s="329"/>
      <c r="M3270" s="329"/>
      <c r="N3270" s="329"/>
      <c r="O3270" s="329"/>
      <c r="P3270" s="329"/>
      <c r="Q3270" s="329"/>
      <c r="R3270" s="329"/>
    </row>
    <row r="3271" spans="1:18" ht="13">
      <c r="A3271" s="282"/>
      <c r="B3271" s="282"/>
      <c r="C3271" s="282"/>
      <c r="D3271" s="282"/>
      <c r="E3271" s="282"/>
      <c r="F3271" s="282"/>
      <c r="G3271" s="329"/>
      <c r="H3271" s="329"/>
      <c r="I3271" s="329"/>
      <c r="J3271" s="329"/>
      <c r="K3271" s="329"/>
      <c r="L3271" s="329"/>
      <c r="M3271" s="329"/>
      <c r="N3271" s="329"/>
      <c r="O3271" s="329"/>
      <c r="P3271" s="329"/>
      <c r="Q3271" s="329"/>
      <c r="R3271" s="329"/>
    </row>
    <row r="3272" spans="1:18" ht="13">
      <c r="A3272" s="282"/>
      <c r="B3272" s="282"/>
      <c r="C3272" s="282"/>
      <c r="D3272" s="282"/>
      <c r="E3272" s="282"/>
      <c r="F3272" s="282"/>
      <c r="G3272" s="329"/>
      <c r="H3272" s="329"/>
      <c r="I3272" s="329"/>
      <c r="J3272" s="329"/>
      <c r="K3272" s="329"/>
      <c r="L3272" s="329"/>
      <c r="M3272" s="329"/>
      <c r="N3272" s="329"/>
      <c r="O3272" s="329"/>
      <c r="P3272" s="329"/>
      <c r="Q3272" s="329"/>
      <c r="R3272" s="329"/>
    </row>
    <row r="3273" spans="1:18" ht="13">
      <c r="A3273" s="282"/>
      <c r="B3273" s="282"/>
      <c r="C3273" s="282"/>
      <c r="D3273" s="282"/>
      <c r="E3273" s="282"/>
      <c r="F3273" s="282"/>
      <c r="G3273" s="329"/>
      <c r="H3273" s="329"/>
      <c r="I3273" s="329"/>
      <c r="J3273" s="329"/>
      <c r="K3273" s="329"/>
      <c r="L3273" s="329"/>
      <c r="M3273" s="329"/>
      <c r="N3273" s="329"/>
      <c r="O3273" s="329"/>
      <c r="P3273" s="329"/>
      <c r="Q3273" s="329"/>
      <c r="R3273" s="329"/>
    </row>
    <row r="3274" spans="1:18" ht="13">
      <c r="A3274" s="282"/>
      <c r="B3274" s="282"/>
      <c r="C3274" s="282"/>
      <c r="D3274" s="282"/>
      <c r="E3274" s="282"/>
      <c r="F3274" s="282"/>
      <c r="G3274" s="329"/>
      <c r="H3274" s="329"/>
      <c r="I3274" s="329"/>
      <c r="J3274" s="329"/>
      <c r="K3274" s="329"/>
      <c r="L3274" s="329"/>
      <c r="M3274" s="329"/>
      <c r="N3274" s="329"/>
      <c r="O3274" s="329"/>
      <c r="P3274" s="329"/>
      <c r="Q3274" s="329"/>
      <c r="R3274" s="329"/>
    </row>
    <row r="3275" spans="1:18" ht="13">
      <c r="A3275" s="282"/>
      <c r="B3275" s="282"/>
      <c r="C3275" s="282"/>
      <c r="D3275" s="282"/>
      <c r="E3275" s="282"/>
      <c r="F3275" s="282"/>
      <c r="G3275" s="329"/>
      <c r="H3275" s="329"/>
      <c r="I3275" s="329"/>
      <c r="J3275" s="329"/>
      <c r="K3275" s="329"/>
      <c r="L3275" s="329"/>
      <c r="M3275" s="329"/>
      <c r="N3275" s="329"/>
      <c r="O3275" s="329"/>
      <c r="P3275" s="329"/>
      <c r="Q3275" s="329"/>
      <c r="R3275" s="329"/>
    </row>
    <row r="3276" spans="1:18" ht="13">
      <c r="A3276" s="282"/>
      <c r="B3276" s="282"/>
      <c r="C3276" s="282"/>
      <c r="D3276" s="282"/>
      <c r="E3276" s="282"/>
      <c r="F3276" s="282"/>
      <c r="G3276" s="329"/>
      <c r="H3276" s="329"/>
      <c r="I3276" s="329"/>
      <c r="J3276" s="329"/>
      <c r="K3276" s="329"/>
      <c r="L3276" s="329"/>
      <c r="M3276" s="329"/>
      <c r="N3276" s="329"/>
      <c r="O3276" s="329"/>
      <c r="P3276" s="329"/>
      <c r="Q3276" s="329"/>
      <c r="R3276" s="329"/>
    </row>
    <row r="3277" spans="1:18" ht="13">
      <c r="A3277" s="282"/>
      <c r="B3277" s="282"/>
      <c r="C3277" s="282"/>
      <c r="D3277" s="282"/>
      <c r="E3277" s="282"/>
      <c r="F3277" s="282"/>
      <c r="G3277" s="329"/>
      <c r="H3277" s="329"/>
      <c r="I3277" s="329"/>
      <c r="J3277" s="329"/>
      <c r="K3277" s="329"/>
      <c r="L3277" s="329"/>
      <c r="M3277" s="329"/>
      <c r="N3277" s="329"/>
      <c r="O3277" s="329"/>
      <c r="P3277" s="329"/>
      <c r="Q3277" s="329"/>
      <c r="R3277" s="329"/>
    </row>
    <row r="3278" spans="1:18" ht="13">
      <c r="A3278" s="282"/>
      <c r="B3278" s="282"/>
      <c r="C3278" s="282"/>
      <c r="D3278" s="282"/>
      <c r="E3278" s="282"/>
      <c r="F3278" s="282"/>
      <c r="G3278" s="329"/>
      <c r="H3278" s="329"/>
      <c r="I3278" s="329"/>
      <c r="J3278" s="329"/>
      <c r="K3278" s="329"/>
      <c r="L3278" s="329"/>
      <c r="M3278" s="329"/>
      <c r="N3278" s="329"/>
      <c r="O3278" s="329"/>
      <c r="P3278" s="329"/>
      <c r="Q3278" s="329"/>
      <c r="R3278" s="329"/>
    </row>
    <row r="3279" spans="1:18" ht="13">
      <c r="A3279" s="282"/>
      <c r="B3279" s="282"/>
      <c r="C3279" s="282"/>
      <c r="D3279" s="282"/>
      <c r="E3279" s="282"/>
      <c r="F3279" s="282"/>
      <c r="G3279" s="329"/>
      <c r="H3279" s="329"/>
      <c r="I3279" s="329"/>
      <c r="J3279" s="329"/>
      <c r="K3279" s="329"/>
      <c r="L3279" s="329"/>
      <c r="M3279" s="329"/>
      <c r="N3279" s="329"/>
      <c r="O3279" s="329"/>
      <c r="P3279" s="329"/>
      <c r="Q3279" s="329"/>
      <c r="R3279" s="329"/>
    </row>
    <row r="3280" spans="1:18" ht="13">
      <c r="A3280" s="282"/>
      <c r="B3280" s="282"/>
      <c r="C3280" s="282"/>
      <c r="D3280" s="282"/>
      <c r="E3280" s="282"/>
      <c r="F3280" s="282"/>
      <c r="G3280" s="329"/>
      <c r="H3280" s="329"/>
      <c r="I3280" s="329"/>
      <c r="J3280" s="329"/>
      <c r="K3280" s="329"/>
      <c r="L3280" s="329"/>
      <c r="M3280" s="329"/>
      <c r="N3280" s="329"/>
      <c r="O3280" s="329"/>
      <c r="P3280" s="329"/>
      <c r="Q3280" s="329"/>
      <c r="R3280" s="329"/>
    </row>
    <row r="3281" spans="1:18" ht="13">
      <c r="A3281" s="282"/>
      <c r="B3281" s="282"/>
      <c r="C3281" s="282"/>
      <c r="D3281" s="282"/>
      <c r="E3281" s="282"/>
      <c r="F3281" s="282"/>
      <c r="G3281" s="329"/>
      <c r="H3281" s="329"/>
      <c r="I3281" s="329"/>
      <c r="J3281" s="329"/>
      <c r="K3281" s="329"/>
      <c r="L3281" s="329"/>
      <c r="M3281" s="329"/>
      <c r="N3281" s="329"/>
      <c r="O3281" s="329"/>
      <c r="P3281" s="329"/>
      <c r="Q3281" s="329"/>
      <c r="R3281" s="329"/>
    </row>
    <row r="3282" spans="1:18" ht="13">
      <c r="A3282" s="282"/>
      <c r="B3282" s="282"/>
      <c r="C3282" s="282"/>
      <c r="D3282" s="282"/>
      <c r="E3282" s="282"/>
      <c r="F3282" s="282"/>
      <c r="G3282" s="329"/>
      <c r="H3282" s="329"/>
      <c r="I3282" s="329"/>
      <c r="J3282" s="329"/>
      <c r="K3282" s="329"/>
      <c r="L3282" s="329"/>
      <c r="M3282" s="329"/>
      <c r="N3282" s="329"/>
      <c r="O3282" s="329"/>
      <c r="P3282" s="329"/>
      <c r="Q3282" s="329"/>
      <c r="R3282" s="329"/>
    </row>
    <row r="3283" spans="1:18" ht="13">
      <c r="A3283" s="282"/>
      <c r="B3283" s="282"/>
      <c r="C3283" s="282"/>
      <c r="D3283" s="282"/>
      <c r="E3283" s="282"/>
      <c r="F3283" s="282"/>
      <c r="G3283" s="329"/>
      <c r="H3283" s="329"/>
      <c r="I3283" s="329"/>
      <c r="J3283" s="329"/>
      <c r="K3283" s="329"/>
      <c r="L3283" s="329"/>
      <c r="M3283" s="329"/>
      <c r="N3283" s="329"/>
      <c r="O3283" s="329"/>
      <c r="P3283" s="329"/>
      <c r="Q3283" s="329"/>
      <c r="R3283" s="329"/>
    </row>
    <row r="3284" spans="1:18" ht="13">
      <c r="A3284" s="282"/>
      <c r="B3284" s="282"/>
      <c r="C3284" s="282"/>
      <c r="D3284" s="282"/>
      <c r="E3284" s="282"/>
      <c r="F3284" s="282"/>
      <c r="G3284" s="329"/>
      <c r="H3284" s="329"/>
      <c r="I3284" s="329"/>
      <c r="J3284" s="329"/>
      <c r="K3284" s="329"/>
      <c r="L3284" s="329"/>
      <c r="M3284" s="329"/>
      <c r="N3284" s="329"/>
      <c r="O3284" s="329"/>
      <c r="P3284" s="329"/>
      <c r="Q3284" s="329"/>
      <c r="R3284" s="329"/>
    </row>
    <row r="3285" spans="1:18" ht="13">
      <c r="A3285" s="282"/>
      <c r="B3285" s="282"/>
      <c r="C3285" s="282"/>
      <c r="D3285" s="282"/>
      <c r="E3285" s="282"/>
      <c r="F3285" s="282"/>
      <c r="G3285" s="329"/>
      <c r="H3285" s="329"/>
      <c r="I3285" s="329"/>
      <c r="J3285" s="329"/>
      <c r="K3285" s="329"/>
      <c r="L3285" s="329"/>
      <c r="M3285" s="329"/>
      <c r="N3285" s="329"/>
      <c r="O3285" s="329"/>
      <c r="P3285" s="329"/>
      <c r="Q3285" s="329"/>
      <c r="R3285" s="329"/>
    </row>
    <row r="3286" spans="1:18" ht="13">
      <c r="A3286" s="282"/>
      <c r="B3286" s="282"/>
      <c r="C3286" s="282"/>
      <c r="D3286" s="282"/>
      <c r="E3286" s="282"/>
      <c r="F3286" s="282"/>
      <c r="G3286" s="329"/>
      <c r="H3286" s="329"/>
      <c r="I3286" s="329"/>
      <c r="J3286" s="329"/>
      <c r="K3286" s="329"/>
      <c r="L3286" s="329"/>
      <c r="M3286" s="329"/>
      <c r="N3286" s="329"/>
      <c r="O3286" s="329"/>
      <c r="P3286" s="329"/>
      <c r="Q3286" s="329"/>
      <c r="R3286" s="329"/>
    </row>
    <row r="3287" spans="1:18" ht="13">
      <c r="A3287" s="282"/>
      <c r="B3287" s="282"/>
      <c r="C3287" s="282"/>
      <c r="D3287" s="282"/>
      <c r="E3287" s="282"/>
      <c r="F3287" s="282"/>
      <c r="G3287" s="329"/>
      <c r="H3287" s="329"/>
      <c r="I3287" s="329"/>
      <c r="J3287" s="329"/>
      <c r="K3287" s="329"/>
      <c r="L3287" s="329"/>
      <c r="M3287" s="329"/>
      <c r="N3287" s="329"/>
      <c r="O3287" s="329"/>
      <c r="P3287" s="329"/>
      <c r="Q3287" s="329"/>
      <c r="R3287" s="329"/>
    </row>
    <row r="3288" spans="1:18" ht="13">
      <c r="A3288" s="282"/>
      <c r="B3288" s="282"/>
      <c r="C3288" s="282"/>
      <c r="D3288" s="282"/>
      <c r="E3288" s="282"/>
      <c r="F3288" s="282"/>
      <c r="G3288" s="329"/>
      <c r="H3288" s="329"/>
      <c r="I3288" s="329"/>
      <c r="J3288" s="329"/>
      <c r="K3288" s="329"/>
      <c r="L3288" s="329"/>
      <c r="M3288" s="329"/>
      <c r="N3288" s="329"/>
      <c r="O3288" s="329"/>
      <c r="P3288" s="329"/>
      <c r="Q3288" s="329"/>
      <c r="R3288" s="329"/>
    </row>
    <row r="3289" spans="1:18" ht="13">
      <c r="A3289" s="282"/>
      <c r="B3289" s="282"/>
      <c r="C3289" s="282"/>
      <c r="D3289" s="282"/>
      <c r="E3289" s="282"/>
      <c r="F3289" s="282"/>
      <c r="G3289" s="329"/>
      <c r="H3289" s="329"/>
      <c r="I3289" s="329"/>
      <c r="J3289" s="329"/>
      <c r="K3289" s="329"/>
      <c r="L3289" s="329"/>
      <c r="M3289" s="329"/>
      <c r="N3289" s="329"/>
      <c r="O3289" s="329"/>
      <c r="P3289" s="329"/>
      <c r="Q3289" s="329"/>
      <c r="R3289" s="329"/>
    </row>
    <row r="3290" spans="1:18" ht="13">
      <c r="A3290" s="282"/>
      <c r="B3290" s="282"/>
      <c r="C3290" s="282"/>
      <c r="D3290" s="282"/>
      <c r="E3290" s="282"/>
      <c r="F3290" s="282"/>
      <c r="G3290" s="329"/>
      <c r="H3290" s="329"/>
      <c r="I3290" s="329"/>
      <c r="J3290" s="329"/>
      <c r="K3290" s="329"/>
      <c r="L3290" s="329"/>
      <c r="M3290" s="329"/>
      <c r="N3290" s="329"/>
      <c r="O3290" s="329"/>
      <c r="P3290" s="329"/>
      <c r="Q3290" s="329"/>
      <c r="R3290" s="329"/>
    </row>
    <row r="3291" spans="1:18" ht="13">
      <c r="A3291" s="282"/>
      <c r="B3291" s="282"/>
      <c r="C3291" s="282"/>
      <c r="D3291" s="282"/>
      <c r="E3291" s="282"/>
      <c r="F3291" s="282"/>
      <c r="G3291" s="329"/>
      <c r="H3291" s="329"/>
      <c r="I3291" s="329"/>
      <c r="J3291" s="329"/>
      <c r="K3291" s="329"/>
      <c r="L3291" s="329"/>
      <c r="M3291" s="329"/>
      <c r="N3291" s="329"/>
      <c r="O3291" s="329"/>
      <c r="P3291" s="329"/>
      <c r="Q3291" s="329"/>
      <c r="R3291" s="329"/>
    </row>
    <row r="3292" spans="1:18" ht="13">
      <c r="A3292" s="282"/>
      <c r="B3292" s="282"/>
      <c r="C3292" s="282"/>
      <c r="D3292" s="282"/>
      <c r="E3292" s="282"/>
      <c r="F3292" s="282"/>
      <c r="G3292" s="329"/>
      <c r="H3292" s="329"/>
      <c r="I3292" s="329"/>
      <c r="J3292" s="329"/>
      <c r="K3292" s="329"/>
      <c r="L3292" s="329"/>
      <c r="M3292" s="329"/>
      <c r="N3292" s="329"/>
      <c r="O3292" s="329"/>
      <c r="P3292" s="329"/>
      <c r="Q3292" s="329"/>
      <c r="R3292" s="329"/>
    </row>
    <row r="3293" spans="1:18" ht="13">
      <c r="A3293" s="282"/>
      <c r="B3293" s="282"/>
      <c r="C3293" s="282"/>
      <c r="D3293" s="282"/>
      <c r="E3293" s="282"/>
      <c r="F3293" s="282"/>
      <c r="G3293" s="329"/>
      <c r="H3293" s="329"/>
      <c r="I3293" s="329"/>
      <c r="J3293" s="329"/>
      <c r="K3293" s="329"/>
      <c r="L3293" s="329"/>
      <c r="M3293" s="329"/>
      <c r="N3293" s="329"/>
      <c r="O3293" s="329"/>
      <c r="P3293" s="329"/>
      <c r="Q3293" s="329"/>
      <c r="R3293" s="329"/>
    </row>
    <row r="3294" spans="1:18" ht="13">
      <c r="A3294" s="282"/>
      <c r="B3294" s="282"/>
      <c r="C3294" s="282"/>
      <c r="D3294" s="282"/>
      <c r="E3294" s="282"/>
      <c r="F3294" s="282"/>
      <c r="G3294" s="329"/>
      <c r="H3294" s="329"/>
      <c r="I3294" s="329"/>
      <c r="J3294" s="329"/>
      <c r="K3294" s="329"/>
      <c r="L3294" s="329"/>
      <c r="M3294" s="329"/>
      <c r="N3294" s="329"/>
      <c r="O3294" s="329"/>
      <c r="P3294" s="329"/>
      <c r="Q3294" s="329"/>
      <c r="R3294" s="329"/>
    </row>
    <row r="3295" spans="1:18" ht="13">
      <c r="A3295" s="282"/>
      <c r="B3295" s="282"/>
      <c r="C3295" s="282"/>
      <c r="D3295" s="282"/>
      <c r="E3295" s="282"/>
      <c r="F3295" s="282"/>
      <c r="G3295" s="329"/>
      <c r="H3295" s="329"/>
      <c r="I3295" s="329"/>
      <c r="J3295" s="329"/>
      <c r="K3295" s="329"/>
      <c r="L3295" s="329"/>
      <c r="M3295" s="329"/>
      <c r="N3295" s="329"/>
      <c r="O3295" s="329"/>
      <c r="P3295" s="329"/>
      <c r="Q3295" s="329"/>
      <c r="R3295" s="329"/>
    </row>
    <row r="3296" spans="1:18" ht="13">
      <c r="A3296" s="282"/>
      <c r="B3296" s="282"/>
      <c r="C3296" s="282"/>
      <c r="D3296" s="282"/>
      <c r="E3296" s="282"/>
      <c r="F3296" s="282"/>
      <c r="G3296" s="329"/>
      <c r="H3296" s="329"/>
      <c r="I3296" s="329"/>
      <c r="J3296" s="329"/>
      <c r="K3296" s="329"/>
      <c r="L3296" s="329"/>
      <c r="M3296" s="329"/>
      <c r="N3296" s="329"/>
      <c r="O3296" s="329"/>
      <c r="P3296" s="329"/>
      <c r="Q3296" s="329"/>
      <c r="R3296" s="329"/>
    </row>
    <row r="3297" spans="1:18" ht="13">
      <c r="A3297" s="282"/>
      <c r="B3297" s="282"/>
      <c r="C3297" s="282"/>
      <c r="D3297" s="282"/>
      <c r="E3297" s="282"/>
      <c r="F3297" s="282"/>
      <c r="G3297" s="329"/>
      <c r="H3297" s="329"/>
      <c r="I3297" s="329"/>
      <c r="J3297" s="329"/>
      <c r="K3297" s="329"/>
      <c r="L3297" s="329"/>
      <c r="M3297" s="329"/>
      <c r="N3297" s="329"/>
      <c r="O3297" s="329"/>
      <c r="P3297" s="329"/>
      <c r="Q3297" s="329"/>
      <c r="R3297" s="329"/>
    </row>
    <row r="3298" spans="1:18" ht="13">
      <c r="A3298" s="282"/>
      <c r="B3298" s="282"/>
      <c r="C3298" s="282"/>
      <c r="D3298" s="282"/>
      <c r="E3298" s="282"/>
      <c r="F3298" s="282"/>
      <c r="G3298" s="329"/>
      <c r="H3298" s="329"/>
      <c r="I3298" s="329"/>
      <c r="J3298" s="329"/>
      <c r="K3298" s="329"/>
      <c r="L3298" s="329"/>
      <c r="M3298" s="329"/>
      <c r="N3298" s="329"/>
      <c r="O3298" s="329"/>
      <c r="P3298" s="329"/>
      <c r="Q3298" s="329"/>
      <c r="R3298" s="329"/>
    </row>
    <row r="3299" spans="1:18" ht="13">
      <c r="A3299" s="282"/>
      <c r="B3299" s="282"/>
      <c r="C3299" s="282"/>
      <c r="D3299" s="282"/>
      <c r="E3299" s="282"/>
      <c r="F3299" s="282"/>
      <c r="G3299" s="329"/>
      <c r="H3299" s="329"/>
      <c r="I3299" s="329"/>
      <c r="J3299" s="329"/>
      <c r="K3299" s="329"/>
      <c r="L3299" s="329"/>
      <c r="M3299" s="329"/>
      <c r="N3299" s="329"/>
      <c r="O3299" s="329"/>
      <c r="P3299" s="329"/>
      <c r="Q3299" s="329"/>
      <c r="R3299" s="329"/>
    </row>
    <row r="3300" spans="1:18" ht="13">
      <c r="A3300" s="282"/>
      <c r="B3300" s="282"/>
      <c r="C3300" s="282"/>
      <c r="D3300" s="282"/>
      <c r="E3300" s="282"/>
      <c r="F3300" s="282"/>
      <c r="G3300" s="329"/>
      <c r="H3300" s="329"/>
      <c r="I3300" s="329"/>
      <c r="J3300" s="329"/>
      <c r="K3300" s="329"/>
      <c r="L3300" s="329"/>
      <c r="M3300" s="329"/>
      <c r="N3300" s="329"/>
      <c r="O3300" s="329"/>
      <c r="P3300" s="329"/>
      <c r="Q3300" s="329"/>
      <c r="R3300" s="329"/>
    </row>
    <row r="3301" spans="1:18" ht="13">
      <c r="A3301" s="282"/>
      <c r="B3301" s="282"/>
      <c r="C3301" s="282"/>
      <c r="D3301" s="282"/>
      <c r="E3301" s="282"/>
      <c r="F3301" s="282"/>
      <c r="G3301" s="329"/>
      <c r="H3301" s="329"/>
      <c r="I3301" s="329"/>
      <c r="J3301" s="329"/>
      <c r="K3301" s="329"/>
      <c r="L3301" s="329"/>
      <c r="M3301" s="329"/>
      <c r="N3301" s="329"/>
      <c r="O3301" s="329"/>
      <c r="P3301" s="329"/>
      <c r="Q3301" s="329"/>
      <c r="R3301" s="329"/>
    </row>
    <row r="3302" spans="1:18" ht="13">
      <c r="A3302" s="282"/>
      <c r="B3302" s="282"/>
      <c r="C3302" s="282"/>
      <c r="D3302" s="282"/>
      <c r="E3302" s="282"/>
      <c r="F3302" s="282"/>
      <c r="G3302" s="329"/>
      <c r="H3302" s="329"/>
      <c r="I3302" s="329"/>
      <c r="J3302" s="329"/>
      <c r="K3302" s="329"/>
      <c r="L3302" s="329"/>
      <c r="M3302" s="329"/>
      <c r="N3302" s="329"/>
      <c r="O3302" s="329"/>
      <c r="P3302" s="329"/>
      <c r="Q3302" s="329"/>
      <c r="R3302" s="329"/>
    </row>
    <row r="3303" spans="1:18" ht="13">
      <c r="A3303" s="282"/>
      <c r="B3303" s="282"/>
      <c r="C3303" s="282"/>
      <c r="D3303" s="282"/>
      <c r="E3303" s="282"/>
      <c r="F3303" s="282"/>
      <c r="G3303" s="329"/>
      <c r="H3303" s="329"/>
      <c r="I3303" s="329"/>
      <c r="J3303" s="329"/>
      <c r="K3303" s="329"/>
      <c r="L3303" s="329"/>
      <c r="M3303" s="329"/>
      <c r="N3303" s="329"/>
      <c r="O3303" s="329"/>
      <c r="P3303" s="329"/>
      <c r="Q3303" s="329"/>
      <c r="R3303" s="329"/>
    </row>
    <row r="3304" spans="1:18" ht="13">
      <c r="A3304" s="282"/>
      <c r="B3304" s="282"/>
      <c r="C3304" s="282"/>
      <c r="D3304" s="282"/>
      <c r="E3304" s="282"/>
      <c r="F3304" s="282"/>
      <c r="G3304" s="329"/>
      <c r="H3304" s="329"/>
      <c r="I3304" s="329"/>
      <c r="J3304" s="329"/>
      <c r="K3304" s="329"/>
      <c r="L3304" s="329"/>
      <c r="M3304" s="329"/>
      <c r="N3304" s="329"/>
      <c r="O3304" s="329"/>
      <c r="P3304" s="329"/>
      <c r="Q3304" s="329"/>
      <c r="R3304" s="329"/>
    </row>
    <row r="3305" spans="1:18" ht="13">
      <c r="A3305" s="282"/>
      <c r="B3305" s="282"/>
      <c r="C3305" s="282"/>
      <c r="D3305" s="282"/>
      <c r="E3305" s="282"/>
      <c r="F3305" s="282"/>
      <c r="G3305" s="329"/>
      <c r="H3305" s="329"/>
      <c r="I3305" s="329"/>
      <c r="J3305" s="329"/>
      <c r="K3305" s="329"/>
      <c r="L3305" s="329"/>
      <c r="M3305" s="329"/>
      <c r="N3305" s="329"/>
      <c r="O3305" s="329"/>
      <c r="P3305" s="329"/>
      <c r="Q3305" s="329"/>
      <c r="R3305" s="329"/>
    </row>
    <row r="3306" spans="1:18" ht="13">
      <c r="A3306" s="282"/>
      <c r="B3306" s="282"/>
      <c r="C3306" s="282"/>
      <c r="D3306" s="282"/>
      <c r="E3306" s="282"/>
      <c r="F3306" s="282"/>
      <c r="G3306" s="329"/>
      <c r="H3306" s="329"/>
      <c r="I3306" s="329"/>
      <c r="J3306" s="329"/>
      <c r="K3306" s="329"/>
      <c r="L3306" s="329"/>
      <c r="M3306" s="329"/>
      <c r="N3306" s="329"/>
      <c r="O3306" s="329"/>
      <c r="P3306" s="329"/>
      <c r="Q3306" s="329"/>
      <c r="R3306" s="329"/>
    </row>
    <row r="3307" spans="1:18" ht="13">
      <c r="A3307" s="282"/>
      <c r="B3307" s="282"/>
      <c r="C3307" s="282"/>
      <c r="D3307" s="282"/>
      <c r="E3307" s="282"/>
      <c r="F3307" s="282"/>
      <c r="G3307" s="329"/>
      <c r="H3307" s="329"/>
      <c r="I3307" s="329"/>
      <c r="J3307" s="329"/>
      <c r="K3307" s="329"/>
      <c r="L3307" s="329"/>
      <c r="M3307" s="329"/>
      <c r="N3307" s="329"/>
      <c r="O3307" s="329"/>
      <c r="P3307" s="329"/>
      <c r="Q3307" s="329"/>
      <c r="R3307" s="329"/>
    </row>
    <row r="3308" spans="1:18" ht="13">
      <c r="A3308" s="282"/>
      <c r="B3308" s="282"/>
      <c r="C3308" s="282"/>
      <c r="D3308" s="282"/>
      <c r="E3308" s="282"/>
      <c r="F3308" s="282"/>
      <c r="G3308" s="329"/>
      <c r="H3308" s="329"/>
      <c r="I3308" s="329"/>
      <c r="J3308" s="329"/>
      <c r="K3308" s="329"/>
      <c r="L3308" s="329"/>
      <c r="M3308" s="329"/>
      <c r="N3308" s="329"/>
      <c r="O3308" s="329"/>
      <c r="P3308" s="329"/>
      <c r="Q3308" s="329"/>
      <c r="R3308" s="329"/>
    </row>
    <row r="3309" spans="1:18" ht="13">
      <c r="A3309" s="282"/>
      <c r="B3309" s="282"/>
      <c r="C3309" s="282"/>
      <c r="D3309" s="282"/>
      <c r="E3309" s="282"/>
      <c r="F3309" s="282"/>
      <c r="G3309" s="329"/>
      <c r="H3309" s="329"/>
      <c r="I3309" s="329"/>
      <c r="J3309" s="329"/>
      <c r="K3309" s="329"/>
      <c r="L3309" s="329"/>
      <c r="M3309" s="329"/>
      <c r="N3309" s="329"/>
      <c r="O3309" s="329"/>
      <c r="P3309" s="329"/>
      <c r="Q3309" s="329"/>
      <c r="R3309" s="329"/>
    </row>
    <row r="3310" spans="1:18" ht="13">
      <c r="A3310" s="282"/>
      <c r="B3310" s="282"/>
      <c r="C3310" s="282"/>
      <c r="D3310" s="282"/>
      <c r="E3310" s="282"/>
      <c r="F3310" s="282"/>
      <c r="G3310" s="329"/>
      <c r="H3310" s="329"/>
      <c r="I3310" s="329"/>
      <c r="J3310" s="329"/>
      <c r="K3310" s="329"/>
      <c r="L3310" s="329"/>
      <c r="M3310" s="329"/>
      <c r="N3310" s="329"/>
      <c r="O3310" s="329"/>
      <c r="P3310" s="329"/>
      <c r="Q3310" s="329"/>
      <c r="R3310" s="329"/>
    </row>
    <row r="3311" spans="1:18" ht="13">
      <c r="A3311" s="282"/>
      <c r="B3311" s="282"/>
      <c r="C3311" s="282"/>
      <c r="D3311" s="282"/>
      <c r="E3311" s="282"/>
      <c r="F3311" s="282"/>
      <c r="G3311" s="329"/>
      <c r="H3311" s="329"/>
      <c r="I3311" s="329"/>
      <c r="J3311" s="329"/>
      <c r="K3311" s="329"/>
      <c r="L3311" s="329"/>
      <c r="M3311" s="329"/>
      <c r="N3311" s="329"/>
      <c r="O3311" s="329"/>
      <c r="P3311" s="329"/>
      <c r="Q3311" s="329"/>
      <c r="R3311" s="329"/>
    </row>
    <row r="3312" spans="1:18" ht="13">
      <c r="A3312" s="282"/>
      <c r="B3312" s="282"/>
      <c r="C3312" s="282"/>
      <c r="D3312" s="282"/>
      <c r="E3312" s="282"/>
      <c r="F3312" s="282"/>
      <c r="G3312" s="329"/>
      <c r="H3312" s="329"/>
      <c r="I3312" s="329"/>
      <c r="J3312" s="329"/>
      <c r="K3312" s="329"/>
      <c r="L3312" s="329"/>
      <c r="M3312" s="329"/>
      <c r="N3312" s="329"/>
      <c r="O3312" s="329"/>
      <c r="P3312" s="329"/>
      <c r="Q3312" s="329"/>
      <c r="R3312" s="329"/>
    </row>
    <row r="3313" spans="1:18" ht="13">
      <c r="A3313" s="282"/>
      <c r="B3313" s="282"/>
      <c r="C3313" s="282"/>
      <c r="D3313" s="282"/>
      <c r="E3313" s="282"/>
      <c r="F3313" s="282"/>
      <c r="G3313" s="329"/>
      <c r="H3313" s="329"/>
      <c r="I3313" s="329"/>
      <c r="J3313" s="329"/>
      <c r="K3313" s="329"/>
      <c r="L3313" s="329"/>
      <c r="M3313" s="329"/>
      <c r="N3313" s="329"/>
      <c r="O3313" s="329"/>
      <c r="P3313" s="329"/>
      <c r="Q3313" s="329"/>
      <c r="R3313" s="329"/>
    </row>
    <row r="3314" spans="1:18" ht="13">
      <c r="A3314" s="282"/>
      <c r="B3314" s="282"/>
      <c r="C3314" s="282"/>
      <c r="D3314" s="282"/>
      <c r="E3314" s="282"/>
      <c r="F3314" s="282"/>
      <c r="G3314" s="329"/>
      <c r="H3314" s="329"/>
      <c r="I3314" s="329"/>
      <c r="J3314" s="329"/>
      <c r="K3314" s="329"/>
      <c r="L3314" s="329"/>
      <c r="M3314" s="329"/>
      <c r="N3314" s="329"/>
      <c r="O3314" s="329"/>
      <c r="P3314" s="329"/>
      <c r="Q3314" s="329"/>
      <c r="R3314" s="329"/>
    </row>
    <row r="3315" spans="1:18" ht="13">
      <c r="A3315" s="282"/>
      <c r="B3315" s="282"/>
      <c r="C3315" s="282"/>
      <c r="D3315" s="282"/>
      <c r="E3315" s="282"/>
      <c r="F3315" s="282"/>
      <c r="G3315" s="329"/>
      <c r="H3315" s="329"/>
      <c r="I3315" s="329"/>
      <c r="J3315" s="329"/>
      <c r="K3315" s="329"/>
      <c r="L3315" s="329"/>
      <c r="M3315" s="329"/>
      <c r="N3315" s="329"/>
      <c r="O3315" s="329"/>
      <c r="P3315" s="329"/>
      <c r="Q3315" s="329"/>
      <c r="R3315" s="329"/>
    </row>
    <row r="3316" spans="1:18" ht="13">
      <c r="A3316" s="282"/>
      <c r="B3316" s="282"/>
      <c r="C3316" s="282"/>
      <c r="D3316" s="282"/>
      <c r="E3316" s="282"/>
      <c r="F3316" s="282"/>
      <c r="G3316" s="329"/>
      <c r="H3316" s="329"/>
      <c r="I3316" s="329"/>
      <c r="J3316" s="329"/>
      <c r="K3316" s="329"/>
      <c r="L3316" s="329"/>
      <c r="M3316" s="329"/>
      <c r="N3316" s="329"/>
      <c r="O3316" s="329"/>
      <c r="P3316" s="329"/>
      <c r="Q3316" s="329"/>
      <c r="R3316" s="329"/>
    </row>
    <row r="3317" spans="1:18" ht="13">
      <c r="A3317" s="282"/>
      <c r="B3317" s="282"/>
      <c r="C3317" s="282"/>
      <c r="D3317" s="282"/>
      <c r="E3317" s="282"/>
      <c r="F3317" s="282"/>
      <c r="G3317" s="329"/>
      <c r="H3317" s="329"/>
      <c r="I3317" s="329"/>
      <c r="J3317" s="329"/>
      <c r="K3317" s="329"/>
      <c r="L3317" s="329"/>
      <c r="M3317" s="329"/>
      <c r="N3317" s="329"/>
      <c r="O3317" s="329"/>
      <c r="P3317" s="329"/>
      <c r="Q3317" s="329"/>
      <c r="R3317" s="329"/>
    </row>
    <row r="3318" spans="1:18" ht="13">
      <c r="A3318" s="282"/>
      <c r="B3318" s="282"/>
      <c r="C3318" s="282"/>
      <c r="D3318" s="282"/>
      <c r="E3318" s="282"/>
      <c r="F3318" s="282"/>
      <c r="G3318" s="329"/>
      <c r="H3318" s="329"/>
      <c r="I3318" s="329"/>
      <c r="J3318" s="329"/>
      <c r="K3318" s="329"/>
      <c r="L3318" s="329"/>
      <c r="M3318" s="329"/>
      <c r="N3318" s="329"/>
      <c r="O3318" s="329"/>
      <c r="P3318" s="329"/>
      <c r="Q3318" s="329"/>
      <c r="R3318" s="329"/>
    </row>
    <row r="3319" spans="1:18" ht="13">
      <c r="A3319" s="282"/>
      <c r="B3319" s="282"/>
      <c r="C3319" s="282"/>
      <c r="D3319" s="282"/>
      <c r="E3319" s="282"/>
      <c r="F3319" s="282"/>
      <c r="G3319" s="329"/>
      <c r="H3319" s="329"/>
      <c r="I3319" s="329"/>
      <c r="J3319" s="329"/>
      <c r="K3319" s="329"/>
      <c r="L3319" s="329"/>
      <c r="M3319" s="329"/>
      <c r="N3319" s="329"/>
      <c r="O3319" s="329"/>
      <c r="P3319" s="329"/>
      <c r="Q3319" s="329"/>
      <c r="R3319" s="329"/>
    </row>
    <row r="3320" spans="1:18" ht="13">
      <c r="A3320" s="282"/>
      <c r="B3320" s="282"/>
      <c r="C3320" s="282"/>
      <c r="D3320" s="282"/>
      <c r="E3320" s="282"/>
      <c r="F3320" s="282"/>
      <c r="G3320" s="329"/>
      <c r="H3320" s="329"/>
      <c r="I3320" s="329"/>
      <c r="J3320" s="329"/>
      <c r="K3320" s="329"/>
      <c r="L3320" s="329"/>
      <c r="M3320" s="329"/>
      <c r="N3320" s="329"/>
      <c r="O3320" s="329"/>
      <c r="P3320" s="329"/>
      <c r="Q3320" s="329"/>
      <c r="R3320" s="329"/>
    </row>
    <row r="3321" spans="1:18" ht="13">
      <c r="A3321" s="282"/>
      <c r="B3321" s="282"/>
      <c r="C3321" s="282"/>
      <c r="D3321" s="282"/>
      <c r="E3321" s="282"/>
      <c r="F3321" s="282"/>
      <c r="G3321" s="329"/>
      <c r="H3321" s="329"/>
      <c r="I3321" s="329"/>
      <c r="J3321" s="329"/>
      <c r="K3321" s="329"/>
      <c r="L3321" s="329"/>
      <c r="M3321" s="329"/>
      <c r="N3321" s="329"/>
      <c r="O3321" s="329"/>
      <c r="P3321" s="329"/>
      <c r="Q3321" s="329"/>
      <c r="R3321" s="329"/>
    </row>
    <row r="3322" spans="1:18" ht="13">
      <c r="A3322" s="282"/>
      <c r="B3322" s="282"/>
      <c r="C3322" s="282"/>
      <c r="D3322" s="282"/>
      <c r="E3322" s="282"/>
      <c r="F3322" s="282"/>
      <c r="G3322" s="329"/>
      <c r="H3322" s="329"/>
      <c r="I3322" s="329"/>
      <c r="J3322" s="329"/>
      <c r="K3322" s="329"/>
      <c r="L3322" s="329"/>
      <c r="M3322" s="329"/>
      <c r="N3322" s="329"/>
      <c r="O3322" s="329"/>
      <c r="P3322" s="329"/>
      <c r="Q3322" s="329"/>
      <c r="R3322" s="329"/>
    </row>
    <row r="3323" spans="1:18" ht="13">
      <c r="A3323" s="282"/>
      <c r="B3323" s="282"/>
      <c r="C3323" s="282"/>
      <c r="D3323" s="282"/>
      <c r="E3323" s="282"/>
      <c r="F3323" s="282"/>
      <c r="G3323" s="329"/>
      <c r="H3323" s="329"/>
      <c r="I3323" s="329"/>
      <c r="J3323" s="329"/>
      <c r="K3323" s="329"/>
      <c r="L3323" s="329"/>
      <c r="M3323" s="329"/>
      <c r="N3323" s="329"/>
      <c r="O3323" s="329"/>
      <c r="P3323" s="329"/>
      <c r="Q3323" s="329"/>
      <c r="R3323" s="329"/>
    </row>
    <row r="3324" spans="1:18" ht="13">
      <c r="A3324" s="282"/>
      <c r="B3324" s="282"/>
      <c r="C3324" s="282"/>
      <c r="D3324" s="282"/>
      <c r="E3324" s="282"/>
      <c r="F3324" s="282"/>
      <c r="G3324" s="329"/>
      <c r="H3324" s="329"/>
      <c r="I3324" s="329"/>
      <c r="J3324" s="329"/>
      <c r="K3324" s="329"/>
      <c r="L3324" s="329"/>
      <c r="M3324" s="329"/>
      <c r="N3324" s="329"/>
      <c r="O3324" s="329"/>
      <c r="P3324" s="329"/>
      <c r="Q3324" s="329"/>
      <c r="R3324" s="329"/>
    </row>
    <row r="3325" spans="1:18" ht="13">
      <c r="A3325" s="282"/>
      <c r="B3325" s="282"/>
      <c r="C3325" s="282"/>
      <c r="D3325" s="282"/>
      <c r="E3325" s="282"/>
      <c r="F3325" s="282"/>
      <c r="G3325" s="329"/>
      <c r="H3325" s="329"/>
      <c r="I3325" s="329"/>
      <c r="J3325" s="329"/>
      <c r="K3325" s="329"/>
      <c r="L3325" s="329"/>
      <c r="M3325" s="329"/>
      <c r="N3325" s="329"/>
      <c r="O3325" s="329"/>
      <c r="P3325" s="329"/>
      <c r="Q3325" s="329"/>
      <c r="R3325" s="329"/>
    </row>
    <row r="3326" spans="1:18" ht="13">
      <c r="A3326" s="282"/>
      <c r="B3326" s="282"/>
      <c r="C3326" s="282"/>
      <c r="D3326" s="282"/>
      <c r="E3326" s="282"/>
      <c r="F3326" s="282"/>
      <c r="G3326" s="329"/>
      <c r="H3326" s="329"/>
      <c r="I3326" s="329"/>
      <c r="J3326" s="329"/>
      <c r="K3326" s="329"/>
      <c r="L3326" s="329"/>
      <c r="M3326" s="329"/>
      <c r="N3326" s="329"/>
      <c r="O3326" s="329"/>
      <c r="P3326" s="329"/>
      <c r="Q3326" s="329"/>
      <c r="R3326" s="329"/>
    </row>
    <row r="3327" spans="1:18" ht="13">
      <c r="A3327" s="282"/>
      <c r="B3327" s="282"/>
      <c r="C3327" s="282"/>
      <c r="D3327" s="282"/>
      <c r="E3327" s="282"/>
      <c r="F3327" s="282"/>
      <c r="G3327" s="329"/>
      <c r="H3327" s="329"/>
      <c r="I3327" s="329"/>
      <c r="J3327" s="329"/>
      <c r="K3327" s="329"/>
      <c r="L3327" s="329"/>
      <c r="M3327" s="329"/>
      <c r="N3327" s="329"/>
      <c r="O3327" s="329"/>
      <c r="P3327" s="329"/>
      <c r="Q3327" s="329"/>
      <c r="R3327" s="329"/>
    </row>
    <row r="3328" spans="1:18" ht="13">
      <c r="A3328" s="282"/>
      <c r="B3328" s="282"/>
      <c r="C3328" s="282"/>
      <c r="D3328" s="282"/>
      <c r="E3328" s="282"/>
      <c r="F3328" s="282"/>
      <c r="G3328" s="329"/>
      <c r="H3328" s="329"/>
      <c r="I3328" s="329"/>
      <c r="J3328" s="329"/>
      <c r="K3328" s="329"/>
      <c r="L3328" s="329"/>
      <c r="M3328" s="329"/>
      <c r="N3328" s="329"/>
      <c r="O3328" s="329"/>
      <c r="P3328" s="329"/>
      <c r="Q3328" s="329"/>
      <c r="R3328" s="329"/>
    </row>
    <row r="3329" spans="1:18" ht="13">
      <c r="A3329" s="282"/>
      <c r="B3329" s="282"/>
      <c r="C3329" s="282"/>
      <c r="D3329" s="282"/>
      <c r="E3329" s="282"/>
      <c r="F3329" s="282"/>
      <c r="G3329" s="329"/>
      <c r="H3329" s="329"/>
      <c r="I3329" s="329"/>
      <c r="J3329" s="329"/>
      <c r="K3329" s="329"/>
      <c r="L3329" s="329"/>
      <c r="M3329" s="329"/>
      <c r="N3329" s="329"/>
      <c r="O3329" s="329"/>
      <c r="P3329" s="329"/>
      <c r="Q3329" s="329"/>
      <c r="R3329" s="329"/>
    </row>
    <row r="3330" spans="1:18" ht="13">
      <c r="A3330" s="282"/>
      <c r="B3330" s="282"/>
      <c r="C3330" s="282"/>
      <c r="D3330" s="282"/>
      <c r="E3330" s="282"/>
      <c r="F3330" s="282"/>
      <c r="G3330" s="329"/>
      <c r="H3330" s="329"/>
      <c r="I3330" s="329"/>
      <c r="J3330" s="329"/>
      <c r="K3330" s="329"/>
      <c r="L3330" s="329"/>
      <c r="M3330" s="329"/>
      <c r="N3330" s="329"/>
      <c r="O3330" s="329"/>
      <c r="P3330" s="329"/>
      <c r="Q3330" s="329"/>
      <c r="R3330" s="329"/>
    </row>
    <row r="3331" spans="1:18" ht="13">
      <c r="A3331" s="282"/>
      <c r="B3331" s="282"/>
      <c r="C3331" s="282"/>
      <c r="D3331" s="282"/>
      <c r="E3331" s="282"/>
      <c r="F3331" s="282"/>
      <c r="G3331" s="329"/>
      <c r="H3331" s="329"/>
      <c r="I3331" s="329"/>
      <c r="J3331" s="329"/>
      <c r="K3331" s="329"/>
      <c r="L3331" s="329"/>
      <c r="M3331" s="329"/>
      <c r="N3331" s="329"/>
      <c r="O3331" s="329"/>
      <c r="P3331" s="329"/>
      <c r="Q3331" s="329"/>
      <c r="R3331" s="329"/>
    </row>
    <row r="3332" spans="1:18" ht="13">
      <c r="A3332" s="282"/>
      <c r="B3332" s="282"/>
      <c r="C3332" s="282"/>
      <c r="D3332" s="282"/>
      <c r="E3332" s="282"/>
      <c r="F3332" s="282"/>
      <c r="G3332" s="329"/>
      <c r="H3332" s="329"/>
      <c r="I3332" s="329"/>
      <c r="J3332" s="329"/>
      <c r="K3332" s="329"/>
      <c r="L3332" s="329"/>
      <c r="M3332" s="329"/>
      <c r="N3332" s="329"/>
      <c r="O3332" s="329"/>
      <c r="P3332" s="329"/>
      <c r="Q3332" s="329"/>
      <c r="R3332" s="329"/>
    </row>
    <row r="3333" spans="1:18" ht="13">
      <c r="A3333" s="282"/>
      <c r="B3333" s="282"/>
      <c r="C3333" s="282"/>
      <c r="D3333" s="282"/>
      <c r="E3333" s="282"/>
      <c r="F3333" s="282"/>
      <c r="G3333" s="329"/>
      <c r="H3333" s="329"/>
      <c r="I3333" s="329"/>
      <c r="J3333" s="329"/>
      <c r="K3333" s="329"/>
      <c r="L3333" s="329"/>
      <c r="M3333" s="329"/>
      <c r="N3333" s="329"/>
      <c r="O3333" s="329"/>
      <c r="P3333" s="329"/>
      <c r="Q3333" s="329"/>
      <c r="R3333" s="329"/>
    </row>
    <row r="3334" spans="1:18" ht="13">
      <c r="A3334" s="282"/>
      <c r="B3334" s="282"/>
      <c r="C3334" s="282"/>
      <c r="D3334" s="282"/>
      <c r="E3334" s="282"/>
      <c r="F3334" s="282"/>
      <c r="G3334" s="329"/>
      <c r="H3334" s="329"/>
      <c r="I3334" s="329"/>
      <c r="J3334" s="329"/>
      <c r="K3334" s="329"/>
      <c r="L3334" s="329"/>
      <c r="M3334" s="329"/>
      <c r="N3334" s="329"/>
      <c r="O3334" s="329"/>
      <c r="P3334" s="329"/>
      <c r="Q3334" s="329"/>
      <c r="R3334" s="329"/>
    </row>
    <row r="3335" spans="1:18" ht="13">
      <c r="A3335" s="282"/>
      <c r="B3335" s="282"/>
      <c r="C3335" s="282"/>
      <c r="D3335" s="282"/>
      <c r="E3335" s="282"/>
      <c r="F3335" s="282"/>
      <c r="G3335" s="329"/>
      <c r="H3335" s="329"/>
      <c r="I3335" s="329"/>
      <c r="J3335" s="329"/>
      <c r="K3335" s="329"/>
      <c r="L3335" s="329"/>
      <c r="M3335" s="329"/>
      <c r="N3335" s="329"/>
      <c r="O3335" s="329"/>
      <c r="P3335" s="329"/>
      <c r="Q3335" s="329"/>
      <c r="R3335" s="329"/>
    </row>
    <row r="3336" spans="1:18" ht="13">
      <c r="A3336" s="282"/>
      <c r="B3336" s="282"/>
      <c r="C3336" s="282"/>
      <c r="D3336" s="282"/>
      <c r="E3336" s="282"/>
      <c r="F3336" s="282"/>
      <c r="G3336" s="329"/>
      <c r="H3336" s="329"/>
      <c r="I3336" s="329"/>
      <c r="J3336" s="329"/>
      <c r="K3336" s="329"/>
      <c r="L3336" s="329"/>
      <c r="M3336" s="329"/>
      <c r="N3336" s="329"/>
      <c r="O3336" s="329"/>
      <c r="P3336" s="329"/>
      <c r="Q3336" s="329"/>
      <c r="R3336" s="329"/>
    </row>
    <row r="3337" spans="1:18" ht="13">
      <c r="A3337" s="282"/>
      <c r="B3337" s="282"/>
      <c r="C3337" s="282"/>
      <c r="D3337" s="282"/>
      <c r="E3337" s="282"/>
      <c r="F3337" s="282"/>
      <c r="G3337" s="329"/>
      <c r="H3337" s="329"/>
      <c r="I3337" s="329"/>
      <c r="J3337" s="329"/>
      <c r="K3337" s="329"/>
      <c r="L3337" s="329"/>
      <c r="M3337" s="329"/>
      <c r="N3337" s="329"/>
      <c r="O3337" s="329"/>
      <c r="P3337" s="329"/>
      <c r="Q3337" s="329"/>
      <c r="R3337" s="329"/>
    </row>
    <row r="3338" spans="1:18" ht="13">
      <c r="A3338" s="282"/>
      <c r="B3338" s="282"/>
      <c r="C3338" s="282"/>
      <c r="D3338" s="282"/>
      <c r="E3338" s="282"/>
      <c r="F3338" s="282"/>
      <c r="G3338" s="329"/>
      <c r="H3338" s="329"/>
      <c r="I3338" s="329"/>
      <c r="J3338" s="329"/>
      <c r="K3338" s="329"/>
      <c r="L3338" s="329"/>
      <c r="M3338" s="329"/>
      <c r="N3338" s="329"/>
      <c r="O3338" s="329"/>
      <c r="P3338" s="329"/>
      <c r="Q3338" s="329"/>
      <c r="R3338" s="329"/>
    </row>
    <row r="3339" spans="1:18" ht="13">
      <c r="A3339" s="282"/>
      <c r="B3339" s="282"/>
      <c r="C3339" s="282"/>
      <c r="D3339" s="282"/>
      <c r="E3339" s="282"/>
      <c r="F3339" s="282"/>
      <c r="G3339" s="329"/>
      <c r="H3339" s="329"/>
      <c r="I3339" s="329"/>
      <c r="J3339" s="329"/>
      <c r="K3339" s="329"/>
      <c r="L3339" s="329"/>
      <c r="M3339" s="329"/>
      <c r="N3339" s="329"/>
      <c r="O3339" s="329"/>
      <c r="P3339" s="329"/>
      <c r="Q3339" s="329"/>
      <c r="R3339" s="329"/>
    </row>
    <row r="3340" spans="1:18" ht="13">
      <c r="A3340" s="282"/>
      <c r="B3340" s="282"/>
      <c r="C3340" s="282"/>
      <c r="D3340" s="282"/>
      <c r="E3340" s="282"/>
      <c r="F3340" s="282"/>
      <c r="G3340" s="329"/>
      <c r="H3340" s="329"/>
      <c r="I3340" s="329"/>
      <c r="J3340" s="329"/>
      <c r="K3340" s="329"/>
      <c r="L3340" s="329"/>
      <c r="M3340" s="329"/>
      <c r="N3340" s="329"/>
      <c r="O3340" s="329"/>
      <c r="P3340" s="329"/>
      <c r="Q3340" s="329"/>
      <c r="R3340" s="329"/>
    </row>
    <row r="3341" spans="1:18" ht="13">
      <c r="A3341" s="282"/>
      <c r="B3341" s="282"/>
      <c r="C3341" s="282"/>
      <c r="D3341" s="282"/>
      <c r="E3341" s="282"/>
      <c r="F3341" s="282"/>
      <c r="G3341" s="329"/>
      <c r="H3341" s="329"/>
      <c r="I3341" s="329"/>
      <c r="J3341" s="329"/>
      <c r="K3341" s="329"/>
      <c r="L3341" s="329"/>
      <c r="M3341" s="329"/>
      <c r="N3341" s="329"/>
      <c r="O3341" s="329"/>
      <c r="P3341" s="329"/>
      <c r="Q3341" s="329"/>
      <c r="R3341" s="329"/>
    </row>
    <row r="3342" spans="1:18" ht="13">
      <c r="A3342" s="282"/>
      <c r="B3342" s="282"/>
      <c r="C3342" s="282"/>
      <c r="D3342" s="282"/>
      <c r="E3342" s="282"/>
      <c r="F3342" s="282"/>
      <c r="G3342" s="329"/>
      <c r="H3342" s="329"/>
      <c r="I3342" s="329"/>
      <c r="J3342" s="329"/>
      <c r="K3342" s="329"/>
      <c r="L3342" s="329"/>
      <c r="M3342" s="329"/>
      <c r="N3342" s="329"/>
      <c r="O3342" s="329"/>
      <c r="P3342" s="329"/>
      <c r="Q3342" s="329"/>
      <c r="R3342" s="329"/>
    </row>
    <row r="3343" spans="1:18" ht="13">
      <c r="A3343" s="282"/>
      <c r="B3343" s="282"/>
      <c r="C3343" s="282"/>
      <c r="D3343" s="282"/>
      <c r="E3343" s="282"/>
      <c r="F3343" s="282"/>
      <c r="G3343" s="329"/>
      <c r="H3343" s="329"/>
      <c r="I3343" s="329"/>
      <c r="J3343" s="329"/>
      <c r="K3343" s="329"/>
      <c r="L3343" s="329"/>
      <c r="M3343" s="329"/>
      <c r="N3343" s="329"/>
      <c r="O3343" s="329"/>
      <c r="P3343" s="329"/>
      <c r="Q3343" s="329"/>
      <c r="R3343" s="329"/>
    </row>
    <row r="3344" spans="1:18" ht="13">
      <c r="A3344" s="282"/>
      <c r="B3344" s="282"/>
      <c r="C3344" s="282"/>
      <c r="D3344" s="282"/>
      <c r="E3344" s="282"/>
      <c r="F3344" s="282"/>
      <c r="G3344" s="329"/>
      <c r="H3344" s="329"/>
      <c r="I3344" s="329"/>
      <c r="J3344" s="329"/>
      <c r="K3344" s="329"/>
      <c r="L3344" s="329"/>
      <c r="M3344" s="329"/>
      <c r="N3344" s="329"/>
      <c r="O3344" s="329"/>
      <c r="P3344" s="329"/>
      <c r="Q3344" s="329"/>
      <c r="R3344" s="329"/>
    </row>
    <row r="3345" spans="1:18" ht="13">
      <c r="A3345" s="282"/>
      <c r="B3345" s="282"/>
      <c r="C3345" s="282"/>
      <c r="D3345" s="282"/>
      <c r="E3345" s="282"/>
      <c r="F3345" s="282"/>
      <c r="G3345" s="329"/>
      <c r="H3345" s="329"/>
      <c r="I3345" s="329"/>
      <c r="J3345" s="329"/>
      <c r="K3345" s="329"/>
      <c r="L3345" s="329"/>
      <c r="M3345" s="329"/>
      <c r="N3345" s="329"/>
      <c r="O3345" s="329"/>
      <c r="P3345" s="329"/>
      <c r="Q3345" s="329"/>
      <c r="R3345" s="329"/>
    </row>
    <row r="3346" spans="1:18" ht="13">
      <c r="A3346" s="282"/>
      <c r="B3346" s="282"/>
      <c r="C3346" s="282"/>
      <c r="D3346" s="282"/>
      <c r="E3346" s="282"/>
      <c r="F3346" s="282"/>
      <c r="G3346" s="329"/>
      <c r="H3346" s="329"/>
      <c r="I3346" s="329"/>
      <c r="J3346" s="329"/>
      <c r="K3346" s="329"/>
      <c r="L3346" s="329"/>
      <c r="M3346" s="329"/>
      <c r="N3346" s="329"/>
      <c r="O3346" s="329"/>
      <c r="P3346" s="329"/>
      <c r="Q3346" s="329"/>
      <c r="R3346" s="329"/>
    </row>
    <row r="3347" spans="1:18" ht="13">
      <c r="A3347" s="282"/>
      <c r="B3347" s="282"/>
      <c r="C3347" s="282"/>
      <c r="D3347" s="282"/>
      <c r="E3347" s="282"/>
      <c r="F3347" s="282"/>
      <c r="G3347" s="329"/>
      <c r="H3347" s="329"/>
      <c r="I3347" s="329"/>
      <c r="J3347" s="329"/>
      <c r="K3347" s="329"/>
      <c r="L3347" s="329"/>
      <c r="M3347" s="329"/>
      <c r="N3347" s="329"/>
      <c r="O3347" s="329"/>
      <c r="P3347" s="329"/>
      <c r="Q3347" s="329"/>
      <c r="R3347" s="329"/>
    </row>
    <row r="3348" spans="1:18" ht="13">
      <c r="A3348" s="282"/>
      <c r="B3348" s="282"/>
      <c r="C3348" s="282"/>
      <c r="D3348" s="282"/>
      <c r="E3348" s="282"/>
      <c r="F3348" s="282"/>
      <c r="G3348" s="329"/>
      <c r="H3348" s="329"/>
      <c r="I3348" s="329"/>
      <c r="J3348" s="329"/>
      <c r="K3348" s="329"/>
      <c r="L3348" s="329"/>
      <c r="M3348" s="329"/>
      <c r="N3348" s="329"/>
      <c r="O3348" s="329"/>
      <c r="P3348" s="329"/>
      <c r="Q3348" s="329"/>
      <c r="R3348" s="329"/>
    </row>
    <row r="3349" spans="1:18" ht="13">
      <c r="A3349" s="282"/>
      <c r="B3349" s="282"/>
      <c r="C3349" s="282"/>
      <c r="D3349" s="282"/>
      <c r="E3349" s="282"/>
      <c r="F3349" s="282"/>
      <c r="G3349" s="329"/>
      <c r="H3349" s="329"/>
      <c r="I3349" s="329"/>
      <c r="J3349" s="329"/>
      <c r="K3349" s="329"/>
      <c r="L3349" s="329"/>
      <c r="M3349" s="329"/>
      <c r="N3349" s="329"/>
      <c r="O3349" s="329"/>
      <c r="P3349" s="329"/>
      <c r="Q3349" s="329"/>
      <c r="R3349" s="329"/>
    </row>
    <row r="3350" spans="1:18" ht="13">
      <c r="A3350" s="282"/>
      <c r="B3350" s="282"/>
      <c r="C3350" s="282"/>
      <c r="D3350" s="282"/>
      <c r="E3350" s="282"/>
      <c r="F3350" s="282"/>
      <c r="G3350" s="329"/>
      <c r="H3350" s="329"/>
      <c r="I3350" s="329"/>
      <c r="J3350" s="329"/>
      <c r="K3350" s="329"/>
      <c r="L3350" s="329"/>
      <c r="M3350" s="329"/>
      <c r="N3350" s="329"/>
      <c r="O3350" s="329"/>
      <c r="P3350" s="329"/>
      <c r="Q3350" s="329"/>
      <c r="R3350" s="329"/>
    </row>
    <row r="3351" spans="1:18" ht="13">
      <c r="A3351" s="282"/>
      <c r="B3351" s="282"/>
      <c r="C3351" s="282"/>
      <c r="D3351" s="282"/>
      <c r="E3351" s="282"/>
      <c r="F3351" s="282"/>
      <c r="G3351" s="329"/>
      <c r="H3351" s="329"/>
      <c r="I3351" s="329"/>
      <c r="J3351" s="329"/>
      <c r="K3351" s="329"/>
      <c r="L3351" s="329"/>
      <c r="M3351" s="329"/>
      <c r="N3351" s="329"/>
      <c r="O3351" s="329"/>
      <c r="P3351" s="329"/>
      <c r="Q3351" s="329"/>
      <c r="R3351" s="329"/>
    </row>
    <row r="3352" spans="1:18" ht="13">
      <c r="A3352" s="282"/>
      <c r="B3352" s="282"/>
      <c r="C3352" s="282"/>
      <c r="D3352" s="282"/>
      <c r="E3352" s="282"/>
      <c r="F3352" s="282"/>
      <c r="G3352" s="329"/>
      <c r="H3352" s="329"/>
      <c r="I3352" s="329"/>
      <c r="J3352" s="329"/>
      <c r="K3352" s="329"/>
      <c r="L3352" s="329"/>
      <c r="M3352" s="329"/>
      <c r="N3352" s="329"/>
      <c r="O3352" s="329"/>
      <c r="P3352" s="329"/>
      <c r="Q3352" s="329"/>
      <c r="R3352" s="329"/>
    </row>
    <row r="3353" spans="1:18" ht="13">
      <c r="A3353" s="282"/>
      <c r="B3353" s="282"/>
      <c r="C3353" s="282"/>
      <c r="D3353" s="282"/>
      <c r="E3353" s="282"/>
      <c r="F3353" s="282"/>
      <c r="G3353" s="329"/>
      <c r="H3353" s="329"/>
      <c r="I3353" s="329"/>
      <c r="J3353" s="329"/>
      <c r="K3353" s="329"/>
      <c r="L3353" s="329"/>
      <c r="M3353" s="329"/>
      <c r="N3353" s="329"/>
      <c r="O3353" s="329"/>
      <c r="P3353" s="329"/>
      <c r="Q3353" s="329"/>
      <c r="R3353" s="329"/>
    </row>
    <row r="3354" spans="1:18" ht="13">
      <c r="A3354" s="282"/>
      <c r="B3354" s="282"/>
      <c r="C3354" s="282"/>
      <c r="D3354" s="282"/>
      <c r="E3354" s="282"/>
      <c r="F3354" s="282"/>
      <c r="G3354" s="329"/>
      <c r="H3354" s="329"/>
      <c r="I3354" s="329"/>
      <c r="J3354" s="329"/>
      <c r="K3354" s="329"/>
      <c r="L3354" s="329"/>
      <c r="M3354" s="329"/>
      <c r="N3354" s="329"/>
      <c r="O3354" s="329"/>
      <c r="P3354" s="329"/>
      <c r="Q3354" s="329"/>
      <c r="R3354" s="329"/>
    </row>
    <row r="3355" spans="1:18" ht="13">
      <c r="A3355" s="282"/>
      <c r="B3355" s="282"/>
      <c r="C3355" s="282"/>
      <c r="D3355" s="282"/>
      <c r="E3355" s="282"/>
      <c r="F3355" s="282"/>
      <c r="G3355" s="329"/>
      <c r="H3355" s="329"/>
      <c r="I3355" s="329"/>
      <c r="J3355" s="329"/>
      <c r="K3355" s="329"/>
      <c r="L3355" s="329"/>
      <c r="M3355" s="329"/>
      <c r="N3355" s="329"/>
      <c r="O3355" s="329"/>
      <c r="P3355" s="329"/>
      <c r="Q3355" s="329"/>
      <c r="R3355" s="329"/>
    </row>
    <row r="3356" spans="1:18" ht="13">
      <c r="A3356" s="282"/>
      <c r="B3356" s="282"/>
      <c r="C3356" s="282"/>
      <c r="D3356" s="282"/>
      <c r="E3356" s="282"/>
      <c r="F3356" s="282"/>
      <c r="G3356" s="329"/>
      <c r="H3356" s="329"/>
      <c r="I3356" s="329"/>
      <c r="J3356" s="329"/>
      <c r="K3356" s="329"/>
      <c r="L3356" s="329"/>
      <c r="M3356" s="329"/>
      <c r="N3356" s="329"/>
      <c r="O3356" s="329"/>
      <c r="P3356" s="329"/>
      <c r="Q3356" s="329"/>
      <c r="R3356" s="329"/>
    </row>
    <row r="3357" spans="1:18" ht="13">
      <c r="A3357" s="282"/>
      <c r="B3357" s="282"/>
      <c r="C3357" s="282"/>
      <c r="D3357" s="282"/>
      <c r="E3357" s="282"/>
      <c r="F3357" s="282"/>
      <c r="G3357" s="329"/>
      <c r="H3357" s="329"/>
      <c r="I3357" s="329"/>
      <c r="J3357" s="329"/>
      <c r="K3357" s="329"/>
      <c r="L3357" s="329"/>
      <c r="M3357" s="329"/>
      <c r="N3357" s="329"/>
      <c r="O3357" s="329"/>
      <c r="P3357" s="329"/>
      <c r="Q3357" s="329"/>
      <c r="R3357" s="329"/>
    </row>
    <row r="3358" spans="1:18" ht="13">
      <c r="A3358" s="282"/>
      <c r="B3358" s="282"/>
      <c r="C3358" s="282"/>
      <c r="D3358" s="282"/>
      <c r="E3358" s="282"/>
      <c r="F3358" s="282"/>
      <c r="G3358" s="329"/>
      <c r="H3358" s="329"/>
      <c r="I3358" s="329"/>
      <c r="J3358" s="329"/>
      <c r="K3358" s="329"/>
      <c r="L3358" s="329"/>
      <c r="M3358" s="329"/>
      <c r="N3358" s="329"/>
      <c r="O3358" s="329"/>
      <c r="P3358" s="329"/>
      <c r="Q3358" s="329"/>
      <c r="R3358" s="329"/>
    </row>
    <row r="3359" spans="1:18" ht="13">
      <c r="A3359" s="282"/>
      <c r="B3359" s="282"/>
      <c r="C3359" s="282"/>
      <c r="D3359" s="282"/>
      <c r="E3359" s="282"/>
      <c r="F3359" s="282"/>
      <c r="G3359" s="329"/>
      <c r="H3359" s="329"/>
      <c r="I3359" s="329"/>
      <c r="J3359" s="329"/>
      <c r="K3359" s="329"/>
      <c r="L3359" s="329"/>
      <c r="M3359" s="329"/>
      <c r="N3359" s="329"/>
      <c r="O3359" s="329"/>
      <c r="P3359" s="329"/>
      <c r="Q3359" s="329"/>
      <c r="R3359" s="329"/>
    </row>
    <row r="3360" spans="1:18" ht="13">
      <c r="A3360" s="282"/>
      <c r="B3360" s="282"/>
      <c r="C3360" s="282"/>
      <c r="D3360" s="282"/>
      <c r="E3360" s="282"/>
      <c r="F3360" s="282"/>
      <c r="G3360" s="329"/>
      <c r="H3360" s="329"/>
      <c r="I3360" s="329"/>
      <c r="J3360" s="329"/>
      <c r="K3360" s="329"/>
      <c r="L3360" s="329"/>
      <c r="M3360" s="329"/>
      <c r="N3360" s="329"/>
      <c r="O3360" s="329"/>
      <c r="P3360" s="329"/>
      <c r="Q3360" s="329"/>
      <c r="R3360" s="329"/>
    </row>
    <row r="3361" spans="1:18" ht="13">
      <c r="A3361" s="282"/>
      <c r="B3361" s="282"/>
      <c r="C3361" s="282"/>
      <c r="D3361" s="282"/>
      <c r="E3361" s="282"/>
      <c r="F3361" s="282"/>
      <c r="G3361" s="329"/>
      <c r="H3361" s="329"/>
      <c r="I3361" s="329"/>
      <c r="J3361" s="329"/>
      <c r="K3361" s="329"/>
      <c r="L3361" s="329"/>
      <c r="M3361" s="329"/>
      <c r="N3361" s="329"/>
      <c r="O3361" s="329"/>
      <c r="P3361" s="329"/>
      <c r="Q3361" s="329"/>
      <c r="R3361" s="329"/>
    </row>
    <row r="3362" spans="1:18" ht="13">
      <c r="A3362" s="282"/>
      <c r="B3362" s="282"/>
      <c r="C3362" s="282"/>
      <c r="D3362" s="282"/>
      <c r="E3362" s="282"/>
      <c r="F3362" s="282"/>
      <c r="G3362" s="329"/>
      <c r="H3362" s="329"/>
      <c r="I3362" s="329"/>
      <c r="J3362" s="329"/>
      <c r="K3362" s="329"/>
      <c r="L3362" s="329"/>
      <c r="M3362" s="329"/>
      <c r="N3362" s="329"/>
      <c r="O3362" s="329"/>
      <c r="P3362" s="329"/>
      <c r="Q3362" s="329"/>
      <c r="R3362" s="329"/>
    </row>
    <row r="3363" spans="1:18" ht="13">
      <c r="A3363" s="282"/>
      <c r="B3363" s="282"/>
      <c r="C3363" s="282"/>
      <c r="D3363" s="282"/>
      <c r="E3363" s="282"/>
      <c r="F3363" s="282"/>
      <c r="G3363" s="329"/>
      <c r="H3363" s="329"/>
      <c r="I3363" s="329"/>
      <c r="J3363" s="329"/>
      <c r="K3363" s="329"/>
      <c r="L3363" s="329"/>
      <c r="M3363" s="329"/>
      <c r="N3363" s="329"/>
      <c r="O3363" s="329"/>
      <c r="P3363" s="329"/>
      <c r="Q3363" s="329"/>
      <c r="R3363" s="329"/>
    </row>
    <row r="3364" spans="1:18" ht="13">
      <c r="A3364" s="282"/>
      <c r="B3364" s="282"/>
      <c r="C3364" s="282"/>
      <c r="D3364" s="282"/>
      <c r="E3364" s="282"/>
      <c r="F3364" s="282"/>
      <c r="G3364" s="329"/>
      <c r="H3364" s="329"/>
      <c r="I3364" s="329"/>
      <c r="J3364" s="329"/>
      <c r="K3364" s="329"/>
      <c r="L3364" s="329"/>
      <c r="M3364" s="329"/>
      <c r="N3364" s="329"/>
      <c r="O3364" s="329"/>
      <c r="P3364" s="329"/>
      <c r="Q3364" s="329"/>
      <c r="R3364" s="329"/>
    </row>
    <row r="3365" spans="1:18" ht="13">
      <c r="A3365" s="282"/>
      <c r="B3365" s="282"/>
      <c r="C3365" s="282"/>
      <c r="D3365" s="282"/>
      <c r="E3365" s="282"/>
      <c r="F3365" s="282"/>
      <c r="G3365" s="329"/>
      <c r="H3365" s="329"/>
      <c r="I3365" s="329"/>
      <c r="J3365" s="329"/>
      <c r="K3365" s="329"/>
      <c r="L3365" s="329"/>
      <c r="M3365" s="329"/>
      <c r="N3365" s="329"/>
      <c r="O3365" s="329"/>
      <c r="P3365" s="329"/>
      <c r="Q3365" s="329"/>
      <c r="R3365" s="329"/>
    </row>
    <row r="3366" spans="1:18" ht="13">
      <c r="A3366" s="282"/>
      <c r="B3366" s="282"/>
      <c r="C3366" s="282"/>
      <c r="D3366" s="282"/>
      <c r="E3366" s="282"/>
      <c r="F3366" s="282"/>
      <c r="G3366" s="329"/>
      <c r="H3366" s="329"/>
      <c r="I3366" s="329"/>
      <c r="J3366" s="329"/>
      <c r="K3366" s="329"/>
      <c r="L3366" s="329"/>
      <c r="M3366" s="329"/>
      <c r="N3366" s="329"/>
      <c r="O3366" s="329"/>
      <c r="P3366" s="329"/>
      <c r="Q3366" s="329"/>
      <c r="R3366" s="329"/>
    </row>
    <row r="3367" spans="1:18" ht="13">
      <c r="A3367" s="282"/>
      <c r="B3367" s="282"/>
      <c r="C3367" s="282"/>
      <c r="D3367" s="282"/>
      <c r="E3367" s="282"/>
      <c r="F3367" s="282"/>
      <c r="G3367" s="329"/>
      <c r="H3367" s="329"/>
      <c r="I3367" s="329"/>
      <c r="J3367" s="329"/>
      <c r="K3367" s="329"/>
      <c r="L3367" s="329"/>
      <c r="M3367" s="329"/>
      <c r="N3367" s="329"/>
      <c r="O3367" s="329"/>
      <c r="P3367" s="329"/>
      <c r="Q3367" s="329"/>
      <c r="R3367" s="329"/>
    </row>
    <row r="3368" spans="1:18" ht="13">
      <c r="A3368" s="282"/>
      <c r="B3368" s="282"/>
      <c r="C3368" s="282"/>
      <c r="D3368" s="282"/>
      <c r="E3368" s="282"/>
      <c r="F3368" s="282"/>
      <c r="G3368" s="329"/>
      <c r="H3368" s="329"/>
      <c r="I3368" s="329"/>
      <c r="J3368" s="329"/>
      <c r="K3368" s="329"/>
      <c r="L3368" s="329"/>
      <c r="M3368" s="329"/>
      <c r="N3368" s="329"/>
      <c r="O3368" s="329"/>
      <c r="P3368" s="329"/>
      <c r="Q3368" s="329"/>
      <c r="R3368" s="329"/>
    </row>
    <row r="3369" spans="1:18" ht="13">
      <c r="A3369" s="282"/>
      <c r="B3369" s="282"/>
      <c r="C3369" s="282"/>
      <c r="D3369" s="282"/>
      <c r="E3369" s="282"/>
      <c r="F3369" s="282"/>
      <c r="G3369" s="329"/>
      <c r="H3369" s="329"/>
      <c r="I3369" s="329"/>
      <c r="J3369" s="329"/>
      <c r="K3369" s="329"/>
      <c r="L3369" s="329"/>
      <c r="M3369" s="329"/>
      <c r="N3369" s="329"/>
      <c r="O3369" s="329"/>
      <c r="P3369" s="329"/>
      <c r="Q3369" s="329"/>
      <c r="R3369" s="329"/>
    </row>
    <row r="3370" spans="1:18" ht="13">
      <c r="A3370" s="282"/>
      <c r="B3370" s="282"/>
      <c r="C3370" s="282"/>
      <c r="D3370" s="282"/>
      <c r="E3370" s="282"/>
      <c r="F3370" s="282"/>
      <c r="G3370" s="329"/>
      <c r="H3370" s="329"/>
      <c r="I3370" s="329"/>
      <c r="J3370" s="329"/>
      <c r="K3370" s="329"/>
      <c r="L3370" s="329"/>
      <c r="M3370" s="329"/>
      <c r="N3370" s="329"/>
      <c r="O3370" s="329"/>
      <c r="P3370" s="329"/>
      <c r="Q3370" s="329"/>
      <c r="R3370" s="329"/>
    </row>
    <row r="3371" spans="1:18" ht="13">
      <c r="A3371" s="282"/>
      <c r="B3371" s="282"/>
      <c r="C3371" s="282"/>
      <c r="D3371" s="282"/>
      <c r="E3371" s="282"/>
      <c r="F3371" s="282"/>
      <c r="G3371" s="329"/>
      <c r="H3371" s="329"/>
      <c r="I3371" s="329"/>
      <c r="J3371" s="329"/>
      <c r="K3371" s="329"/>
      <c r="L3371" s="329"/>
      <c r="M3371" s="329"/>
      <c r="N3371" s="329"/>
      <c r="O3371" s="329"/>
      <c r="P3371" s="329"/>
      <c r="Q3371" s="329"/>
      <c r="R3371" s="329"/>
    </row>
    <row r="3372" spans="1:18" ht="13">
      <c r="A3372" s="282"/>
      <c r="B3372" s="282"/>
      <c r="C3372" s="282"/>
      <c r="D3372" s="282"/>
      <c r="E3372" s="282"/>
      <c r="F3372" s="282"/>
      <c r="G3372" s="329"/>
      <c r="H3372" s="329"/>
      <c r="I3372" s="329"/>
      <c r="J3372" s="329"/>
      <c r="K3372" s="329"/>
      <c r="L3372" s="329"/>
      <c r="M3372" s="329"/>
      <c r="N3372" s="329"/>
      <c r="O3372" s="329"/>
      <c r="P3372" s="329"/>
      <c r="Q3372" s="329"/>
      <c r="R3372" s="329"/>
    </row>
    <row r="3373" spans="1:18" ht="13">
      <c r="A3373" s="282"/>
      <c r="B3373" s="282"/>
      <c r="C3373" s="282"/>
      <c r="D3373" s="282"/>
      <c r="E3373" s="282"/>
      <c r="F3373" s="282"/>
      <c r="G3373" s="329"/>
      <c r="H3373" s="329"/>
      <c r="I3373" s="329"/>
      <c r="J3373" s="329"/>
      <c r="K3373" s="329"/>
      <c r="L3373" s="329"/>
      <c r="M3373" s="329"/>
      <c r="N3373" s="329"/>
      <c r="O3373" s="329"/>
      <c r="P3373" s="329"/>
      <c r="Q3373" s="329"/>
      <c r="R3373" s="329"/>
    </row>
    <row r="3374" spans="1:18" ht="13">
      <c r="A3374" s="282"/>
      <c r="B3374" s="282"/>
      <c r="C3374" s="282"/>
      <c r="D3374" s="282"/>
      <c r="E3374" s="282"/>
      <c r="F3374" s="282"/>
      <c r="G3374" s="329"/>
      <c r="H3374" s="329"/>
      <c r="I3374" s="329"/>
      <c r="J3374" s="329"/>
      <c r="K3374" s="329"/>
      <c r="L3374" s="329"/>
      <c r="M3374" s="329"/>
      <c r="N3374" s="329"/>
      <c r="O3374" s="329"/>
      <c r="P3374" s="329"/>
      <c r="Q3374" s="329"/>
      <c r="R3374" s="329"/>
    </row>
    <row r="3375" spans="1:18" ht="13">
      <c r="A3375" s="282"/>
      <c r="B3375" s="282"/>
      <c r="C3375" s="282"/>
      <c r="D3375" s="282"/>
      <c r="E3375" s="282"/>
      <c r="F3375" s="282"/>
      <c r="G3375" s="329"/>
      <c r="H3375" s="329"/>
      <c r="I3375" s="329"/>
      <c r="J3375" s="329"/>
      <c r="K3375" s="329"/>
      <c r="L3375" s="329"/>
      <c r="M3375" s="329"/>
      <c r="N3375" s="329"/>
      <c r="O3375" s="329"/>
      <c r="P3375" s="329"/>
      <c r="Q3375" s="329"/>
      <c r="R3375" s="329"/>
    </row>
    <row r="3376" spans="1:18" ht="13">
      <c r="A3376" s="282"/>
      <c r="B3376" s="282"/>
      <c r="C3376" s="282"/>
      <c r="D3376" s="282"/>
      <c r="E3376" s="282"/>
      <c r="F3376" s="282"/>
      <c r="G3376" s="329"/>
      <c r="H3376" s="329"/>
      <c r="I3376" s="329"/>
      <c r="J3376" s="329"/>
      <c r="K3376" s="329"/>
      <c r="L3376" s="329"/>
      <c r="M3376" s="329"/>
      <c r="N3376" s="329"/>
      <c r="O3376" s="329"/>
      <c r="P3376" s="329"/>
      <c r="Q3376" s="329"/>
      <c r="R3376" s="329"/>
    </row>
    <row r="3377" spans="1:18" ht="13">
      <c r="A3377" s="282"/>
      <c r="B3377" s="282"/>
      <c r="C3377" s="282"/>
      <c r="D3377" s="282"/>
      <c r="E3377" s="282"/>
      <c r="F3377" s="282"/>
      <c r="G3377" s="329"/>
      <c r="H3377" s="329"/>
      <c r="I3377" s="329"/>
      <c r="J3377" s="329"/>
      <c r="K3377" s="329"/>
      <c r="L3377" s="329"/>
      <c r="M3377" s="329"/>
      <c r="N3377" s="329"/>
      <c r="O3377" s="329"/>
      <c r="P3377" s="329"/>
      <c r="Q3377" s="329"/>
      <c r="R3377" s="329"/>
    </row>
    <row r="3378" spans="1:18" ht="13">
      <c r="A3378" s="282"/>
      <c r="B3378" s="282"/>
      <c r="C3378" s="282"/>
      <c r="D3378" s="282"/>
      <c r="E3378" s="282"/>
      <c r="F3378" s="282"/>
      <c r="G3378" s="329"/>
      <c r="H3378" s="329"/>
      <c r="I3378" s="329"/>
      <c r="J3378" s="329"/>
      <c r="K3378" s="329"/>
      <c r="L3378" s="329"/>
      <c r="M3378" s="329"/>
      <c r="N3378" s="329"/>
      <c r="O3378" s="329"/>
      <c r="P3378" s="329"/>
      <c r="Q3378" s="329"/>
      <c r="R3378" s="329"/>
    </row>
    <row r="3379" spans="1:18" ht="13">
      <c r="A3379" s="282"/>
      <c r="B3379" s="282"/>
      <c r="C3379" s="282"/>
      <c r="D3379" s="282"/>
      <c r="E3379" s="282"/>
      <c r="F3379" s="282"/>
      <c r="G3379" s="329"/>
      <c r="H3379" s="329"/>
      <c r="I3379" s="329"/>
      <c r="J3379" s="329"/>
      <c r="K3379" s="329"/>
      <c r="L3379" s="329"/>
      <c r="M3379" s="329"/>
      <c r="N3379" s="329"/>
      <c r="O3379" s="329"/>
      <c r="P3379" s="329"/>
      <c r="Q3379" s="329"/>
      <c r="R3379" s="329"/>
    </row>
    <row r="3380" spans="1:18" ht="13">
      <c r="A3380" s="282"/>
      <c r="B3380" s="282"/>
      <c r="C3380" s="282"/>
      <c r="D3380" s="282"/>
      <c r="E3380" s="282"/>
      <c r="F3380" s="282"/>
      <c r="G3380" s="329"/>
      <c r="H3380" s="329"/>
      <c r="I3380" s="329"/>
      <c r="J3380" s="329"/>
      <c r="K3380" s="329"/>
      <c r="L3380" s="329"/>
      <c r="M3380" s="329"/>
      <c r="N3380" s="329"/>
      <c r="O3380" s="329"/>
      <c r="P3380" s="329"/>
      <c r="Q3380" s="329"/>
      <c r="R3380" s="329"/>
    </row>
    <row r="3381" spans="1:18" ht="13">
      <c r="A3381" s="282"/>
      <c r="B3381" s="282"/>
      <c r="C3381" s="282"/>
      <c r="D3381" s="282"/>
      <c r="E3381" s="282"/>
      <c r="F3381" s="282"/>
      <c r="G3381" s="329"/>
      <c r="H3381" s="329"/>
      <c r="I3381" s="329"/>
      <c r="J3381" s="329"/>
      <c r="K3381" s="329"/>
      <c r="L3381" s="329"/>
      <c r="M3381" s="329"/>
      <c r="N3381" s="329"/>
      <c r="O3381" s="329"/>
      <c r="P3381" s="329"/>
      <c r="Q3381" s="329"/>
      <c r="R3381" s="329"/>
    </row>
    <row r="3382" spans="1:18" ht="13">
      <c r="A3382" s="282"/>
      <c r="B3382" s="282"/>
      <c r="C3382" s="282"/>
      <c r="D3382" s="282"/>
      <c r="E3382" s="282"/>
      <c r="F3382" s="282"/>
      <c r="G3382" s="329"/>
      <c r="H3382" s="329"/>
      <c r="I3382" s="329"/>
      <c r="J3382" s="329"/>
      <c r="K3382" s="329"/>
      <c r="L3382" s="329"/>
      <c r="M3382" s="329"/>
      <c r="N3382" s="329"/>
      <c r="O3382" s="329"/>
      <c r="P3382" s="329"/>
      <c r="Q3382" s="329"/>
      <c r="R3382" s="329"/>
    </row>
    <row r="3383" spans="1:18" ht="13">
      <c r="A3383" s="282"/>
      <c r="B3383" s="282"/>
      <c r="C3383" s="282"/>
      <c r="D3383" s="282"/>
      <c r="E3383" s="282"/>
      <c r="F3383" s="282"/>
      <c r="G3383" s="329"/>
      <c r="H3383" s="329"/>
      <c r="I3383" s="329"/>
      <c r="J3383" s="329"/>
      <c r="K3383" s="329"/>
      <c r="L3383" s="329"/>
      <c r="M3383" s="329"/>
      <c r="N3383" s="329"/>
      <c r="O3383" s="329"/>
      <c r="P3383" s="329"/>
      <c r="Q3383" s="329"/>
      <c r="R3383" s="329"/>
    </row>
    <row r="3384" spans="1:18" ht="13">
      <c r="A3384" s="282"/>
      <c r="B3384" s="282"/>
      <c r="C3384" s="282"/>
      <c r="D3384" s="282"/>
      <c r="E3384" s="282"/>
      <c r="F3384" s="282"/>
      <c r="G3384" s="329"/>
      <c r="H3384" s="329"/>
      <c r="I3384" s="329"/>
      <c r="J3384" s="329"/>
      <c r="K3384" s="329"/>
      <c r="L3384" s="329"/>
      <c r="M3384" s="329"/>
      <c r="N3384" s="329"/>
      <c r="O3384" s="329"/>
      <c r="P3384" s="329"/>
      <c r="Q3384" s="329"/>
      <c r="R3384" s="329"/>
    </row>
    <row r="3385" spans="1:18" ht="13">
      <c r="A3385" s="282"/>
      <c r="B3385" s="282"/>
      <c r="C3385" s="282"/>
      <c r="D3385" s="282"/>
      <c r="E3385" s="282"/>
      <c r="F3385" s="282"/>
      <c r="G3385" s="329"/>
      <c r="H3385" s="329"/>
      <c r="I3385" s="329"/>
      <c r="J3385" s="329"/>
      <c r="K3385" s="329"/>
      <c r="L3385" s="329"/>
      <c r="M3385" s="329"/>
      <c r="N3385" s="329"/>
      <c r="O3385" s="329"/>
      <c r="P3385" s="329"/>
      <c r="Q3385" s="329"/>
      <c r="R3385" s="329"/>
    </row>
    <row r="3386" spans="1:18" ht="13">
      <c r="A3386" s="282"/>
      <c r="B3386" s="282"/>
      <c r="C3386" s="282"/>
      <c r="D3386" s="282"/>
      <c r="E3386" s="282"/>
      <c r="F3386" s="282"/>
      <c r="G3386" s="329"/>
      <c r="H3386" s="329"/>
      <c r="I3386" s="329"/>
      <c r="J3386" s="329"/>
      <c r="K3386" s="329"/>
      <c r="L3386" s="329"/>
      <c r="M3386" s="329"/>
      <c r="N3386" s="329"/>
      <c r="O3386" s="329"/>
      <c r="P3386" s="329"/>
      <c r="Q3386" s="329"/>
      <c r="R3386" s="329"/>
    </row>
    <row r="3387" spans="1:18" ht="13">
      <c r="A3387" s="282"/>
      <c r="B3387" s="282"/>
      <c r="C3387" s="282"/>
      <c r="D3387" s="282"/>
      <c r="E3387" s="282"/>
      <c r="F3387" s="282"/>
      <c r="G3387" s="329"/>
      <c r="H3387" s="329"/>
      <c r="I3387" s="329"/>
      <c r="J3387" s="329"/>
      <c r="K3387" s="329"/>
      <c r="L3387" s="329"/>
      <c r="M3387" s="329"/>
      <c r="N3387" s="329"/>
      <c r="O3387" s="329"/>
      <c r="P3387" s="329"/>
      <c r="Q3387" s="329"/>
      <c r="R3387" s="329"/>
    </row>
    <row r="3388" spans="1:18" ht="13">
      <c r="A3388" s="282"/>
      <c r="B3388" s="282"/>
      <c r="C3388" s="282"/>
      <c r="D3388" s="282"/>
      <c r="E3388" s="282"/>
      <c r="F3388" s="282"/>
      <c r="G3388" s="329"/>
      <c r="H3388" s="329"/>
      <c r="I3388" s="329"/>
      <c r="J3388" s="329"/>
      <c r="K3388" s="329"/>
      <c r="L3388" s="329"/>
      <c r="M3388" s="329"/>
      <c r="N3388" s="329"/>
      <c r="O3388" s="329"/>
      <c r="P3388" s="329"/>
      <c r="Q3388" s="329"/>
      <c r="R3388" s="329"/>
    </row>
    <row r="3389" spans="1:18" ht="13">
      <c r="A3389" s="282"/>
      <c r="B3389" s="282"/>
      <c r="C3389" s="282"/>
      <c r="D3389" s="282"/>
      <c r="E3389" s="282"/>
      <c r="F3389" s="282"/>
      <c r="G3389" s="329"/>
      <c r="H3389" s="329"/>
      <c r="I3389" s="329"/>
      <c r="J3389" s="329"/>
      <c r="K3389" s="329"/>
      <c r="L3389" s="329"/>
      <c r="M3389" s="329"/>
      <c r="N3389" s="329"/>
      <c r="O3389" s="329"/>
      <c r="P3389" s="329"/>
      <c r="Q3389" s="329"/>
      <c r="R3389" s="329"/>
    </row>
    <row r="3390" spans="1:18" ht="13">
      <c r="A3390" s="282"/>
      <c r="B3390" s="282"/>
      <c r="C3390" s="282"/>
      <c r="D3390" s="282"/>
      <c r="E3390" s="282"/>
      <c r="F3390" s="282"/>
      <c r="G3390" s="329"/>
      <c r="H3390" s="329"/>
      <c r="I3390" s="329"/>
      <c r="J3390" s="329"/>
      <c r="K3390" s="329"/>
      <c r="L3390" s="329"/>
      <c r="M3390" s="329"/>
      <c r="N3390" s="329"/>
      <c r="O3390" s="329"/>
      <c r="P3390" s="329"/>
      <c r="Q3390" s="329"/>
      <c r="R3390" s="329"/>
    </row>
    <row r="3391" spans="1:18" ht="13">
      <c r="A3391" s="282"/>
      <c r="B3391" s="282"/>
      <c r="C3391" s="282"/>
      <c r="D3391" s="282"/>
      <c r="E3391" s="282"/>
      <c r="F3391" s="282"/>
      <c r="G3391" s="329"/>
      <c r="H3391" s="329"/>
      <c r="I3391" s="329"/>
      <c r="J3391" s="329"/>
      <c r="K3391" s="329"/>
      <c r="L3391" s="329"/>
      <c r="M3391" s="329"/>
      <c r="N3391" s="329"/>
      <c r="O3391" s="329"/>
      <c r="P3391" s="329"/>
      <c r="Q3391" s="329"/>
      <c r="R3391" s="329"/>
    </row>
    <row r="3392" spans="1:18" ht="13">
      <c r="A3392" s="282"/>
      <c r="B3392" s="282"/>
      <c r="C3392" s="282"/>
      <c r="D3392" s="282"/>
      <c r="E3392" s="282"/>
      <c r="F3392" s="282"/>
      <c r="G3392" s="329"/>
      <c r="H3392" s="329"/>
      <c r="I3392" s="329"/>
      <c r="J3392" s="329"/>
      <c r="K3392" s="329"/>
      <c r="L3392" s="329"/>
      <c r="M3392" s="329"/>
      <c r="N3392" s="329"/>
      <c r="O3392" s="329"/>
      <c r="P3392" s="329"/>
      <c r="Q3392" s="329"/>
      <c r="R3392" s="329"/>
    </row>
    <row r="3393" spans="1:18" ht="13">
      <c r="A3393" s="282"/>
      <c r="B3393" s="282"/>
      <c r="C3393" s="282"/>
      <c r="D3393" s="282"/>
      <c r="E3393" s="282"/>
      <c r="F3393" s="282"/>
      <c r="G3393" s="329"/>
      <c r="H3393" s="329"/>
      <c r="I3393" s="329"/>
      <c r="J3393" s="329"/>
      <c r="K3393" s="329"/>
      <c r="L3393" s="329"/>
      <c r="M3393" s="329"/>
      <c r="N3393" s="329"/>
      <c r="O3393" s="329"/>
      <c r="P3393" s="329"/>
      <c r="Q3393" s="329"/>
      <c r="R3393" s="329"/>
    </row>
    <row r="3394" spans="1:18" ht="13">
      <c r="A3394" s="282"/>
      <c r="B3394" s="282"/>
      <c r="C3394" s="282"/>
      <c r="D3394" s="282"/>
      <c r="E3394" s="282"/>
      <c r="F3394" s="282"/>
      <c r="G3394" s="329"/>
      <c r="H3394" s="329"/>
      <c r="I3394" s="329"/>
      <c r="J3394" s="329"/>
      <c r="K3394" s="329"/>
      <c r="L3394" s="329"/>
      <c r="M3394" s="329"/>
      <c r="N3394" s="329"/>
      <c r="O3394" s="329"/>
      <c r="P3394" s="329"/>
      <c r="Q3394" s="329"/>
      <c r="R3394" s="329"/>
    </row>
    <row r="3395" spans="1:18" ht="13">
      <c r="A3395" s="282"/>
      <c r="B3395" s="282"/>
      <c r="C3395" s="282"/>
      <c r="D3395" s="282"/>
      <c r="E3395" s="282"/>
      <c r="F3395" s="282"/>
      <c r="G3395" s="329"/>
      <c r="H3395" s="329"/>
      <c r="I3395" s="329"/>
      <c r="J3395" s="329"/>
      <c r="K3395" s="329"/>
      <c r="L3395" s="329"/>
      <c r="M3395" s="329"/>
      <c r="N3395" s="329"/>
      <c r="O3395" s="329"/>
      <c r="P3395" s="329"/>
      <c r="Q3395" s="329"/>
      <c r="R3395" s="329"/>
    </row>
    <row r="3396" spans="1:18" ht="13">
      <c r="A3396" s="282"/>
      <c r="B3396" s="282"/>
      <c r="C3396" s="282"/>
      <c r="D3396" s="282"/>
      <c r="E3396" s="282"/>
      <c r="F3396" s="282"/>
      <c r="G3396" s="329"/>
      <c r="H3396" s="329"/>
      <c r="I3396" s="329"/>
      <c r="J3396" s="329"/>
      <c r="K3396" s="329"/>
      <c r="L3396" s="329"/>
      <c r="M3396" s="329"/>
      <c r="N3396" s="329"/>
      <c r="O3396" s="329"/>
      <c r="P3396" s="329"/>
      <c r="Q3396" s="329"/>
      <c r="R3396" s="329"/>
    </row>
    <row r="3397" spans="1:18" ht="13">
      <c r="A3397" s="282"/>
      <c r="B3397" s="282"/>
      <c r="C3397" s="282"/>
      <c r="D3397" s="282"/>
      <c r="E3397" s="282"/>
      <c r="F3397" s="282"/>
      <c r="G3397" s="329"/>
      <c r="H3397" s="329"/>
      <c r="I3397" s="329"/>
      <c r="J3397" s="329"/>
      <c r="K3397" s="329"/>
      <c r="L3397" s="329"/>
      <c r="M3397" s="329"/>
      <c r="N3397" s="329"/>
      <c r="O3397" s="329"/>
      <c r="P3397" s="329"/>
      <c r="Q3397" s="329"/>
      <c r="R3397" s="329"/>
    </row>
    <row r="3398" spans="1:18" ht="13">
      <c r="A3398" s="282"/>
      <c r="B3398" s="282"/>
      <c r="C3398" s="282"/>
      <c r="D3398" s="282"/>
      <c r="E3398" s="282"/>
      <c r="F3398" s="282"/>
      <c r="G3398" s="329"/>
      <c r="H3398" s="329"/>
      <c r="I3398" s="329"/>
      <c r="J3398" s="329"/>
      <c r="K3398" s="329"/>
      <c r="L3398" s="329"/>
      <c r="M3398" s="329"/>
      <c r="N3398" s="329"/>
      <c r="O3398" s="329"/>
      <c r="P3398" s="329"/>
      <c r="Q3398" s="329"/>
      <c r="R3398" s="329"/>
    </row>
    <row r="3399" spans="1:18" ht="13">
      <c r="A3399" s="282"/>
      <c r="B3399" s="282"/>
      <c r="C3399" s="282"/>
      <c r="D3399" s="282"/>
      <c r="E3399" s="282"/>
      <c r="F3399" s="282"/>
      <c r="G3399" s="329"/>
      <c r="H3399" s="329"/>
      <c r="I3399" s="329"/>
      <c r="J3399" s="329"/>
      <c r="K3399" s="329"/>
      <c r="L3399" s="329"/>
      <c r="M3399" s="329"/>
      <c r="N3399" s="329"/>
      <c r="O3399" s="329"/>
      <c r="P3399" s="329"/>
      <c r="Q3399" s="329"/>
      <c r="R3399" s="329"/>
    </row>
    <row r="3400" spans="1:18" ht="13">
      <c r="A3400" s="282"/>
      <c r="B3400" s="282"/>
      <c r="C3400" s="282"/>
      <c r="D3400" s="282"/>
      <c r="E3400" s="282"/>
      <c r="F3400" s="282"/>
      <c r="G3400" s="329"/>
      <c r="H3400" s="329"/>
      <c r="I3400" s="329"/>
      <c r="J3400" s="329"/>
      <c r="K3400" s="329"/>
      <c r="L3400" s="329"/>
      <c r="M3400" s="329"/>
      <c r="N3400" s="329"/>
      <c r="O3400" s="329"/>
      <c r="P3400" s="329"/>
      <c r="Q3400" s="329"/>
      <c r="R3400" s="329"/>
    </row>
    <row r="3401" spans="1:18" ht="13">
      <c r="A3401" s="282"/>
      <c r="B3401" s="282"/>
      <c r="C3401" s="282"/>
      <c r="D3401" s="282"/>
      <c r="E3401" s="282"/>
      <c r="F3401" s="282"/>
      <c r="G3401" s="329"/>
      <c r="H3401" s="329"/>
      <c r="I3401" s="329"/>
      <c r="J3401" s="329"/>
      <c r="K3401" s="329"/>
      <c r="L3401" s="329"/>
      <c r="M3401" s="329"/>
      <c r="N3401" s="329"/>
      <c r="O3401" s="329"/>
      <c r="P3401" s="329"/>
      <c r="Q3401" s="329"/>
      <c r="R3401" s="329"/>
    </row>
    <row r="3402" spans="1:18" ht="13">
      <c r="A3402" s="282"/>
      <c r="B3402" s="282"/>
      <c r="C3402" s="282"/>
      <c r="D3402" s="282"/>
      <c r="E3402" s="282"/>
      <c r="F3402" s="282"/>
      <c r="G3402" s="329"/>
      <c r="H3402" s="329"/>
      <c r="I3402" s="329"/>
      <c r="J3402" s="329"/>
      <c r="K3402" s="329"/>
      <c r="L3402" s="329"/>
      <c r="M3402" s="329"/>
      <c r="N3402" s="329"/>
      <c r="O3402" s="329"/>
      <c r="P3402" s="329"/>
      <c r="Q3402" s="329"/>
      <c r="R3402" s="329"/>
    </row>
    <row r="3403" spans="1:18" ht="13">
      <c r="A3403" s="282"/>
      <c r="B3403" s="282"/>
      <c r="C3403" s="282"/>
      <c r="D3403" s="282"/>
      <c r="E3403" s="282"/>
      <c r="F3403" s="282"/>
      <c r="G3403" s="329"/>
      <c r="H3403" s="329"/>
      <c r="I3403" s="329"/>
      <c r="J3403" s="329"/>
      <c r="K3403" s="329"/>
      <c r="L3403" s="329"/>
      <c r="M3403" s="329"/>
      <c r="N3403" s="329"/>
      <c r="O3403" s="329"/>
      <c r="P3403" s="329"/>
      <c r="Q3403" s="329"/>
      <c r="R3403" s="329"/>
    </row>
    <row r="3404" spans="1:18" ht="13">
      <c r="A3404" s="282"/>
      <c r="B3404" s="282"/>
      <c r="C3404" s="282"/>
      <c r="D3404" s="282"/>
      <c r="E3404" s="282"/>
      <c r="F3404" s="282"/>
      <c r="G3404" s="329"/>
      <c r="H3404" s="329"/>
      <c r="I3404" s="329"/>
      <c r="J3404" s="329"/>
      <c r="K3404" s="329"/>
      <c r="L3404" s="329"/>
      <c r="M3404" s="329"/>
      <c r="N3404" s="329"/>
      <c r="O3404" s="329"/>
      <c r="P3404" s="329"/>
      <c r="Q3404" s="329"/>
      <c r="R3404" s="329"/>
    </row>
    <row r="3405" spans="1:18" ht="13">
      <c r="A3405" s="282"/>
      <c r="B3405" s="282"/>
      <c r="C3405" s="282"/>
      <c r="D3405" s="282"/>
      <c r="E3405" s="282"/>
      <c r="F3405" s="282"/>
      <c r="G3405" s="329"/>
      <c r="H3405" s="329"/>
      <c r="I3405" s="329"/>
      <c r="J3405" s="329"/>
      <c r="K3405" s="329"/>
      <c r="L3405" s="329"/>
      <c r="M3405" s="329"/>
      <c r="N3405" s="329"/>
      <c r="O3405" s="329"/>
      <c r="P3405" s="329"/>
      <c r="Q3405" s="329"/>
      <c r="R3405" s="329"/>
    </row>
    <row r="3406" spans="1:18" ht="13">
      <c r="A3406" s="282"/>
      <c r="B3406" s="282"/>
      <c r="C3406" s="282"/>
      <c r="D3406" s="282"/>
      <c r="E3406" s="282"/>
      <c r="F3406" s="282"/>
      <c r="G3406" s="329"/>
      <c r="H3406" s="329"/>
      <c r="I3406" s="329"/>
      <c r="J3406" s="329"/>
      <c r="K3406" s="329"/>
      <c r="L3406" s="329"/>
      <c r="M3406" s="329"/>
      <c r="N3406" s="329"/>
      <c r="O3406" s="329"/>
      <c r="P3406" s="329"/>
      <c r="Q3406" s="329"/>
      <c r="R3406" s="329"/>
    </row>
    <row r="3407" spans="1:18" ht="13">
      <c r="A3407" s="282"/>
      <c r="B3407" s="282"/>
      <c r="C3407" s="282"/>
      <c r="D3407" s="282"/>
      <c r="E3407" s="282"/>
      <c r="F3407" s="282"/>
      <c r="G3407" s="329"/>
      <c r="H3407" s="329"/>
      <c r="I3407" s="329"/>
      <c r="J3407" s="329"/>
      <c r="K3407" s="329"/>
      <c r="L3407" s="329"/>
      <c r="M3407" s="329"/>
      <c r="N3407" s="329"/>
      <c r="O3407" s="329"/>
      <c r="P3407" s="329"/>
      <c r="Q3407" s="329"/>
      <c r="R3407" s="329"/>
    </row>
    <row r="3408" spans="1:18" ht="13">
      <c r="A3408" s="282"/>
      <c r="B3408" s="282"/>
      <c r="C3408" s="282"/>
      <c r="D3408" s="282"/>
      <c r="E3408" s="282"/>
      <c r="F3408" s="282"/>
      <c r="G3408" s="329"/>
      <c r="H3408" s="329"/>
      <c r="I3408" s="329"/>
      <c r="J3408" s="329"/>
      <c r="K3408" s="329"/>
      <c r="L3408" s="329"/>
      <c r="M3408" s="329"/>
      <c r="N3408" s="329"/>
      <c r="O3408" s="329"/>
      <c r="P3408" s="329"/>
      <c r="Q3408" s="329"/>
      <c r="R3408" s="329"/>
    </row>
    <row r="3409" spans="1:18" ht="13">
      <c r="A3409" s="282"/>
      <c r="B3409" s="282"/>
      <c r="C3409" s="282"/>
      <c r="D3409" s="282"/>
      <c r="E3409" s="282"/>
      <c r="F3409" s="282"/>
      <c r="G3409" s="329"/>
      <c r="H3409" s="329"/>
      <c r="I3409" s="329"/>
      <c r="J3409" s="329"/>
      <c r="K3409" s="329"/>
      <c r="L3409" s="329"/>
      <c r="M3409" s="329"/>
      <c r="N3409" s="329"/>
      <c r="O3409" s="329"/>
      <c r="P3409" s="329"/>
      <c r="Q3409" s="329"/>
      <c r="R3409" s="329"/>
    </row>
    <row r="3410" spans="1:18" ht="13">
      <c r="A3410" s="282"/>
      <c r="B3410" s="282"/>
      <c r="C3410" s="282"/>
      <c r="D3410" s="282"/>
      <c r="E3410" s="282"/>
      <c r="F3410" s="282"/>
      <c r="G3410" s="329"/>
      <c r="H3410" s="329"/>
      <c r="I3410" s="329"/>
      <c r="J3410" s="329"/>
      <c r="K3410" s="329"/>
      <c r="L3410" s="329"/>
      <c r="M3410" s="329"/>
      <c r="N3410" s="329"/>
      <c r="O3410" s="329"/>
      <c r="P3410" s="329"/>
      <c r="Q3410" s="329"/>
      <c r="R3410" s="329"/>
    </row>
    <row r="3411" spans="1:18" ht="13">
      <c r="A3411" s="282"/>
      <c r="B3411" s="282"/>
      <c r="C3411" s="282"/>
      <c r="D3411" s="282"/>
      <c r="E3411" s="282"/>
      <c r="F3411" s="282"/>
      <c r="G3411" s="329"/>
      <c r="H3411" s="329"/>
      <c r="I3411" s="329"/>
      <c r="J3411" s="329"/>
      <c r="K3411" s="329"/>
      <c r="L3411" s="329"/>
      <c r="M3411" s="329"/>
      <c r="N3411" s="329"/>
      <c r="O3411" s="329"/>
      <c r="P3411" s="329"/>
      <c r="Q3411" s="329"/>
      <c r="R3411" s="329"/>
    </row>
    <row r="3412" spans="1:18" ht="13">
      <c r="A3412" s="282"/>
      <c r="B3412" s="282"/>
      <c r="C3412" s="282"/>
      <c r="D3412" s="282"/>
      <c r="E3412" s="282"/>
      <c r="F3412" s="282"/>
      <c r="G3412" s="329"/>
      <c r="H3412" s="329"/>
      <c r="I3412" s="329"/>
      <c r="J3412" s="329"/>
      <c r="K3412" s="329"/>
      <c r="L3412" s="329"/>
      <c r="M3412" s="329"/>
      <c r="N3412" s="329"/>
      <c r="O3412" s="329"/>
      <c r="P3412" s="329"/>
      <c r="Q3412" s="329"/>
      <c r="R3412" s="329"/>
    </row>
    <row r="3413" spans="1:18" ht="13">
      <c r="A3413" s="282"/>
      <c r="B3413" s="282"/>
      <c r="C3413" s="282"/>
      <c r="D3413" s="282"/>
      <c r="E3413" s="282"/>
      <c r="F3413" s="282"/>
      <c r="G3413" s="329"/>
      <c r="H3413" s="329"/>
      <c r="I3413" s="329"/>
      <c r="J3413" s="329"/>
      <c r="K3413" s="329"/>
      <c r="L3413" s="329"/>
      <c r="M3413" s="329"/>
      <c r="N3413" s="329"/>
      <c r="O3413" s="329"/>
      <c r="P3413" s="329"/>
      <c r="Q3413" s="329"/>
      <c r="R3413" s="329"/>
    </row>
    <row r="3414" spans="1:18" ht="13">
      <c r="A3414" s="282"/>
      <c r="B3414" s="282"/>
      <c r="C3414" s="282"/>
      <c r="D3414" s="282"/>
      <c r="E3414" s="282"/>
      <c r="F3414" s="282"/>
      <c r="G3414" s="329"/>
      <c r="H3414" s="329"/>
      <c r="I3414" s="329"/>
      <c r="J3414" s="329"/>
      <c r="K3414" s="329"/>
      <c r="L3414" s="329"/>
      <c r="M3414" s="329"/>
      <c r="N3414" s="329"/>
      <c r="O3414" s="329"/>
      <c r="P3414" s="329"/>
      <c r="Q3414" s="329"/>
      <c r="R3414" s="329"/>
    </row>
    <row r="3415" spans="1:18" ht="13">
      <c r="A3415" s="282"/>
      <c r="B3415" s="282"/>
      <c r="C3415" s="282"/>
      <c r="D3415" s="282"/>
      <c r="E3415" s="282"/>
      <c r="F3415" s="282"/>
      <c r="G3415" s="329"/>
      <c r="H3415" s="329"/>
      <c r="I3415" s="329"/>
      <c r="J3415" s="329"/>
      <c r="K3415" s="329"/>
      <c r="L3415" s="329"/>
      <c r="M3415" s="329"/>
      <c r="N3415" s="329"/>
      <c r="O3415" s="329"/>
      <c r="P3415" s="329"/>
      <c r="Q3415" s="329"/>
      <c r="R3415" s="329"/>
    </row>
    <row r="3416" spans="1:18" ht="13">
      <c r="A3416" s="282"/>
      <c r="B3416" s="282"/>
      <c r="C3416" s="282"/>
      <c r="D3416" s="282"/>
      <c r="E3416" s="282"/>
      <c r="F3416" s="282"/>
      <c r="G3416" s="329"/>
      <c r="H3416" s="329"/>
      <c r="I3416" s="329"/>
      <c r="J3416" s="329"/>
      <c r="K3416" s="329"/>
      <c r="L3416" s="329"/>
      <c r="M3416" s="329"/>
      <c r="N3416" s="329"/>
      <c r="O3416" s="329"/>
      <c r="P3416" s="329"/>
      <c r="Q3416" s="329"/>
      <c r="R3416" s="329"/>
    </row>
    <row r="3417" spans="1:18" ht="13">
      <c r="A3417" s="282"/>
      <c r="B3417" s="282"/>
      <c r="C3417" s="282"/>
      <c r="D3417" s="282"/>
      <c r="E3417" s="282"/>
      <c r="F3417" s="282"/>
      <c r="G3417" s="329"/>
      <c r="H3417" s="329"/>
      <c r="I3417" s="329"/>
      <c r="J3417" s="329"/>
      <c r="K3417" s="329"/>
      <c r="L3417" s="329"/>
      <c r="M3417" s="329"/>
      <c r="N3417" s="329"/>
      <c r="O3417" s="329"/>
      <c r="P3417" s="329"/>
      <c r="Q3417" s="329"/>
      <c r="R3417" s="329"/>
    </row>
    <row r="3418" spans="1:18" ht="13">
      <c r="A3418" s="282"/>
      <c r="B3418" s="282"/>
      <c r="C3418" s="282"/>
      <c r="D3418" s="282"/>
      <c r="E3418" s="282"/>
      <c r="F3418" s="282"/>
      <c r="G3418" s="329"/>
      <c r="H3418" s="329"/>
      <c r="I3418" s="329"/>
      <c r="J3418" s="329"/>
      <c r="K3418" s="329"/>
      <c r="L3418" s="329"/>
      <c r="M3418" s="329"/>
      <c r="N3418" s="329"/>
      <c r="O3418" s="329"/>
      <c r="P3418" s="329"/>
      <c r="Q3418" s="329"/>
      <c r="R3418" s="329"/>
    </row>
    <row r="3419" spans="1:18" ht="13">
      <c r="A3419" s="282"/>
      <c r="B3419" s="282"/>
      <c r="C3419" s="282"/>
      <c r="D3419" s="282"/>
      <c r="E3419" s="282"/>
      <c r="F3419" s="282"/>
      <c r="G3419" s="329"/>
      <c r="H3419" s="329"/>
      <c r="I3419" s="329"/>
      <c r="J3419" s="329"/>
      <c r="K3419" s="329"/>
      <c r="L3419" s="329"/>
      <c r="M3419" s="329"/>
      <c r="N3419" s="329"/>
      <c r="O3419" s="329"/>
      <c r="P3419" s="329"/>
      <c r="Q3419" s="329"/>
      <c r="R3419" s="329"/>
    </row>
    <row r="3420" spans="1:18" ht="13">
      <c r="A3420" s="282"/>
      <c r="B3420" s="282"/>
      <c r="C3420" s="282"/>
      <c r="D3420" s="282"/>
      <c r="E3420" s="282"/>
      <c r="F3420" s="282"/>
      <c r="G3420" s="329"/>
      <c r="H3420" s="329"/>
      <c r="I3420" s="329"/>
      <c r="J3420" s="329"/>
      <c r="K3420" s="329"/>
      <c r="L3420" s="329"/>
      <c r="M3420" s="329"/>
      <c r="N3420" s="329"/>
      <c r="O3420" s="329"/>
      <c r="P3420" s="329"/>
      <c r="Q3420" s="329"/>
      <c r="R3420" s="329"/>
    </row>
    <row r="3421" spans="1:18" ht="13">
      <c r="A3421" s="282"/>
      <c r="B3421" s="282"/>
      <c r="C3421" s="282"/>
      <c r="D3421" s="282"/>
      <c r="E3421" s="282"/>
      <c r="F3421" s="282"/>
      <c r="G3421" s="329"/>
      <c r="H3421" s="329"/>
      <c r="I3421" s="329"/>
      <c r="J3421" s="329"/>
      <c r="K3421" s="329"/>
      <c r="L3421" s="329"/>
      <c r="M3421" s="329"/>
      <c r="N3421" s="329"/>
      <c r="O3421" s="329"/>
      <c r="P3421" s="329"/>
      <c r="Q3421" s="329"/>
      <c r="R3421" s="329"/>
    </row>
    <row r="3422" spans="1:18" ht="13">
      <c r="A3422" s="282"/>
      <c r="B3422" s="282"/>
      <c r="C3422" s="282"/>
      <c r="D3422" s="282"/>
      <c r="E3422" s="282"/>
      <c r="F3422" s="282"/>
      <c r="G3422" s="329"/>
      <c r="H3422" s="329"/>
      <c r="I3422" s="329"/>
      <c r="J3422" s="329"/>
      <c r="K3422" s="329"/>
      <c r="L3422" s="329"/>
      <c r="M3422" s="329"/>
      <c r="N3422" s="329"/>
      <c r="O3422" s="329"/>
      <c r="P3422" s="329"/>
      <c r="Q3422" s="329"/>
      <c r="R3422" s="329"/>
    </row>
    <row r="3423" spans="1:18" ht="13">
      <c r="A3423" s="282"/>
      <c r="B3423" s="282"/>
      <c r="C3423" s="282"/>
      <c r="D3423" s="282"/>
      <c r="E3423" s="282"/>
      <c r="F3423" s="282"/>
      <c r="G3423" s="329"/>
      <c r="H3423" s="329"/>
      <c r="I3423" s="329"/>
      <c r="J3423" s="329"/>
      <c r="K3423" s="329"/>
      <c r="L3423" s="329"/>
      <c r="M3423" s="329"/>
      <c r="N3423" s="329"/>
      <c r="O3423" s="329"/>
      <c r="P3423" s="329"/>
      <c r="Q3423" s="329"/>
      <c r="R3423" s="329"/>
    </row>
    <row r="3424" spans="1:18" ht="13">
      <c r="A3424" s="282"/>
      <c r="B3424" s="282"/>
      <c r="C3424" s="282"/>
      <c r="D3424" s="282"/>
      <c r="E3424" s="282"/>
      <c r="F3424" s="282"/>
      <c r="G3424" s="329"/>
      <c r="H3424" s="329"/>
      <c r="I3424" s="329"/>
      <c r="J3424" s="329"/>
      <c r="K3424" s="329"/>
      <c r="L3424" s="329"/>
      <c r="M3424" s="329"/>
      <c r="N3424" s="329"/>
      <c r="O3424" s="329"/>
      <c r="P3424" s="329"/>
      <c r="Q3424" s="329"/>
      <c r="R3424" s="329"/>
    </row>
    <row r="3425" spans="1:18" ht="13">
      <c r="A3425" s="282"/>
      <c r="B3425" s="282"/>
      <c r="C3425" s="282"/>
      <c r="D3425" s="282"/>
      <c r="E3425" s="282"/>
      <c r="F3425" s="282"/>
      <c r="G3425" s="329"/>
      <c r="H3425" s="329"/>
      <c r="I3425" s="329"/>
      <c r="J3425" s="329"/>
      <c r="K3425" s="329"/>
      <c r="L3425" s="329"/>
      <c r="M3425" s="329"/>
      <c r="N3425" s="329"/>
      <c r="O3425" s="329"/>
      <c r="P3425" s="329"/>
      <c r="Q3425" s="329"/>
      <c r="R3425" s="329"/>
    </row>
    <row r="3426" spans="1:18" ht="13">
      <c r="A3426" s="282"/>
      <c r="B3426" s="282"/>
      <c r="C3426" s="282"/>
      <c r="D3426" s="282"/>
      <c r="E3426" s="282"/>
      <c r="F3426" s="282"/>
      <c r="G3426" s="329"/>
      <c r="H3426" s="329"/>
      <c r="I3426" s="329"/>
      <c r="J3426" s="329"/>
      <c r="K3426" s="329"/>
      <c r="L3426" s="329"/>
      <c r="M3426" s="329"/>
      <c r="N3426" s="329"/>
      <c r="O3426" s="329"/>
      <c r="P3426" s="329"/>
      <c r="Q3426" s="329"/>
      <c r="R3426" s="329"/>
    </row>
    <row r="3427" spans="1:18" ht="13">
      <c r="A3427" s="282"/>
      <c r="B3427" s="282"/>
      <c r="C3427" s="282"/>
      <c r="D3427" s="282"/>
      <c r="E3427" s="282"/>
      <c r="F3427" s="282"/>
      <c r="G3427" s="329"/>
      <c r="H3427" s="329"/>
      <c r="I3427" s="329"/>
      <c r="J3427" s="329"/>
      <c r="K3427" s="329"/>
      <c r="L3427" s="329"/>
      <c r="M3427" s="329"/>
      <c r="N3427" s="329"/>
      <c r="O3427" s="329"/>
      <c r="P3427" s="329"/>
      <c r="Q3427" s="329"/>
      <c r="R3427" s="329"/>
    </row>
    <row r="3428" spans="1:18" ht="13">
      <c r="A3428" s="282"/>
      <c r="B3428" s="282"/>
      <c r="C3428" s="282"/>
      <c r="D3428" s="282"/>
      <c r="E3428" s="282"/>
      <c r="F3428" s="282"/>
      <c r="G3428" s="329"/>
      <c r="H3428" s="329"/>
      <c r="I3428" s="329"/>
      <c r="J3428" s="329"/>
      <c r="K3428" s="329"/>
      <c r="L3428" s="329"/>
      <c r="M3428" s="329"/>
      <c r="N3428" s="329"/>
      <c r="O3428" s="329"/>
      <c r="P3428" s="329"/>
      <c r="Q3428" s="329"/>
      <c r="R3428" s="329"/>
    </row>
    <row r="3429" spans="1:18" ht="13">
      <c r="A3429" s="282"/>
      <c r="B3429" s="282"/>
      <c r="C3429" s="282"/>
      <c r="D3429" s="282"/>
      <c r="E3429" s="282"/>
      <c r="F3429" s="282"/>
      <c r="G3429" s="329"/>
      <c r="H3429" s="329"/>
      <c r="I3429" s="329"/>
      <c r="J3429" s="329"/>
      <c r="K3429" s="329"/>
      <c r="L3429" s="329"/>
      <c r="M3429" s="329"/>
      <c r="N3429" s="329"/>
      <c r="O3429" s="329"/>
      <c r="P3429" s="329"/>
      <c r="Q3429" s="329"/>
      <c r="R3429" s="329"/>
    </row>
    <row r="3430" spans="1:18" ht="13">
      <c r="A3430" s="282"/>
      <c r="B3430" s="282"/>
      <c r="C3430" s="282"/>
      <c r="D3430" s="282"/>
      <c r="E3430" s="282"/>
      <c r="F3430" s="282"/>
      <c r="G3430" s="329"/>
      <c r="H3430" s="329"/>
      <c r="I3430" s="329"/>
      <c r="J3430" s="329"/>
      <c r="K3430" s="329"/>
      <c r="L3430" s="329"/>
      <c r="M3430" s="329"/>
      <c r="N3430" s="329"/>
      <c r="O3430" s="329"/>
      <c r="P3430" s="329"/>
      <c r="Q3430" s="329"/>
      <c r="R3430" s="329"/>
    </row>
    <row r="3431" spans="1:18" ht="13">
      <c r="A3431" s="282"/>
      <c r="B3431" s="282"/>
      <c r="C3431" s="282"/>
      <c r="D3431" s="282"/>
      <c r="E3431" s="282"/>
      <c r="F3431" s="282"/>
      <c r="G3431" s="329"/>
      <c r="H3431" s="329"/>
      <c r="I3431" s="329"/>
      <c r="J3431" s="329"/>
      <c r="K3431" s="329"/>
      <c r="L3431" s="329"/>
      <c r="M3431" s="329"/>
      <c r="N3431" s="329"/>
      <c r="O3431" s="329"/>
      <c r="P3431" s="329"/>
      <c r="Q3431" s="329"/>
      <c r="R3431" s="329"/>
    </row>
    <row r="3432" spans="1:18" ht="13">
      <c r="A3432" s="282"/>
      <c r="B3432" s="282"/>
      <c r="C3432" s="282"/>
      <c r="D3432" s="282"/>
      <c r="E3432" s="282"/>
      <c r="F3432" s="282"/>
      <c r="G3432" s="329"/>
      <c r="H3432" s="329"/>
      <c r="I3432" s="329"/>
      <c r="J3432" s="329"/>
      <c r="K3432" s="329"/>
      <c r="L3432" s="329"/>
      <c r="M3432" s="329"/>
      <c r="N3432" s="329"/>
      <c r="O3432" s="329"/>
      <c r="P3432" s="329"/>
      <c r="Q3432" s="329"/>
      <c r="R3432" s="329"/>
    </row>
    <row r="3433" spans="1:18" ht="13">
      <c r="A3433" s="282"/>
      <c r="B3433" s="282"/>
      <c r="C3433" s="282"/>
      <c r="D3433" s="282"/>
      <c r="E3433" s="282"/>
      <c r="F3433" s="282"/>
      <c r="G3433" s="329"/>
      <c r="H3433" s="329"/>
      <c r="I3433" s="329"/>
      <c r="J3433" s="329"/>
      <c r="K3433" s="329"/>
      <c r="L3433" s="329"/>
      <c r="M3433" s="329"/>
      <c r="N3433" s="329"/>
      <c r="O3433" s="329"/>
      <c r="P3433" s="329"/>
      <c r="Q3433" s="329"/>
      <c r="R3433" s="329"/>
    </row>
    <row r="3434" spans="1:18" ht="13">
      <c r="A3434" s="282"/>
      <c r="B3434" s="282"/>
      <c r="C3434" s="282"/>
      <c r="D3434" s="282"/>
      <c r="E3434" s="282"/>
      <c r="F3434" s="282"/>
      <c r="G3434" s="329"/>
      <c r="H3434" s="329"/>
      <c r="I3434" s="329"/>
      <c r="J3434" s="329"/>
      <c r="K3434" s="329"/>
      <c r="L3434" s="329"/>
      <c r="M3434" s="329"/>
      <c r="N3434" s="329"/>
      <c r="O3434" s="329"/>
      <c r="P3434" s="329"/>
      <c r="Q3434" s="329"/>
      <c r="R3434" s="329"/>
    </row>
    <row r="3435" spans="1:18" ht="13">
      <c r="A3435" s="282"/>
      <c r="B3435" s="282"/>
      <c r="C3435" s="282"/>
      <c r="D3435" s="282"/>
      <c r="E3435" s="282"/>
      <c r="F3435" s="282"/>
      <c r="G3435" s="329"/>
      <c r="H3435" s="329"/>
      <c r="I3435" s="329"/>
      <c r="J3435" s="329"/>
      <c r="K3435" s="329"/>
      <c r="L3435" s="329"/>
      <c r="M3435" s="329"/>
      <c r="N3435" s="329"/>
      <c r="O3435" s="329"/>
      <c r="P3435" s="329"/>
      <c r="Q3435" s="329"/>
      <c r="R3435" s="329"/>
    </row>
    <row r="3436" spans="1:18" ht="13">
      <c r="A3436" s="282"/>
      <c r="B3436" s="282"/>
      <c r="C3436" s="282"/>
      <c r="D3436" s="282"/>
      <c r="E3436" s="282"/>
      <c r="F3436" s="282"/>
      <c r="G3436" s="329"/>
      <c r="H3436" s="329"/>
      <c r="I3436" s="329"/>
      <c r="J3436" s="329"/>
      <c r="K3436" s="329"/>
      <c r="L3436" s="329"/>
      <c r="M3436" s="329"/>
      <c r="N3436" s="329"/>
      <c r="O3436" s="329"/>
      <c r="P3436" s="329"/>
      <c r="Q3436" s="329"/>
      <c r="R3436" s="329"/>
    </row>
    <row r="3437" spans="1:18" ht="13">
      <c r="A3437" s="282"/>
      <c r="B3437" s="282"/>
      <c r="C3437" s="282"/>
      <c r="D3437" s="282"/>
      <c r="E3437" s="282"/>
      <c r="F3437" s="282"/>
      <c r="G3437" s="329"/>
      <c r="H3437" s="329"/>
      <c r="I3437" s="329"/>
      <c r="J3437" s="329"/>
      <c r="K3437" s="329"/>
      <c r="L3437" s="329"/>
      <c r="M3437" s="329"/>
      <c r="N3437" s="329"/>
      <c r="O3437" s="329"/>
      <c r="P3437" s="329"/>
      <c r="Q3437" s="329"/>
      <c r="R3437" s="329"/>
    </row>
    <row r="3438" spans="1:18" ht="13">
      <c r="A3438" s="282"/>
      <c r="B3438" s="282"/>
      <c r="C3438" s="282"/>
      <c r="D3438" s="282"/>
      <c r="E3438" s="282"/>
      <c r="F3438" s="282"/>
      <c r="G3438" s="329"/>
      <c r="H3438" s="329"/>
      <c r="I3438" s="329"/>
      <c r="J3438" s="329"/>
      <c r="K3438" s="329"/>
      <c r="L3438" s="329"/>
      <c r="M3438" s="329"/>
      <c r="N3438" s="329"/>
      <c r="O3438" s="329"/>
      <c r="P3438" s="329"/>
      <c r="Q3438" s="329"/>
      <c r="R3438" s="329"/>
    </row>
    <row r="3439" spans="1:18" ht="13">
      <c r="A3439" s="282"/>
      <c r="B3439" s="282"/>
      <c r="C3439" s="282"/>
      <c r="D3439" s="282"/>
      <c r="E3439" s="282"/>
      <c r="F3439" s="282"/>
      <c r="G3439" s="329"/>
      <c r="H3439" s="329"/>
      <c r="I3439" s="329"/>
      <c r="J3439" s="329"/>
      <c r="K3439" s="329"/>
      <c r="L3439" s="329"/>
      <c r="M3439" s="329"/>
      <c r="N3439" s="329"/>
      <c r="O3439" s="329"/>
      <c r="P3439" s="329"/>
      <c r="Q3439" s="329"/>
      <c r="R3439" s="329"/>
    </row>
    <row r="3440" spans="1:18" ht="13">
      <c r="A3440" s="282"/>
      <c r="B3440" s="282"/>
      <c r="C3440" s="282"/>
      <c r="D3440" s="282"/>
      <c r="E3440" s="282"/>
      <c r="F3440" s="282"/>
      <c r="G3440" s="329"/>
      <c r="H3440" s="329"/>
      <c r="I3440" s="329"/>
      <c r="J3440" s="329"/>
      <c r="K3440" s="329"/>
      <c r="L3440" s="329"/>
      <c r="M3440" s="329"/>
      <c r="N3440" s="329"/>
      <c r="O3440" s="329"/>
      <c r="P3440" s="329"/>
      <c r="Q3440" s="329"/>
      <c r="R3440" s="329"/>
    </row>
    <row r="3441" spans="1:18" ht="13">
      <c r="A3441" s="282"/>
      <c r="B3441" s="282"/>
      <c r="C3441" s="282"/>
      <c r="D3441" s="282"/>
      <c r="E3441" s="282"/>
      <c r="F3441" s="282"/>
      <c r="G3441" s="329"/>
      <c r="H3441" s="329"/>
      <c r="I3441" s="329"/>
      <c r="J3441" s="329"/>
      <c r="K3441" s="329"/>
      <c r="L3441" s="329"/>
      <c r="M3441" s="329"/>
      <c r="N3441" s="329"/>
      <c r="O3441" s="329"/>
      <c r="P3441" s="329"/>
      <c r="Q3441" s="329"/>
      <c r="R3441" s="329"/>
    </row>
    <row r="3442" spans="1:18" ht="13">
      <c r="A3442" s="282"/>
      <c r="B3442" s="282"/>
      <c r="C3442" s="282"/>
      <c r="D3442" s="282"/>
      <c r="E3442" s="282"/>
      <c r="F3442" s="282"/>
      <c r="G3442" s="329"/>
      <c r="H3442" s="329"/>
      <c r="I3442" s="329"/>
      <c r="J3442" s="329"/>
      <c r="K3442" s="329"/>
      <c r="L3442" s="329"/>
      <c r="M3442" s="329"/>
      <c r="N3442" s="329"/>
      <c r="O3442" s="329"/>
      <c r="P3442" s="329"/>
      <c r="Q3442" s="329"/>
      <c r="R3442" s="329"/>
    </row>
    <row r="3443" spans="1:18" ht="13">
      <c r="A3443" s="282"/>
      <c r="B3443" s="282"/>
      <c r="C3443" s="282"/>
      <c r="D3443" s="282"/>
      <c r="E3443" s="282"/>
      <c r="F3443" s="282"/>
      <c r="G3443" s="329"/>
      <c r="H3443" s="329"/>
      <c r="I3443" s="329"/>
      <c r="J3443" s="329"/>
      <c r="K3443" s="329"/>
      <c r="L3443" s="329"/>
      <c r="M3443" s="329"/>
      <c r="N3443" s="329"/>
      <c r="O3443" s="329"/>
      <c r="P3443" s="329"/>
      <c r="Q3443" s="329"/>
      <c r="R3443" s="329"/>
    </row>
    <row r="3444" spans="1:18" ht="13">
      <c r="A3444" s="282"/>
      <c r="B3444" s="282"/>
      <c r="C3444" s="282"/>
      <c r="D3444" s="282"/>
      <c r="E3444" s="282"/>
      <c r="F3444" s="282"/>
      <c r="G3444" s="329"/>
      <c r="H3444" s="329"/>
      <c r="I3444" s="329"/>
      <c r="J3444" s="329"/>
      <c r="K3444" s="329"/>
      <c r="L3444" s="329"/>
      <c r="M3444" s="329"/>
      <c r="N3444" s="329"/>
      <c r="O3444" s="329"/>
      <c r="P3444" s="329"/>
      <c r="Q3444" s="329"/>
      <c r="R3444" s="329"/>
    </row>
    <row r="3445" spans="1:18" ht="13">
      <c r="A3445" s="282"/>
      <c r="B3445" s="282"/>
      <c r="C3445" s="282"/>
      <c r="D3445" s="282"/>
      <c r="E3445" s="282"/>
      <c r="F3445" s="282"/>
      <c r="G3445" s="329"/>
      <c r="H3445" s="329"/>
      <c r="I3445" s="329"/>
      <c r="J3445" s="329"/>
      <c r="K3445" s="329"/>
      <c r="L3445" s="329"/>
      <c r="M3445" s="329"/>
      <c r="N3445" s="329"/>
      <c r="O3445" s="329"/>
      <c r="P3445" s="329"/>
      <c r="Q3445" s="329"/>
      <c r="R3445" s="329"/>
    </row>
    <row r="3446" spans="1:18" ht="13">
      <c r="A3446" s="282"/>
      <c r="B3446" s="282"/>
      <c r="C3446" s="282"/>
      <c r="D3446" s="282"/>
      <c r="E3446" s="282"/>
      <c r="F3446" s="282"/>
      <c r="G3446" s="329"/>
      <c r="H3446" s="329"/>
      <c r="I3446" s="329"/>
      <c r="J3446" s="329"/>
      <c r="K3446" s="329"/>
      <c r="L3446" s="329"/>
      <c r="M3446" s="329"/>
      <c r="N3446" s="329"/>
      <c r="O3446" s="329"/>
      <c r="P3446" s="329"/>
      <c r="Q3446" s="329"/>
      <c r="R3446" s="329"/>
    </row>
    <row r="3447" spans="1:18" ht="13">
      <c r="A3447" s="282"/>
      <c r="B3447" s="282"/>
      <c r="C3447" s="282"/>
      <c r="D3447" s="282"/>
      <c r="E3447" s="282"/>
      <c r="F3447" s="282"/>
      <c r="G3447" s="329"/>
      <c r="H3447" s="329"/>
      <c r="I3447" s="329"/>
      <c r="J3447" s="329"/>
      <c r="K3447" s="329"/>
      <c r="L3447" s="329"/>
      <c r="M3447" s="329"/>
      <c r="N3447" s="329"/>
      <c r="O3447" s="329"/>
      <c r="P3447" s="329"/>
      <c r="Q3447" s="329"/>
      <c r="R3447" s="329"/>
    </row>
    <row r="3448" spans="1:18" ht="13">
      <c r="A3448" s="282"/>
      <c r="B3448" s="282"/>
      <c r="C3448" s="282"/>
      <c r="D3448" s="282"/>
      <c r="E3448" s="282"/>
      <c r="F3448" s="282"/>
      <c r="G3448" s="329"/>
      <c r="H3448" s="329"/>
      <c r="I3448" s="329"/>
      <c r="J3448" s="329"/>
      <c r="K3448" s="329"/>
      <c r="L3448" s="329"/>
      <c r="M3448" s="329"/>
      <c r="N3448" s="329"/>
      <c r="O3448" s="329"/>
      <c r="P3448" s="329"/>
      <c r="Q3448" s="329"/>
      <c r="R3448" s="329"/>
    </row>
    <row r="3449" spans="1:18" ht="13">
      <c r="A3449" s="282"/>
      <c r="B3449" s="282"/>
      <c r="C3449" s="282"/>
      <c r="D3449" s="282"/>
      <c r="E3449" s="282"/>
      <c r="F3449" s="282"/>
      <c r="G3449" s="329"/>
      <c r="H3449" s="329"/>
      <c r="I3449" s="329"/>
      <c r="J3449" s="329"/>
      <c r="K3449" s="329"/>
      <c r="L3449" s="329"/>
      <c r="M3449" s="329"/>
      <c r="N3449" s="329"/>
      <c r="O3449" s="329"/>
      <c r="P3449" s="329"/>
      <c r="Q3449" s="329"/>
      <c r="R3449" s="329"/>
    </row>
    <row r="3450" spans="1:18" ht="13">
      <c r="A3450" s="282"/>
      <c r="B3450" s="282"/>
      <c r="C3450" s="282"/>
      <c r="D3450" s="282"/>
      <c r="E3450" s="282"/>
      <c r="F3450" s="282"/>
      <c r="G3450" s="329"/>
      <c r="H3450" s="329"/>
      <c r="I3450" s="329"/>
      <c r="J3450" s="329"/>
      <c r="K3450" s="329"/>
      <c r="L3450" s="329"/>
      <c r="M3450" s="329"/>
      <c r="N3450" s="329"/>
      <c r="O3450" s="329"/>
      <c r="P3450" s="329"/>
      <c r="Q3450" s="329"/>
      <c r="R3450" s="329"/>
    </row>
    <row r="3451" spans="1:18" ht="13">
      <c r="A3451" s="282"/>
      <c r="B3451" s="282"/>
      <c r="C3451" s="282"/>
      <c r="D3451" s="282"/>
      <c r="E3451" s="282"/>
      <c r="F3451" s="282"/>
      <c r="G3451" s="329"/>
      <c r="H3451" s="329"/>
      <c r="I3451" s="329"/>
      <c r="J3451" s="329"/>
      <c r="K3451" s="329"/>
      <c r="L3451" s="329"/>
      <c r="M3451" s="329"/>
      <c r="N3451" s="329"/>
      <c r="O3451" s="329"/>
      <c r="P3451" s="329"/>
      <c r="Q3451" s="329"/>
      <c r="R3451" s="329"/>
    </row>
    <row r="3452" spans="1:18" ht="13">
      <c r="A3452" s="282"/>
      <c r="B3452" s="282"/>
      <c r="C3452" s="282"/>
      <c r="D3452" s="282"/>
      <c r="E3452" s="282"/>
      <c r="F3452" s="282"/>
      <c r="G3452" s="329"/>
      <c r="H3452" s="329"/>
      <c r="I3452" s="329"/>
      <c r="J3452" s="329"/>
      <c r="K3452" s="329"/>
      <c r="L3452" s="329"/>
      <c r="M3452" s="329"/>
      <c r="N3452" s="329"/>
      <c r="O3452" s="329"/>
      <c r="P3452" s="329"/>
      <c r="Q3452" s="329"/>
      <c r="R3452" s="329"/>
    </row>
    <row r="3453" spans="1:18" ht="13">
      <c r="A3453" s="282"/>
      <c r="B3453" s="282"/>
      <c r="C3453" s="282"/>
      <c r="D3453" s="282"/>
      <c r="E3453" s="282"/>
      <c r="F3453" s="282"/>
      <c r="G3453" s="329"/>
      <c r="H3453" s="329"/>
      <c r="I3453" s="329"/>
      <c r="J3453" s="329"/>
      <c r="K3453" s="329"/>
      <c r="L3453" s="329"/>
      <c r="M3453" s="329"/>
      <c r="N3453" s="329"/>
      <c r="O3453" s="329"/>
      <c r="P3453" s="329"/>
      <c r="Q3453" s="329"/>
      <c r="R3453" s="329"/>
    </row>
    <row r="3454" spans="1:18" ht="13">
      <c r="A3454" s="282"/>
      <c r="B3454" s="282"/>
      <c r="C3454" s="282"/>
      <c r="D3454" s="282"/>
      <c r="E3454" s="282"/>
      <c r="F3454" s="282"/>
      <c r="G3454" s="329"/>
      <c r="H3454" s="329"/>
      <c r="I3454" s="329"/>
      <c r="J3454" s="329"/>
      <c r="K3454" s="329"/>
      <c r="L3454" s="329"/>
      <c r="M3454" s="329"/>
      <c r="N3454" s="329"/>
      <c r="O3454" s="329"/>
      <c r="P3454" s="329"/>
      <c r="Q3454" s="329"/>
      <c r="R3454" s="329"/>
    </row>
    <row r="3455" spans="1:18" ht="13">
      <c r="A3455" s="282"/>
      <c r="B3455" s="282"/>
      <c r="C3455" s="282"/>
      <c r="D3455" s="282"/>
      <c r="E3455" s="282"/>
      <c r="F3455" s="282"/>
      <c r="G3455" s="329"/>
      <c r="H3455" s="329"/>
      <c r="I3455" s="329"/>
      <c r="J3455" s="329"/>
      <c r="K3455" s="329"/>
      <c r="L3455" s="329"/>
      <c r="M3455" s="329"/>
      <c r="N3455" s="329"/>
      <c r="O3455" s="329"/>
      <c r="P3455" s="329"/>
      <c r="Q3455" s="329"/>
      <c r="R3455" s="329"/>
    </row>
    <row r="3456" spans="1:18" ht="13">
      <c r="A3456" s="282"/>
      <c r="B3456" s="282"/>
      <c r="C3456" s="282"/>
      <c r="D3456" s="282"/>
      <c r="E3456" s="282"/>
      <c r="F3456" s="282"/>
      <c r="G3456" s="329"/>
      <c r="H3456" s="329"/>
      <c r="I3456" s="329"/>
      <c r="J3456" s="329"/>
      <c r="K3456" s="329"/>
      <c r="L3456" s="329"/>
      <c r="M3456" s="329"/>
      <c r="N3456" s="329"/>
      <c r="O3456" s="329"/>
      <c r="P3456" s="329"/>
      <c r="Q3456" s="329"/>
      <c r="R3456" s="329"/>
    </row>
    <row r="3457" spans="1:18" ht="13">
      <c r="A3457" s="282"/>
      <c r="B3457" s="282"/>
      <c r="C3457" s="282"/>
      <c r="D3457" s="282"/>
      <c r="E3457" s="282"/>
      <c r="F3457" s="282"/>
      <c r="G3457" s="329"/>
      <c r="H3457" s="329"/>
      <c r="I3457" s="329"/>
      <c r="J3457" s="329"/>
      <c r="K3457" s="329"/>
      <c r="L3457" s="329"/>
      <c r="M3457" s="329"/>
      <c r="N3457" s="329"/>
      <c r="O3457" s="329"/>
      <c r="P3457" s="329"/>
      <c r="Q3457" s="329"/>
      <c r="R3457" s="329"/>
    </row>
    <row r="3458" spans="1:18" ht="13">
      <c r="A3458" s="282"/>
      <c r="B3458" s="282"/>
      <c r="C3458" s="282"/>
      <c r="D3458" s="282"/>
      <c r="E3458" s="282"/>
      <c r="F3458" s="282"/>
      <c r="G3458" s="329"/>
      <c r="H3458" s="329"/>
      <c r="I3458" s="329"/>
      <c r="J3458" s="329"/>
      <c r="K3458" s="329"/>
      <c r="L3458" s="329"/>
      <c r="M3458" s="329"/>
      <c r="N3458" s="329"/>
      <c r="O3458" s="329"/>
      <c r="P3458" s="329"/>
      <c r="Q3458" s="329"/>
      <c r="R3458" s="329"/>
    </row>
    <row r="3459" spans="1:18" ht="13">
      <c r="A3459" s="282"/>
      <c r="B3459" s="282"/>
      <c r="C3459" s="282"/>
      <c r="D3459" s="282"/>
      <c r="E3459" s="282"/>
      <c r="F3459" s="282"/>
      <c r="G3459" s="329"/>
      <c r="H3459" s="329"/>
      <c r="I3459" s="329"/>
      <c r="J3459" s="329"/>
      <c r="K3459" s="329"/>
      <c r="L3459" s="329"/>
      <c r="M3459" s="329"/>
      <c r="N3459" s="329"/>
      <c r="O3459" s="329"/>
      <c r="P3459" s="329"/>
      <c r="Q3459" s="329"/>
      <c r="R3459" s="329"/>
    </row>
    <row r="3460" spans="1:18" ht="13">
      <c r="A3460" s="282"/>
      <c r="B3460" s="282"/>
      <c r="C3460" s="282"/>
      <c r="D3460" s="282"/>
      <c r="E3460" s="282"/>
      <c r="F3460" s="282"/>
      <c r="G3460" s="329"/>
      <c r="H3460" s="329"/>
      <c r="I3460" s="329"/>
      <c r="J3460" s="329"/>
      <c r="K3460" s="329"/>
      <c r="L3460" s="329"/>
      <c r="M3460" s="329"/>
      <c r="N3460" s="329"/>
      <c r="O3460" s="329"/>
      <c r="P3460" s="329"/>
      <c r="Q3460" s="329"/>
      <c r="R3460" s="329"/>
    </row>
    <row r="3461" spans="1:18" ht="13">
      <c r="A3461" s="282"/>
      <c r="B3461" s="282"/>
      <c r="C3461" s="282"/>
      <c r="D3461" s="282"/>
      <c r="E3461" s="282"/>
      <c r="F3461" s="282"/>
      <c r="G3461" s="329"/>
      <c r="H3461" s="329"/>
      <c r="I3461" s="329"/>
      <c r="J3461" s="329"/>
      <c r="K3461" s="329"/>
      <c r="L3461" s="329"/>
      <c r="M3461" s="329"/>
      <c r="N3461" s="329"/>
      <c r="O3461" s="329"/>
      <c r="P3461" s="329"/>
      <c r="Q3461" s="329"/>
      <c r="R3461" s="329"/>
    </row>
    <row r="3462" spans="1:18" ht="13">
      <c r="A3462" s="282"/>
      <c r="B3462" s="282"/>
      <c r="C3462" s="282"/>
      <c r="D3462" s="282"/>
      <c r="E3462" s="282"/>
      <c r="F3462" s="282"/>
      <c r="G3462" s="329"/>
      <c r="H3462" s="329"/>
      <c r="I3462" s="329"/>
      <c r="J3462" s="329"/>
      <c r="K3462" s="329"/>
      <c r="L3462" s="329"/>
      <c r="M3462" s="329"/>
      <c r="N3462" s="329"/>
      <c r="O3462" s="329"/>
      <c r="P3462" s="329"/>
      <c r="Q3462" s="329"/>
      <c r="R3462" s="329"/>
    </row>
    <row r="3463" spans="1:18" ht="13">
      <c r="A3463" s="282"/>
      <c r="B3463" s="282"/>
      <c r="C3463" s="282"/>
      <c r="D3463" s="282"/>
      <c r="E3463" s="282"/>
      <c r="F3463" s="282"/>
      <c r="G3463" s="329"/>
      <c r="H3463" s="329"/>
      <c r="I3463" s="329"/>
      <c r="J3463" s="329"/>
      <c r="K3463" s="329"/>
      <c r="L3463" s="329"/>
      <c r="M3463" s="329"/>
      <c r="N3463" s="329"/>
      <c r="O3463" s="329"/>
      <c r="P3463" s="329"/>
      <c r="Q3463" s="329"/>
      <c r="R3463" s="329"/>
    </row>
    <row r="3464" spans="1:18" ht="13">
      <c r="A3464" s="282"/>
      <c r="B3464" s="282"/>
      <c r="C3464" s="282"/>
      <c r="D3464" s="282"/>
      <c r="E3464" s="282"/>
      <c r="F3464" s="282"/>
      <c r="G3464" s="329"/>
      <c r="H3464" s="329"/>
      <c r="I3464" s="329"/>
      <c r="J3464" s="329"/>
      <c r="K3464" s="329"/>
      <c r="L3464" s="329"/>
      <c r="M3464" s="329"/>
      <c r="N3464" s="329"/>
      <c r="O3464" s="329"/>
      <c r="P3464" s="329"/>
      <c r="Q3464" s="329"/>
      <c r="R3464" s="329"/>
    </row>
    <row r="3465" spans="1:18" ht="13">
      <c r="A3465" s="282"/>
      <c r="B3465" s="282"/>
      <c r="C3465" s="282"/>
      <c r="D3465" s="282"/>
      <c r="E3465" s="282"/>
      <c r="F3465" s="282"/>
      <c r="G3465" s="329"/>
      <c r="H3465" s="329"/>
      <c r="I3465" s="329"/>
      <c r="J3465" s="329"/>
      <c r="K3465" s="329"/>
      <c r="L3465" s="329"/>
      <c r="M3465" s="329"/>
      <c r="N3465" s="329"/>
      <c r="O3465" s="329"/>
      <c r="P3465" s="329"/>
      <c r="Q3465" s="329"/>
      <c r="R3465" s="329"/>
    </row>
    <row r="3466" spans="1:18" ht="13">
      <c r="A3466" s="282"/>
      <c r="B3466" s="282"/>
      <c r="C3466" s="282"/>
      <c r="D3466" s="282"/>
      <c r="E3466" s="282"/>
      <c r="F3466" s="282"/>
      <c r="G3466" s="329"/>
      <c r="H3466" s="329"/>
      <c r="I3466" s="329"/>
      <c r="J3466" s="329"/>
      <c r="K3466" s="329"/>
      <c r="L3466" s="329"/>
      <c r="M3466" s="329"/>
      <c r="N3466" s="329"/>
      <c r="O3466" s="329"/>
      <c r="P3466" s="329"/>
      <c r="Q3466" s="329"/>
      <c r="R3466" s="329"/>
    </row>
    <row r="3467" spans="1:18" ht="13">
      <c r="A3467" s="282"/>
      <c r="B3467" s="282"/>
      <c r="C3467" s="282"/>
      <c r="D3467" s="282"/>
      <c r="E3467" s="282"/>
      <c r="F3467" s="282"/>
      <c r="G3467" s="329"/>
      <c r="H3467" s="329"/>
      <c r="I3467" s="329"/>
      <c r="J3467" s="329"/>
      <c r="K3467" s="329"/>
      <c r="L3467" s="329"/>
      <c r="M3467" s="329"/>
      <c r="N3467" s="329"/>
      <c r="O3467" s="329"/>
      <c r="P3467" s="329"/>
      <c r="Q3467" s="329"/>
      <c r="R3467" s="329"/>
    </row>
    <row r="3468" spans="1:18" ht="13">
      <c r="A3468" s="282"/>
      <c r="B3468" s="282"/>
      <c r="C3468" s="282"/>
      <c r="D3468" s="282"/>
      <c r="E3468" s="282"/>
      <c r="F3468" s="282"/>
      <c r="G3468" s="329"/>
      <c r="H3468" s="329"/>
      <c r="I3468" s="329"/>
      <c r="J3468" s="329"/>
      <c r="K3468" s="329"/>
      <c r="L3468" s="329"/>
      <c r="M3468" s="329"/>
      <c r="N3468" s="329"/>
      <c r="O3468" s="329"/>
      <c r="P3468" s="329"/>
      <c r="Q3468" s="329"/>
      <c r="R3468" s="329"/>
    </row>
    <row r="3469" spans="1:18" ht="13">
      <c r="A3469" s="282"/>
      <c r="B3469" s="282"/>
      <c r="C3469" s="282"/>
      <c r="D3469" s="282"/>
      <c r="E3469" s="282"/>
      <c r="F3469" s="282"/>
      <c r="G3469" s="329"/>
      <c r="H3469" s="329"/>
      <c r="I3469" s="329"/>
      <c r="J3469" s="329"/>
      <c r="K3469" s="329"/>
      <c r="L3469" s="329"/>
      <c r="M3469" s="329"/>
      <c r="N3469" s="329"/>
      <c r="O3469" s="329"/>
      <c r="P3469" s="329"/>
      <c r="Q3469" s="329"/>
      <c r="R3469" s="329"/>
    </row>
    <row r="3470" spans="1:18" ht="13">
      <c r="A3470" s="282"/>
      <c r="B3470" s="282"/>
      <c r="C3470" s="282"/>
      <c r="D3470" s="282"/>
      <c r="E3470" s="282"/>
      <c r="F3470" s="282"/>
      <c r="G3470" s="329"/>
      <c r="H3470" s="329"/>
      <c r="I3470" s="329"/>
      <c r="J3470" s="329"/>
      <c r="K3470" s="329"/>
      <c r="L3470" s="329"/>
      <c r="M3470" s="329"/>
      <c r="N3470" s="329"/>
      <c r="O3470" s="329"/>
      <c r="P3470" s="329"/>
      <c r="Q3470" s="329"/>
      <c r="R3470" s="329"/>
    </row>
    <row r="3471" spans="1:18" ht="13">
      <c r="A3471" s="282"/>
      <c r="B3471" s="282"/>
      <c r="C3471" s="282"/>
      <c r="D3471" s="282"/>
      <c r="E3471" s="282"/>
      <c r="F3471" s="282"/>
      <c r="G3471" s="329"/>
      <c r="H3471" s="329"/>
      <c r="I3471" s="329"/>
      <c r="J3471" s="329"/>
      <c r="K3471" s="329"/>
      <c r="L3471" s="329"/>
      <c r="M3471" s="329"/>
      <c r="N3471" s="329"/>
      <c r="O3471" s="329"/>
      <c r="P3471" s="329"/>
      <c r="Q3471" s="329"/>
      <c r="R3471" s="329"/>
    </row>
    <row r="3472" spans="1:18" ht="13">
      <c r="A3472" s="282"/>
      <c r="B3472" s="282"/>
      <c r="C3472" s="282"/>
      <c r="D3472" s="282"/>
      <c r="E3472" s="282"/>
      <c r="F3472" s="282"/>
      <c r="G3472" s="329"/>
      <c r="H3472" s="329"/>
      <c r="I3472" s="329"/>
      <c r="J3472" s="329"/>
      <c r="K3472" s="329"/>
      <c r="L3472" s="329"/>
      <c r="M3472" s="329"/>
      <c r="N3472" s="329"/>
      <c r="O3472" s="329"/>
      <c r="P3472" s="329"/>
      <c r="Q3472" s="329"/>
      <c r="R3472" s="329"/>
    </row>
    <row r="3473" spans="1:18" ht="13">
      <c r="A3473" s="282"/>
      <c r="B3473" s="282"/>
      <c r="C3473" s="282"/>
      <c r="D3473" s="282"/>
      <c r="E3473" s="282"/>
      <c r="F3473" s="282"/>
      <c r="G3473" s="329"/>
      <c r="H3473" s="329"/>
      <c r="I3473" s="329"/>
      <c r="J3473" s="329"/>
      <c r="K3473" s="329"/>
      <c r="L3473" s="329"/>
      <c r="M3473" s="329"/>
      <c r="N3473" s="329"/>
      <c r="O3473" s="329"/>
      <c r="P3473" s="329"/>
      <c r="Q3473" s="329"/>
      <c r="R3473" s="329"/>
    </row>
    <row r="3474" spans="1:18" ht="13">
      <c r="A3474" s="282"/>
      <c r="B3474" s="282"/>
      <c r="C3474" s="282"/>
      <c r="D3474" s="282"/>
      <c r="E3474" s="282"/>
      <c r="F3474" s="282"/>
      <c r="G3474" s="329"/>
      <c r="H3474" s="329"/>
      <c r="I3474" s="329"/>
      <c r="J3474" s="329"/>
      <c r="K3474" s="329"/>
      <c r="L3474" s="329"/>
      <c r="M3474" s="329"/>
      <c r="N3474" s="329"/>
      <c r="O3474" s="329"/>
      <c r="P3474" s="329"/>
      <c r="Q3474" s="329"/>
      <c r="R3474" s="329"/>
    </row>
    <row r="3475" spans="1:18" ht="13">
      <c r="A3475" s="282"/>
      <c r="B3475" s="282"/>
      <c r="C3475" s="282"/>
      <c r="D3475" s="282"/>
      <c r="E3475" s="282"/>
      <c r="F3475" s="282"/>
      <c r="G3475" s="329"/>
      <c r="H3475" s="329"/>
      <c r="I3475" s="329"/>
      <c r="J3475" s="329"/>
      <c r="K3475" s="329"/>
      <c r="L3475" s="329"/>
      <c r="M3475" s="329"/>
      <c r="N3475" s="329"/>
      <c r="O3475" s="329"/>
      <c r="P3475" s="329"/>
      <c r="Q3475" s="329"/>
      <c r="R3475" s="329"/>
    </row>
    <row r="3476" spans="1:18" ht="13">
      <c r="A3476" s="282"/>
      <c r="B3476" s="282"/>
      <c r="C3476" s="282"/>
      <c r="D3476" s="282"/>
      <c r="E3476" s="282"/>
      <c r="F3476" s="282"/>
      <c r="G3476" s="329"/>
      <c r="H3476" s="329"/>
      <c r="I3476" s="329"/>
      <c r="J3476" s="329"/>
      <c r="K3476" s="329"/>
      <c r="L3476" s="329"/>
      <c r="M3476" s="329"/>
      <c r="N3476" s="329"/>
      <c r="O3476" s="329"/>
      <c r="P3476" s="329"/>
      <c r="Q3476" s="329"/>
      <c r="R3476" s="329"/>
    </row>
    <row r="3477" spans="1:18" ht="13">
      <c r="A3477" s="282"/>
      <c r="B3477" s="282"/>
      <c r="C3477" s="282"/>
      <c r="D3477" s="282"/>
      <c r="E3477" s="282"/>
      <c r="F3477" s="282"/>
      <c r="G3477" s="329"/>
      <c r="H3477" s="329"/>
      <c r="I3477" s="329"/>
      <c r="J3477" s="329"/>
      <c r="K3477" s="329"/>
      <c r="L3477" s="329"/>
      <c r="M3477" s="329"/>
      <c r="N3477" s="329"/>
      <c r="O3477" s="329"/>
      <c r="P3477" s="329"/>
      <c r="Q3477" s="329"/>
      <c r="R3477" s="329"/>
    </row>
    <row r="3478" spans="1:18" ht="13">
      <c r="A3478" s="282"/>
      <c r="B3478" s="282"/>
      <c r="C3478" s="282"/>
      <c r="D3478" s="282"/>
      <c r="E3478" s="282"/>
      <c r="F3478" s="282"/>
      <c r="G3478" s="329"/>
      <c r="H3478" s="329"/>
      <c r="I3478" s="329"/>
      <c r="J3478" s="329"/>
      <c r="K3478" s="329"/>
      <c r="L3478" s="329"/>
      <c r="M3478" s="329"/>
      <c r="N3478" s="329"/>
      <c r="O3478" s="329"/>
      <c r="P3478" s="329"/>
      <c r="Q3478" s="329"/>
      <c r="R3478" s="329"/>
    </row>
    <row r="3479" spans="1:18" ht="13">
      <c r="A3479" s="282"/>
      <c r="B3479" s="282"/>
      <c r="C3479" s="282"/>
      <c r="D3479" s="282"/>
      <c r="E3479" s="282"/>
      <c r="F3479" s="282"/>
      <c r="G3479" s="329"/>
      <c r="H3479" s="329"/>
      <c r="I3479" s="329"/>
      <c r="J3479" s="329"/>
      <c r="K3479" s="329"/>
      <c r="L3479" s="329"/>
      <c r="M3479" s="329"/>
      <c r="N3479" s="329"/>
      <c r="O3479" s="329"/>
      <c r="P3479" s="329"/>
      <c r="Q3479" s="329"/>
      <c r="R3479" s="329"/>
    </row>
    <row r="3480" spans="1:18" ht="13">
      <c r="A3480" s="282"/>
      <c r="B3480" s="282"/>
      <c r="C3480" s="282"/>
      <c r="D3480" s="282"/>
      <c r="E3480" s="282"/>
      <c r="F3480" s="282"/>
      <c r="G3480" s="329"/>
      <c r="H3480" s="329"/>
      <c r="I3480" s="329"/>
      <c r="J3480" s="329"/>
      <c r="K3480" s="329"/>
      <c r="L3480" s="329"/>
      <c r="M3480" s="329"/>
      <c r="N3480" s="329"/>
      <c r="O3480" s="329"/>
      <c r="P3480" s="329"/>
      <c r="Q3480" s="329"/>
      <c r="R3480" s="329"/>
    </row>
    <row r="3481" spans="1:18" ht="13">
      <c r="A3481" s="282"/>
      <c r="B3481" s="282"/>
      <c r="C3481" s="282"/>
      <c r="D3481" s="282"/>
      <c r="E3481" s="282"/>
      <c r="F3481" s="282"/>
      <c r="G3481" s="329"/>
      <c r="H3481" s="329"/>
      <c r="I3481" s="329"/>
      <c r="J3481" s="329"/>
      <c r="K3481" s="329"/>
      <c r="L3481" s="329"/>
      <c r="M3481" s="329"/>
      <c r="N3481" s="329"/>
      <c r="O3481" s="329"/>
      <c r="P3481" s="329"/>
      <c r="Q3481" s="329"/>
      <c r="R3481" s="329"/>
    </row>
    <row r="3482" spans="1:18" ht="13">
      <c r="A3482" s="282"/>
      <c r="B3482" s="282"/>
      <c r="C3482" s="282"/>
      <c r="D3482" s="282"/>
      <c r="E3482" s="282"/>
      <c r="F3482" s="282"/>
      <c r="G3482" s="329"/>
      <c r="H3482" s="329"/>
      <c r="I3482" s="329"/>
      <c r="J3482" s="329"/>
      <c r="K3482" s="329"/>
      <c r="L3482" s="329"/>
      <c r="M3482" s="329"/>
      <c r="N3482" s="329"/>
      <c r="O3482" s="329"/>
      <c r="P3482" s="329"/>
      <c r="Q3482" s="329"/>
      <c r="R3482" s="329"/>
    </row>
    <row r="3483" spans="1:18" ht="13">
      <c r="A3483" s="282"/>
      <c r="B3483" s="282"/>
      <c r="C3483" s="282"/>
      <c r="D3483" s="282"/>
      <c r="E3483" s="282"/>
      <c r="F3483" s="282"/>
      <c r="G3483" s="329"/>
      <c r="H3483" s="329"/>
      <c r="I3483" s="329"/>
      <c r="J3483" s="329"/>
      <c r="K3483" s="329"/>
      <c r="L3483" s="329"/>
      <c r="M3483" s="329"/>
      <c r="N3483" s="329"/>
      <c r="O3483" s="329"/>
      <c r="P3483" s="329"/>
      <c r="Q3483" s="329"/>
      <c r="R3483" s="329"/>
    </row>
    <row r="3484" spans="1:18" ht="13">
      <c r="A3484" s="282"/>
      <c r="B3484" s="282"/>
      <c r="C3484" s="282"/>
      <c r="D3484" s="282"/>
      <c r="E3484" s="282"/>
      <c r="F3484" s="282"/>
      <c r="G3484" s="329"/>
      <c r="H3484" s="329"/>
      <c r="I3484" s="329"/>
      <c r="J3484" s="329"/>
      <c r="K3484" s="329"/>
      <c r="L3484" s="329"/>
      <c r="M3484" s="329"/>
      <c r="N3484" s="329"/>
      <c r="O3484" s="329"/>
      <c r="P3484" s="329"/>
      <c r="Q3484" s="329"/>
      <c r="R3484" s="329"/>
    </row>
    <row r="3485" spans="1:18" ht="13">
      <c r="A3485" s="282"/>
      <c r="B3485" s="282"/>
      <c r="C3485" s="282"/>
      <c r="D3485" s="282"/>
      <c r="E3485" s="282"/>
      <c r="F3485" s="282"/>
      <c r="G3485" s="329"/>
      <c r="H3485" s="329"/>
      <c r="I3485" s="329"/>
      <c r="J3485" s="329"/>
      <c r="K3485" s="329"/>
      <c r="L3485" s="329"/>
      <c r="M3485" s="329"/>
      <c r="N3485" s="329"/>
      <c r="O3485" s="329"/>
      <c r="P3485" s="329"/>
      <c r="Q3485" s="329"/>
      <c r="R3485" s="329"/>
    </row>
    <row r="3486" spans="1:18" ht="13">
      <c r="A3486" s="282"/>
      <c r="B3486" s="282"/>
      <c r="C3486" s="282"/>
      <c r="D3486" s="282"/>
      <c r="E3486" s="282"/>
      <c r="F3486" s="282"/>
      <c r="G3486" s="329"/>
      <c r="H3486" s="329"/>
      <c r="I3486" s="329"/>
      <c r="J3486" s="329"/>
      <c r="K3486" s="329"/>
      <c r="L3486" s="329"/>
      <c r="M3486" s="329"/>
      <c r="N3486" s="329"/>
      <c r="O3486" s="329"/>
      <c r="P3486" s="329"/>
      <c r="Q3486" s="329"/>
      <c r="R3486" s="329"/>
    </row>
    <row r="3487" spans="1:18" ht="13">
      <c r="A3487" s="282"/>
      <c r="B3487" s="282"/>
      <c r="C3487" s="282"/>
      <c r="D3487" s="282"/>
      <c r="E3487" s="282"/>
      <c r="F3487" s="282"/>
      <c r="G3487" s="329"/>
      <c r="H3487" s="329"/>
      <c r="I3487" s="329"/>
      <c r="J3487" s="329"/>
      <c r="K3487" s="329"/>
      <c r="L3487" s="329"/>
      <c r="M3487" s="329"/>
      <c r="N3487" s="329"/>
      <c r="O3487" s="329"/>
      <c r="P3487" s="329"/>
      <c r="Q3487" s="329"/>
      <c r="R3487" s="329"/>
    </row>
    <row r="3488" spans="1:18" ht="13">
      <c r="A3488" s="282"/>
      <c r="B3488" s="282"/>
      <c r="C3488" s="282"/>
      <c r="D3488" s="282"/>
      <c r="E3488" s="282"/>
      <c r="F3488" s="282"/>
      <c r="G3488" s="329"/>
      <c r="H3488" s="329"/>
      <c r="I3488" s="329"/>
      <c r="J3488" s="329"/>
      <c r="K3488" s="329"/>
      <c r="L3488" s="329"/>
      <c r="M3488" s="329"/>
      <c r="N3488" s="329"/>
      <c r="O3488" s="329"/>
      <c r="P3488" s="329"/>
      <c r="Q3488" s="329"/>
      <c r="R3488" s="329"/>
    </row>
    <row r="3489" spans="1:18" ht="13">
      <c r="A3489" s="282"/>
      <c r="B3489" s="282"/>
      <c r="C3489" s="282"/>
      <c r="D3489" s="282"/>
      <c r="E3489" s="282"/>
      <c r="F3489" s="282"/>
      <c r="G3489" s="329"/>
      <c r="H3489" s="329"/>
      <c r="I3489" s="329"/>
      <c r="J3489" s="329"/>
      <c r="K3489" s="329"/>
      <c r="L3489" s="329"/>
      <c r="M3489" s="329"/>
      <c r="N3489" s="329"/>
      <c r="O3489" s="329"/>
      <c r="P3489" s="329"/>
      <c r="Q3489" s="329"/>
      <c r="R3489" s="329"/>
    </row>
    <row r="3490" spans="1:18" ht="13">
      <c r="A3490" s="282"/>
      <c r="B3490" s="282"/>
      <c r="C3490" s="282"/>
      <c r="D3490" s="282"/>
      <c r="E3490" s="282"/>
      <c r="F3490" s="282"/>
      <c r="G3490" s="329"/>
      <c r="H3490" s="329"/>
      <c r="I3490" s="329"/>
      <c r="J3490" s="329"/>
      <c r="K3490" s="329"/>
      <c r="L3490" s="329"/>
      <c r="M3490" s="329"/>
      <c r="N3490" s="329"/>
      <c r="O3490" s="329"/>
      <c r="P3490" s="329"/>
      <c r="Q3490" s="329"/>
      <c r="R3490" s="329"/>
    </row>
    <row r="3491" spans="1:18" ht="13">
      <c r="A3491" s="282"/>
      <c r="B3491" s="282"/>
      <c r="C3491" s="282"/>
      <c r="D3491" s="282"/>
      <c r="E3491" s="282"/>
      <c r="F3491" s="282"/>
      <c r="G3491" s="329"/>
      <c r="H3491" s="329"/>
      <c r="I3491" s="329"/>
      <c r="J3491" s="329"/>
      <c r="K3491" s="329"/>
      <c r="L3491" s="329"/>
      <c r="M3491" s="329"/>
      <c r="N3491" s="329"/>
      <c r="O3491" s="329"/>
      <c r="P3491" s="329"/>
      <c r="Q3491" s="329"/>
      <c r="R3491" s="329"/>
    </row>
    <row r="3492" spans="1:18" ht="13">
      <c r="A3492" s="282"/>
      <c r="B3492" s="282"/>
      <c r="C3492" s="282"/>
      <c r="D3492" s="282"/>
      <c r="E3492" s="282"/>
      <c r="F3492" s="282"/>
      <c r="G3492" s="329"/>
      <c r="H3492" s="329"/>
      <c r="I3492" s="329"/>
      <c r="J3492" s="329"/>
      <c r="K3492" s="329"/>
      <c r="L3492" s="329"/>
      <c r="M3492" s="329"/>
      <c r="N3492" s="329"/>
      <c r="O3492" s="329"/>
      <c r="P3492" s="329"/>
      <c r="Q3492" s="329"/>
      <c r="R3492" s="329"/>
    </row>
    <row r="3493" spans="1:18" ht="13">
      <c r="A3493" s="282"/>
      <c r="B3493" s="282"/>
      <c r="C3493" s="282"/>
      <c r="D3493" s="282"/>
      <c r="E3493" s="282"/>
      <c r="F3493" s="282"/>
      <c r="G3493" s="329"/>
      <c r="H3493" s="329"/>
      <c r="I3493" s="329"/>
      <c r="J3493" s="329"/>
      <c r="K3493" s="329"/>
      <c r="L3493" s="329"/>
      <c r="M3493" s="329"/>
      <c r="N3493" s="329"/>
      <c r="O3493" s="329"/>
      <c r="P3493" s="329"/>
      <c r="Q3493" s="329"/>
      <c r="R3493" s="329"/>
    </row>
    <row r="3494" spans="1:18" ht="13">
      <c r="A3494" s="282"/>
      <c r="B3494" s="282"/>
      <c r="C3494" s="282"/>
      <c r="D3494" s="282"/>
      <c r="E3494" s="282"/>
      <c r="F3494" s="282"/>
      <c r="G3494" s="329"/>
      <c r="H3494" s="329"/>
      <c r="I3494" s="329"/>
      <c r="J3494" s="329"/>
      <c r="K3494" s="329"/>
      <c r="L3494" s="329"/>
      <c r="M3494" s="329"/>
      <c r="N3494" s="329"/>
      <c r="O3494" s="329"/>
      <c r="P3494" s="329"/>
      <c r="Q3494" s="329"/>
      <c r="R3494" s="329"/>
    </row>
    <row r="3495" spans="1:18" ht="13">
      <c r="A3495" s="282"/>
      <c r="B3495" s="282"/>
      <c r="C3495" s="282"/>
      <c r="D3495" s="282"/>
      <c r="E3495" s="282"/>
      <c r="F3495" s="282"/>
      <c r="G3495" s="329"/>
      <c r="H3495" s="329"/>
      <c r="I3495" s="329"/>
      <c r="J3495" s="329"/>
      <c r="K3495" s="329"/>
      <c r="L3495" s="329"/>
      <c r="M3495" s="329"/>
      <c r="N3495" s="329"/>
      <c r="O3495" s="329"/>
      <c r="P3495" s="329"/>
      <c r="Q3495" s="329"/>
      <c r="R3495" s="329"/>
    </row>
    <row r="3496" spans="1:18" ht="13">
      <c r="A3496" s="282"/>
      <c r="B3496" s="282"/>
      <c r="C3496" s="282"/>
      <c r="D3496" s="282"/>
      <c r="E3496" s="282"/>
      <c r="F3496" s="282"/>
      <c r="G3496" s="329"/>
      <c r="H3496" s="329"/>
      <c r="I3496" s="329"/>
      <c r="J3496" s="329"/>
      <c r="K3496" s="329"/>
      <c r="L3496" s="329"/>
      <c r="M3496" s="329"/>
      <c r="N3496" s="329"/>
      <c r="O3496" s="329"/>
      <c r="P3496" s="329"/>
      <c r="Q3496" s="329"/>
      <c r="R3496" s="329"/>
    </row>
    <row r="3497" spans="1:18" ht="13">
      <c r="A3497" s="282"/>
      <c r="B3497" s="282"/>
      <c r="C3497" s="282"/>
      <c r="D3497" s="282"/>
      <c r="E3497" s="282"/>
      <c r="F3497" s="282"/>
      <c r="G3497" s="329"/>
      <c r="H3497" s="329"/>
      <c r="I3497" s="329"/>
      <c r="J3497" s="329"/>
      <c r="K3497" s="329"/>
      <c r="L3497" s="329"/>
      <c r="M3497" s="329"/>
      <c r="N3497" s="329"/>
      <c r="O3497" s="329"/>
      <c r="P3497" s="329"/>
      <c r="Q3497" s="329"/>
      <c r="R3497" s="329"/>
    </row>
    <row r="3498" spans="1:18" ht="13">
      <c r="A3498" s="282"/>
      <c r="B3498" s="282"/>
      <c r="C3498" s="282"/>
      <c r="D3498" s="282"/>
      <c r="E3498" s="282"/>
      <c r="F3498" s="282"/>
      <c r="G3498" s="329"/>
      <c r="H3498" s="329"/>
      <c r="I3498" s="329"/>
      <c r="J3498" s="329"/>
      <c r="K3498" s="329"/>
      <c r="L3498" s="329"/>
      <c r="M3498" s="329"/>
      <c r="N3498" s="329"/>
      <c r="O3498" s="329"/>
      <c r="P3498" s="329"/>
      <c r="Q3498" s="329"/>
      <c r="R3498" s="329"/>
    </row>
    <row r="3499" spans="1:18" ht="13">
      <c r="A3499" s="282"/>
      <c r="B3499" s="282"/>
      <c r="C3499" s="282"/>
      <c r="D3499" s="282"/>
      <c r="E3499" s="282"/>
      <c r="F3499" s="282"/>
      <c r="G3499" s="329"/>
      <c r="H3499" s="329"/>
      <c r="I3499" s="329"/>
      <c r="J3499" s="329"/>
      <c r="K3499" s="329"/>
      <c r="L3499" s="329"/>
      <c r="M3499" s="329"/>
      <c r="N3499" s="329"/>
      <c r="O3499" s="329"/>
      <c r="P3499" s="329"/>
      <c r="Q3499" s="329"/>
      <c r="R3499" s="329"/>
    </row>
    <row r="3500" spans="1:18" ht="13">
      <c r="A3500" s="282"/>
      <c r="B3500" s="282"/>
      <c r="C3500" s="282"/>
      <c r="D3500" s="282"/>
      <c r="E3500" s="282"/>
      <c r="F3500" s="282"/>
      <c r="G3500" s="329"/>
      <c r="H3500" s="329"/>
      <c r="I3500" s="329"/>
      <c r="J3500" s="329"/>
      <c r="K3500" s="329"/>
      <c r="L3500" s="329"/>
      <c r="M3500" s="329"/>
      <c r="N3500" s="329"/>
      <c r="O3500" s="329"/>
      <c r="P3500" s="329"/>
      <c r="Q3500" s="329"/>
      <c r="R3500" s="329"/>
    </row>
    <row r="3501" spans="1:18" ht="13">
      <c r="A3501" s="282"/>
      <c r="B3501" s="282"/>
      <c r="C3501" s="282"/>
      <c r="D3501" s="282"/>
      <c r="E3501" s="282"/>
      <c r="F3501" s="282"/>
      <c r="G3501" s="329"/>
      <c r="H3501" s="329"/>
      <c r="I3501" s="329"/>
      <c r="J3501" s="329"/>
      <c r="K3501" s="329"/>
      <c r="L3501" s="329"/>
      <c r="M3501" s="329"/>
      <c r="N3501" s="329"/>
      <c r="O3501" s="329"/>
      <c r="P3501" s="329"/>
      <c r="Q3501" s="329"/>
      <c r="R3501" s="329"/>
    </row>
    <row r="3502" spans="1:18" ht="13">
      <c r="A3502" s="282"/>
      <c r="B3502" s="282"/>
      <c r="C3502" s="282"/>
      <c r="D3502" s="282"/>
      <c r="E3502" s="282"/>
      <c r="F3502" s="282"/>
      <c r="G3502" s="329"/>
      <c r="H3502" s="329"/>
      <c r="I3502" s="329"/>
      <c r="J3502" s="329"/>
      <c r="K3502" s="329"/>
      <c r="L3502" s="329"/>
      <c r="M3502" s="329"/>
      <c r="N3502" s="329"/>
      <c r="O3502" s="329"/>
      <c r="P3502" s="329"/>
      <c r="Q3502" s="329"/>
      <c r="R3502" s="329"/>
    </row>
    <row r="3503" spans="1:18" ht="13">
      <c r="A3503" s="282"/>
      <c r="B3503" s="282"/>
      <c r="C3503" s="282"/>
      <c r="D3503" s="282"/>
      <c r="E3503" s="282"/>
      <c r="F3503" s="282"/>
      <c r="G3503" s="329"/>
      <c r="H3503" s="329"/>
      <c r="I3503" s="329"/>
      <c r="J3503" s="329"/>
      <c r="K3503" s="329"/>
      <c r="L3503" s="329"/>
      <c r="M3503" s="329"/>
      <c r="N3503" s="329"/>
      <c r="O3503" s="329"/>
      <c r="P3503" s="329"/>
      <c r="Q3503" s="329"/>
      <c r="R3503" s="329"/>
    </row>
    <row r="3504" spans="1:18" ht="13">
      <c r="A3504" s="282"/>
      <c r="B3504" s="282"/>
      <c r="C3504" s="282"/>
      <c r="D3504" s="282"/>
      <c r="E3504" s="282"/>
      <c r="F3504" s="282"/>
      <c r="G3504" s="329"/>
      <c r="H3504" s="329"/>
      <c r="I3504" s="329"/>
      <c r="J3504" s="329"/>
      <c r="K3504" s="329"/>
      <c r="L3504" s="329"/>
      <c r="M3504" s="329"/>
      <c r="N3504" s="329"/>
      <c r="O3504" s="329"/>
      <c r="P3504" s="329"/>
      <c r="Q3504" s="329"/>
      <c r="R3504" s="329"/>
    </row>
    <row r="3505" spans="1:18" ht="13">
      <c r="A3505" s="282"/>
      <c r="B3505" s="282"/>
      <c r="C3505" s="282"/>
      <c r="D3505" s="282"/>
      <c r="E3505" s="282"/>
      <c r="F3505" s="282"/>
      <c r="G3505" s="329"/>
      <c r="H3505" s="329"/>
      <c r="I3505" s="329"/>
      <c r="J3505" s="329"/>
      <c r="K3505" s="329"/>
      <c r="L3505" s="329"/>
      <c r="M3505" s="329"/>
      <c r="N3505" s="329"/>
      <c r="O3505" s="329"/>
      <c r="P3505" s="329"/>
      <c r="Q3505" s="329"/>
      <c r="R3505" s="329"/>
    </row>
    <row r="3506" spans="1:18" ht="13">
      <c r="A3506" s="282"/>
      <c r="B3506" s="282"/>
      <c r="C3506" s="282"/>
      <c r="D3506" s="282"/>
      <c r="E3506" s="282"/>
      <c r="F3506" s="282"/>
      <c r="G3506" s="329"/>
      <c r="H3506" s="329"/>
      <c r="I3506" s="329"/>
      <c r="J3506" s="329"/>
      <c r="K3506" s="329"/>
      <c r="L3506" s="329"/>
      <c r="M3506" s="329"/>
      <c r="N3506" s="329"/>
      <c r="O3506" s="329"/>
      <c r="P3506" s="329"/>
      <c r="Q3506" s="329"/>
      <c r="R3506" s="329"/>
    </row>
    <row r="3507" spans="1:18" ht="13">
      <c r="A3507" s="282"/>
      <c r="B3507" s="282"/>
      <c r="C3507" s="282"/>
      <c r="D3507" s="282"/>
      <c r="E3507" s="282"/>
      <c r="F3507" s="282"/>
      <c r="G3507" s="329"/>
      <c r="H3507" s="329"/>
      <c r="I3507" s="329"/>
      <c r="J3507" s="329"/>
      <c r="K3507" s="329"/>
      <c r="L3507" s="329"/>
      <c r="M3507" s="329"/>
      <c r="N3507" s="329"/>
      <c r="O3507" s="329"/>
      <c r="P3507" s="329"/>
      <c r="Q3507" s="329"/>
      <c r="R3507" s="329"/>
    </row>
    <row r="3508" spans="1:18" ht="13">
      <c r="A3508" s="282"/>
      <c r="B3508" s="282"/>
      <c r="C3508" s="282"/>
      <c r="D3508" s="282"/>
      <c r="E3508" s="282"/>
      <c r="F3508" s="282"/>
      <c r="G3508" s="329"/>
      <c r="H3508" s="329"/>
      <c r="I3508" s="329"/>
      <c r="J3508" s="329"/>
      <c r="K3508" s="329"/>
      <c r="L3508" s="329"/>
      <c r="M3508" s="329"/>
      <c r="N3508" s="329"/>
      <c r="O3508" s="329"/>
      <c r="P3508" s="329"/>
      <c r="Q3508" s="329"/>
      <c r="R3508" s="329"/>
    </row>
    <row r="3509" spans="1:18" ht="13">
      <c r="A3509" s="282"/>
      <c r="B3509" s="282"/>
      <c r="C3509" s="282"/>
      <c r="D3509" s="282"/>
      <c r="E3509" s="282"/>
      <c r="F3509" s="282"/>
      <c r="G3509" s="329"/>
      <c r="H3509" s="329"/>
      <c r="I3509" s="329"/>
      <c r="J3509" s="329"/>
      <c r="K3509" s="329"/>
      <c r="L3509" s="329"/>
      <c r="M3509" s="329"/>
      <c r="N3509" s="329"/>
      <c r="O3509" s="329"/>
      <c r="P3509" s="329"/>
      <c r="Q3509" s="329"/>
      <c r="R3509" s="329"/>
    </row>
    <row r="3510" spans="1:18" ht="13">
      <c r="A3510" s="282"/>
      <c r="B3510" s="282"/>
      <c r="C3510" s="282"/>
      <c r="D3510" s="282"/>
      <c r="E3510" s="282"/>
      <c r="F3510" s="282"/>
      <c r="G3510" s="329"/>
      <c r="H3510" s="329"/>
      <c r="I3510" s="329"/>
      <c r="J3510" s="329"/>
      <c r="K3510" s="329"/>
      <c r="L3510" s="329"/>
      <c r="M3510" s="329"/>
      <c r="N3510" s="329"/>
      <c r="O3510" s="329"/>
      <c r="P3510" s="329"/>
      <c r="Q3510" s="329"/>
      <c r="R3510" s="329"/>
    </row>
    <row r="3511" spans="1:18" ht="13">
      <c r="A3511" s="282"/>
      <c r="B3511" s="282"/>
      <c r="C3511" s="282"/>
      <c r="D3511" s="282"/>
      <c r="E3511" s="282"/>
      <c r="F3511" s="282"/>
      <c r="G3511" s="329"/>
      <c r="H3511" s="329"/>
      <c r="I3511" s="329"/>
      <c r="J3511" s="329"/>
      <c r="K3511" s="329"/>
      <c r="L3511" s="329"/>
      <c r="M3511" s="329"/>
      <c r="N3511" s="329"/>
      <c r="O3511" s="329"/>
      <c r="P3511" s="329"/>
      <c r="Q3511" s="329"/>
      <c r="R3511" s="329"/>
    </row>
    <row r="3512" spans="1:18" ht="13">
      <c r="A3512" s="282"/>
      <c r="B3512" s="282"/>
      <c r="C3512" s="282"/>
      <c r="D3512" s="282"/>
      <c r="E3512" s="282"/>
      <c r="F3512" s="282"/>
      <c r="G3512" s="329"/>
      <c r="H3512" s="329"/>
      <c r="I3512" s="329"/>
      <c r="J3512" s="329"/>
      <c r="K3512" s="329"/>
      <c r="L3512" s="329"/>
      <c r="M3512" s="329"/>
      <c r="N3512" s="329"/>
      <c r="O3512" s="329"/>
      <c r="P3512" s="329"/>
      <c r="Q3512" s="329"/>
      <c r="R3512" s="329"/>
    </row>
    <row r="3513" spans="1:18" ht="13">
      <c r="A3513" s="282"/>
      <c r="B3513" s="282"/>
      <c r="C3513" s="282"/>
      <c r="D3513" s="282"/>
      <c r="E3513" s="282"/>
      <c r="F3513" s="282"/>
      <c r="G3513" s="329"/>
      <c r="H3513" s="329"/>
      <c r="I3513" s="329"/>
      <c r="J3513" s="329"/>
      <c r="K3513" s="329"/>
      <c r="L3513" s="329"/>
      <c r="M3513" s="329"/>
      <c r="N3513" s="329"/>
      <c r="O3513" s="329"/>
      <c r="P3513" s="329"/>
      <c r="Q3513" s="329"/>
      <c r="R3513" s="329"/>
    </row>
    <row r="3514" spans="1:18" ht="13">
      <c r="A3514" s="282"/>
      <c r="B3514" s="282"/>
      <c r="C3514" s="282"/>
      <c r="D3514" s="282"/>
      <c r="E3514" s="282"/>
      <c r="F3514" s="282"/>
      <c r="G3514" s="329"/>
      <c r="H3514" s="329"/>
      <c r="I3514" s="329"/>
      <c r="J3514" s="329"/>
      <c r="K3514" s="329"/>
      <c r="L3514" s="329"/>
      <c r="M3514" s="329"/>
      <c r="N3514" s="329"/>
      <c r="O3514" s="329"/>
      <c r="P3514" s="329"/>
      <c r="Q3514" s="329"/>
      <c r="R3514" s="329"/>
    </row>
    <row r="3515" spans="1:18" ht="13">
      <c r="A3515" s="282"/>
      <c r="B3515" s="282"/>
      <c r="C3515" s="282"/>
      <c r="D3515" s="282"/>
      <c r="E3515" s="282"/>
      <c r="F3515" s="282"/>
      <c r="G3515" s="329"/>
      <c r="H3515" s="329"/>
      <c r="I3515" s="329"/>
      <c r="J3515" s="329"/>
      <c r="K3515" s="329"/>
      <c r="L3515" s="329"/>
      <c r="M3515" s="329"/>
      <c r="N3515" s="329"/>
      <c r="O3515" s="329"/>
      <c r="P3515" s="329"/>
      <c r="Q3515" s="329"/>
      <c r="R3515" s="329"/>
    </row>
    <row r="3516" spans="1:18" ht="13">
      <c r="A3516" s="282"/>
      <c r="B3516" s="282"/>
      <c r="C3516" s="282"/>
      <c r="D3516" s="282"/>
      <c r="E3516" s="282"/>
      <c r="F3516" s="282"/>
      <c r="G3516" s="329"/>
      <c r="H3516" s="329"/>
      <c r="I3516" s="329"/>
      <c r="J3516" s="329"/>
      <c r="K3516" s="329"/>
      <c r="L3516" s="329"/>
      <c r="M3516" s="329"/>
      <c r="N3516" s="329"/>
      <c r="O3516" s="329"/>
      <c r="P3516" s="329"/>
      <c r="Q3516" s="329"/>
      <c r="R3516" s="329"/>
    </row>
    <row r="3517" spans="1:18" ht="13">
      <c r="A3517" s="282"/>
      <c r="B3517" s="282"/>
      <c r="C3517" s="282"/>
      <c r="D3517" s="282"/>
      <c r="E3517" s="282"/>
      <c r="F3517" s="282"/>
      <c r="G3517" s="329"/>
      <c r="H3517" s="329"/>
      <c r="I3517" s="329"/>
      <c r="J3517" s="329"/>
      <c r="K3517" s="329"/>
      <c r="L3517" s="329"/>
      <c r="M3517" s="329"/>
      <c r="N3517" s="329"/>
      <c r="O3517" s="329"/>
      <c r="P3517" s="329"/>
      <c r="Q3517" s="329"/>
      <c r="R3517" s="329"/>
    </row>
    <row r="3518" spans="1:18" ht="13">
      <c r="A3518" s="282"/>
      <c r="B3518" s="282"/>
      <c r="C3518" s="282"/>
      <c r="D3518" s="282"/>
      <c r="E3518" s="282"/>
      <c r="F3518" s="282"/>
      <c r="G3518" s="329"/>
      <c r="H3518" s="329"/>
      <c r="I3518" s="329"/>
      <c r="J3518" s="329"/>
      <c r="K3518" s="329"/>
      <c r="L3518" s="329"/>
      <c r="M3518" s="329"/>
      <c r="N3518" s="329"/>
      <c r="O3518" s="329"/>
      <c r="P3518" s="329"/>
      <c r="Q3518" s="329"/>
      <c r="R3518" s="329"/>
    </row>
    <row r="3519" spans="1:18" ht="13">
      <c r="A3519" s="282"/>
      <c r="B3519" s="282"/>
      <c r="C3519" s="282"/>
      <c r="D3519" s="282"/>
      <c r="E3519" s="282"/>
      <c r="F3519" s="282"/>
      <c r="G3519" s="329"/>
      <c r="H3519" s="329"/>
      <c r="I3519" s="329"/>
      <c r="J3519" s="329"/>
      <c r="K3519" s="329"/>
      <c r="L3519" s="329"/>
      <c r="M3519" s="329"/>
      <c r="N3519" s="329"/>
      <c r="O3519" s="329"/>
      <c r="P3519" s="329"/>
      <c r="Q3519" s="329"/>
      <c r="R3519" s="329"/>
    </row>
    <row r="3520" spans="1:18" ht="13">
      <c r="A3520" s="282"/>
      <c r="B3520" s="282"/>
      <c r="C3520" s="282"/>
      <c r="D3520" s="282"/>
      <c r="E3520" s="282"/>
      <c r="F3520" s="282"/>
      <c r="G3520" s="329"/>
      <c r="H3520" s="329"/>
      <c r="I3520" s="329"/>
      <c r="J3520" s="329"/>
      <c r="K3520" s="329"/>
      <c r="L3520" s="329"/>
      <c r="M3520" s="329"/>
      <c r="N3520" s="329"/>
      <c r="O3520" s="329"/>
      <c r="P3520" s="329"/>
      <c r="Q3520" s="329"/>
      <c r="R3520" s="329"/>
    </row>
    <row r="3521" spans="1:18" ht="13">
      <c r="A3521" s="282"/>
      <c r="B3521" s="282"/>
      <c r="C3521" s="282"/>
      <c r="D3521" s="282"/>
      <c r="E3521" s="282"/>
      <c r="F3521" s="282"/>
      <c r="G3521" s="329"/>
      <c r="H3521" s="329"/>
      <c r="I3521" s="329"/>
      <c r="J3521" s="329"/>
      <c r="K3521" s="329"/>
      <c r="L3521" s="329"/>
      <c r="M3521" s="329"/>
      <c r="N3521" s="329"/>
      <c r="O3521" s="329"/>
      <c r="P3521" s="329"/>
      <c r="Q3521" s="329"/>
      <c r="R3521" s="329"/>
    </row>
    <row r="3522" spans="1:18" ht="13">
      <c r="A3522" s="282"/>
      <c r="B3522" s="282"/>
      <c r="C3522" s="282"/>
      <c r="D3522" s="282"/>
      <c r="E3522" s="282"/>
      <c r="F3522" s="282"/>
      <c r="G3522" s="329"/>
      <c r="H3522" s="329"/>
      <c r="I3522" s="329"/>
      <c r="J3522" s="329"/>
      <c r="K3522" s="329"/>
      <c r="L3522" s="329"/>
      <c r="M3522" s="329"/>
      <c r="N3522" s="329"/>
      <c r="O3522" s="329"/>
      <c r="P3522" s="329"/>
      <c r="Q3522" s="329"/>
      <c r="R3522" s="329"/>
    </row>
    <row r="3523" spans="1:18" ht="13">
      <c r="A3523" s="282"/>
      <c r="B3523" s="282"/>
      <c r="C3523" s="282"/>
      <c r="D3523" s="282"/>
      <c r="E3523" s="282"/>
      <c r="F3523" s="282"/>
      <c r="G3523" s="329"/>
      <c r="H3523" s="329"/>
      <c r="I3523" s="329"/>
      <c r="J3523" s="329"/>
      <c r="K3523" s="329"/>
      <c r="L3523" s="329"/>
      <c r="M3523" s="329"/>
      <c r="N3523" s="329"/>
      <c r="O3523" s="329"/>
      <c r="P3523" s="329"/>
      <c r="Q3523" s="329"/>
      <c r="R3523" s="329"/>
    </row>
    <row r="3524" spans="1:18" ht="13">
      <c r="A3524" s="282"/>
      <c r="B3524" s="282"/>
      <c r="C3524" s="282"/>
      <c r="D3524" s="282"/>
      <c r="E3524" s="282"/>
      <c r="F3524" s="282"/>
      <c r="G3524" s="329"/>
      <c r="H3524" s="329"/>
      <c r="I3524" s="329"/>
      <c r="J3524" s="329"/>
      <c r="K3524" s="329"/>
      <c r="L3524" s="329"/>
      <c r="M3524" s="329"/>
      <c r="N3524" s="329"/>
      <c r="O3524" s="329"/>
      <c r="P3524" s="329"/>
      <c r="Q3524" s="329"/>
      <c r="R3524" s="329"/>
    </row>
    <row r="3525" spans="1:18" ht="13">
      <c r="A3525" s="282"/>
      <c r="B3525" s="282"/>
      <c r="C3525" s="282"/>
      <c r="D3525" s="282"/>
      <c r="E3525" s="282"/>
      <c r="F3525" s="282"/>
      <c r="G3525" s="329"/>
      <c r="H3525" s="329"/>
      <c r="I3525" s="329"/>
      <c r="J3525" s="329"/>
      <c r="K3525" s="329"/>
      <c r="L3525" s="329"/>
      <c r="M3525" s="329"/>
      <c r="N3525" s="329"/>
      <c r="O3525" s="329"/>
      <c r="P3525" s="329"/>
      <c r="Q3525" s="329"/>
      <c r="R3525" s="329"/>
    </row>
    <row r="3526" spans="1:18" ht="13">
      <c r="A3526" s="282"/>
      <c r="B3526" s="282"/>
      <c r="C3526" s="282"/>
      <c r="D3526" s="282"/>
      <c r="E3526" s="282"/>
      <c r="F3526" s="282"/>
      <c r="G3526" s="329"/>
      <c r="H3526" s="329"/>
      <c r="I3526" s="329"/>
      <c r="J3526" s="329"/>
      <c r="K3526" s="329"/>
      <c r="L3526" s="329"/>
      <c r="M3526" s="329"/>
      <c r="N3526" s="329"/>
      <c r="O3526" s="329"/>
      <c r="P3526" s="329"/>
      <c r="Q3526" s="329"/>
      <c r="R3526" s="329"/>
    </row>
    <row r="3527" spans="1:18" ht="13">
      <c r="A3527" s="282"/>
      <c r="B3527" s="282"/>
      <c r="C3527" s="282"/>
      <c r="D3527" s="282"/>
      <c r="E3527" s="282"/>
      <c r="F3527" s="282"/>
      <c r="G3527" s="329"/>
      <c r="H3527" s="329"/>
      <c r="I3527" s="329"/>
      <c r="J3527" s="329"/>
      <c r="K3527" s="329"/>
      <c r="L3527" s="329"/>
      <c r="M3527" s="329"/>
      <c r="N3527" s="329"/>
      <c r="O3527" s="329"/>
      <c r="P3527" s="329"/>
      <c r="Q3527" s="329"/>
      <c r="R3527" s="329"/>
    </row>
    <row r="3528" spans="1:18" ht="13">
      <c r="A3528" s="282"/>
      <c r="B3528" s="282"/>
      <c r="C3528" s="282"/>
      <c r="D3528" s="282"/>
      <c r="E3528" s="282"/>
      <c r="F3528" s="282"/>
      <c r="G3528" s="329"/>
      <c r="H3528" s="329"/>
      <c r="I3528" s="329"/>
      <c r="J3528" s="329"/>
      <c r="K3528" s="329"/>
      <c r="L3528" s="329"/>
      <c r="M3528" s="329"/>
      <c r="N3528" s="329"/>
      <c r="O3528" s="329"/>
      <c r="P3528" s="329"/>
      <c r="Q3528" s="329"/>
      <c r="R3528" s="329"/>
    </row>
    <row r="3529" spans="1:18" ht="13">
      <c r="A3529" s="282"/>
      <c r="B3529" s="282"/>
      <c r="C3529" s="282"/>
      <c r="D3529" s="282"/>
      <c r="E3529" s="282"/>
      <c r="F3529" s="282"/>
      <c r="G3529" s="329"/>
      <c r="H3529" s="329"/>
      <c r="I3529" s="329"/>
      <c r="J3529" s="329"/>
      <c r="K3529" s="329"/>
      <c r="L3529" s="329"/>
      <c r="M3529" s="329"/>
      <c r="N3529" s="329"/>
      <c r="O3529" s="329"/>
      <c r="P3529" s="329"/>
      <c r="Q3529" s="329"/>
      <c r="R3529" s="329"/>
    </row>
    <row r="3530" spans="1:18" ht="13">
      <c r="A3530" s="282"/>
      <c r="B3530" s="282"/>
      <c r="C3530" s="282"/>
      <c r="D3530" s="282"/>
      <c r="E3530" s="282"/>
      <c r="F3530" s="282"/>
      <c r="G3530" s="329"/>
      <c r="H3530" s="329"/>
      <c r="I3530" s="329"/>
      <c r="J3530" s="329"/>
      <c r="K3530" s="329"/>
      <c r="L3530" s="329"/>
      <c r="M3530" s="329"/>
      <c r="N3530" s="329"/>
      <c r="O3530" s="329"/>
      <c r="P3530" s="329"/>
      <c r="Q3530" s="329"/>
      <c r="R3530" s="329"/>
    </row>
    <row r="3531" spans="1:18" ht="13">
      <c r="A3531" s="282"/>
      <c r="B3531" s="282"/>
      <c r="C3531" s="282"/>
      <c r="D3531" s="282"/>
      <c r="E3531" s="282"/>
      <c r="F3531" s="282"/>
      <c r="G3531" s="329"/>
      <c r="H3531" s="329"/>
      <c r="I3531" s="329"/>
      <c r="J3531" s="329"/>
      <c r="K3531" s="329"/>
      <c r="L3531" s="329"/>
      <c r="M3531" s="329"/>
      <c r="N3531" s="329"/>
      <c r="O3531" s="329"/>
      <c r="P3531" s="329"/>
      <c r="Q3531" s="329"/>
      <c r="R3531" s="329"/>
    </row>
    <row r="3532" spans="1:18" ht="13">
      <c r="A3532" s="282"/>
      <c r="B3532" s="282"/>
      <c r="C3532" s="282"/>
      <c r="D3532" s="282"/>
      <c r="E3532" s="282"/>
      <c r="F3532" s="282"/>
      <c r="G3532" s="329"/>
      <c r="H3532" s="329"/>
      <c r="I3532" s="329"/>
      <c r="J3532" s="329"/>
      <c r="K3532" s="329"/>
      <c r="L3532" s="329"/>
      <c r="M3532" s="329"/>
      <c r="N3532" s="329"/>
      <c r="O3532" s="329"/>
      <c r="P3532" s="329"/>
      <c r="Q3532" s="329"/>
      <c r="R3532" s="329"/>
    </row>
    <row r="3533" spans="1:18" ht="13">
      <c r="A3533" s="282"/>
      <c r="B3533" s="282"/>
      <c r="C3533" s="282"/>
      <c r="D3533" s="282"/>
      <c r="E3533" s="282"/>
      <c r="F3533" s="282"/>
      <c r="G3533" s="329"/>
      <c r="H3533" s="329"/>
      <c r="I3533" s="329"/>
      <c r="J3533" s="329"/>
      <c r="K3533" s="329"/>
      <c r="L3533" s="329"/>
      <c r="M3533" s="329"/>
      <c r="N3533" s="329"/>
      <c r="O3533" s="329"/>
      <c r="P3533" s="329"/>
      <c r="Q3533" s="329"/>
      <c r="R3533" s="329"/>
    </row>
    <row r="3534" spans="1:18" ht="13">
      <c r="A3534" s="282"/>
      <c r="B3534" s="282"/>
      <c r="C3534" s="282"/>
      <c r="D3534" s="282"/>
      <c r="E3534" s="282"/>
      <c r="F3534" s="282"/>
      <c r="G3534" s="329"/>
      <c r="H3534" s="329"/>
      <c r="I3534" s="329"/>
      <c r="J3534" s="329"/>
      <c r="K3534" s="329"/>
      <c r="L3534" s="329"/>
      <c r="M3534" s="329"/>
      <c r="N3534" s="329"/>
      <c r="O3534" s="329"/>
      <c r="P3534" s="329"/>
      <c r="Q3534" s="329"/>
      <c r="R3534" s="329"/>
    </row>
    <row r="3535" spans="1:18" ht="13">
      <c r="A3535" s="282"/>
      <c r="B3535" s="282"/>
      <c r="C3535" s="282"/>
      <c r="D3535" s="282"/>
      <c r="E3535" s="282"/>
      <c r="F3535" s="282"/>
      <c r="G3535" s="329"/>
      <c r="H3535" s="329"/>
      <c r="I3535" s="329"/>
      <c r="J3535" s="329"/>
      <c r="K3535" s="329"/>
      <c r="L3535" s="329"/>
      <c r="M3535" s="329"/>
      <c r="N3535" s="329"/>
      <c r="O3535" s="329"/>
      <c r="P3535" s="329"/>
      <c r="Q3535" s="329"/>
      <c r="R3535" s="329"/>
    </row>
    <row r="3536" spans="1:18" ht="13">
      <c r="A3536" s="282"/>
      <c r="B3536" s="282"/>
      <c r="C3536" s="282"/>
      <c r="D3536" s="282"/>
      <c r="E3536" s="282"/>
      <c r="F3536" s="282"/>
      <c r="G3536" s="329"/>
      <c r="H3536" s="329"/>
      <c r="I3536" s="329"/>
      <c r="J3536" s="329"/>
      <c r="K3536" s="329"/>
      <c r="L3536" s="329"/>
      <c r="M3536" s="329"/>
      <c r="N3536" s="329"/>
      <c r="O3536" s="329"/>
      <c r="P3536" s="329"/>
      <c r="Q3536" s="329"/>
      <c r="R3536" s="329"/>
    </row>
    <row r="3537" spans="1:18" ht="13">
      <c r="A3537" s="282"/>
      <c r="B3537" s="282"/>
      <c r="C3537" s="282"/>
      <c r="D3537" s="282"/>
      <c r="E3537" s="282"/>
      <c r="F3537" s="282"/>
      <c r="G3537" s="329"/>
      <c r="H3537" s="329"/>
      <c r="I3537" s="329"/>
      <c r="J3537" s="329"/>
      <c r="K3537" s="329"/>
      <c r="L3537" s="329"/>
      <c r="M3537" s="329"/>
      <c r="N3537" s="329"/>
      <c r="O3537" s="329"/>
      <c r="P3537" s="329"/>
      <c r="Q3537" s="329"/>
      <c r="R3537" s="329"/>
    </row>
    <row r="3538" spans="1:18" ht="13">
      <c r="A3538" s="282"/>
      <c r="B3538" s="282"/>
      <c r="C3538" s="282"/>
      <c r="D3538" s="282"/>
      <c r="E3538" s="282"/>
      <c r="F3538" s="282"/>
      <c r="G3538" s="329"/>
      <c r="H3538" s="329"/>
      <c r="I3538" s="329"/>
      <c r="J3538" s="329"/>
      <c r="K3538" s="329"/>
      <c r="L3538" s="329"/>
      <c r="M3538" s="329"/>
      <c r="N3538" s="329"/>
      <c r="O3538" s="329"/>
      <c r="P3538" s="329"/>
      <c r="Q3538" s="329"/>
      <c r="R3538" s="329"/>
    </row>
    <row r="3539" spans="1:18" ht="13">
      <c r="A3539" s="282"/>
      <c r="B3539" s="282"/>
      <c r="C3539" s="282"/>
      <c r="D3539" s="282"/>
      <c r="E3539" s="282"/>
      <c r="F3539" s="282"/>
      <c r="G3539" s="329"/>
      <c r="H3539" s="329"/>
      <c r="I3539" s="329"/>
      <c r="J3539" s="329"/>
      <c r="K3539" s="329"/>
      <c r="L3539" s="329"/>
      <c r="M3539" s="329"/>
      <c r="N3539" s="329"/>
      <c r="O3539" s="329"/>
      <c r="P3539" s="329"/>
      <c r="Q3539" s="329"/>
      <c r="R3539" s="329"/>
    </row>
    <row r="3540" spans="1:18" ht="13">
      <c r="A3540" s="282"/>
      <c r="B3540" s="282"/>
      <c r="C3540" s="282"/>
      <c r="D3540" s="282"/>
      <c r="E3540" s="282"/>
      <c r="F3540" s="282"/>
      <c r="G3540" s="329"/>
      <c r="H3540" s="329"/>
      <c r="I3540" s="329"/>
      <c r="J3540" s="329"/>
      <c r="K3540" s="329"/>
      <c r="L3540" s="329"/>
      <c r="M3540" s="329"/>
      <c r="N3540" s="329"/>
      <c r="O3540" s="329"/>
      <c r="P3540" s="329"/>
      <c r="Q3540" s="329"/>
      <c r="R3540" s="329"/>
    </row>
    <row r="3541" spans="1:18" ht="13">
      <c r="A3541" s="282"/>
      <c r="B3541" s="282"/>
      <c r="C3541" s="282"/>
      <c r="D3541" s="282"/>
      <c r="E3541" s="282"/>
      <c r="F3541" s="282"/>
      <c r="G3541" s="329"/>
      <c r="H3541" s="329"/>
      <c r="I3541" s="329"/>
      <c r="J3541" s="329"/>
      <c r="K3541" s="329"/>
      <c r="L3541" s="329"/>
      <c r="M3541" s="329"/>
      <c r="N3541" s="329"/>
      <c r="O3541" s="329"/>
      <c r="P3541" s="329"/>
      <c r="Q3541" s="329"/>
      <c r="R3541" s="329"/>
    </row>
    <row r="3542" spans="1:18" ht="13">
      <c r="A3542" s="282"/>
      <c r="B3542" s="282"/>
      <c r="C3542" s="282"/>
      <c r="D3542" s="282"/>
      <c r="E3542" s="282"/>
      <c r="F3542" s="282"/>
      <c r="G3542" s="329"/>
      <c r="H3542" s="329"/>
      <c r="I3542" s="329"/>
      <c r="J3542" s="329"/>
      <c r="K3542" s="329"/>
      <c r="L3542" s="329"/>
      <c r="M3542" s="329"/>
      <c r="N3542" s="329"/>
      <c r="O3542" s="329"/>
      <c r="P3542" s="329"/>
      <c r="Q3542" s="329"/>
      <c r="R3542" s="329"/>
    </row>
    <row r="3543" spans="1:18" ht="13">
      <c r="A3543" s="282"/>
      <c r="B3543" s="282"/>
      <c r="C3543" s="282"/>
      <c r="D3543" s="282"/>
      <c r="E3543" s="282"/>
      <c r="F3543" s="282"/>
      <c r="G3543" s="329"/>
      <c r="H3543" s="329"/>
      <c r="I3543" s="329"/>
      <c r="J3543" s="329"/>
      <c r="K3543" s="329"/>
      <c r="L3543" s="329"/>
      <c r="M3543" s="329"/>
      <c r="N3543" s="329"/>
      <c r="O3543" s="329"/>
      <c r="P3543" s="329"/>
      <c r="Q3543" s="329"/>
      <c r="R3543" s="329"/>
    </row>
    <row r="3544" spans="1:18" ht="13">
      <c r="A3544" s="282"/>
      <c r="B3544" s="282"/>
      <c r="C3544" s="282"/>
      <c r="D3544" s="282"/>
      <c r="E3544" s="282"/>
      <c r="F3544" s="282"/>
      <c r="G3544" s="329"/>
      <c r="H3544" s="329"/>
      <c r="I3544" s="329"/>
      <c r="J3544" s="329"/>
      <c r="K3544" s="329"/>
      <c r="L3544" s="329"/>
      <c r="M3544" s="329"/>
      <c r="N3544" s="329"/>
      <c r="O3544" s="329"/>
      <c r="P3544" s="329"/>
      <c r="Q3544" s="329"/>
      <c r="R3544" s="329"/>
    </row>
    <row r="3545" spans="1:18" ht="13">
      <c r="A3545" s="282"/>
      <c r="B3545" s="282"/>
      <c r="C3545" s="282"/>
      <c r="D3545" s="282"/>
      <c r="E3545" s="282"/>
      <c r="F3545" s="282"/>
      <c r="G3545" s="329"/>
      <c r="H3545" s="329"/>
      <c r="I3545" s="329"/>
      <c r="J3545" s="329"/>
      <c r="K3545" s="329"/>
      <c r="L3545" s="329"/>
      <c r="M3545" s="329"/>
      <c r="N3545" s="329"/>
      <c r="O3545" s="329"/>
      <c r="P3545" s="329"/>
      <c r="Q3545" s="329"/>
      <c r="R3545" s="329"/>
    </row>
    <row r="3546" spans="1:18" ht="13">
      <c r="A3546" s="282"/>
      <c r="B3546" s="282"/>
      <c r="C3546" s="282"/>
      <c r="D3546" s="282"/>
      <c r="E3546" s="282"/>
      <c r="F3546" s="282"/>
      <c r="G3546" s="329"/>
      <c r="H3546" s="329"/>
      <c r="I3546" s="329"/>
      <c r="J3546" s="329"/>
      <c r="K3546" s="329"/>
      <c r="L3546" s="329"/>
      <c r="M3546" s="329"/>
      <c r="N3546" s="329"/>
      <c r="O3546" s="329"/>
      <c r="P3546" s="329"/>
      <c r="Q3546" s="329"/>
      <c r="R3546" s="329"/>
    </row>
    <row r="3547" spans="1:18" ht="13">
      <c r="A3547" s="282"/>
      <c r="B3547" s="282"/>
      <c r="C3547" s="282"/>
      <c r="D3547" s="282"/>
      <c r="E3547" s="282"/>
      <c r="F3547" s="282"/>
      <c r="G3547" s="329"/>
      <c r="H3547" s="329"/>
      <c r="I3547" s="329"/>
      <c r="J3547" s="329"/>
      <c r="K3547" s="329"/>
      <c r="L3547" s="329"/>
      <c r="M3547" s="329"/>
      <c r="N3547" s="329"/>
      <c r="O3547" s="329"/>
      <c r="P3547" s="329"/>
      <c r="Q3547" s="329"/>
      <c r="R3547" s="329"/>
    </row>
    <row r="3548" spans="1:18" ht="13">
      <c r="A3548" s="282"/>
      <c r="B3548" s="282"/>
      <c r="C3548" s="282"/>
      <c r="D3548" s="282"/>
      <c r="E3548" s="282"/>
      <c r="F3548" s="282"/>
      <c r="G3548" s="329"/>
      <c r="H3548" s="329"/>
      <c r="I3548" s="329"/>
      <c r="J3548" s="329"/>
      <c r="K3548" s="329"/>
      <c r="L3548" s="329"/>
      <c r="M3548" s="329"/>
      <c r="N3548" s="329"/>
      <c r="O3548" s="329"/>
      <c r="P3548" s="329"/>
      <c r="Q3548" s="329"/>
      <c r="R3548" s="329"/>
    </row>
    <row r="3549" spans="1:18" ht="13">
      <c r="A3549" s="282"/>
      <c r="B3549" s="282"/>
      <c r="C3549" s="282"/>
      <c r="D3549" s="282"/>
      <c r="E3549" s="282"/>
      <c r="F3549" s="282"/>
      <c r="G3549" s="329"/>
      <c r="H3549" s="329"/>
      <c r="I3549" s="329"/>
      <c r="J3549" s="329"/>
      <c r="K3549" s="329"/>
      <c r="L3549" s="329"/>
      <c r="M3549" s="329"/>
      <c r="N3549" s="329"/>
      <c r="O3549" s="329"/>
      <c r="P3549" s="329"/>
      <c r="Q3549" s="329"/>
      <c r="R3549" s="329"/>
    </row>
    <row r="3550" spans="1:18" ht="13">
      <c r="A3550" s="282"/>
      <c r="B3550" s="282"/>
      <c r="C3550" s="282"/>
      <c r="D3550" s="282"/>
      <c r="E3550" s="282"/>
      <c r="F3550" s="282"/>
      <c r="G3550" s="329"/>
      <c r="H3550" s="329"/>
      <c r="I3550" s="329"/>
      <c r="J3550" s="329"/>
      <c r="K3550" s="329"/>
      <c r="L3550" s="329"/>
      <c r="M3550" s="329"/>
      <c r="N3550" s="329"/>
      <c r="O3550" s="329"/>
      <c r="P3550" s="329"/>
      <c r="Q3550" s="329"/>
      <c r="R3550" s="329"/>
    </row>
    <row r="3551" spans="1:18" ht="13">
      <c r="A3551" s="282"/>
      <c r="B3551" s="282"/>
      <c r="C3551" s="282"/>
      <c r="D3551" s="282"/>
      <c r="E3551" s="282"/>
      <c r="F3551" s="282"/>
      <c r="G3551" s="329"/>
      <c r="H3551" s="329"/>
      <c r="I3551" s="329"/>
      <c r="J3551" s="329"/>
      <c r="K3551" s="329"/>
      <c r="L3551" s="329"/>
      <c r="M3551" s="329"/>
      <c r="N3551" s="329"/>
      <c r="O3551" s="329"/>
      <c r="P3551" s="329"/>
      <c r="Q3551" s="329"/>
      <c r="R3551" s="329"/>
    </row>
    <row r="3552" spans="1:18" ht="13">
      <c r="A3552" s="282"/>
      <c r="B3552" s="282"/>
      <c r="C3552" s="282"/>
      <c r="D3552" s="282"/>
      <c r="E3552" s="282"/>
      <c r="F3552" s="282"/>
      <c r="G3552" s="329"/>
      <c r="H3552" s="329"/>
      <c r="I3552" s="329"/>
      <c r="J3552" s="329"/>
      <c r="K3552" s="329"/>
      <c r="L3552" s="329"/>
      <c r="M3552" s="329"/>
      <c r="N3552" s="329"/>
      <c r="O3552" s="329"/>
      <c r="P3552" s="329"/>
      <c r="Q3552" s="329"/>
      <c r="R3552" s="329"/>
    </row>
    <row r="3553" spans="1:18" ht="13">
      <c r="A3553" s="282"/>
      <c r="B3553" s="282"/>
      <c r="C3553" s="282"/>
      <c r="D3553" s="282"/>
      <c r="E3553" s="282"/>
      <c r="F3553" s="282"/>
      <c r="G3553" s="329"/>
      <c r="H3553" s="329"/>
      <c r="I3553" s="329"/>
      <c r="J3553" s="329"/>
      <c r="K3553" s="329"/>
      <c r="L3553" s="329"/>
      <c r="M3553" s="329"/>
      <c r="N3553" s="329"/>
      <c r="O3553" s="329"/>
      <c r="P3553" s="329"/>
      <c r="Q3553" s="329"/>
      <c r="R3553" s="329"/>
    </row>
    <row r="3554" spans="1:18" ht="13">
      <c r="A3554" s="282"/>
      <c r="B3554" s="282"/>
      <c r="C3554" s="282"/>
      <c r="D3554" s="282"/>
      <c r="E3554" s="282"/>
      <c r="F3554" s="282"/>
      <c r="G3554" s="329"/>
      <c r="H3554" s="329"/>
      <c r="I3554" s="329"/>
      <c r="J3554" s="329"/>
      <c r="K3554" s="329"/>
      <c r="L3554" s="329"/>
      <c r="M3554" s="329"/>
      <c r="N3554" s="329"/>
      <c r="O3554" s="329"/>
      <c r="P3554" s="329"/>
      <c r="Q3554" s="329"/>
      <c r="R3554" s="329"/>
    </row>
    <row r="3555" spans="1:18" ht="13">
      <c r="A3555" s="282"/>
      <c r="B3555" s="282"/>
      <c r="C3555" s="282"/>
      <c r="D3555" s="282"/>
      <c r="E3555" s="282"/>
      <c r="F3555" s="282"/>
      <c r="G3555" s="329"/>
      <c r="H3555" s="329"/>
      <c r="I3555" s="329"/>
      <c r="J3555" s="329"/>
      <c r="K3555" s="329"/>
      <c r="L3555" s="329"/>
      <c r="M3555" s="329"/>
      <c r="N3555" s="329"/>
      <c r="O3555" s="329"/>
      <c r="P3555" s="329"/>
      <c r="Q3555" s="329"/>
      <c r="R3555" s="329"/>
    </row>
    <row r="3556" spans="1:18" ht="13">
      <c r="A3556" s="282"/>
      <c r="B3556" s="282"/>
      <c r="C3556" s="282"/>
      <c r="D3556" s="282"/>
      <c r="E3556" s="282"/>
      <c r="F3556" s="282"/>
      <c r="G3556" s="329"/>
      <c r="H3556" s="329"/>
      <c r="I3556" s="329"/>
      <c r="J3556" s="329"/>
      <c r="K3556" s="329"/>
      <c r="L3556" s="329"/>
      <c r="M3556" s="329"/>
      <c r="N3556" s="329"/>
      <c r="O3556" s="329"/>
      <c r="P3556" s="329"/>
      <c r="Q3556" s="329"/>
      <c r="R3556" s="329"/>
    </row>
    <row r="3557" spans="1:18" ht="13">
      <c r="A3557" s="282"/>
      <c r="B3557" s="282"/>
      <c r="C3557" s="282"/>
      <c r="D3557" s="282"/>
      <c r="E3557" s="282"/>
      <c r="F3557" s="282"/>
      <c r="G3557" s="329"/>
      <c r="H3557" s="329"/>
      <c r="I3557" s="329"/>
      <c r="J3557" s="329"/>
      <c r="K3557" s="329"/>
      <c r="L3557" s="329"/>
      <c r="M3557" s="329"/>
      <c r="N3557" s="329"/>
      <c r="O3557" s="329"/>
      <c r="P3557" s="329"/>
      <c r="Q3557" s="329"/>
      <c r="R3557" s="329"/>
    </row>
    <row r="3558" spans="1:18" ht="13">
      <c r="A3558" s="282"/>
      <c r="B3558" s="282"/>
      <c r="C3558" s="282"/>
      <c r="D3558" s="282"/>
      <c r="E3558" s="282"/>
      <c r="F3558" s="282"/>
      <c r="G3558" s="329"/>
      <c r="H3558" s="329"/>
      <c r="I3558" s="329"/>
      <c r="J3558" s="329"/>
      <c r="K3558" s="329"/>
      <c r="L3558" s="329"/>
      <c r="M3558" s="329"/>
      <c r="N3558" s="329"/>
      <c r="O3558" s="329"/>
      <c r="P3558" s="329"/>
      <c r="Q3558" s="329"/>
      <c r="R3558" s="329"/>
    </row>
    <row r="3559" spans="1:18" ht="13">
      <c r="A3559" s="282"/>
      <c r="B3559" s="282"/>
      <c r="C3559" s="282"/>
      <c r="D3559" s="282"/>
      <c r="E3559" s="282"/>
      <c r="F3559" s="282"/>
      <c r="G3559" s="329"/>
      <c r="H3559" s="329"/>
      <c r="I3559" s="329"/>
      <c r="J3559" s="329"/>
      <c r="K3559" s="329"/>
      <c r="L3559" s="329"/>
      <c r="M3559" s="329"/>
      <c r="N3559" s="329"/>
      <c r="O3559" s="329"/>
      <c r="P3559" s="329"/>
      <c r="Q3559" s="329"/>
      <c r="R3559" s="329"/>
    </row>
    <row r="3560" spans="1:18" ht="13">
      <c r="A3560" s="282"/>
      <c r="B3560" s="282"/>
      <c r="C3560" s="282"/>
      <c r="D3560" s="282"/>
      <c r="E3560" s="282"/>
      <c r="F3560" s="282"/>
      <c r="G3560" s="329"/>
      <c r="H3560" s="329"/>
      <c r="I3560" s="329"/>
      <c r="J3560" s="329"/>
      <c r="K3560" s="329"/>
      <c r="L3560" s="329"/>
      <c r="M3560" s="329"/>
      <c r="N3560" s="329"/>
      <c r="O3560" s="329"/>
      <c r="P3560" s="329"/>
      <c r="Q3560" s="329"/>
      <c r="R3560" s="329"/>
    </row>
    <row r="3561" spans="1:18" ht="13">
      <c r="A3561" s="282"/>
      <c r="B3561" s="282"/>
      <c r="C3561" s="282"/>
      <c r="D3561" s="282"/>
      <c r="E3561" s="282"/>
      <c r="F3561" s="282"/>
      <c r="G3561" s="329"/>
      <c r="H3561" s="329"/>
      <c r="I3561" s="329"/>
      <c r="J3561" s="329"/>
      <c r="K3561" s="329"/>
      <c r="L3561" s="329"/>
      <c r="M3561" s="329"/>
      <c r="N3561" s="329"/>
      <c r="O3561" s="329"/>
      <c r="P3561" s="329"/>
      <c r="Q3561" s="329"/>
      <c r="R3561" s="329"/>
    </row>
    <row r="3562" spans="1:18" ht="13">
      <c r="A3562" s="282"/>
      <c r="B3562" s="282"/>
      <c r="C3562" s="282"/>
      <c r="D3562" s="282"/>
      <c r="E3562" s="282"/>
      <c r="F3562" s="282"/>
      <c r="G3562" s="329"/>
      <c r="H3562" s="329"/>
      <c r="I3562" s="329"/>
      <c r="J3562" s="329"/>
      <c r="K3562" s="329"/>
      <c r="L3562" s="329"/>
      <c r="M3562" s="329"/>
      <c r="N3562" s="329"/>
      <c r="O3562" s="329"/>
      <c r="P3562" s="329"/>
      <c r="Q3562" s="329"/>
      <c r="R3562" s="329"/>
    </row>
    <row r="3563" spans="1:18" ht="13">
      <c r="A3563" s="282"/>
      <c r="B3563" s="282"/>
      <c r="C3563" s="282"/>
      <c r="D3563" s="282"/>
      <c r="E3563" s="282"/>
      <c r="F3563" s="282"/>
      <c r="G3563" s="329"/>
      <c r="H3563" s="329"/>
      <c r="I3563" s="329"/>
      <c r="J3563" s="329"/>
      <c r="K3563" s="329"/>
      <c r="L3563" s="329"/>
      <c r="M3563" s="329"/>
      <c r="N3563" s="329"/>
      <c r="O3563" s="329"/>
      <c r="P3563" s="329"/>
      <c r="Q3563" s="329"/>
      <c r="R3563" s="329"/>
    </row>
    <row r="3564" spans="1:18" ht="13">
      <c r="A3564" s="282"/>
      <c r="B3564" s="282"/>
      <c r="C3564" s="282"/>
      <c r="D3564" s="282"/>
      <c r="E3564" s="282"/>
      <c r="F3564" s="282"/>
      <c r="G3564" s="329"/>
      <c r="H3564" s="329"/>
      <c r="I3564" s="329"/>
      <c r="J3564" s="329"/>
      <c r="K3564" s="329"/>
      <c r="L3564" s="329"/>
      <c r="M3564" s="329"/>
      <c r="N3564" s="329"/>
      <c r="O3564" s="329"/>
      <c r="P3564" s="329"/>
      <c r="Q3564" s="329"/>
      <c r="R3564" s="329"/>
    </row>
    <row r="3565" spans="1:18" ht="13">
      <c r="A3565" s="282"/>
      <c r="B3565" s="282"/>
      <c r="C3565" s="282"/>
      <c r="D3565" s="282"/>
      <c r="E3565" s="282"/>
      <c r="F3565" s="282"/>
      <c r="G3565" s="329"/>
      <c r="H3565" s="329"/>
      <c r="I3565" s="329"/>
      <c r="J3565" s="329"/>
      <c r="K3565" s="329"/>
      <c r="L3565" s="329"/>
      <c r="M3565" s="329"/>
      <c r="N3565" s="329"/>
      <c r="O3565" s="329"/>
      <c r="P3565" s="329"/>
      <c r="Q3565" s="329"/>
      <c r="R3565" s="329"/>
    </row>
    <row r="3566" spans="1:18" ht="13">
      <c r="A3566" s="282"/>
      <c r="B3566" s="282"/>
      <c r="C3566" s="282"/>
      <c r="D3566" s="282"/>
      <c r="E3566" s="282"/>
      <c r="F3566" s="282"/>
      <c r="G3566" s="329"/>
      <c r="H3566" s="329"/>
      <c r="I3566" s="329"/>
      <c r="J3566" s="329"/>
      <c r="K3566" s="329"/>
      <c r="L3566" s="329"/>
      <c r="M3566" s="329"/>
      <c r="N3566" s="329"/>
      <c r="O3566" s="329"/>
      <c r="P3566" s="329"/>
      <c r="Q3566" s="329"/>
      <c r="R3566" s="329"/>
    </row>
    <row r="3567" spans="1:18" ht="13">
      <c r="A3567" s="282"/>
      <c r="B3567" s="282"/>
      <c r="C3567" s="282"/>
      <c r="D3567" s="282"/>
      <c r="E3567" s="282"/>
      <c r="F3567" s="282"/>
      <c r="G3567" s="329"/>
      <c r="H3567" s="329"/>
      <c r="I3567" s="329"/>
      <c r="J3567" s="329"/>
      <c r="K3567" s="329"/>
      <c r="L3567" s="329"/>
      <c r="M3567" s="329"/>
      <c r="N3567" s="329"/>
      <c r="O3567" s="329"/>
      <c r="P3567" s="329"/>
      <c r="Q3567" s="329"/>
      <c r="R3567" s="329"/>
    </row>
    <row r="3568" spans="1:18" ht="13">
      <c r="A3568" s="282"/>
      <c r="B3568" s="282"/>
      <c r="C3568" s="282"/>
      <c r="D3568" s="282"/>
      <c r="E3568" s="282"/>
      <c r="F3568" s="282"/>
      <c r="G3568" s="329"/>
      <c r="H3568" s="329"/>
      <c r="I3568" s="329"/>
      <c r="J3568" s="329"/>
      <c r="K3568" s="329"/>
      <c r="L3568" s="329"/>
      <c r="M3568" s="329"/>
      <c r="N3568" s="329"/>
      <c r="O3568" s="329"/>
      <c r="P3568" s="329"/>
      <c r="Q3568" s="329"/>
      <c r="R3568" s="329"/>
    </row>
    <row r="3569" spans="1:18" ht="13">
      <c r="A3569" s="282"/>
      <c r="B3569" s="282"/>
      <c r="C3569" s="282"/>
      <c r="D3569" s="282"/>
      <c r="E3569" s="282"/>
      <c r="F3569" s="282"/>
      <c r="G3569" s="329"/>
      <c r="H3569" s="329"/>
      <c r="I3569" s="329"/>
      <c r="J3569" s="329"/>
      <c r="K3569" s="329"/>
      <c r="L3569" s="329"/>
      <c r="M3569" s="329"/>
      <c r="N3569" s="329"/>
      <c r="O3569" s="329"/>
      <c r="P3569" s="329"/>
      <c r="Q3569" s="329"/>
      <c r="R3569" s="329"/>
    </row>
    <row r="3570" spans="1:18" ht="13">
      <c r="A3570" s="282"/>
      <c r="B3570" s="282"/>
      <c r="C3570" s="282"/>
      <c r="D3570" s="282"/>
      <c r="E3570" s="282"/>
      <c r="F3570" s="282"/>
      <c r="G3570" s="329"/>
      <c r="H3570" s="329"/>
      <c r="I3570" s="329"/>
      <c r="J3570" s="329"/>
      <c r="K3570" s="329"/>
      <c r="L3570" s="329"/>
      <c r="M3570" s="329"/>
      <c r="N3570" s="329"/>
      <c r="O3570" s="329"/>
      <c r="P3570" s="329"/>
      <c r="Q3570" s="329"/>
      <c r="R3570" s="329"/>
    </row>
    <row r="3571" spans="1:18" ht="13">
      <c r="A3571" s="282"/>
      <c r="B3571" s="282"/>
      <c r="C3571" s="282"/>
      <c r="D3571" s="282"/>
      <c r="E3571" s="282"/>
      <c r="F3571" s="282"/>
      <c r="G3571" s="329"/>
      <c r="H3571" s="329"/>
      <c r="I3571" s="329"/>
      <c r="J3571" s="329"/>
      <c r="K3571" s="329"/>
      <c r="L3571" s="329"/>
      <c r="M3571" s="329"/>
      <c r="N3571" s="329"/>
      <c r="O3571" s="329"/>
      <c r="P3571" s="329"/>
      <c r="Q3571" s="329"/>
      <c r="R3571" s="329"/>
    </row>
    <row r="3572" spans="1:18" ht="13">
      <c r="A3572" s="282"/>
      <c r="B3572" s="282"/>
      <c r="C3572" s="282"/>
      <c r="D3572" s="282"/>
      <c r="E3572" s="282"/>
      <c r="F3572" s="282"/>
      <c r="G3572" s="329"/>
      <c r="H3572" s="329"/>
      <c r="I3572" s="329"/>
      <c r="J3572" s="329"/>
      <c r="K3572" s="329"/>
      <c r="L3572" s="329"/>
      <c r="M3572" s="329"/>
      <c r="N3572" s="329"/>
      <c r="O3572" s="329"/>
      <c r="P3572" s="329"/>
      <c r="Q3572" s="329"/>
      <c r="R3572" s="329"/>
    </row>
    <row r="3573" spans="1:18" ht="13">
      <c r="A3573" s="282"/>
      <c r="B3573" s="282"/>
      <c r="C3573" s="282"/>
      <c r="D3573" s="282"/>
      <c r="E3573" s="282"/>
      <c r="F3573" s="282"/>
      <c r="G3573" s="329"/>
      <c r="H3573" s="329"/>
      <c r="I3573" s="329"/>
      <c r="J3573" s="329"/>
      <c r="K3573" s="329"/>
      <c r="L3573" s="329"/>
      <c r="M3573" s="329"/>
      <c r="N3573" s="329"/>
      <c r="O3573" s="329"/>
      <c r="P3573" s="329"/>
      <c r="Q3573" s="329"/>
      <c r="R3573" s="329"/>
    </row>
    <row r="3574" spans="1:18" ht="13">
      <c r="A3574" s="282"/>
      <c r="B3574" s="282"/>
      <c r="C3574" s="282"/>
      <c r="D3574" s="282"/>
      <c r="E3574" s="282"/>
      <c r="F3574" s="282"/>
      <c r="G3574" s="329"/>
      <c r="H3574" s="329"/>
      <c r="I3574" s="329"/>
      <c r="J3574" s="329"/>
      <c r="K3574" s="329"/>
      <c r="L3574" s="329"/>
      <c r="M3574" s="329"/>
      <c r="N3574" s="329"/>
      <c r="O3574" s="329"/>
      <c r="P3574" s="329"/>
      <c r="Q3574" s="329"/>
      <c r="R3574" s="329"/>
    </row>
    <row r="3575" spans="1:18" ht="13">
      <c r="A3575" s="282"/>
      <c r="B3575" s="282"/>
      <c r="C3575" s="282"/>
      <c r="D3575" s="282"/>
      <c r="E3575" s="282"/>
      <c r="F3575" s="282"/>
      <c r="G3575" s="329"/>
      <c r="H3575" s="329"/>
      <c r="I3575" s="329"/>
      <c r="J3575" s="329"/>
      <c r="K3575" s="329"/>
      <c r="L3575" s="329"/>
      <c r="M3575" s="329"/>
      <c r="N3575" s="329"/>
      <c r="O3575" s="329"/>
      <c r="P3575" s="329"/>
      <c r="Q3575" s="329"/>
      <c r="R3575" s="329"/>
    </row>
    <row r="3576" spans="1:18" ht="13">
      <c r="A3576" s="282"/>
      <c r="B3576" s="282"/>
      <c r="C3576" s="282"/>
      <c r="D3576" s="282"/>
      <c r="E3576" s="282"/>
      <c r="F3576" s="282"/>
      <c r="G3576" s="329"/>
      <c r="H3576" s="329"/>
      <c r="I3576" s="329"/>
      <c r="J3576" s="329"/>
      <c r="K3576" s="329"/>
      <c r="L3576" s="329"/>
      <c r="M3576" s="329"/>
      <c r="N3576" s="329"/>
      <c r="O3576" s="329"/>
      <c r="P3576" s="329"/>
      <c r="Q3576" s="329"/>
      <c r="R3576" s="329"/>
    </row>
    <row r="3577" spans="1:18" ht="13">
      <c r="A3577" s="282"/>
      <c r="B3577" s="282"/>
      <c r="C3577" s="282"/>
      <c r="D3577" s="282"/>
      <c r="E3577" s="282"/>
      <c r="F3577" s="282"/>
      <c r="G3577" s="329"/>
      <c r="H3577" s="329"/>
      <c r="I3577" s="329"/>
      <c r="J3577" s="329"/>
      <c r="K3577" s="329"/>
      <c r="L3577" s="329"/>
      <c r="M3577" s="329"/>
      <c r="N3577" s="329"/>
      <c r="O3577" s="329"/>
      <c r="P3577" s="329"/>
      <c r="Q3577" s="329"/>
      <c r="R3577" s="329"/>
    </row>
    <row r="3578" spans="1:18" ht="13">
      <c r="A3578" s="282"/>
      <c r="B3578" s="282"/>
      <c r="C3578" s="282"/>
      <c r="D3578" s="282"/>
      <c r="E3578" s="282"/>
      <c r="F3578" s="282"/>
      <c r="G3578" s="329"/>
      <c r="H3578" s="329"/>
      <c r="I3578" s="329"/>
      <c r="J3578" s="329"/>
      <c r="K3578" s="329"/>
      <c r="L3578" s="329"/>
      <c r="M3578" s="329"/>
      <c r="N3578" s="329"/>
      <c r="O3578" s="329"/>
      <c r="P3578" s="329"/>
      <c r="Q3578" s="329"/>
      <c r="R3578" s="329"/>
    </row>
    <row r="3579" spans="1:18" ht="13">
      <c r="A3579" s="282"/>
      <c r="B3579" s="282"/>
      <c r="C3579" s="282"/>
      <c r="D3579" s="282"/>
      <c r="E3579" s="282"/>
      <c r="F3579" s="282"/>
      <c r="G3579" s="329"/>
      <c r="H3579" s="329"/>
      <c r="I3579" s="329"/>
      <c r="J3579" s="329"/>
      <c r="K3579" s="329"/>
      <c r="L3579" s="329"/>
      <c r="M3579" s="329"/>
      <c r="N3579" s="329"/>
      <c r="O3579" s="329"/>
      <c r="P3579" s="329"/>
      <c r="Q3579" s="329"/>
      <c r="R3579" s="329"/>
    </row>
    <row r="3580" spans="1:18" ht="13">
      <c r="A3580" s="282"/>
      <c r="B3580" s="282"/>
      <c r="C3580" s="282"/>
      <c r="D3580" s="282"/>
      <c r="E3580" s="282"/>
      <c r="F3580" s="282"/>
      <c r="G3580" s="329"/>
      <c r="H3580" s="329"/>
      <c r="I3580" s="329"/>
      <c r="J3580" s="329"/>
      <c r="K3580" s="329"/>
      <c r="L3580" s="329"/>
      <c r="M3580" s="329"/>
      <c r="N3580" s="329"/>
      <c r="O3580" s="329"/>
      <c r="P3580" s="329"/>
      <c r="Q3580" s="329"/>
      <c r="R3580" s="329"/>
    </row>
    <row r="3581" spans="1:18" ht="13">
      <c r="A3581" s="282"/>
      <c r="B3581" s="282"/>
      <c r="C3581" s="282"/>
      <c r="D3581" s="282"/>
      <c r="E3581" s="282"/>
      <c r="F3581" s="282"/>
      <c r="G3581" s="329"/>
      <c r="H3581" s="329"/>
      <c r="I3581" s="329"/>
      <c r="J3581" s="329"/>
      <c r="K3581" s="329"/>
      <c r="L3581" s="329"/>
      <c r="M3581" s="329"/>
      <c r="N3581" s="329"/>
      <c r="O3581" s="329"/>
      <c r="P3581" s="329"/>
      <c r="Q3581" s="329"/>
      <c r="R3581" s="329"/>
    </row>
    <row r="3582" spans="1:18" ht="13">
      <c r="A3582" s="282"/>
      <c r="B3582" s="282"/>
      <c r="C3582" s="282"/>
      <c r="D3582" s="282"/>
      <c r="E3582" s="282"/>
      <c r="F3582" s="282"/>
      <c r="G3582" s="329"/>
      <c r="H3582" s="329"/>
      <c r="I3582" s="329"/>
      <c r="J3582" s="329"/>
      <c r="K3582" s="329"/>
      <c r="L3582" s="329"/>
      <c r="M3582" s="329"/>
      <c r="N3582" s="329"/>
      <c r="O3582" s="329"/>
      <c r="P3582" s="329"/>
      <c r="Q3582" s="329"/>
      <c r="R3582" s="329"/>
    </row>
    <row r="3583" spans="1:18" ht="13">
      <c r="A3583" s="282"/>
      <c r="B3583" s="282"/>
      <c r="C3583" s="282"/>
      <c r="D3583" s="282"/>
      <c r="E3583" s="282"/>
      <c r="F3583" s="282"/>
      <c r="G3583" s="329"/>
      <c r="H3583" s="329"/>
      <c r="I3583" s="329"/>
      <c r="J3583" s="329"/>
      <c r="K3583" s="329"/>
      <c r="L3583" s="329"/>
      <c r="M3583" s="329"/>
      <c r="N3583" s="329"/>
      <c r="O3583" s="329"/>
      <c r="P3583" s="329"/>
      <c r="Q3583" s="329"/>
      <c r="R3583" s="329"/>
    </row>
    <row r="3584" spans="1:18" ht="13">
      <c r="A3584" s="282"/>
      <c r="B3584" s="282"/>
      <c r="C3584" s="282"/>
      <c r="D3584" s="282"/>
      <c r="E3584" s="282"/>
      <c r="F3584" s="282"/>
      <c r="G3584" s="329"/>
      <c r="H3584" s="329"/>
      <c r="I3584" s="329"/>
      <c r="J3584" s="329"/>
      <c r="K3584" s="329"/>
      <c r="L3584" s="329"/>
      <c r="M3584" s="329"/>
      <c r="N3584" s="329"/>
      <c r="O3584" s="329"/>
      <c r="P3584" s="329"/>
      <c r="Q3584" s="329"/>
      <c r="R3584" s="329"/>
    </row>
    <row r="3585" spans="1:18" ht="13">
      <c r="A3585" s="282"/>
      <c r="B3585" s="282"/>
      <c r="C3585" s="282"/>
      <c r="D3585" s="282"/>
      <c r="E3585" s="282"/>
      <c r="F3585" s="282"/>
      <c r="G3585" s="329"/>
      <c r="H3585" s="329"/>
      <c r="I3585" s="329"/>
      <c r="J3585" s="329"/>
      <c r="K3585" s="329"/>
      <c r="L3585" s="329"/>
      <c r="M3585" s="329"/>
      <c r="N3585" s="329"/>
      <c r="O3585" s="329"/>
      <c r="P3585" s="329"/>
      <c r="Q3585" s="329"/>
      <c r="R3585" s="329"/>
    </row>
    <row r="3586" spans="1:18" ht="13">
      <c r="A3586" s="282"/>
      <c r="B3586" s="282"/>
      <c r="C3586" s="282"/>
      <c r="D3586" s="282"/>
      <c r="E3586" s="282"/>
      <c r="F3586" s="282"/>
      <c r="G3586" s="329"/>
      <c r="H3586" s="329"/>
      <c r="I3586" s="329"/>
      <c r="J3586" s="329"/>
      <c r="K3586" s="329"/>
      <c r="L3586" s="329"/>
      <c r="M3586" s="329"/>
      <c r="N3586" s="329"/>
      <c r="O3586" s="329"/>
      <c r="P3586" s="329"/>
      <c r="Q3586" s="329"/>
      <c r="R3586" s="329"/>
    </row>
    <row r="3587" spans="1:18" ht="13">
      <c r="A3587" s="282"/>
      <c r="B3587" s="282"/>
      <c r="C3587" s="282"/>
      <c r="D3587" s="282"/>
      <c r="E3587" s="282"/>
      <c r="F3587" s="282"/>
      <c r="G3587" s="329"/>
      <c r="H3587" s="329"/>
      <c r="I3587" s="329"/>
      <c r="J3587" s="329"/>
      <c r="K3587" s="329"/>
      <c r="L3587" s="329"/>
      <c r="M3587" s="329"/>
      <c r="N3587" s="329"/>
      <c r="O3587" s="329"/>
      <c r="P3587" s="329"/>
      <c r="Q3587" s="329"/>
      <c r="R3587" s="329"/>
    </row>
    <row r="3588" spans="1:18" ht="13">
      <c r="A3588" s="282"/>
      <c r="B3588" s="282"/>
      <c r="C3588" s="282"/>
      <c r="D3588" s="282"/>
      <c r="E3588" s="282"/>
      <c r="F3588" s="282"/>
      <c r="G3588" s="329"/>
      <c r="H3588" s="329"/>
      <c r="I3588" s="329"/>
      <c r="J3588" s="329"/>
      <c r="K3588" s="329"/>
      <c r="L3588" s="329"/>
      <c r="M3588" s="329"/>
      <c r="N3588" s="329"/>
      <c r="O3588" s="329"/>
      <c r="P3588" s="329"/>
      <c r="Q3588" s="329"/>
      <c r="R3588" s="329"/>
    </row>
    <row r="3589" spans="1:18" ht="13">
      <c r="A3589" s="282"/>
      <c r="B3589" s="282"/>
      <c r="C3589" s="282"/>
      <c r="D3589" s="282"/>
      <c r="E3589" s="282"/>
      <c r="F3589" s="282"/>
      <c r="G3589" s="329"/>
      <c r="H3589" s="329"/>
      <c r="I3589" s="329"/>
      <c r="J3589" s="329"/>
      <c r="K3589" s="329"/>
      <c r="L3589" s="329"/>
      <c r="M3589" s="329"/>
      <c r="N3589" s="329"/>
      <c r="O3589" s="329"/>
      <c r="P3589" s="329"/>
      <c r="Q3589" s="329"/>
      <c r="R3589" s="329"/>
    </row>
    <row r="3590" spans="1:18" ht="13">
      <c r="A3590" s="282"/>
      <c r="B3590" s="282"/>
      <c r="C3590" s="282"/>
      <c r="D3590" s="282"/>
      <c r="E3590" s="282"/>
      <c r="F3590" s="282"/>
      <c r="G3590" s="329"/>
      <c r="H3590" s="329"/>
      <c r="I3590" s="329"/>
      <c r="J3590" s="329"/>
      <c r="K3590" s="329"/>
      <c r="L3590" s="329"/>
      <c r="M3590" s="329"/>
      <c r="N3590" s="329"/>
      <c r="O3590" s="329"/>
      <c r="P3590" s="329"/>
      <c r="Q3590" s="329"/>
      <c r="R3590" s="329"/>
    </row>
    <row r="3591" spans="1:18" ht="13">
      <c r="A3591" s="282"/>
      <c r="B3591" s="282"/>
      <c r="C3591" s="282"/>
      <c r="D3591" s="282"/>
      <c r="E3591" s="282"/>
      <c r="F3591" s="282"/>
      <c r="G3591" s="329"/>
      <c r="H3591" s="329"/>
      <c r="I3591" s="329"/>
      <c r="J3591" s="329"/>
      <c r="K3591" s="329"/>
      <c r="L3591" s="329"/>
      <c r="M3591" s="329"/>
      <c r="N3591" s="329"/>
      <c r="O3591" s="329"/>
      <c r="P3591" s="329"/>
      <c r="Q3591" s="329"/>
      <c r="R3591" s="329"/>
    </row>
    <row r="3592" spans="1:18" ht="13">
      <c r="A3592" s="282"/>
      <c r="B3592" s="282"/>
      <c r="C3592" s="282"/>
      <c r="D3592" s="282"/>
      <c r="E3592" s="282"/>
      <c r="F3592" s="282"/>
      <c r="G3592" s="329"/>
      <c r="H3592" s="329"/>
      <c r="I3592" s="329"/>
      <c r="J3592" s="329"/>
      <c r="K3592" s="329"/>
      <c r="L3592" s="329"/>
      <c r="M3592" s="329"/>
      <c r="N3592" s="329"/>
      <c r="O3592" s="329"/>
      <c r="P3592" s="329"/>
      <c r="Q3592" s="329"/>
      <c r="R3592" s="329"/>
    </row>
    <row r="3593" spans="1:18" ht="13">
      <c r="A3593" s="282"/>
      <c r="B3593" s="282"/>
      <c r="C3593" s="282"/>
      <c r="D3593" s="282"/>
      <c r="E3593" s="282"/>
      <c r="F3593" s="282"/>
      <c r="G3593" s="329"/>
      <c r="H3593" s="329"/>
      <c r="I3593" s="329"/>
      <c r="J3593" s="329"/>
      <c r="K3593" s="329"/>
      <c r="L3593" s="329"/>
      <c r="M3593" s="329"/>
      <c r="N3593" s="329"/>
      <c r="O3593" s="329"/>
      <c r="P3593" s="329"/>
      <c r="Q3593" s="329"/>
      <c r="R3593" s="329"/>
    </row>
    <row r="3594" spans="1:18" ht="13">
      <c r="A3594" s="282"/>
      <c r="B3594" s="282"/>
      <c r="C3594" s="282"/>
      <c r="D3594" s="282"/>
      <c r="E3594" s="282"/>
      <c r="F3594" s="282"/>
      <c r="G3594" s="329"/>
      <c r="H3594" s="329"/>
      <c r="I3594" s="329"/>
      <c r="J3594" s="329"/>
      <c r="K3594" s="329"/>
      <c r="L3594" s="329"/>
      <c r="M3594" s="329"/>
      <c r="N3594" s="329"/>
      <c r="O3594" s="329"/>
      <c r="P3594" s="329"/>
      <c r="Q3594" s="329"/>
      <c r="R3594" s="329"/>
    </row>
    <row r="3595" spans="1:18" ht="13">
      <c r="A3595" s="282"/>
      <c r="B3595" s="282"/>
      <c r="C3595" s="282"/>
      <c r="D3595" s="282"/>
      <c r="E3595" s="282"/>
      <c r="F3595" s="282"/>
      <c r="G3595" s="329"/>
      <c r="H3595" s="329"/>
      <c r="I3595" s="329"/>
      <c r="J3595" s="329"/>
      <c r="K3595" s="329"/>
      <c r="L3595" s="329"/>
      <c r="M3595" s="329"/>
      <c r="N3595" s="329"/>
      <c r="O3595" s="329"/>
      <c r="P3595" s="329"/>
      <c r="Q3595" s="329"/>
      <c r="R3595" s="329"/>
    </row>
    <row r="3596" spans="1:18" ht="13">
      <c r="A3596" s="282"/>
      <c r="B3596" s="282"/>
      <c r="C3596" s="282"/>
      <c r="D3596" s="282"/>
      <c r="E3596" s="282"/>
      <c r="F3596" s="282"/>
      <c r="G3596" s="329"/>
      <c r="H3596" s="329"/>
      <c r="I3596" s="329"/>
      <c r="J3596" s="329"/>
      <c r="K3596" s="329"/>
      <c r="L3596" s="329"/>
      <c r="M3596" s="329"/>
      <c r="N3596" s="329"/>
      <c r="O3596" s="329"/>
      <c r="P3596" s="329"/>
      <c r="Q3596" s="329"/>
      <c r="R3596" s="329"/>
    </row>
    <row r="3597" spans="1:18" ht="13">
      <c r="A3597" s="282"/>
      <c r="B3597" s="282"/>
      <c r="C3597" s="282"/>
      <c r="D3597" s="282"/>
      <c r="E3597" s="282"/>
      <c r="F3597" s="282"/>
      <c r="G3597" s="329"/>
      <c r="H3597" s="329"/>
      <c r="I3597" s="329"/>
      <c r="J3597" s="329"/>
      <c r="K3597" s="329"/>
      <c r="L3597" s="329"/>
      <c r="M3597" s="329"/>
      <c r="N3597" s="329"/>
      <c r="O3597" s="329"/>
      <c r="P3597" s="329"/>
      <c r="Q3597" s="329"/>
      <c r="R3597" s="329"/>
    </row>
    <row r="3598" spans="1:18" ht="13">
      <c r="A3598" s="282"/>
      <c r="B3598" s="282"/>
      <c r="C3598" s="282"/>
      <c r="D3598" s="282"/>
      <c r="E3598" s="282"/>
      <c r="F3598" s="282"/>
      <c r="G3598" s="329"/>
      <c r="H3598" s="329"/>
      <c r="I3598" s="329"/>
      <c r="J3598" s="329"/>
      <c r="K3598" s="329"/>
      <c r="L3598" s="329"/>
      <c r="M3598" s="329"/>
      <c r="N3598" s="329"/>
      <c r="O3598" s="329"/>
      <c r="P3598" s="329"/>
      <c r="Q3598" s="329"/>
      <c r="R3598" s="329"/>
    </row>
    <row r="3599" spans="1:18" ht="13">
      <c r="A3599" s="282"/>
      <c r="B3599" s="282"/>
      <c r="C3599" s="282"/>
      <c r="D3599" s="282"/>
      <c r="E3599" s="282"/>
      <c r="F3599" s="282"/>
      <c r="G3599" s="329"/>
      <c r="H3599" s="329"/>
      <c r="I3599" s="329"/>
      <c r="J3599" s="329"/>
      <c r="K3599" s="329"/>
      <c r="L3599" s="329"/>
      <c r="M3599" s="329"/>
      <c r="N3599" s="329"/>
      <c r="O3599" s="329"/>
      <c r="P3599" s="329"/>
      <c r="Q3599" s="329"/>
      <c r="R3599" s="329"/>
    </row>
    <row r="3600" spans="1:18" ht="13">
      <c r="A3600" s="282"/>
      <c r="B3600" s="282"/>
      <c r="C3600" s="282"/>
      <c r="D3600" s="282"/>
      <c r="E3600" s="282"/>
      <c r="F3600" s="282"/>
      <c r="G3600" s="329"/>
      <c r="H3600" s="329"/>
      <c r="I3600" s="329"/>
      <c r="J3600" s="329"/>
      <c r="K3600" s="329"/>
      <c r="L3600" s="329"/>
      <c r="M3600" s="329"/>
      <c r="N3600" s="329"/>
      <c r="O3600" s="329"/>
      <c r="P3600" s="329"/>
      <c r="Q3600" s="329"/>
      <c r="R3600" s="329"/>
    </row>
    <row r="3601" spans="1:18" ht="13">
      <c r="A3601" s="282"/>
      <c r="B3601" s="282"/>
      <c r="C3601" s="282"/>
      <c r="D3601" s="282"/>
      <c r="E3601" s="282"/>
      <c r="F3601" s="282"/>
      <c r="G3601" s="329"/>
      <c r="H3601" s="329"/>
      <c r="I3601" s="329"/>
      <c r="J3601" s="329"/>
      <c r="K3601" s="329"/>
      <c r="L3601" s="329"/>
      <c r="M3601" s="329"/>
      <c r="N3601" s="329"/>
      <c r="O3601" s="329"/>
      <c r="P3601" s="329"/>
      <c r="Q3601" s="329"/>
      <c r="R3601" s="329"/>
    </row>
    <row r="3602" spans="1:18" ht="13">
      <c r="A3602" s="282"/>
      <c r="B3602" s="282"/>
      <c r="C3602" s="282"/>
      <c r="D3602" s="282"/>
      <c r="E3602" s="282"/>
      <c r="F3602" s="282"/>
      <c r="G3602" s="329"/>
      <c r="H3602" s="329"/>
      <c r="I3602" s="329"/>
      <c r="J3602" s="329"/>
      <c r="K3602" s="329"/>
      <c r="L3602" s="329"/>
      <c r="M3602" s="329"/>
      <c r="N3602" s="329"/>
      <c r="O3602" s="329"/>
      <c r="P3602" s="329"/>
      <c r="Q3602" s="329"/>
      <c r="R3602" s="329"/>
    </row>
    <row r="3603" spans="1:18" ht="13">
      <c r="A3603" s="282"/>
      <c r="B3603" s="282"/>
      <c r="C3603" s="282"/>
      <c r="D3603" s="282"/>
      <c r="E3603" s="282"/>
      <c r="F3603" s="282"/>
      <c r="G3603" s="329"/>
      <c r="H3603" s="329"/>
      <c r="I3603" s="329"/>
      <c r="J3603" s="329"/>
      <c r="K3603" s="329"/>
      <c r="L3603" s="329"/>
      <c r="M3603" s="329"/>
      <c r="N3603" s="329"/>
      <c r="O3603" s="329"/>
      <c r="P3603" s="329"/>
      <c r="Q3603" s="329"/>
      <c r="R3603" s="329"/>
    </row>
    <row r="3604" spans="1:18" ht="13">
      <c r="A3604" s="282"/>
      <c r="B3604" s="282"/>
      <c r="C3604" s="282"/>
      <c r="D3604" s="282"/>
      <c r="E3604" s="282"/>
      <c r="F3604" s="282"/>
      <c r="G3604" s="329"/>
      <c r="H3604" s="329"/>
      <c r="I3604" s="329"/>
      <c r="J3604" s="329"/>
      <c r="K3604" s="329"/>
      <c r="L3604" s="329"/>
      <c r="M3604" s="329"/>
      <c r="N3604" s="329"/>
      <c r="O3604" s="329"/>
      <c r="P3604" s="329"/>
      <c r="Q3604" s="329"/>
      <c r="R3604" s="329"/>
    </row>
    <row r="3605" spans="1:18" ht="13">
      <c r="A3605" s="282"/>
      <c r="B3605" s="282"/>
      <c r="C3605" s="282"/>
      <c r="D3605" s="282"/>
      <c r="E3605" s="282"/>
      <c r="F3605" s="282"/>
      <c r="G3605" s="329"/>
      <c r="H3605" s="329"/>
      <c r="I3605" s="329"/>
      <c r="J3605" s="329"/>
      <c r="K3605" s="329"/>
      <c r="L3605" s="329"/>
      <c r="M3605" s="329"/>
      <c r="N3605" s="329"/>
      <c r="O3605" s="329"/>
      <c r="P3605" s="329"/>
      <c r="Q3605" s="329"/>
      <c r="R3605" s="329"/>
    </row>
    <row r="3606" spans="1:18" ht="13">
      <c r="A3606" s="282"/>
      <c r="B3606" s="282"/>
      <c r="C3606" s="282"/>
      <c r="D3606" s="282"/>
      <c r="E3606" s="282"/>
      <c r="F3606" s="282"/>
      <c r="G3606" s="329"/>
      <c r="H3606" s="329"/>
      <c r="I3606" s="329"/>
      <c r="J3606" s="329"/>
      <c r="K3606" s="329"/>
      <c r="L3606" s="329"/>
      <c r="M3606" s="329"/>
      <c r="N3606" s="329"/>
      <c r="O3606" s="329"/>
      <c r="P3606" s="329"/>
      <c r="Q3606" s="329"/>
      <c r="R3606" s="329"/>
    </row>
    <row r="3607" spans="1:18" ht="13">
      <c r="A3607" s="282"/>
      <c r="B3607" s="282"/>
      <c r="C3607" s="282"/>
      <c r="D3607" s="282"/>
      <c r="E3607" s="282"/>
      <c r="F3607" s="282"/>
      <c r="G3607" s="329"/>
      <c r="H3607" s="329"/>
      <c r="I3607" s="329"/>
      <c r="J3607" s="329"/>
      <c r="K3607" s="329"/>
      <c r="L3607" s="329"/>
      <c r="M3607" s="329"/>
      <c r="N3607" s="329"/>
      <c r="O3607" s="329"/>
      <c r="P3607" s="329"/>
      <c r="Q3607" s="329"/>
      <c r="R3607" s="329"/>
    </row>
    <row r="3608" spans="1:18" ht="13">
      <c r="A3608" s="282"/>
      <c r="B3608" s="282"/>
      <c r="C3608" s="282"/>
      <c r="D3608" s="282"/>
      <c r="E3608" s="282"/>
      <c r="F3608" s="282"/>
      <c r="G3608" s="329"/>
      <c r="H3608" s="329"/>
      <c r="I3608" s="329"/>
      <c r="J3608" s="329"/>
      <c r="K3608" s="329"/>
      <c r="L3608" s="329"/>
      <c r="M3608" s="329"/>
      <c r="N3608" s="329"/>
      <c r="O3608" s="329"/>
      <c r="P3608" s="329"/>
      <c r="Q3608" s="329"/>
      <c r="R3608" s="329"/>
    </row>
    <row r="3609" spans="1:18" ht="13">
      <c r="A3609" s="282"/>
      <c r="B3609" s="282"/>
      <c r="C3609" s="282"/>
      <c r="D3609" s="282"/>
      <c r="E3609" s="282"/>
      <c r="F3609" s="282"/>
      <c r="G3609" s="329"/>
      <c r="H3609" s="329"/>
      <c r="I3609" s="329"/>
      <c r="J3609" s="329"/>
      <c r="K3609" s="329"/>
      <c r="L3609" s="329"/>
      <c r="M3609" s="329"/>
      <c r="N3609" s="329"/>
      <c r="O3609" s="329"/>
      <c r="P3609" s="329"/>
      <c r="Q3609" s="329"/>
      <c r="R3609" s="329"/>
    </row>
    <row r="3610" spans="1:18" ht="13">
      <c r="A3610" s="282"/>
      <c r="B3610" s="282"/>
      <c r="C3610" s="282"/>
      <c r="D3610" s="282"/>
      <c r="E3610" s="282"/>
      <c r="F3610" s="282"/>
      <c r="G3610" s="329"/>
      <c r="H3610" s="329"/>
      <c r="I3610" s="329"/>
      <c r="J3610" s="329"/>
      <c r="K3610" s="329"/>
      <c r="L3610" s="329"/>
      <c r="M3610" s="329"/>
      <c r="N3610" s="329"/>
      <c r="O3610" s="329"/>
      <c r="P3610" s="329"/>
      <c r="Q3610" s="329"/>
      <c r="R3610" s="329"/>
    </row>
    <row r="3611" spans="1:18" ht="13">
      <c r="A3611" s="282"/>
      <c r="B3611" s="282"/>
      <c r="C3611" s="282"/>
      <c r="D3611" s="282"/>
      <c r="E3611" s="282"/>
      <c r="F3611" s="282"/>
      <c r="G3611" s="329"/>
      <c r="H3611" s="329"/>
      <c r="I3611" s="329"/>
      <c r="J3611" s="329"/>
      <c r="K3611" s="329"/>
      <c r="L3611" s="329"/>
      <c r="M3611" s="329"/>
      <c r="N3611" s="329"/>
      <c r="O3611" s="329"/>
      <c r="P3611" s="329"/>
      <c r="Q3611" s="329"/>
      <c r="R3611" s="329"/>
    </row>
    <row r="3612" spans="1:18" ht="13">
      <c r="A3612" s="282"/>
      <c r="B3612" s="282"/>
      <c r="C3612" s="282"/>
      <c r="D3612" s="282"/>
      <c r="E3612" s="282"/>
      <c r="F3612" s="282"/>
      <c r="G3612" s="329"/>
      <c r="H3612" s="329"/>
      <c r="I3612" s="329"/>
      <c r="J3612" s="329"/>
      <c r="K3612" s="329"/>
      <c r="L3612" s="329"/>
      <c r="M3612" s="329"/>
      <c r="N3612" s="329"/>
      <c r="O3612" s="329"/>
      <c r="P3612" s="329"/>
      <c r="Q3612" s="329"/>
      <c r="R3612" s="329"/>
    </row>
    <row r="3613" spans="1:18" ht="13">
      <c r="A3613" s="282"/>
      <c r="B3613" s="282"/>
      <c r="C3613" s="282"/>
      <c r="D3613" s="282"/>
      <c r="E3613" s="282"/>
      <c r="F3613" s="282"/>
      <c r="G3613" s="329"/>
      <c r="H3613" s="329"/>
      <c r="I3613" s="329"/>
      <c r="J3613" s="329"/>
      <c r="K3613" s="329"/>
      <c r="L3613" s="329"/>
      <c r="M3613" s="329"/>
      <c r="N3613" s="329"/>
      <c r="O3613" s="329"/>
      <c r="P3613" s="329"/>
      <c r="Q3613" s="329"/>
      <c r="R3613" s="329"/>
    </row>
    <row r="3614" spans="1:18" ht="13">
      <c r="A3614" s="282"/>
      <c r="B3614" s="282"/>
      <c r="C3614" s="282"/>
      <c r="D3614" s="282"/>
      <c r="E3614" s="282"/>
      <c r="F3614" s="282"/>
      <c r="G3614" s="329"/>
      <c r="H3614" s="329"/>
      <c r="I3614" s="329"/>
      <c r="J3614" s="329"/>
      <c r="K3614" s="329"/>
      <c r="L3614" s="329"/>
      <c r="M3614" s="329"/>
      <c r="N3614" s="329"/>
      <c r="O3614" s="329"/>
      <c r="P3614" s="329"/>
      <c r="Q3614" s="329"/>
      <c r="R3614" s="329"/>
    </row>
    <row r="3615" spans="1:18" ht="13">
      <c r="A3615" s="282"/>
      <c r="B3615" s="282"/>
      <c r="C3615" s="282"/>
      <c r="D3615" s="282"/>
      <c r="E3615" s="282"/>
      <c r="F3615" s="282"/>
      <c r="G3615" s="329"/>
      <c r="H3615" s="329"/>
      <c r="I3615" s="329"/>
      <c r="J3615" s="329"/>
      <c r="K3615" s="329"/>
      <c r="L3615" s="329"/>
      <c r="M3615" s="329"/>
      <c r="N3615" s="329"/>
      <c r="O3615" s="329"/>
      <c r="P3615" s="329"/>
      <c r="Q3615" s="329"/>
      <c r="R3615" s="329"/>
    </row>
    <row r="3616" spans="1:18" ht="13">
      <c r="A3616" s="282"/>
      <c r="B3616" s="282"/>
      <c r="C3616" s="282"/>
      <c r="D3616" s="282"/>
      <c r="E3616" s="282"/>
      <c r="F3616" s="282"/>
      <c r="G3616" s="329"/>
      <c r="H3616" s="329"/>
      <c r="I3616" s="329"/>
      <c r="J3616" s="329"/>
      <c r="K3616" s="329"/>
      <c r="L3616" s="329"/>
      <c r="M3616" s="329"/>
      <c r="N3616" s="329"/>
      <c r="O3616" s="329"/>
      <c r="P3616" s="329"/>
      <c r="Q3616" s="329"/>
      <c r="R3616" s="329"/>
    </row>
    <row r="3617" spans="1:18" ht="13">
      <c r="A3617" s="282"/>
      <c r="B3617" s="282"/>
      <c r="C3617" s="282"/>
      <c r="D3617" s="282"/>
      <c r="E3617" s="282"/>
      <c r="F3617" s="282"/>
      <c r="G3617" s="329"/>
      <c r="H3617" s="329"/>
      <c r="I3617" s="329"/>
      <c r="J3617" s="329"/>
      <c r="K3617" s="329"/>
      <c r="L3617" s="329"/>
      <c r="M3617" s="329"/>
      <c r="N3617" s="329"/>
      <c r="O3617" s="329"/>
      <c r="P3617" s="329"/>
      <c r="Q3617" s="329"/>
      <c r="R3617" s="329"/>
    </row>
    <row r="3618" spans="1:18" ht="13">
      <c r="A3618" s="282"/>
      <c r="B3618" s="282"/>
      <c r="C3618" s="282"/>
      <c r="D3618" s="282"/>
      <c r="E3618" s="282"/>
      <c r="F3618" s="282"/>
      <c r="G3618" s="329"/>
      <c r="H3618" s="329"/>
      <c r="I3618" s="329"/>
      <c r="J3618" s="329"/>
      <c r="K3618" s="329"/>
      <c r="L3618" s="329"/>
      <c r="M3618" s="329"/>
      <c r="N3618" s="329"/>
      <c r="O3618" s="329"/>
      <c r="P3618" s="329"/>
      <c r="Q3618" s="329"/>
      <c r="R3618" s="329"/>
    </row>
    <row r="3619" spans="1:18" ht="13">
      <c r="A3619" s="282"/>
      <c r="B3619" s="282"/>
      <c r="C3619" s="282"/>
      <c r="D3619" s="282"/>
      <c r="E3619" s="282"/>
      <c r="F3619" s="282"/>
      <c r="G3619" s="329"/>
      <c r="H3619" s="329"/>
      <c r="I3619" s="329"/>
      <c r="J3619" s="329"/>
      <c r="K3619" s="329"/>
      <c r="L3619" s="329"/>
      <c r="M3619" s="329"/>
      <c r="N3619" s="329"/>
      <c r="O3619" s="329"/>
      <c r="P3619" s="329"/>
      <c r="Q3619" s="329"/>
      <c r="R3619" s="329"/>
    </row>
    <row r="3620" spans="1:18" ht="13">
      <c r="A3620" s="282"/>
      <c r="B3620" s="282"/>
      <c r="C3620" s="282"/>
      <c r="D3620" s="282"/>
      <c r="E3620" s="282"/>
      <c r="F3620" s="282"/>
      <c r="G3620" s="329"/>
      <c r="H3620" s="329"/>
      <c r="I3620" s="329"/>
      <c r="J3620" s="329"/>
      <c r="K3620" s="329"/>
      <c r="L3620" s="329"/>
      <c r="M3620" s="329"/>
      <c r="N3620" s="329"/>
      <c r="O3620" s="329"/>
      <c r="P3620" s="329"/>
      <c r="Q3620" s="329"/>
      <c r="R3620" s="329"/>
    </row>
    <row r="3621" spans="1:18" ht="13">
      <c r="A3621" s="282"/>
      <c r="B3621" s="282"/>
      <c r="C3621" s="282"/>
      <c r="D3621" s="282"/>
      <c r="E3621" s="282"/>
      <c r="F3621" s="282"/>
      <c r="G3621" s="329"/>
      <c r="H3621" s="329"/>
      <c r="I3621" s="329"/>
      <c r="J3621" s="329"/>
      <c r="K3621" s="329"/>
      <c r="L3621" s="329"/>
      <c r="M3621" s="329"/>
      <c r="N3621" s="329"/>
      <c r="O3621" s="329"/>
      <c r="P3621" s="329"/>
      <c r="Q3621" s="329"/>
      <c r="R3621" s="329"/>
    </row>
    <row r="3622" spans="1:18" ht="13">
      <c r="A3622" s="282"/>
      <c r="B3622" s="282"/>
      <c r="C3622" s="282"/>
      <c r="D3622" s="282"/>
      <c r="E3622" s="282"/>
      <c r="F3622" s="282"/>
      <c r="G3622" s="329"/>
      <c r="H3622" s="329"/>
      <c r="I3622" s="329"/>
      <c r="J3622" s="329"/>
      <c r="K3622" s="329"/>
      <c r="L3622" s="329"/>
      <c r="M3622" s="329"/>
      <c r="N3622" s="329"/>
      <c r="O3622" s="329"/>
      <c r="P3622" s="329"/>
      <c r="Q3622" s="329"/>
      <c r="R3622" s="329"/>
    </row>
    <row r="3623" spans="1:18" ht="13">
      <c r="A3623" s="282"/>
      <c r="B3623" s="282"/>
      <c r="C3623" s="282"/>
      <c r="D3623" s="282"/>
      <c r="E3623" s="282"/>
      <c r="F3623" s="282"/>
      <c r="G3623" s="329"/>
      <c r="H3623" s="329"/>
      <c r="I3623" s="329"/>
      <c r="J3623" s="329"/>
      <c r="K3623" s="329"/>
      <c r="L3623" s="329"/>
      <c r="M3623" s="329"/>
      <c r="N3623" s="329"/>
      <c r="O3623" s="329"/>
      <c r="P3623" s="329"/>
      <c r="Q3623" s="329"/>
      <c r="R3623" s="329"/>
    </row>
    <row r="3624" spans="1:18" ht="13">
      <c r="A3624" s="282"/>
      <c r="B3624" s="282"/>
      <c r="C3624" s="282"/>
      <c r="D3624" s="282"/>
      <c r="E3624" s="282"/>
      <c r="F3624" s="282"/>
      <c r="G3624" s="329"/>
      <c r="H3624" s="329"/>
      <c r="I3624" s="329"/>
      <c r="J3624" s="329"/>
      <c r="K3624" s="329"/>
      <c r="L3624" s="329"/>
      <c r="M3624" s="329"/>
      <c r="N3624" s="329"/>
      <c r="O3624" s="329"/>
      <c r="P3624" s="329"/>
      <c r="Q3624" s="329"/>
      <c r="R3624" s="329"/>
    </row>
    <row r="3625" spans="1:18" ht="13">
      <c r="A3625" s="282"/>
      <c r="B3625" s="282"/>
      <c r="C3625" s="282"/>
      <c r="D3625" s="282"/>
      <c r="E3625" s="282"/>
      <c r="F3625" s="282"/>
      <c r="G3625" s="329"/>
      <c r="H3625" s="329"/>
      <c r="I3625" s="329"/>
      <c r="J3625" s="329"/>
      <c r="K3625" s="329"/>
      <c r="L3625" s="329"/>
      <c r="M3625" s="329"/>
      <c r="N3625" s="329"/>
      <c r="O3625" s="329"/>
      <c r="P3625" s="329"/>
      <c r="Q3625" s="329"/>
      <c r="R3625" s="329"/>
    </row>
    <row r="3626" spans="1:18" ht="13">
      <c r="A3626" s="282"/>
      <c r="B3626" s="282"/>
      <c r="C3626" s="282"/>
      <c r="D3626" s="282"/>
      <c r="E3626" s="282"/>
      <c r="F3626" s="282"/>
      <c r="G3626" s="329"/>
      <c r="H3626" s="329"/>
      <c r="I3626" s="329"/>
      <c r="J3626" s="329"/>
      <c r="K3626" s="329"/>
      <c r="L3626" s="329"/>
      <c r="M3626" s="329"/>
      <c r="N3626" s="329"/>
      <c r="O3626" s="329"/>
      <c r="P3626" s="329"/>
      <c r="Q3626" s="329"/>
      <c r="R3626" s="329"/>
    </row>
    <row r="3627" spans="1:18" ht="13">
      <c r="A3627" s="282"/>
      <c r="B3627" s="282"/>
      <c r="C3627" s="282"/>
      <c r="D3627" s="282"/>
      <c r="E3627" s="282"/>
      <c r="F3627" s="282"/>
      <c r="G3627" s="329"/>
      <c r="H3627" s="329"/>
      <c r="I3627" s="329"/>
      <c r="J3627" s="329"/>
      <c r="K3627" s="329"/>
      <c r="L3627" s="329"/>
      <c r="M3627" s="329"/>
      <c r="N3627" s="329"/>
      <c r="O3627" s="329"/>
      <c r="P3627" s="329"/>
      <c r="Q3627" s="329"/>
      <c r="R3627" s="329"/>
    </row>
    <row r="3628" spans="1:18" ht="13">
      <c r="A3628" s="282"/>
      <c r="B3628" s="282"/>
      <c r="C3628" s="282"/>
      <c r="D3628" s="282"/>
      <c r="E3628" s="282"/>
      <c r="F3628" s="282"/>
      <c r="G3628" s="329"/>
      <c r="H3628" s="329"/>
      <c r="I3628" s="329"/>
      <c r="J3628" s="329"/>
      <c r="K3628" s="329"/>
      <c r="L3628" s="329"/>
      <c r="M3628" s="329"/>
      <c r="N3628" s="329"/>
      <c r="O3628" s="329"/>
      <c r="P3628" s="329"/>
      <c r="Q3628" s="329"/>
      <c r="R3628" s="329"/>
    </row>
    <row r="3629" spans="1:18" ht="13">
      <c r="A3629" s="282"/>
      <c r="B3629" s="282"/>
      <c r="C3629" s="282"/>
      <c r="D3629" s="282"/>
      <c r="E3629" s="282"/>
      <c r="F3629" s="282"/>
      <c r="G3629" s="329"/>
      <c r="H3629" s="329"/>
      <c r="I3629" s="329"/>
      <c r="J3629" s="329"/>
      <c r="K3629" s="329"/>
      <c r="L3629" s="329"/>
      <c r="M3629" s="329"/>
      <c r="N3629" s="329"/>
      <c r="O3629" s="329"/>
      <c r="P3629" s="329"/>
      <c r="Q3629" s="329"/>
      <c r="R3629" s="329"/>
    </row>
    <row r="3630" spans="1:18" ht="13">
      <c r="A3630" s="282"/>
      <c r="B3630" s="282"/>
      <c r="C3630" s="282"/>
      <c r="D3630" s="282"/>
      <c r="E3630" s="282"/>
      <c r="F3630" s="282"/>
      <c r="G3630" s="329"/>
      <c r="H3630" s="329"/>
      <c r="I3630" s="329"/>
      <c r="J3630" s="329"/>
      <c r="K3630" s="329"/>
      <c r="L3630" s="329"/>
      <c r="M3630" s="329"/>
      <c r="N3630" s="329"/>
      <c r="O3630" s="329"/>
      <c r="P3630" s="329"/>
      <c r="Q3630" s="329"/>
      <c r="R3630" s="329"/>
    </row>
    <row r="3631" spans="1:18" ht="13">
      <c r="A3631" s="282"/>
      <c r="B3631" s="282"/>
      <c r="C3631" s="282"/>
      <c r="D3631" s="282"/>
      <c r="E3631" s="282"/>
      <c r="F3631" s="282"/>
      <c r="G3631" s="329"/>
      <c r="H3631" s="329"/>
      <c r="I3631" s="329"/>
      <c r="J3631" s="329"/>
      <c r="K3631" s="329"/>
      <c r="L3631" s="329"/>
      <c r="M3631" s="329"/>
      <c r="N3631" s="329"/>
      <c r="O3631" s="329"/>
      <c r="P3631" s="329"/>
      <c r="Q3631" s="329"/>
      <c r="R3631" s="329"/>
    </row>
    <row r="3632" spans="1:18" ht="13">
      <c r="A3632" s="282"/>
      <c r="B3632" s="282"/>
      <c r="C3632" s="282"/>
      <c r="D3632" s="282"/>
      <c r="E3632" s="282"/>
      <c r="F3632" s="282"/>
      <c r="G3632" s="329"/>
      <c r="H3632" s="329"/>
      <c r="I3632" s="329"/>
      <c r="J3632" s="329"/>
      <c r="K3632" s="329"/>
      <c r="L3632" s="329"/>
      <c r="M3632" s="329"/>
      <c r="N3632" s="329"/>
      <c r="O3632" s="329"/>
      <c r="P3632" s="329"/>
      <c r="Q3632" s="329"/>
      <c r="R3632" s="329"/>
    </row>
    <row r="3633" spans="1:18" ht="13">
      <c r="A3633" s="282"/>
      <c r="B3633" s="282"/>
      <c r="C3633" s="282"/>
      <c r="D3633" s="282"/>
      <c r="E3633" s="282"/>
      <c r="F3633" s="282"/>
      <c r="G3633" s="329"/>
      <c r="H3633" s="329"/>
      <c r="I3633" s="329"/>
      <c r="J3633" s="329"/>
      <c r="K3633" s="329"/>
      <c r="L3633" s="329"/>
      <c r="M3633" s="329"/>
      <c r="N3633" s="329"/>
      <c r="O3633" s="329"/>
      <c r="P3633" s="329"/>
      <c r="Q3633" s="329"/>
      <c r="R3633" s="329"/>
    </row>
    <row r="3634" spans="1:18" ht="13">
      <c r="A3634" s="282"/>
      <c r="B3634" s="282"/>
      <c r="C3634" s="282"/>
      <c r="D3634" s="282"/>
      <c r="E3634" s="282"/>
      <c r="F3634" s="282"/>
      <c r="G3634" s="329"/>
      <c r="H3634" s="329"/>
      <c r="I3634" s="329"/>
      <c r="J3634" s="329"/>
      <c r="K3634" s="329"/>
      <c r="L3634" s="329"/>
      <c r="M3634" s="329"/>
      <c r="N3634" s="329"/>
      <c r="O3634" s="329"/>
      <c r="P3634" s="329"/>
      <c r="Q3634" s="329"/>
      <c r="R3634" s="329"/>
    </row>
    <row r="3635" spans="1:18" ht="13">
      <c r="A3635" s="282"/>
      <c r="B3635" s="282"/>
      <c r="C3635" s="282"/>
      <c r="D3635" s="282"/>
      <c r="E3635" s="282"/>
      <c r="F3635" s="282"/>
      <c r="G3635" s="329"/>
      <c r="H3635" s="329"/>
      <c r="I3635" s="329"/>
      <c r="J3635" s="329"/>
      <c r="K3635" s="329"/>
      <c r="L3635" s="329"/>
      <c r="M3635" s="329"/>
      <c r="N3635" s="329"/>
      <c r="O3635" s="329"/>
      <c r="P3635" s="329"/>
      <c r="Q3635" s="329"/>
      <c r="R3635" s="329"/>
    </row>
    <row r="3636" spans="1:18" ht="13">
      <c r="A3636" s="282"/>
      <c r="B3636" s="282"/>
      <c r="C3636" s="282"/>
      <c r="D3636" s="282"/>
      <c r="E3636" s="282"/>
      <c r="F3636" s="282"/>
      <c r="G3636" s="329"/>
      <c r="H3636" s="329"/>
      <c r="I3636" s="329"/>
      <c r="J3636" s="329"/>
      <c r="K3636" s="329"/>
      <c r="L3636" s="329"/>
      <c r="M3636" s="329"/>
      <c r="N3636" s="329"/>
      <c r="O3636" s="329"/>
      <c r="P3636" s="329"/>
      <c r="Q3636" s="329"/>
      <c r="R3636" s="329"/>
    </row>
    <row r="3637" spans="1:18" ht="13">
      <c r="A3637" s="282"/>
      <c r="B3637" s="282"/>
      <c r="C3637" s="282"/>
      <c r="D3637" s="282"/>
      <c r="E3637" s="282"/>
      <c r="F3637" s="282"/>
      <c r="G3637" s="329"/>
      <c r="H3637" s="329"/>
      <c r="I3637" s="329"/>
      <c r="J3637" s="329"/>
      <c r="K3637" s="329"/>
      <c r="L3637" s="329"/>
      <c r="M3637" s="329"/>
      <c r="N3637" s="329"/>
      <c r="O3637" s="329"/>
      <c r="P3637" s="329"/>
      <c r="Q3637" s="329"/>
      <c r="R3637" s="329"/>
    </row>
    <row r="3638" spans="1:18" ht="13">
      <c r="A3638" s="282"/>
      <c r="B3638" s="282"/>
      <c r="C3638" s="282"/>
      <c r="D3638" s="282"/>
      <c r="E3638" s="282"/>
      <c r="F3638" s="282"/>
      <c r="G3638" s="329"/>
      <c r="H3638" s="329"/>
      <c r="I3638" s="329"/>
      <c r="J3638" s="329"/>
      <c r="K3638" s="329"/>
      <c r="L3638" s="329"/>
      <c r="M3638" s="329"/>
      <c r="N3638" s="329"/>
      <c r="O3638" s="329"/>
      <c r="P3638" s="329"/>
      <c r="Q3638" s="329"/>
      <c r="R3638" s="329"/>
    </row>
    <row r="3639" spans="1:18" ht="13">
      <c r="A3639" s="282"/>
      <c r="B3639" s="282"/>
      <c r="C3639" s="282"/>
      <c r="D3639" s="282"/>
      <c r="E3639" s="282"/>
      <c r="F3639" s="282"/>
      <c r="G3639" s="329"/>
      <c r="H3639" s="329"/>
      <c r="I3639" s="329"/>
      <c r="J3639" s="329"/>
      <c r="K3639" s="329"/>
      <c r="L3639" s="329"/>
      <c r="M3639" s="329"/>
      <c r="N3639" s="329"/>
      <c r="O3639" s="329"/>
      <c r="P3639" s="329"/>
      <c r="Q3639" s="329"/>
      <c r="R3639" s="329"/>
    </row>
    <row r="3640" spans="1:18" ht="13">
      <c r="A3640" s="282"/>
      <c r="B3640" s="282"/>
      <c r="C3640" s="282"/>
      <c r="D3640" s="282"/>
      <c r="E3640" s="282"/>
      <c r="F3640" s="282"/>
      <c r="G3640" s="329"/>
      <c r="H3640" s="329"/>
      <c r="I3640" s="329"/>
      <c r="J3640" s="329"/>
      <c r="K3640" s="329"/>
      <c r="L3640" s="329"/>
      <c r="M3640" s="329"/>
      <c r="N3640" s="329"/>
      <c r="O3640" s="329"/>
      <c r="P3640" s="329"/>
      <c r="Q3640" s="329"/>
      <c r="R3640" s="329"/>
    </row>
    <row r="3641" spans="1:18" ht="13">
      <c r="A3641" s="282"/>
      <c r="B3641" s="282"/>
      <c r="C3641" s="282"/>
      <c r="D3641" s="282"/>
      <c r="E3641" s="282"/>
      <c r="F3641" s="282"/>
      <c r="G3641" s="329"/>
      <c r="H3641" s="329"/>
      <c r="I3641" s="329"/>
      <c r="J3641" s="329"/>
      <c r="K3641" s="329"/>
      <c r="L3641" s="329"/>
      <c r="M3641" s="329"/>
      <c r="N3641" s="329"/>
      <c r="O3641" s="329"/>
      <c r="P3641" s="329"/>
      <c r="Q3641" s="329"/>
      <c r="R3641" s="329"/>
    </row>
    <row r="3642" spans="1:18" ht="13">
      <c r="A3642" s="282"/>
      <c r="B3642" s="282"/>
      <c r="C3642" s="282"/>
      <c r="D3642" s="282"/>
      <c r="E3642" s="282"/>
      <c r="F3642" s="282"/>
      <c r="G3642" s="329"/>
      <c r="H3642" s="329"/>
      <c r="I3642" s="329"/>
      <c r="J3642" s="329"/>
      <c r="K3642" s="329"/>
      <c r="L3642" s="329"/>
      <c r="M3642" s="329"/>
      <c r="N3642" s="329"/>
      <c r="O3642" s="329"/>
      <c r="P3642" s="329"/>
      <c r="Q3642" s="329"/>
      <c r="R3642" s="329"/>
    </row>
    <row r="3643" spans="1:18" ht="13">
      <c r="A3643" s="282"/>
      <c r="B3643" s="282"/>
      <c r="C3643" s="282"/>
      <c r="D3643" s="282"/>
      <c r="E3643" s="282"/>
      <c r="F3643" s="282"/>
      <c r="G3643" s="329"/>
      <c r="H3643" s="329"/>
      <c r="I3643" s="329"/>
      <c r="J3643" s="329"/>
      <c r="K3643" s="329"/>
      <c r="L3643" s="329"/>
      <c r="M3643" s="329"/>
      <c r="N3643" s="329"/>
      <c r="O3643" s="329"/>
      <c r="P3643" s="329"/>
      <c r="Q3643" s="329"/>
      <c r="R3643" s="329"/>
    </row>
    <row r="3644" spans="1:18" ht="13">
      <c r="A3644" s="282"/>
      <c r="B3644" s="282"/>
      <c r="C3644" s="282"/>
      <c r="D3644" s="282"/>
      <c r="E3644" s="282"/>
      <c r="F3644" s="282"/>
      <c r="G3644" s="329"/>
      <c r="H3644" s="329"/>
      <c r="I3644" s="329"/>
      <c r="J3644" s="329"/>
      <c r="K3644" s="329"/>
      <c r="L3644" s="329"/>
      <c r="M3644" s="329"/>
      <c r="N3644" s="329"/>
      <c r="O3644" s="329"/>
      <c r="P3644" s="329"/>
      <c r="Q3644" s="329"/>
      <c r="R3644" s="329"/>
    </row>
    <row r="3645" spans="1:18" ht="13">
      <c r="A3645" s="282"/>
      <c r="B3645" s="282"/>
      <c r="C3645" s="282"/>
      <c r="D3645" s="282"/>
      <c r="E3645" s="282"/>
      <c r="F3645" s="282"/>
      <c r="G3645" s="329"/>
      <c r="H3645" s="329"/>
      <c r="I3645" s="329"/>
      <c r="J3645" s="329"/>
      <c r="K3645" s="329"/>
      <c r="L3645" s="329"/>
      <c r="M3645" s="329"/>
      <c r="N3645" s="329"/>
      <c r="O3645" s="329"/>
      <c r="P3645" s="329"/>
      <c r="Q3645" s="329"/>
      <c r="R3645" s="329"/>
    </row>
    <row r="3646" spans="1:18" ht="13">
      <c r="A3646" s="282"/>
      <c r="B3646" s="282"/>
      <c r="C3646" s="282"/>
      <c r="D3646" s="282"/>
      <c r="E3646" s="282"/>
      <c r="F3646" s="282"/>
      <c r="G3646" s="329"/>
      <c r="H3646" s="329"/>
      <c r="I3646" s="329"/>
      <c r="J3646" s="329"/>
      <c r="K3646" s="329"/>
      <c r="L3646" s="329"/>
      <c r="M3646" s="329"/>
      <c r="N3646" s="329"/>
      <c r="O3646" s="329"/>
      <c r="P3646" s="329"/>
      <c r="Q3646" s="329"/>
      <c r="R3646" s="329"/>
    </row>
    <row r="3647" spans="1:18" ht="13">
      <c r="A3647" s="282"/>
      <c r="B3647" s="282"/>
      <c r="C3647" s="282"/>
      <c r="D3647" s="282"/>
      <c r="E3647" s="282"/>
      <c r="F3647" s="282"/>
      <c r="G3647" s="329"/>
      <c r="H3647" s="329"/>
      <c r="I3647" s="329"/>
      <c r="J3647" s="329"/>
      <c r="K3647" s="329"/>
      <c r="L3647" s="329"/>
      <c r="M3647" s="329"/>
      <c r="N3647" s="329"/>
      <c r="O3647" s="329"/>
      <c r="P3647" s="329"/>
      <c r="Q3647" s="329"/>
      <c r="R3647" s="329"/>
    </row>
    <row r="3648" spans="1:18" ht="13">
      <c r="A3648" s="282"/>
      <c r="B3648" s="282"/>
      <c r="C3648" s="282"/>
      <c r="D3648" s="282"/>
      <c r="E3648" s="282"/>
      <c r="F3648" s="282"/>
      <c r="G3648" s="329"/>
      <c r="H3648" s="329"/>
      <c r="I3648" s="329"/>
      <c r="J3648" s="329"/>
      <c r="K3648" s="329"/>
      <c r="L3648" s="329"/>
      <c r="M3648" s="329"/>
      <c r="N3648" s="329"/>
      <c r="O3648" s="329"/>
      <c r="P3648" s="329"/>
      <c r="Q3648" s="329"/>
      <c r="R3648" s="329"/>
    </row>
    <row r="3649" spans="1:18" ht="13">
      <c r="A3649" s="282"/>
      <c r="B3649" s="282"/>
      <c r="C3649" s="282"/>
      <c r="D3649" s="282"/>
      <c r="E3649" s="282"/>
      <c r="F3649" s="282"/>
      <c r="G3649" s="329"/>
      <c r="H3649" s="329"/>
      <c r="I3649" s="329"/>
      <c r="J3649" s="329"/>
      <c r="K3649" s="329"/>
      <c r="L3649" s="329"/>
      <c r="M3649" s="329"/>
      <c r="N3649" s="329"/>
      <c r="O3649" s="329"/>
      <c r="P3649" s="329"/>
      <c r="Q3649" s="329"/>
      <c r="R3649" s="329"/>
    </row>
    <row r="3650" spans="1:18" ht="13">
      <c r="A3650" s="282"/>
      <c r="B3650" s="282"/>
      <c r="C3650" s="282"/>
      <c r="D3650" s="282"/>
      <c r="E3650" s="282"/>
      <c r="F3650" s="282"/>
      <c r="G3650" s="329"/>
      <c r="H3650" s="329"/>
      <c r="I3650" s="329"/>
      <c r="J3650" s="329"/>
      <c r="K3650" s="329"/>
      <c r="L3650" s="329"/>
      <c r="M3650" s="329"/>
      <c r="N3650" s="329"/>
      <c r="O3650" s="329"/>
      <c r="P3650" s="329"/>
      <c r="Q3650" s="329"/>
      <c r="R3650" s="329"/>
    </row>
    <row r="3651" spans="1:18" ht="13">
      <c r="A3651" s="282"/>
      <c r="B3651" s="282"/>
      <c r="C3651" s="282"/>
      <c r="D3651" s="282"/>
      <c r="E3651" s="282"/>
      <c r="F3651" s="282"/>
      <c r="G3651" s="329"/>
      <c r="H3651" s="329"/>
      <c r="I3651" s="329"/>
      <c r="J3651" s="329"/>
      <c r="K3651" s="329"/>
      <c r="L3651" s="329"/>
      <c r="M3651" s="329"/>
      <c r="N3651" s="329"/>
      <c r="O3651" s="329"/>
      <c r="P3651" s="329"/>
      <c r="Q3651" s="329"/>
      <c r="R3651" s="329"/>
    </row>
    <row r="3652" spans="1:18" ht="13">
      <c r="A3652" s="282"/>
      <c r="B3652" s="282"/>
      <c r="C3652" s="282"/>
      <c r="D3652" s="282"/>
      <c r="E3652" s="282"/>
      <c r="F3652" s="282"/>
      <c r="G3652" s="329"/>
      <c r="H3652" s="329"/>
      <c r="I3652" s="329"/>
      <c r="J3652" s="329"/>
      <c r="K3652" s="329"/>
      <c r="L3652" s="329"/>
      <c r="M3652" s="329"/>
      <c r="N3652" s="329"/>
      <c r="O3652" s="329"/>
      <c r="P3652" s="329"/>
      <c r="Q3652" s="329"/>
      <c r="R3652" s="329"/>
    </row>
    <row r="3653" spans="1:18" ht="13">
      <c r="A3653" s="282"/>
      <c r="B3653" s="282"/>
      <c r="C3653" s="282"/>
      <c r="D3653" s="282"/>
      <c r="E3653" s="282"/>
      <c r="F3653" s="282"/>
      <c r="G3653" s="329"/>
      <c r="H3653" s="329"/>
      <c r="I3653" s="329"/>
      <c r="J3653" s="329"/>
      <c r="K3653" s="329"/>
      <c r="L3653" s="329"/>
      <c r="M3653" s="329"/>
      <c r="N3653" s="329"/>
      <c r="O3653" s="329"/>
      <c r="P3653" s="329"/>
      <c r="Q3653" s="329"/>
      <c r="R3653" s="329"/>
    </row>
    <row r="3654" spans="1:18" ht="13">
      <c r="A3654" s="282"/>
      <c r="B3654" s="282"/>
      <c r="C3654" s="282"/>
      <c r="D3654" s="282"/>
      <c r="E3654" s="282"/>
      <c r="F3654" s="282"/>
      <c r="G3654" s="329"/>
      <c r="H3654" s="329"/>
      <c r="I3654" s="329"/>
      <c r="J3654" s="329"/>
      <c r="K3654" s="329"/>
      <c r="L3654" s="329"/>
      <c r="M3654" s="329"/>
      <c r="N3654" s="329"/>
      <c r="O3654" s="329"/>
      <c r="P3654" s="329"/>
      <c r="Q3654" s="329"/>
      <c r="R3654" s="329"/>
    </row>
    <row r="3655" spans="1:18" ht="13">
      <c r="A3655" s="282"/>
      <c r="B3655" s="282"/>
      <c r="C3655" s="282"/>
      <c r="D3655" s="282"/>
      <c r="E3655" s="282"/>
      <c r="F3655" s="282"/>
      <c r="G3655" s="329"/>
      <c r="H3655" s="329"/>
      <c r="I3655" s="329"/>
      <c r="J3655" s="329"/>
      <c r="K3655" s="329"/>
      <c r="L3655" s="329"/>
      <c r="M3655" s="329"/>
      <c r="N3655" s="329"/>
      <c r="O3655" s="329"/>
      <c r="P3655" s="329"/>
      <c r="Q3655" s="329"/>
      <c r="R3655" s="329"/>
    </row>
    <row r="3656" spans="1:18" ht="13">
      <c r="A3656" s="282"/>
      <c r="B3656" s="282"/>
      <c r="C3656" s="282"/>
      <c r="D3656" s="282"/>
      <c r="E3656" s="282"/>
      <c r="F3656" s="282"/>
      <c r="G3656" s="329"/>
      <c r="H3656" s="329"/>
      <c r="I3656" s="329"/>
      <c r="J3656" s="329"/>
      <c r="K3656" s="329"/>
      <c r="L3656" s="329"/>
      <c r="M3656" s="329"/>
      <c r="N3656" s="329"/>
      <c r="O3656" s="329"/>
      <c r="P3656" s="329"/>
      <c r="Q3656" s="329"/>
      <c r="R3656" s="329"/>
    </row>
    <row r="3657" spans="1:18" ht="13">
      <c r="A3657" s="282"/>
      <c r="B3657" s="282"/>
      <c r="C3657" s="282"/>
      <c r="D3657" s="282"/>
      <c r="E3657" s="282"/>
      <c r="F3657" s="282"/>
      <c r="G3657" s="329"/>
      <c r="H3657" s="329"/>
      <c r="I3657" s="329"/>
      <c r="J3657" s="329"/>
      <c r="K3657" s="329"/>
      <c r="L3657" s="329"/>
      <c r="M3657" s="329"/>
      <c r="N3657" s="329"/>
      <c r="O3657" s="329"/>
      <c r="P3657" s="329"/>
      <c r="Q3657" s="329"/>
      <c r="R3657" s="329"/>
    </row>
    <row r="3658" spans="1:18" ht="13">
      <c r="A3658" s="282"/>
      <c r="B3658" s="282"/>
      <c r="C3658" s="282"/>
      <c r="D3658" s="282"/>
      <c r="E3658" s="282"/>
      <c r="F3658" s="282"/>
      <c r="G3658" s="329"/>
      <c r="H3658" s="329"/>
      <c r="I3658" s="329"/>
      <c r="J3658" s="329"/>
      <c r="K3658" s="329"/>
      <c r="L3658" s="329"/>
      <c r="M3658" s="329"/>
      <c r="N3658" s="329"/>
      <c r="O3658" s="329"/>
      <c r="P3658" s="329"/>
      <c r="Q3658" s="329"/>
      <c r="R3658" s="329"/>
    </row>
    <row r="3659" spans="1:18" ht="13">
      <c r="A3659" s="282"/>
      <c r="B3659" s="282"/>
      <c r="C3659" s="282"/>
      <c r="D3659" s="282"/>
      <c r="E3659" s="282"/>
      <c r="F3659" s="282"/>
      <c r="G3659" s="329"/>
      <c r="H3659" s="329"/>
      <c r="I3659" s="329"/>
      <c r="J3659" s="329"/>
      <c r="K3659" s="329"/>
      <c r="L3659" s="329"/>
      <c r="M3659" s="329"/>
      <c r="N3659" s="329"/>
      <c r="O3659" s="329"/>
      <c r="P3659" s="329"/>
      <c r="Q3659" s="329"/>
      <c r="R3659" s="329"/>
    </row>
    <row r="3660" spans="1:18" ht="13">
      <c r="A3660" s="282"/>
      <c r="B3660" s="282"/>
      <c r="C3660" s="282"/>
      <c r="D3660" s="282"/>
      <c r="E3660" s="282"/>
      <c r="F3660" s="282"/>
      <c r="G3660" s="329"/>
      <c r="H3660" s="329"/>
      <c r="I3660" s="329"/>
      <c r="J3660" s="329"/>
      <c r="K3660" s="329"/>
      <c r="L3660" s="329"/>
      <c r="M3660" s="329"/>
      <c r="N3660" s="329"/>
      <c r="O3660" s="329"/>
      <c r="P3660" s="329"/>
      <c r="Q3660" s="329"/>
      <c r="R3660" s="329"/>
    </row>
    <row r="3661" spans="1:18" ht="13">
      <c r="A3661" s="282"/>
      <c r="B3661" s="282"/>
      <c r="C3661" s="282"/>
      <c r="D3661" s="282"/>
      <c r="E3661" s="282"/>
      <c r="F3661" s="282"/>
      <c r="G3661" s="329"/>
      <c r="H3661" s="329"/>
      <c r="I3661" s="329"/>
      <c r="J3661" s="329"/>
      <c r="K3661" s="329"/>
      <c r="L3661" s="329"/>
      <c r="M3661" s="329"/>
      <c r="N3661" s="329"/>
      <c r="O3661" s="329"/>
      <c r="P3661" s="329"/>
      <c r="Q3661" s="329"/>
      <c r="R3661" s="329"/>
    </row>
    <row r="3662" spans="1:18" ht="13">
      <c r="A3662" s="282"/>
      <c r="B3662" s="282"/>
      <c r="C3662" s="282"/>
      <c r="D3662" s="282"/>
      <c r="E3662" s="282"/>
      <c r="F3662" s="282"/>
      <c r="G3662" s="329"/>
      <c r="H3662" s="329"/>
      <c r="I3662" s="329"/>
      <c r="J3662" s="329"/>
      <c r="K3662" s="329"/>
      <c r="L3662" s="329"/>
      <c r="M3662" s="329"/>
      <c r="N3662" s="329"/>
      <c r="O3662" s="329"/>
      <c r="P3662" s="329"/>
      <c r="Q3662" s="329"/>
      <c r="R3662" s="329"/>
    </row>
    <row r="3663" spans="1:18" ht="13">
      <c r="A3663" s="282"/>
      <c r="B3663" s="282"/>
      <c r="C3663" s="282"/>
      <c r="D3663" s="282"/>
      <c r="E3663" s="282"/>
      <c r="F3663" s="282"/>
      <c r="G3663" s="329"/>
      <c r="H3663" s="329"/>
      <c r="I3663" s="329"/>
      <c r="J3663" s="329"/>
      <c r="K3663" s="329"/>
      <c r="L3663" s="329"/>
      <c r="M3663" s="329"/>
      <c r="N3663" s="329"/>
      <c r="O3663" s="329"/>
      <c r="P3663" s="329"/>
      <c r="Q3663" s="329"/>
      <c r="R3663" s="329"/>
    </row>
    <row r="3664" spans="1:18" ht="13">
      <c r="A3664" s="282"/>
      <c r="B3664" s="282"/>
      <c r="C3664" s="282"/>
      <c r="D3664" s="282"/>
      <c r="E3664" s="282"/>
      <c r="F3664" s="282"/>
      <c r="G3664" s="329"/>
      <c r="H3664" s="329"/>
      <c r="I3664" s="329"/>
      <c r="J3664" s="329"/>
      <c r="K3664" s="329"/>
      <c r="L3664" s="329"/>
      <c r="M3664" s="329"/>
      <c r="N3664" s="329"/>
      <c r="O3664" s="329"/>
      <c r="P3664" s="329"/>
      <c r="Q3664" s="329"/>
      <c r="R3664" s="329"/>
    </row>
    <row r="3665" spans="1:18" ht="13">
      <c r="A3665" s="282"/>
      <c r="B3665" s="282"/>
      <c r="C3665" s="282"/>
      <c r="D3665" s="282"/>
      <c r="E3665" s="282"/>
      <c r="F3665" s="282"/>
      <c r="G3665" s="329"/>
      <c r="H3665" s="329"/>
      <c r="I3665" s="329"/>
      <c r="J3665" s="329"/>
      <c r="K3665" s="329"/>
      <c r="L3665" s="329"/>
      <c r="M3665" s="329"/>
      <c r="N3665" s="329"/>
      <c r="O3665" s="329"/>
      <c r="P3665" s="329"/>
      <c r="Q3665" s="329"/>
      <c r="R3665" s="329"/>
    </row>
    <row r="3666" spans="1:18" ht="13">
      <c r="A3666" s="282"/>
      <c r="B3666" s="282"/>
      <c r="C3666" s="282"/>
      <c r="D3666" s="282"/>
      <c r="E3666" s="282"/>
      <c r="F3666" s="282"/>
      <c r="G3666" s="329"/>
      <c r="H3666" s="329"/>
      <c r="I3666" s="329"/>
      <c r="J3666" s="329"/>
      <c r="K3666" s="329"/>
      <c r="L3666" s="329"/>
      <c r="M3666" s="329"/>
      <c r="N3666" s="329"/>
      <c r="O3666" s="329"/>
      <c r="P3666" s="329"/>
      <c r="Q3666" s="329"/>
      <c r="R3666" s="329"/>
    </row>
    <row r="3667" spans="1:18" ht="13">
      <c r="A3667" s="282"/>
      <c r="B3667" s="282"/>
      <c r="C3667" s="282"/>
      <c r="D3667" s="282"/>
      <c r="E3667" s="282"/>
      <c r="F3667" s="282"/>
      <c r="G3667" s="329"/>
      <c r="H3667" s="329"/>
      <c r="I3667" s="329"/>
      <c r="J3667" s="329"/>
      <c r="K3667" s="329"/>
      <c r="L3667" s="329"/>
      <c r="M3667" s="329"/>
      <c r="N3667" s="329"/>
      <c r="O3667" s="329"/>
      <c r="P3667" s="329"/>
      <c r="Q3667" s="329"/>
      <c r="R3667" s="329"/>
    </row>
    <row r="3668" spans="1:18" ht="13">
      <c r="A3668" s="282"/>
      <c r="B3668" s="282"/>
      <c r="C3668" s="282"/>
      <c r="D3668" s="282"/>
      <c r="E3668" s="282"/>
      <c r="F3668" s="282"/>
      <c r="G3668" s="329"/>
      <c r="H3668" s="329"/>
      <c r="I3668" s="329"/>
      <c r="J3668" s="329"/>
      <c r="K3668" s="329"/>
      <c r="L3668" s="329"/>
      <c r="M3668" s="329"/>
      <c r="N3668" s="329"/>
      <c r="O3668" s="329"/>
      <c r="P3668" s="329"/>
      <c r="Q3668" s="329"/>
      <c r="R3668" s="329"/>
    </row>
    <row r="3669" spans="1:18" ht="13">
      <c r="A3669" s="282"/>
      <c r="B3669" s="282"/>
      <c r="C3669" s="282"/>
      <c r="D3669" s="282"/>
      <c r="E3669" s="282"/>
      <c r="F3669" s="282"/>
      <c r="G3669" s="329"/>
      <c r="H3669" s="329"/>
      <c r="I3669" s="329"/>
      <c r="J3669" s="329"/>
      <c r="K3669" s="329"/>
      <c r="L3669" s="329"/>
      <c r="M3669" s="329"/>
      <c r="N3669" s="329"/>
      <c r="O3669" s="329"/>
      <c r="P3669" s="329"/>
      <c r="Q3669" s="329"/>
      <c r="R3669" s="329"/>
    </row>
    <row r="3670" spans="1:18" ht="13">
      <c r="A3670" s="282"/>
      <c r="B3670" s="282"/>
      <c r="C3670" s="282"/>
      <c r="D3670" s="282"/>
      <c r="E3670" s="282"/>
      <c r="F3670" s="282"/>
      <c r="G3670" s="329"/>
      <c r="H3670" s="329"/>
      <c r="I3670" s="329"/>
      <c r="J3670" s="329"/>
      <c r="K3670" s="329"/>
      <c r="L3670" s="329"/>
      <c r="M3670" s="329"/>
      <c r="N3670" s="329"/>
      <c r="O3670" s="329"/>
      <c r="P3670" s="329"/>
      <c r="Q3670" s="329"/>
      <c r="R3670" s="329"/>
    </row>
    <row r="3671" spans="1:18" ht="13">
      <c r="A3671" s="282"/>
      <c r="B3671" s="282"/>
      <c r="C3671" s="282"/>
      <c r="D3671" s="282"/>
      <c r="E3671" s="282"/>
      <c r="F3671" s="282"/>
      <c r="G3671" s="329"/>
      <c r="H3671" s="329"/>
      <c r="I3671" s="329"/>
      <c r="J3671" s="329"/>
      <c r="K3671" s="329"/>
      <c r="L3671" s="329"/>
      <c r="M3671" s="329"/>
      <c r="N3671" s="329"/>
      <c r="O3671" s="329"/>
      <c r="P3671" s="329"/>
      <c r="Q3671" s="329"/>
      <c r="R3671" s="329"/>
    </row>
    <row r="3672" spans="1:18" ht="13">
      <c r="A3672" s="282"/>
      <c r="B3672" s="282"/>
      <c r="C3672" s="282"/>
      <c r="D3672" s="282"/>
      <c r="E3672" s="282"/>
      <c r="F3672" s="282"/>
      <c r="G3672" s="329"/>
      <c r="H3672" s="329"/>
      <c r="I3672" s="329"/>
      <c r="J3672" s="329"/>
      <c r="K3672" s="329"/>
      <c r="L3672" s="329"/>
      <c r="M3672" s="329"/>
      <c r="N3672" s="329"/>
      <c r="O3672" s="329"/>
      <c r="P3672" s="329"/>
      <c r="Q3672" s="329"/>
      <c r="R3672" s="329"/>
    </row>
    <row r="3673" spans="1:18" ht="13">
      <c r="A3673" s="282"/>
      <c r="B3673" s="282"/>
      <c r="C3673" s="282"/>
      <c r="D3673" s="282"/>
      <c r="E3673" s="282"/>
      <c r="F3673" s="282"/>
      <c r="G3673" s="329"/>
      <c r="H3673" s="329"/>
      <c r="I3673" s="329"/>
      <c r="J3673" s="329"/>
      <c r="K3673" s="329"/>
      <c r="L3673" s="329"/>
      <c r="M3673" s="329"/>
      <c r="N3673" s="329"/>
      <c r="O3673" s="329"/>
      <c r="P3673" s="329"/>
      <c r="Q3673" s="329"/>
      <c r="R3673" s="329"/>
    </row>
    <row r="3674" spans="1:18" ht="13">
      <c r="A3674" s="282"/>
      <c r="B3674" s="282"/>
      <c r="C3674" s="282"/>
      <c r="D3674" s="282"/>
      <c r="E3674" s="282"/>
      <c r="F3674" s="282"/>
      <c r="G3674" s="329"/>
      <c r="H3674" s="329"/>
      <c r="I3674" s="329"/>
      <c r="J3674" s="329"/>
      <c r="K3674" s="329"/>
      <c r="L3674" s="329"/>
      <c r="M3674" s="329"/>
      <c r="N3674" s="329"/>
      <c r="O3674" s="329"/>
      <c r="P3674" s="329"/>
      <c r="Q3674" s="329"/>
      <c r="R3674" s="329"/>
    </row>
    <row r="3675" spans="1:18" ht="13">
      <c r="A3675" s="282"/>
      <c r="B3675" s="282"/>
      <c r="C3675" s="282"/>
      <c r="D3675" s="282"/>
      <c r="E3675" s="282"/>
      <c r="F3675" s="282"/>
      <c r="G3675" s="329"/>
      <c r="H3675" s="329"/>
      <c r="I3675" s="329"/>
      <c r="J3675" s="329"/>
      <c r="K3675" s="329"/>
      <c r="L3675" s="329"/>
      <c r="M3675" s="329"/>
      <c r="N3675" s="329"/>
      <c r="O3675" s="329"/>
      <c r="P3675" s="329"/>
      <c r="Q3675" s="329"/>
      <c r="R3675" s="329"/>
    </row>
    <row r="3676" spans="1:18" ht="13">
      <c r="A3676" s="282"/>
      <c r="B3676" s="282"/>
      <c r="C3676" s="282"/>
      <c r="D3676" s="282"/>
      <c r="E3676" s="282"/>
      <c r="F3676" s="282"/>
      <c r="G3676" s="329"/>
      <c r="H3676" s="329"/>
      <c r="I3676" s="329"/>
      <c r="J3676" s="329"/>
      <c r="K3676" s="329"/>
      <c r="L3676" s="329"/>
      <c r="M3676" s="329"/>
      <c r="N3676" s="329"/>
      <c r="O3676" s="329"/>
      <c r="P3676" s="329"/>
      <c r="Q3676" s="329"/>
      <c r="R3676" s="329"/>
    </row>
    <row r="3677" spans="1:18" ht="13">
      <c r="A3677" s="282"/>
      <c r="B3677" s="282"/>
      <c r="C3677" s="282"/>
      <c r="D3677" s="282"/>
      <c r="E3677" s="282"/>
      <c r="F3677" s="282"/>
      <c r="G3677" s="329"/>
      <c r="H3677" s="329"/>
      <c r="I3677" s="329"/>
      <c r="J3677" s="329"/>
      <c r="K3677" s="329"/>
      <c r="L3677" s="329"/>
      <c r="M3677" s="329"/>
      <c r="N3677" s="329"/>
      <c r="O3677" s="329"/>
      <c r="P3677" s="329"/>
      <c r="Q3677" s="329"/>
      <c r="R3677" s="329"/>
    </row>
    <row r="3678" spans="1:18" ht="13">
      <c r="A3678" s="282"/>
      <c r="B3678" s="282"/>
      <c r="C3678" s="282"/>
      <c r="D3678" s="282"/>
      <c r="E3678" s="282"/>
      <c r="F3678" s="282"/>
      <c r="G3678" s="329"/>
      <c r="H3678" s="329"/>
      <c r="I3678" s="329"/>
      <c r="J3678" s="329"/>
      <c r="K3678" s="329"/>
      <c r="L3678" s="329"/>
      <c r="M3678" s="329"/>
      <c r="N3678" s="329"/>
      <c r="O3678" s="329"/>
      <c r="P3678" s="329"/>
      <c r="Q3678" s="329"/>
      <c r="R3678" s="329"/>
    </row>
    <row r="3679" spans="1:18" ht="13">
      <c r="A3679" s="282"/>
      <c r="B3679" s="282"/>
      <c r="C3679" s="282"/>
      <c r="D3679" s="282"/>
      <c r="E3679" s="282"/>
      <c r="F3679" s="282"/>
      <c r="G3679" s="329"/>
      <c r="H3679" s="329"/>
      <c r="I3679" s="329"/>
      <c r="J3679" s="329"/>
      <c r="K3679" s="329"/>
      <c r="L3679" s="329"/>
      <c r="M3679" s="329"/>
      <c r="N3679" s="329"/>
      <c r="O3679" s="329"/>
      <c r="P3679" s="329"/>
      <c r="Q3679" s="329"/>
      <c r="R3679" s="329"/>
    </row>
    <row r="3680" spans="1:18" ht="13">
      <c r="A3680" s="282"/>
      <c r="B3680" s="282"/>
      <c r="C3680" s="282"/>
      <c r="D3680" s="282"/>
      <c r="E3680" s="282"/>
      <c r="F3680" s="282"/>
      <c r="G3680" s="329"/>
      <c r="H3680" s="329"/>
      <c r="I3680" s="329"/>
      <c r="J3680" s="329"/>
      <c r="K3680" s="329"/>
      <c r="L3680" s="329"/>
      <c r="M3680" s="329"/>
      <c r="N3680" s="329"/>
      <c r="O3680" s="329"/>
      <c r="P3680" s="329"/>
      <c r="Q3680" s="329"/>
      <c r="R3680" s="329"/>
    </row>
    <row r="3681" spans="1:18" ht="13">
      <c r="A3681" s="282"/>
      <c r="B3681" s="282"/>
      <c r="C3681" s="282"/>
      <c r="D3681" s="282"/>
      <c r="E3681" s="282"/>
      <c r="F3681" s="282"/>
      <c r="G3681" s="329"/>
      <c r="H3681" s="329"/>
      <c r="I3681" s="329"/>
      <c r="J3681" s="329"/>
      <c r="K3681" s="329"/>
      <c r="L3681" s="329"/>
      <c r="M3681" s="329"/>
      <c r="N3681" s="329"/>
      <c r="O3681" s="329"/>
      <c r="P3681" s="329"/>
      <c r="Q3681" s="329"/>
      <c r="R3681" s="329"/>
    </row>
    <row r="3682" spans="1:18" ht="13">
      <c r="A3682" s="282"/>
      <c r="B3682" s="282"/>
      <c r="C3682" s="282"/>
      <c r="D3682" s="282"/>
      <c r="E3682" s="282"/>
      <c r="F3682" s="282"/>
      <c r="G3682" s="329"/>
      <c r="H3682" s="329"/>
      <c r="I3682" s="329"/>
      <c r="J3682" s="329"/>
      <c r="K3682" s="329"/>
      <c r="L3682" s="329"/>
      <c r="M3682" s="329"/>
      <c r="N3682" s="329"/>
      <c r="O3682" s="329"/>
      <c r="P3682" s="329"/>
      <c r="Q3682" s="329"/>
      <c r="R3682" s="329"/>
    </row>
    <row r="3683" spans="1:18" ht="13">
      <c r="A3683" s="282"/>
      <c r="B3683" s="282"/>
      <c r="C3683" s="282"/>
      <c r="D3683" s="282"/>
      <c r="E3683" s="282"/>
      <c r="F3683" s="282"/>
      <c r="G3683" s="329"/>
      <c r="H3683" s="329"/>
      <c r="I3683" s="329"/>
      <c r="J3683" s="329"/>
      <c r="K3683" s="329"/>
      <c r="L3683" s="329"/>
      <c r="M3683" s="329"/>
      <c r="N3683" s="329"/>
      <c r="O3683" s="329"/>
      <c r="P3683" s="329"/>
      <c r="Q3683" s="329"/>
      <c r="R3683" s="329"/>
    </row>
    <row r="3684" spans="1:18" ht="13">
      <c r="A3684" s="282"/>
      <c r="B3684" s="282"/>
      <c r="C3684" s="282"/>
      <c r="D3684" s="282"/>
      <c r="E3684" s="282"/>
      <c r="F3684" s="282"/>
      <c r="G3684" s="329"/>
      <c r="H3684" s="329"/>
      <c r="I3684" s="329"/>
      <c r="J3684" s="329"/>
      <c r="K3684" s="329"/>
      <c r="L3684" s="329"/>
      <c r="M3684" s="329"/>
      <c r="N3684" s="329"/>
      <c r="O3684" s="329"/>
      <c r="P3684" s="329"/>
      <c r="Q3684" s="329"/>
      <c r="R3684" s="329"/>
    </row>
    <row r="3685" spans="1:18" ht="13">
      <c r="A3685" s="282"/>
      <c r="B3685" s="282"/>
      <c r="C3685" s="282"/>
      <c r="D3685" s="282"/>
      <c r="E3685" s="282"/>
      <c r="F3685" s="282"/>
      <c r="G3685" s="329"/>
      <c r="H3685" s="329"/>
      <c r="I3685" s="329"/>
      <c r="J3685" s="329"/>
      <c r="K3685" s="329"/>
      <c r="L3685" s="329"/>
      <c r="M3685" s="329"/>
      <c r="N3685" s="329"/>
      <c r="O3685" s="329"/>
      <c r="P3685" s="329"/>
      <c r="Q3685" s="329"/>
      <c r="R3685" s="329"/>
    </row>
    <row r="3686" spans="1:18" ht="13">
      <c r="A3686" s="282"/>
      <c r="B3686" s="282"/>
      <c r="C3686" s="282"/>
      <c r="D3686" s="282"/>
      <c r="E3686" s="282"/>
      <c r="F3686" s="282"/>
      <c r="G3686" s="329"/>
      <c r="H3686" s="329"/>
      <c r="I3686" s="329"/>
      <c r="J3686" s="329"/>
      <c r="K3686" s="329"/>
      <c r="L3686" s="329"/>
      <c r="M3686" s="329"/>
      <c r="N3686" s="329"/>
      <c r="O3686" s="329"/>
      <c r="P3686" s="329"/>
      <c r="Q3686" s="329"/>
      <c r="R3686" s="329"/>
    </row>
    <row r="3687" spans="1:18" ht="13">
      <c r="A3687" s="282"/>
      <c r="B3687" s="282"/>
      <c r="C3687" s="282"/>
      <c r="D3687" s="282"/>
      <c r="E3687" s="282"/>
      <c r="F3687" s="282"/>
      <c r="G3687" s="329"/>
      <c r="H3687" s="329"/>
      <c r="I3687" s="329"/>
      <c r="J3687" s="329"/>
      <c r="K3687" s="329"/>
      <c r="L3687" s="329"/>
      <c r="M3687" s="329"/>
      <c r="N3687" s="329"/>
      <c r="O3687" s="329"/>
      <c r="P3687" s="329"/>
      <c r="Q3687" s="329"/>
      <c r="R3687" s="329"/>
    </row>
    <row r="3688" spans="1:18" ht="13">
      <c r="A3688" s="282"/>
      <c r="B3688" s="282"/>
      <c r="C3688" s="282"/>
      <c r="D3688" s="282"/>
      <c r="E3688" s="282"/>
      <c r="F3688" s="282"/>
      <c r="G3688" s="329"/>
      <c r="H3688" s="329"/>
      <c r="I3688" s="329"/>
      <c r="J3688" s="329"/>
      <c r="K3688" s="329"/>
      <c r="L3688" s="329"/>
      <c r="M3688" s="329"/>
      <c r="N3688" s="329"/>
      <c r="O3688" s="329"/>
      <c r="P3688" s="329"/>
      <c r="Q3688" s="329"/>
      <c r="R3688" s="329"/>
    </row>
    <row r="3689" spans="1:18" ht="13">
      <c r="A3689" s="282"/>
      <c r="B3689" s="282"/>
      <c r="C3689" s="282"/>
      <c r="D3689" s="282"/>
      <c r="E3689" s="282"/>
      <c r="F3689" s="282"/>
      <c r="G3689" s="329"/>
      <c r="H3689" s="329"/>
      <c r="I3689" s="329"/>
      <c r="J3689" s="329"/>
      <c r="K3689" s="329"/>
      <c r="L3689" s="329"/>
      <c r="M3689" s="329"/>
      <c r="N3689" s="329"/>
      <c r="O3689" s="329"/>
      <c r="P3689" s="329"/>
      <c r="Q3689" s="329"/>
      <c r="R3689" s="329"/>
    </row>
    <row r="3690" spans="1:18" ht="13">
      <c r="A3690" s="282"/>
      <c r="B3690" s="282"/>
      <c r="C3690" s="282"/>
      <c r="D3690" s="282"/>
      <c r="E3690" s="282"/>
      <c r="F3690" s="282"/>
      <c r="G3690" s="329"/>
      <c r="H3690" s="329"/>
      <c r="I3690" s="329"/>
      <c r="J3690" s="329"/>
      <c r="K3690" s="329"/>
      <c r="L3690" s="329"/>
      <c r="M3690" s="329"/>
      <c r="N3690" s="329"/>
      <c r="O3690" s="329"/>
      <c r="P3690" s="329"/>
      <c r="Q3690" s="329"/>
      <c r="R3690" s="329"/>
    </row>
    <row r="3691" spans="1:18" ht="13">
      <c r="A3691" s="282"/>
      <c r="B3691" s="282"/>
      <c r="C3691" s="282"/>
      <c r="D3691" s="282"/>
      <c r="E3691" s="282"/>
      <c r="F3691" s="282"/>
      <c r="G3691" s="329"/>
      <c r="H3691" s="329"/>
      <c r="I3691" s="329"/>
      <c r="J3691" s="329"/>
      <c r="K3691" s="329"/>
      <c r="L3691" s="329"/>
      <c r="M3691" s="329"/>
      <c r="N3691" s="329"/>
      <c r="O3691" s="329"/>
      <c r="P3691" s="329"/>
      <c r="Q3691" s="329"/>
      <c r="R3691" s="329"/>
    </row>
    <row r="3692" spans="1:18" ht="13">
      <c r="A3692" s="282"/>
      <c r="B3692" s="282"/>
      <c r="C3692" s="282"/>
      <c r="D3692" s="282"/>
      <c r="E3692" s="282"/>
      <c r="F3692" s="282"/>
      <c r="G3692" s="329"/>
      <c r="H3692" s="329"/>
      <c r="I3692" s="329"/>
      <c r="J3692" s="329"/>
      <c r="K3692" s="329"/>
      <c r="L3692" s="329"/>
      <c r="M3692" s="329"/>
      <c r="N3692" s="329"/>
      <c r="O3692" s="329"/>
      <c r="P3692" s="329"/>
      <c r="Q3692" s="329"/>
      <c r="R3692" s="329"/>
    </row>
    <row r="3693" spans="1:18" ht="13">
      <c r="A3693" s="282"/>
      <c r="B3693" s="282"/>
      <c r="C3693" s="282"/>
      <c r="D3693" s="282"/>
      <c r="E3693" s="282"/>
      <c r="F3693" s="282"/>
      <c r="G3693" s="329"/>
      <c r="H3693" s="329"/>
      <c r="I3693" s="329"/>
      <c r="J3693" s="329"/>
      <c r="K3693" s="329"/>
      <c r="L3693" s="329"/>
      <c r="M3693" s="329"/>
      <c r="N3693" s="329"/>
      <c r="O3693" s="329"/>
      <c r="P3693" s="329"/>
      <c r="Q3693" s="329"/>
      <c r="R3693" s="329"/>
    </row>
    <row r="3694" spans="1:18" ht="13">
      <c r="A3694" s="282"/>
      <c r="B3694" s="282"/>
      <c r="C3694" s="282"/>
      <c r="D3694" s="282"/>
      <c r="E3694" s="282"/>
      <c r="F3694" s="282"/>
      <c r="G3694" s="329"/>
      <c r="H3694" s="329"/>
      <c r="I3694" s="329"/>
      <c r="J3694" s="329"/>
      <c r="K3694" s="329"/>
      <c r="L3694" s="329"/>
      <c r="M3694" s="329"/>
      <c r="N3694" s="329"/>
      <c r="O3694" s="329"/>
      <c r="P3694" s="329"/>
      <c r="Q3694" s="329"/>
      <c r="R3694" s="329"/>
    </row>
    <row r="3695" spans="1:18" ht="13">
      <c r="A3695" s="282"/>
      <c r="B3695" s="282"/>
      <c r="C3695" s="282"/>
      <c r="D3695" s="282"/>
      <c r="E3695" s="282"/>
      <c r="F3695" s="282"/>
      <c r="G3695" s="329"/>
      <c r="H3695" s="329"/>
      <c r="I3695" s="329"/>
      <c r="J3695" s="329"/>
      <c r="K3695" s="329"/>
      <c r="L3695" s="329"/>
      <c r="M3695" s="329"/>
      <c r="N3695" s="329"/>
      <c r="O3695" s="329"/>
      <c r="P3695" s="329"/>
      <c r="Q3695" s="329"/>
      <c r="R3695" s="329"/>
    </row>
    <row r="3696" spans="1:18" ht="13">
      <c r="A3696" s="282"/>
      <c r="B3696" s="282"/>
      <c r="C3696" s="282"/>
      <c r="D3696" s="282"/>
      <c r="E3696" s="282"/>
      <c r="F3696" s="282"/>
      <c r="G3696" s="329"/>
      <c r="H3696" s="329"/>
      <c r="I3696" s="329"/>
      <c r="J3696" s="329"/>
      <c r="K3696" s="329"/>
      <c r="L3696" s="329"/>
      <c r="M3696" s="329"/>
      <c r="N3696" s="329"/>
      <c r="O3696" s="329"/>
      <c r="P3696" s="329"/>
      <c r="Q3696" s="329"/>
      <c r="R3696" s="329"/>
    </row>
    <row r="3697" spans="1:18" ht="13">
      <c r="A3697" s="282"/>
      <c r="B3697" s="282"/>
      <c r="C3697" s="282"/>
      <c r="D3697" s="282"/>
      <c r="E3697" s="282"/>
      <c r="F3697" s="282"/>
      <c r="G3697" s="329"/>
      <c r="H3697" s="329"/>
      <c r="I3697" s="329"/>
      <c r="J3697" s="329"/>
      <c r="K3697" s="329"/>
      <c r="L3697" s="329"/>
      <c r="M3697" s="329"/>
      <c r="N3697" s="329"/>
      <c r="O3697" s="329"/>
      <c r="P3697" s="329"/>
      <c r="Q3697" s="329"/>
      <c r="R3697" s="329"/>
    </row>
    <row r="3698" spans="1:18" ht="13">
      <c r="A3698" s="282"/>
      <c r="B3698" s="282"/>
      <c r="C3698" s="282"/>
      <c r="D3698" s="282"/>
      <c r="E3698" s="282"/>
      <c r="F3698" s="282"/>
      <c r="G3698" s="329"/>
      <c r="H3698" s="329"/>
      <c r="I3698" s="329"/>
      <c r="J3698" s="329"/>
      <c r="K3698" s="329"/>
      <c r="L3698" s="329"/>
      <c r="M3698" s="329"/>
      <c r="N3698" s="329"/>
      <c r="O3698" s="329"/>
      <c r="P3698" s="329"/>
      <c r="Q3698" s="329"/>
      <c r="R3698" s="329"/>
    </row>
    <row r="3699" spans="1:18" ht="13">
      <c r="A3699" s="282"/>
      <c r="B3699" s="282"/>
      <c r="C3699" s="282"/>
      <c r="D3699" s="282"/>
      <c r="E3699" s="282"/>
      <c r="F3699" s="282"/>
      <c r="G3699" s="329"/>
      <c r="H3699" s="329"/>
      <c r="I3699" s="329"/>
      <c r="J3699" s="329"/>
      <c r="K3699" s="329"/>
      <c r="L3699" s="329"/>
      <c r="M3699" s="329"/>
      <c r="N3699" s="329"/>
      <c r="O3699" s="329"/>
      <c r="P3699" s="329"/>
      <c r="Q3699" s="329"/>
      <c r="R3699" s="329"/>
    </row>
    <row r="3700" spans="1:18" ht="13">
      <c r="A3700" s="282"/>
      <c r="B3700" s="282"/>
      <c r="C3700" s="282"/>
      <c r="D3700" s="282"/>
      <c r="E3700" s="282"/>
      <c r="F3700" s="282"/>
      <c r="G3700" s="329"/>
      <c r="H3700" s="329"/>
      <c r="I3700" s="329"/>
      <c r="J3700" s="329"/>
      <c r="K3700" s="329"/>
      <c r="L3700" s="329"/>
      <c r="M3700" s="329"/>
      <c r="N3700" s="329"/>
      <c r="O3700" s="329"/>
      <c r="P3700" s="329"/>
      <c r="Q3700" s="329"/>
      <c r="R3700" s="329"/>
    </row>
    <row r="3701" spans="1:18" ht="13">
      <c r="A3701" s="282"/>
      <c r="B3701" s="282"/>
      <c r="C3701" s="282"/>
      <c r="D3701" s="282"/>
      <c r="E3701" s="282"/>
      <c r="F3701" s="282"/>
      <c r="G3701" s="329"/>
      <c r="H3701" s="329"/>
      <c r="I3701" s="329"/>
      <c r="J3701" s="329"/>
      <c r="K3701" s="329"/>
      <c r="L3701" s="329"/>
      <c r="M3701" s="329"/>
      <c r="N3701" s="329"/>
      <c r="O3701" s="329"/>
      <c r="P3701" s="329"/>
      <c r="Q3701" s="329"/>
      <c r="R3701" s="329"/>
    </row>
    <row r="3702" spans="1:18" ht="13">
      <c r="A3702" s="282"/>
      <c r="B3702" s="282"/>
      <c r="C3702" s="282"/>
      <c r="D3702" s="282"/>
      <c r="E3702" s="282"/>
      <c r="F3702" s="282"/>
      <c r="G3702" s="329"/>
      <c r="H3702" s="329"/>
      <c r="I3702" s="329"/>
      <c r="J3702" s="329"/>
      <c r="K3702" s="329"/>
      <c r="L3702" s="329"/>
      <c r="M3702" s="329"/>
      <c r="N3702" s="329"/>
      <c r="O3702" s="329"/>
      <c r="P3702" s="329"/>
      <c r="Q3702" s="329"/>
      <c r="R3702" s="329"/>
    </row>
    <row r="3703" spans="1:18" ht="13">
      <c r="A3703" s="282"/>
      <c r="B3703" s="282"/>
      <c r="C3703" s="282"/>
      <c r="D3703" s="282"/>
      <c r="E3703" s="282"/>
      <c r="F3703" s="282"/>
      <c r="G3703" s="329"/>
      <c r="H3703" s="329"/>
      <c r="I3703" s="329"/>
      <c r="J3703" s="329"/>
      <c r="K3703" s="329"/>
      <c r="L3703" s="329"/>
      <c r="M3703" s="329"/>
      <c r="N3703" s="329"/>
      <c r="O3703" s="329"/>
      <c r="P3703" s="329"/>
      <c r="Q3703" s="329"/>
      <c r="R3703" s="329"/>
    </row>
    <row r="3704" spans="1:18" ht="13">
      <c r="A3704" s="282"/>
      <c r="B3704" s="282"/>
      <c r="C3704" s="282"/>
      <c r="D3704" s="282"/>
      <c r="E3704" s="282"/>
      <c r="F3704" s="282"/>
      <c r="G3704" s="329"/>
      <c r="H3704" s="329"/>
      <c r="I3704" s="329"/>
      <c r="J3704" s="329"/>
      <c r="K3704" s="329"/>
      <c r="L3704" s="329"/>
      <c r="M3704" s="329"/>
      <c r="N3704" s="329"/>
      <c r="O3704" s="329"/>
      <c r="P3704" s="329"/>
      <c r="Q3704" s="329"/>
      <c r="R3704" s="329"/>
    </row>
    <row r="3705" spans="1:18" ht="13">
      <c r="A3705" s="282"/>
      <c r="B3705" s="282"/>
      <c r="C3705" s="282"/>
      <c r="D3705" s="282"/>
      <c r="E3705" s="282"/>
      <c r="F3705" s="282"/>
      <c r="G3705" s="329"/>
      <c r="H3705" s="329"/>
      <c r="I3705" s="329"/>
      <c r="J3705" s="329"/>
      <c r="K3705" s="329"/>
      <c r="L3705" s="329"/>
      <c r="M3705" s="329"/>
      <c r="N3705" s="329"/>
      <c r="O3705" s="329"/>
      <c r="P3705" s="329"/>
      <c r="Q3705" s="329"/>
      <c r="R3705" s="329"/>
    </row>
    <row r="3706" spans="1:18" ht="13">
      <c r="A3706" s="282"/>
      <c r="B3706" s="282"/>
      <c r="C3706" s="282"/>
      <c r="D3706" s="282"/>
      <c r="E3706" s="282"/>
      <c r="F3706" s="282"/>
      <c r="G3706" s="329"/>
      <c r="H3706" s="329"/>
      <c r="I3706" s="329"/>
      <c r="J3706" s="329"/>
      <c r="K3706" s="329"/>
      <c r="L3706" s="329"/>
      <c r="M3706" s="329"/>
      <c r="N3706" s="329"/>
      <c r="O3706" s="329"/>
      <c r="P3706" s="329"/>
      <c r="Q3706" s="329"/>
      <c r="R3706" s="329"/>
    </row>
    <row r="3707" spans="1:18" ht="13">
      <c r="A3707" s="282"/>
      <c r="B3707" s="282"/>
      <c r="C3707" s="282"/>
      <c r="D3707" s="282"/>
      <c r="E3707" s="282"/>
      <c r="F3707" s="282"/>
      <c r="G3707" s="329"/>
      <c r="H3707" s="329"/>
      <c r="I3707" s="329"/>
      <c r="J3707" s="329"/>
      <c r="K3707" s="329"/>
      <c r="L3707" s="329"/>
      <c r="M3707" s="329"/>
      <c r="N3707" s="329"/>
      <c r="O3707" s="329"/>
      <c r="P3707" s="329"/>
      <c r="Q3707" s="329"/>
      <c r="R3707" s="329"/>
    </row>
    <row r="3708" spans="1:18" ht="13">
      <c r="A3708" s="282"/>
      <c r="B3708" s="282"/>
      <c r="C3708" s="282"/>
      <c r="D3708" s="282"/>
      <c r="E3708" s="282"/>
      <c r="F3708" s="282"/>
      <c r="G3708" s="329"/>
      <c r="H3708" s="329"/>
      <c r="I3708" s="329"/>
      <c r="J3708" s="329"/>
      <c r="K3708" s="329"/>
      <c r="L3708" s="329"/>
      <c r="M3708" s="329"/>
      <c r="N3708" s="329"/>
      <c r="O3708" s="329"/>
      <c r="P3708" s="329"/>
      <c r="Q3708" s="329"/>
      <c r="R3708" s="329"/>
    </row>
    <row r="3709" spans="1:18" ht="13">
      <c r="A3709" s="282"/>
      <c r="B3709" s="282"/>
      <c r="C3709" s="282"/>
      <c r="D3709" s="282"/>
      <c r="E3709" s="282"/>
      <c r="F3709" s="282"/>
      <c r="G3709" s="329"/>
      <c r="H3709" s="329"/>
      <c r="I3709" s="329"/>
      <c r="J3709" s="329"/>
      <c r="K3709" s="329"/>
      <c r="L3709" s="329"/>
      <c r="M3709" s="329"/>
      <c r="N3709" s="329"/>
      <c r="O3709" s="329"/>
      <c r="P3709" s="329"/>
      <c r="Q3709" s="329"/>
      <c r="R3709" s="329"/>
    </row>
    <row r="3710" spans="1:18" ht="13">
      <c r="A3710" s="282"/>
      <c r="B3710" s="282"/>
      <c r="C3710" s="282"/>
      <c r="D3710" s="282"/>
      <c r="E3710" s="282"/>
      <c r="F3710" s="282"/>
      <c r="G3710" s="329"/>
      <c r="H3710" s="329"/>
      <c r="I3710" s="329"/>
      <c r="J3710" s="329"/>
      <c r="K3710" s="329"/>
      <c r="L3710" s="329"/>
      <c r="M3710" s="329"/>
      <c r="N3710" s="329"/>
      <c r="O3710" s="329"/>
      <c r="P3710" s="329"/>
      <c r="Q3710" s="329"/>
      <c r="R3710" s="329"/>
    </row>
    <row r="3711" spans="1:18" ht="13">
      <c r="A3711" s="282"/>
      <c r="B3711" s="282"/>
      <c r="C3711" s="282"/>
      <c r="D3711" s="282"/>
      <c r="E3711" s="282"/>
      <c r="F3711" s="282"/>
      <c r="G3711" s="329"/>
      <c r="H3711" s="329"/>
      <c r="I3711" s="329"/>
      <c r="J3711" s="329"/>
      <c r="K3711" s="329"/>
      <c r="L3711" s="329"/>
      <c r="M3711" s="329"/>
      <c r="N3711" s="329"/>
      <c r="O3711" s="329"/>
      <c r="P3711" s="329"/>
      <c r="Q3711" s="329"/>
      <c r="R3711" s="329"/>
    </row>
    <row r="3712" spans="1:18" ht="13">
      <c r="A3712" s="282"/>
      <c r="B3712" s="282"/>
      <c r="C3712" s="282"/>
      <c r="D3712" s="282"/>
      <c r="E3712" s="282"/>
      <c r="F3712" s="282"/>
      <c r="G3712" s="329"/>
      <c r="H3712" s="329"/>
      <c r="I3712" s="329"/>
      <c r="J3712" s="329"/>
      <c r="K3712" s="329"/>
      <c r="L3712" s="329"/>
      <c r="M3712" s="329"/>
      <c r="N3712" s="329"/>
      <c r="O3712" s="329"/>
      <c r="P3712" s="329"/>
      <c r="Q3712" s="329"/>
      <c r="R3712" s="329"/>
    </row>
    <row r="3713" spans="1:18" ht="13">
      <c r="A3713" s="282"/>
      <c r="B3713" s="282"/>
      <c r="C3713" s="282"/>
      <c r="D3713" s="282"/>
      <c r="E3713" s="282"/>
      <c r="F3713" s="282"/>
      <c r="G3713" s="329"/>
      <c r="H3713" s="329"/>
      <c r="I3713" s="329"/>
      <c r="J3713" s="329"/>
      <c r="K3713" s="329"/>
      <c r="L3713" s="329"/>
      <c r="M3713" s="329"/>
      <c r="N3713" s="329"/>
      <c r="O3713" s="329"/>
      <c r="P3713" s="329"/>
      <c r="Q3713" s="329"/>
      <c r="R3713" s="329"/>
    </row>
    <row r="3714" spans="1:18" ht="13">
      <c r="A3714" s="282"/>
      <c r="B3714" s="282"/>
      <c r="C3714" s="282"/>
      <c r="D3714" s="282"/>
      <c r="E3714" s="282"/>
      <c r="F3714" s="282"/>
      <c r="G3714" s="329"/>
      <c r="H3714" s="329"/>
      <c r="I3714" s="329"/>
      <c r="J3714" s="329"/>
      <c r="K3714" s="329"/>
      <c r="L3714" s="329"/>
      <c r="M3714" s="329"/>
      <c r="N3714" s="329"/>
      <c r="O3714" s="329"/>
      <c r="P3714" s="329"/>
      <c r="Q3714" s="329"/>
      <c r="R3714" s="329"/>
    </row>
    <row r="3715" spans="1:18" ht="13">
      <c r="A3715" s="282"/>
      <c r="B3715" s="282"/>
      <c r="C3715" s="282"/>
      <c r="D3715" s="282"/>
      <c r="E3715" s="282"/>
      <c r="F3715" s="282"/>
      <c r="G3715" s="329"/>
      <c r="H3715" s="329"/>
      <c r="I3715" s="329"/>
      <c r="J3715" s="329"/>
      <c r="K3715" s="329"/>
      <c r="L3715" s="329"/>
      <c r="M3715" s="329"/>
      <c r="N3715" s="329"/>
      <c r="O3715" s="329"/>
      <c r="P3715" s="329"/>
      <c r="Q3715" s="329"/>
      <c r="R3715" s="329"/>
    </row>
    <row r="3716" spans="1:18" ht="13">
      <c r="A3716" s="282"/>
      <c r="B3716" s="282"/>
      <c r="C3716" s="282"/>
      <c r="D3716" s="282"/>
      <c r="E3716" s="282"/>
      <c r="F3716" s="282"/>
      <c r="G3716" s="329"/>
      <c r="H3716" s="329"/>
      <c r="I3716" s="329"/>
      <c r="J3716" s="329"/>
      <c r="K3716" s="329"/>
      <c r="L3716" s="329"/>
      <c r="M3716" s="329"/>
      <c r="N3716" s="329"/>
      <c r="O3716" s="329"/>
      <c r="P3716" s="329"/>
      <c r="Q3716" s="329"/>
      <c r="R3716" s="329"/>
    </row>
    <row r="3717" spans="1:18" ht="13">
      <c r="A3717" s="282"/>
      <c r="B3717" s="282"/>
      <c r="C3717" s="282"/>
      <c r="D3717" s="282"/>
      <c r="E3717" s="282"/>
      <c r="F3717" s="282"/>
      <c r="G3717" s="329"/>
      <c r="H3717" s="329"/>
      <c r="I3717" s="329"/>
      <c r="J3717" s="329"/>
      <c r="K3717" s="329"/>
      <c r="L3717" s="329"/>
      <c r="M3717" s="329"/>
      <c r="N3717" s="329"/>
      <c r="O3717" s="329"/>
      <c r="P3717" s="329"/>
      <c r="Q3717" s="329"/>
      <c r="R3717" s="329"/>
    </row>
    <row r="3718" spans="1:18" ht="13">
      <c r="A3718" s="282"/>
      <c r="B3718" s="282"/>
      <c r="C3718" s="282"/>
      <c r="D3718" s="282"/>
      <c r="E3718" s="282"/>
      <c r="F3718" s="282"/>
      <c r="G3718" s="329"/>
      <c r="H3718" s="329"/>
      <c r="I3718" s="329"/>
      <c r="J3718" s="329"/>
      <c r="K3718" s="329"/>
      <c r="L3718" s="329"/>
      <c r="M3718" s="329"/>
      <c r="N3718" s="329"/>
      <c r="O3718" s="329"/>
      <c r="P3718" s="329"/>
      <c r="Q3718" s="329"/>
      <c r="R3718" s="329"/>
    </row>
    <row r="3719" spans="1:18" ht="13">
      <c r="A3719" s="282"/>
      <c r="B3719" s="282"/>
      <c r="C3719" s="282"/>
      <c r="D3719" s="282"/>
      <c r="E3719" s="282"/>
      <c r="F3719" s="282"/>
      <c r="G3719" s="329"/>
      <c r="H3719" s="329"/>
      <c r="I3719" s="329"/>
      <c r="J3719" s="329"/>
      <c r="K3719" s="329"/>
      <c r="L3719" s="329"/>
      <c r="M3719" s="329"/>
      <c r="N3719" s="329"/>
      <c r="O3719" s="329"/>
      <c r="P3719" s="329"/>
      <c r="Q3719" s="329"/>
      <c r="R3719" s="329"/>
    </row>
    <row r="3720" spans="1:18" ht="13">
      <c r="A3720" s="282"/>
      <c r="B3720" s="282"/>
      <c r="C3720" s="282"/>
      <c r="D3720" s="282"/>
      <c r="E3720" s="282"/>
      <c r="F3720" s="282"/>
      <c r="G3720" s="329"/>
      <c r="H3720" s="329"/>
      <c r="I3720" s="329"/>
      <c r="J3720" s="329"/>
      <c r="K3720" s="329"/>
      <c r="L3720" s="329"/>
      <c r="M3720" s="329"/>
      <c r="N3720" s="329"/>
      <c r="O3720" s="329"/>
      <c r="P3720" s="329"/>
      <c r="Q3720" s="329"/>
      <c r="R3720" s="329"/>
    </row>
    <row r="3721" spans="1:18" ht="13">
      <c r="A3721" s="282"/>
      <c r="B3721" s="282"/>
      <c r="C3721" s="282"/>
      <c r="D3721" s="282"/>
      <c r="E3721" s="282"/>
      <c r="F3721" s="282"/>
      <c r="G3721" s="329"/>
      <c r="H3721" s="329"/>
      <c r="I3721" s="329"/>
      <c r="J3721" s="329"/>
      <c r="K3721" s="329"/>
      <c r="L3721" s="329"/>
      <c r="M3721" s="329"/>
      <c r="N3721" s="329"/>
      <c r="O3721" s="329"/>
      <c r="P3721" s="329"/>
      <c r="Q3721" s="329"/>
      <c r="R3721" s="329"/>
    </row>
    <row r="3722" spans="1:18" ht="13">
      <c r="A3722" s="282"/>
      <c r="B3722" s="282"/>
      <c r="C3722" s="282"/>
      <c r="D3722" s="282"/>
      <c r="E3722" s="282"/>
      <c r="F3722" s="282"/>
      <c r="G3722" s="329"/>
      <c r="H3722" s="329"/>
      <c r="I3722" s="329"/>
      <c r="J3722" s="329"/>
      <c r="K3722" s="329"/>
      <c r="L3722" s="329"/>
      <c r="M3722" s="329"/>
      <c r="N3722" s="329"/>
      <c r="O3722" s="329"/>
      <c r="P3722" s="329"/>
      <c r="Q3722" s="329"/>
      <c r="R3722" s="329"/>
    </row>
    <row r="3723" spans="1:18" ht="13">
      <c r="A3723" s="282"/>
      <c r="B3723" s="282"/>
      <c r="C3723" s="282"/>
      <c r="D3723" s="282"/>
      <c r="E3723" s="282"/>
      <c r="F3723" s="282"/>
      <c r="G3723" s="329"/>
      <c r="H3723" s="329"/>
      <c r="I3723" s="329"/>
      <c r="J3723" s="329"/>
      <c r="K3723" s="329"/>
      <c r="L3723" s="329"/>
      <c r="M3723" s="329"/>
      <c r="N3723" s="329"/>
      <c r="O3723" s="329"/>
      <c r="P3723" s="329"/>
      <c r="Q3723" s="329"/>
      <c r="R3723" s="329"/>
    </row>
    <row r="3724" spans="1:18" ht="13">
      <c r="A3724" s="282"/>
      <c r="B3724" s="282"/>
      <c r="C3724" s="282"/>
      <c r="D3724" s="282"/>
      <c r="E3724" s="282"/>
      <c r="F3724" s="282"/>
      <c r="G3724" s="329"/>
      <c r="H3724" s="329"/>
      <c r="I3724" s="329"/>
      <c r="J3724" s="329"/>
      <c r="K3724" s="329"/>
      <c r="L3724" s="329"/>
      <c r="M3724" s="329"/>
      <c r="N3724" s="329"/>
      <c r="O3724" s="329"/>
      <c r="P3724" s="329"/>
      <c r="Q3724" s="329"/>
      <c r="R3724" s="329"/>
    </row>
    <row r="3725" spans="1:18" ht="13">
      <c r="A3725" s="282"/>
      <c r="B3725" s="282"/>
      <c r="C3725" s="282"/>
      <c r="D3725" s="282"/>
      <c r="E3725" s="282"/>
      <c r="F3725" s="282"/>
      <c r="G3725" s="329"/>
      <c r="H3725" s="329"/>
      <c r="I3725" s="329"/>
      <c r="J3725" s="329"/>
      <c r="K3725" s="329"/>
      <c r="L3725" s="329"/>
      <c r="M3725" s="329"/>
      <c r="N3725" s="329"/>
      <c r="O3725" s="329"/>
      <c r="P3725" s="329"/>
      <c r="Q3725" s="329"/>
      <c r="R3725" s="329"/>
    </row>
    <row r="3726" spans="1:18" ht="13">
      <c r="A3726" s="282"/>
      <c r="B3726" s="282"/>
      <c r="C3726" s="282"/>
      <c r="D3726" s="282"/>
      <c r="E3726" s="282"/>
      <c r="F3726" s="282"/>
      <c r="G3726" s="329"/>
      <c r="H3726" s="329"/>
      <c r="I3726" s="329"/>
      <c r="J3726" s="329"/>
      <c r="K3726" s="329"/>
      <c r="L3726" s="329"/>
      <c r="M3726" s="329"/>
      <c r="N3726" s="329"/>
      <c r="O3726" s="329"/>
      <c r="P3726" s="329"/>
      <c r="Q3726" s="329"/>
      <c r="R3726" s="329"/>
    </row>
    <row r="3727" spans="1:18" ht="13">
      <c r="A3727" s="282"/>
      <c r="B3727" s="282"/>
      <c r="C3727" s="282"/>
      <c r="D3727" s="282"/>
      <c r="E3727" s="282"/>
      <c r="F3727" s="282"/>
      <c r="G3727" s="329"/>
      <c r="H3727" s="329"/>
      <c r="I3727" s="329"/>
      <c r="J3727" s="329"/>
      <c r="K3727" s="329"/>
      <c r="L3727" s="329"/>
      <c r="M3727" s="329"/>
      <c r="N3727" s="329"/>
      <c r="O3727" s="329"/>
      <c r="P3727" s="329"/>
      <c r="Q3727" s="329"/>
      <c r="R3727" s="329"/>
    </row>
    <row r="3728" spans="1:18" ht="13">
      <c r="A3728" s="282"/>
      <c r="B3728" s="282"/>
      <c r="C3728" s="282"/>
      <c r="D3728" s="282"/>
      <c r="E3728" s="282"/>
      <c r="F3728" s="282"/>
      <c r="G3728" s="329"/>
      <c r="H3728" s="329"/>
      <c r="I3728" s="329"/>
      <c r="J3728" s="329"/>
      <c r="K3728" s="329"/>
      <c r="L3728" s="329"/>
      <c r="M3728" s="329"/>
      <c r="N3728" s="329"/>
      <c r="O3728" s="329"/>
      <c r="P3728" s="329"/>
      <c r="Q3728" s="329"/>
      <c r="R3728" s="329"/>
    </row>
    <row r="3729" spans="1:18" ht="13">
      <c r="A3729" s="282"/>
      <c r="B3729" s="282"/>
      <c r="C3729" s="282"/>
      <c r="D3729" s="282"/>
      <c r="E3729" s="282"/>
      <c r="F3729" s="282"/>
      <c r="G3729" s="329"/>
      <c r="H3729" s="329"/>
      <c r="I3729" s="329"/>
      <c r="J3729" s="329"/>
      <c r="K3729" s="329"/>
      <c r="L3729" s="329"/>
      <c r="M3729" s="329"/>
      <c r="N3729" s="329"/>
      <c r="O3729" s="329"/>
      <c r="P3729" s="329"/>
      <c r="Q3729" s="329"/>
      <c r="R3729" s="329"/>
    </row>
    <row r="3730" spans="1:18" ht="13">
      <c r="A3730" s="282"/>
      <c r="B3730" s="282"/>
      <c r="C3730" s="282"/>
      <c r="D3730" s="282"/>
      <c r="E3730" s="282"/>
      <c r="F3730" s="282"/>
      <c r="G3730" s="329"/>
      <c r="H3730" s="329"/>
      <c r="I3730" s="329"/>
      <c r="J3730" s="329"/>
      <c r="K3730" s="329"/>
      <c r="L3730" s="329"/>
      <c r="M3730" s="329"/>
      <c r="N3730" s="329"/>
      <c r="O3730" s="329"/>
      <c r="P3730" s="329"/>
      <c r="Q3730" s="329"/>
      <c r="R3730" s="329"/>
    </row>
    <row r="3731" spans="1:18" ht="13">
      <c r="A3731" s="282"/>
      <c r="B3731" s="282"/>
      <c r="C3731" s="282"/>
      <c r="D3731" s="282"/>
      <c r="E3731" s="282"/>
      <c r="F3731" s="282"/>
      <c r="G3731" s="329"/>
      <c r="H3731" s="329"/>
      <c r="I3731" s="329"/>
      <c r="J3731" s="329"/>
      <c r="K3731" s="329"/>
      <c r="L3731" s="329"/>
      <c r="M3731" s="329"/>
      <c r="N3731" s="329"/>
      <c r="O3731" s="329"/>
      <c r="P3731" s="329"/>
      <c r="Q3731" s="329"/>
      <c r="R3731" s="329"/>
    </row>
    <row r="3732" spans="1:18" ht="13">
      <c r="A3732" s="282"/>
      <c r="B3732" s="282"/>
      <c r="C3732" s="282"/>
      <c r="D3732" s="282"/>
      <c r="E3732" s="282"/>
      <c r="F3732" s="282"/>
      <c r="G3732" s="329"/>
      <c r="H3732" s="329"/>
      <c r="I3732" s="329"/>
      <c r="J3732" s="329"/>
      <c r="K3732" s="329"/>
      <c r="L3732" s="329"/>
      <c r="M3732" s="329"/>
      <c r="N3732" s="329"/>
      <c r="O3732" s="329"/>
      <c r="P3732" s="329"/>
      <c r="Q3732" s="329"/>
      <c r="R3732" s="329"/>
    </row>
    <row r="3733" spans="1:18" ht="13">
      <c r="A3733" s="282"/>
      <c r="B3733" s="282"/>
      <c r="C3733" s="282"/>
      <c r="D3733" s="282"/>
      <c r="E3733" s="282"/>
      <c r="F3733" s="282"/>
      <c r="G3733" s="329"/>
      <c r="H3733" s="329"/>
      <c r="I3733" s="329"/>
      <c r="J3733" s="329"/>
      <c r="K3733" s="329"/>
      <c r="L3733" s="329"/>
      <c r="M3733" s="329"/>
      <c r="N3733" s="329"/>
      <c r="O3733" s="329"/>
      <c r="P3733" s="329"/>
      <c r="Q3733" s="329"/>
      <c r="R3733" s="329"/>
    </row>
    <row r="3734" spans="1:18" ht="13">
      <c r="A3734" s="282"/>
      <c r="B3734" s="282"/>
      <c r="C3734" s="282"/>
      <c r="D3734" s="282"/>
      <c r="E3734" s="282"/>
      <c r="F3734" s="282"/>
      <c r="G3734" s="329"/>
      <c r="H3734" s="329"/>
      <c r="I3734" s="329"/>
      <c r="J3734" s="329"/>
      <c r="K3734" s="329"/>
      <c r="L3734" s="329"/>
      <c r="M3734" s="329"/>
      <c r="N3734" s="329"/>
      <c r="O3734" s="329"/>
      <c r="P3734" s="329"/>
      <c r="Q3734" s="329"/>
      <c r="R3734" s="329"/>
    </row>
    <row r="3735" spans="1:18" ht="13">
      <c r="A3735" s="282"/>
      <c r="B3735" s="282"/>
      <c r="C3735" s="282"/>
      <c r="D3735" s="282"/>
      <c r="E3735" s="282"/>
      <c r="F3735" s="282"/>
      <c r="G3735" s="329"/>
      <c r="H3735" s="329"/>
      <c r="I3735" s="329"/>
      <c r="J3735" s="329"/>
      <c r="K3735" s="329"/>
      <c r="L3735" s="329"/>
      <c r="M3735" s="329"/>
      <c r="N3735" s="329"/>
      <c r="O3735" s="329"/>
      <c r="P3735" s="329"/>
      <c r="Q3735" s="329"/>
      <c r="R3735" s="329"/>
    </row>
    <row r="3736" spans="1:18" ht="13">
      <c r="A3736" s="282"/>
      <c r="B3736" s="282"/>
      <c r="C3736" s="282"/>
      <c r="D3736" s="282"/>
      <c r="E3736" s="282"/>
      <c r="F3736" s="282"/>
      <c r="G3736" s="329"/>
      <c r="H3736" s="329"/>
      <c r="I3736" s="329"/>
      <c r="J3736" s="329"/>
      <c r="K3736" s="329"/>
      <c r="L3736" s="329"/>
      <c r="M3736" s="329"/>
      <c r="N3736" s="329"/>
      <c r="O3736" s="329"/>
      <c r="P3736" s="329"/>
      <c r="Q3736" s="329"/>
      <c r="R3736" s="329"/>
    </row>
    <row r="3737" spans="1:18" ht="13">
      <c r="A3737" s="282"/>
      <c r="B3737" s="282"/>
      <c r="C3737" s="282"/>
      <c r="D3737" s="282"/>
      <c r="E3737" s="282"/>
      <c r="F3737" s="282"/>
      <c r="G3737" s="329"/>
      <c r="H3737" s="329"/>
      <c r="I3737" s="329"/>
      <c r="J3737" s="329"/>
      <c r="K3737" s="329"/>
      <c r="L3737" s="329"/>
      <c r="M3737" s="329"/>
      <c r="N3737" s="329"/>
      <c r="O3737" s="329"/>
      <c r="P3737" s="329"/>
      <c r="Q3737" s="329"/>
      <c r="R3737" s="329"/>
    </row>
    <row r="3738" spans="1:18" ht="13">
      <c r="A3738" s="282"/>
      <c r="B3738" s="282"/>
      <c r="C3738" s="282"/>
      <c r="D3738" s="282"/>
      <c r="E3738" s="282"/>
      <c r="F3738" s="282"/>
      <c r="G3738" s="329"/>
      <c r="H3738" s="329"/>
      <c r="I3738" s="329"/>
      <c r="J3738" s="329"/>
      <c r="K3738" s="329"/>
      <c r="L3738" s="329"/>
      <c r="M3738" s="329"/>
      <c r="N3738" s="329"/>
      <c r="O3738" s="329"/>
      <c r="P3738" s="329"/>
      <c r="Q3738" s="329"/>
      <c r="R3738" s="329"/>
    </row>
    <row r="3739" spans="1:18" ht="13">
      <c r="A3739" s="282"/>
      <c r="B3739" s="282"/>
      <c r="C3739" s="282"/>
      <c r="D3739" s="282"/>
      <c r="E3739" s="282"/>
      <c r="F3739" s="282"/>
      <c r="G3739" s="329"/>
      <c r="H3739" s="329"/>
      <c r="I3739" s="329"/>
      <c r="J3739" s="329"/>
      <c r="K3739" s="329"/>
      <c r="L3739" s="329"/>
      <c r="M3739" s="329"/>
      <c r="N3739" s="329"/>
      <c r="O3739" s="329"/>
      <c r="P3739" s="329"/>
      <c r="Q3739" s="329"/>
      <c r="R3739" s="329"/>
    </row>
    <row r="3740" spans="1:18" ht="13">
      <c r="A3740" s="282"/>
      <c r="B3740" s="282"/>
      <c r="C3740" s="282"/>
      <c r="D3740" s="282"/>
      <c r="E3740" s="282"/>
      <c r="F3740" s="282"/>
      <c r="G3740" s="329"/>
      <c r="H3740" s="329"/>
      <c r="I3740" s="329"/>
      <c r="J3740" s="329"/>
      <c r="K3740" s="329"/>
      <c r="L3740" s="329"/>
      <c r="M3740" s="329"/>
      <c r="N3740" s="329"/>
      <c r="O3740" s="329"/>
      <c r="P3740" s="329"/>
      <c r="Q3740" s="329"/>
      <c r="R3740" s="329"/>
    </row>
    <row r="3741" spans="1:18" ht="13">
      <c r="A3741" s="282"/>
      <c r="B3741" s="282"/>
      <c r="C3741" s="282"/>
      <c r="D3741" s="282"/>
      <c r="E3741" s="282"/>
      <c r="F3741" s="282"/>
      <c r="G3741" s="329"/>
      <c r="H3741" s="329"/>
      <c r="I3741" s="329"/>
      <c r="J3741" s="329"/>
      <c r="K3741" s="329"/>
      <c r="L3741" s="329"/>
      <c r="M3741" s="329"/>
      <c r="N3741" s="329"/>
      <c r="O3741" s="329"/>
      <c r="P3741" s="329"/>
      <c r="Q3741" s="329"/>
      <c r="R3741" s="329"/>
    </row>
    <row r="3742" spans="1:18" ht="13">
      <c r="A3742" s="282"/>
      <c r="B3742" s="282"/>
      <c r="C3742" s="282"/>
      <c r="D3742" s="282"/>
      <c r="E3742" s="282"/>
      <c r="F3742" s="282"/>
      <c r="G3742" s="329"/>
      <c r="H3742" s="329"/>
      <c r="I3742" s="329"/>
      <c r="J3742" s="329"/>
      <c r="K3742" s="329"/>
      <c r="L3742" s="329"/>
      <c r="M3742" s="329"/>
      <c r="N3742" s="329"/>
      <c r="O3742" s="329"/>
      <c r="P3742" s="329"/>
      <c r="Q3742" s="329"/>
      <c r="R3742" s="329"/>
    </row>
    <row r="3743" spans="1:18" ht="13">
      <c r="A3743" s="282"/>
      <c r="B3743" s="282"/>
      <c r="C3743" s="282"/>
      <c r="D3743" s="282"/>
      <c r="E3743" s="282"/>
      <c r="F3743" s="282"/>
      <c r="G3743" s="329"/>
      <c r="H3743" s="329"/>
      <c r="I3743" s="329"/>
      <c r="J3743" s="329"/>
      <c r="K3743" s="329"/>
      <c r="L3743" s="329"/>
      <c r="M3743" s="329"/>
      <c r="N3743" s="329"/>
      <c r="O3743" s="329"/>
      <c r="P3743" s="329"/>
      <c r="Q3743" s="329"/>
      <c r="R3743" s="329"/>
    </row>
    <row r="3744" spans="1:18" ht="13">
      <c r="A3744" s="282"/>
      <c r="B3744" s="282"/>
      <c r="C3744" s="282"/>
      <c r="D3744" s="282"/>
      <c r="E3744" s="282"/>
      <c r="F3744" s="282"/>
      <c r="G3744" s="329"/>
      <c r="H3744" s="329"/>
      <c r="I3744" s="329"/>
      <c r="J3744" s="329"/>
      <c r="K3744" s="329"/>
      <c r="L3744" s="329"/>
      <c r="M3744" s="329"/>
      <c r="N3744" s="329"/>
      <c r="O3744" s="329"/>
      <c r="P3744" s="329"/>
      <c r="Q3744" s="329"/>
      <c r="R3744" s="329"/>
    </row>
    <row r="3745" spans="1:18" ht="13">
      <c r="A3745" s="282"/>
      <c r="B3745" s="282"/>
      <c r="C3745" s="282"/>
      <c r="D3745" s="282"/>
      <c r="E3745" s="282"/>
      <c r="F3745" s="282"/>
      <c r="G3745" s="329"/>
      <c r="H3745" s="329"/>
      <c r="I3745" s="329"/>
      <c r="J3745" s="329"/>
      <c r="K3745" s="329"/>
      <c r="L3745" s="329"/>
      <c r="M3745" s="329"/>
      <c r="N3745" s="329"/>
      <c r="O3745" s="329"/>
      <c r="P3745" s="329"/>
      <c r="Q3745" s="329"/>
      <c r="R3745" s="329"/>
    </row>
    <row r="3746" spans="1:18" ht="13">
      <c r="A3746" s="282"/>
      <c r="B3746" s="282"/>
      <c r="C3746" s="282"/>
      <c r="D3746" s="282"/>
      <c r="E3746" s="282"/>
      <c r="F3746" s="282"/>
      <c r="G3746" s="329"/>
      <c r="H3746" s="329"/>
      <c r="I3746" s="329"/>
      <c r="J3746" s="329"/>
      <c r="K3746" s="329"/>
      <c r="L3746" s="329"/>
      <c r="M3746" s="329"/>
      <c r="N3746" s="329"/>
      <c r="O3746" s="329"/>
      <c r="P3746" s="329"/>
      <c r="Q3746" s="329"/>
      <c r="R3746" s="329"/>
    </row>
    <row r="3747" spans="1:18" ht="13">
      <c r="A3747" s="282"/>
      <c r="B3747" s="282"/>
      <c r="C3747" s="282"/>
      <c r="D3747" s="282"/>
      <c r="E3747" s="282"/>
      <c r="F3747" s="282"/>
      <c r="G3747" s="329"/>
      <c r="H3747" s="329"/>
      <c r="I3747" s="329"/>
      <c r="J3747" s="329"/>
      <c r="K3747" s="329"/>
      <c r="L3747" s="329"/>
      <c r="M3747" s="329"/>
      <c r="N3747" s="329"/>
      <c r="O3747" s="329"/>
      <c r="P3747" s="329"/>
      <c r="Q3747" s="329"/>
      <c r="R3747" s="329"/>
    </row>
    <row r="3748" spans="1:18" ht="13">
      <c r="A3748" s="282"/>
      <c r="B3748" s="282"/>
      <c r="C3748" s="282"/>
      <c r="D3748" s="282"/>
      <c r="E3748" s="282"/>
      <c r="F3748" s="282"/>
      <c r="G3748" s="329"/>
      <c r="H3748" s="329"/>
      <c r="I3748" s="329"/>
      <c r="J3748" s="329"/>
      <c r="K3748" s="329"/>
      <c r="L3748" s="329"/>
      <c r="M3748" s="329"/>
      <c r="N3748" s="329"/>
      <c r="O3748" s="329"/>
      <c r="P3748" s="329"/>
      <c r="Q3748" s="329"/>
      <c r="R3748" s="329"/>
    </row>
    <row r="3749" spans="1:18" ht="13">
      <c r="A3749" s="282"/>
      <c r="B3749" s="282"/>
      <c r="C3749" s="282"/>
      <c r="D3749" s="282"/>
      <c r="E3749" s="282"/>
      <c r="F3749" s="282"/>
      <c r="G3749" s="329"/>
      <c r="H3749" s="329"/>
      <c r="I3749" s="329"/>
      <c r="J3749" s="329"/>
      <c r="K3749" s="329"/>
      <c r="L3749" s="329"/>
      <c r="M3749" s="329"/>
      <c r="N3749" s="329"/>
      <c r="O3749" s="329"/>
      <c r="P3749" s="329"/>
      <c r="Q3749" s="329"/>
      <c r="R3749" s="329"/>
    </row>
    <row r="3750" spans="1:18" ht="13">
      <c r="A3750" s="282"/>
      <c r="B3750" s="282"/>
      <c r="C3750" s="282"/>
      <c r="D3750" s="282"/>
      <c r="E3750" s="282"/>
      <c r="F3750" s="282"/>
      <c r="G3750" s="329"/>
      <c r="H3750" s="329"/>
      <c r="I3750" s="329"/>
      <c r="J3750" s="329"/>
      <c r="K3750" s="329"/>
      <c r="L3750" s="329"/>
      <c r="M3750" s="329"/>
      <c r="N3750" s="329"/>
      <c r="O3750" s="329"/>
      <c r="P3750" s="329"/>
      <c r="Q3750" s="329"/>
      <c r="R3750" s="329"/>
    </row>
    <row r="3751" spans="1:18" ht="13">
      <c r="A3751" s="282"/>
      <c r="B3751" s="282"/>
      <c r="C3751" s="282"/>
      <c r="D3751" s="282"/>
      <c r="E3751" s="282"/>
      <c r="F3751" s="282"/>
      <c r="G3751" s="329"/>
      <c r="H3751" s="329"/>
      <c r="I3751" s="329"/>
      <c r="J3751" s="329"/>
      <c r="K3751" s="329"/>
      <c r="L3751" s="329"/>
      <c r="M3751" s="329"/>
      <c r="N3751" s="329"/>
      <c r="O3751" s="329"/>
      <c r="P3751" s="329"/>
      <c r="Q3751" s="329"/>
      <c r="R3751" s="329"/>
    </row>
    <row r="3752" spans="1:18" ht="13">
      <c r="A3752" s="282"/>
      <c r="B3752" s="282"/>
      <c r="C3752" s="282"/>
      <c r="D3752" s="282"/>
      <c r="E3752" s="282"/>
      <c r="F3752" s="282"/>
      <c r="G3752" s="329"/>
      <c r="H3752" s="329"/>
      <c r="I3752" s="329"/>
      <c r="J3752" s="329"/>
      <c r="K3752" s="329"/>
      <c r="L3752" s="329"/>
      <c r="M3752" s="329"/>
      <c r="N3752" s="329"/>
      <c r="O3752" s="329"/>
      <c r="P3752" s="329"/>
      <c r="Q3752" s="329"/>
      <c r="R3752" s="329"/>
    </row>
    <row r="3753" spans="1:18" ht="13">
      <c r="A3753" s="282"/>
      <c r="B3753" s="282"/>
      <c r="C3753" s="282"/>
      <c r="D3753" s="282"/>
      <c r="E3753" s="282"/>
      <c r="F3753" s="282"/>
      <c r="G3753" s="329"/>
      <c r="H3753" s="329"/>
      <c r="I3753" s="329"/>
      <c r="J3753" s="329"/>
      <c r="K3753" s="329"/>
      <c r="L3753" s="329"/>
      <c r="M3753" s="329"/>
      <c r="N3753" s="329"/>
      <c r="O3753" s="329"/>
      <c r="P3753" s="329"/>
      <c r="Q3753" s="329"/>
      <c r="R3753" s="329"/>
    </row>
    <row r="3754" spans="1:18" ht="13">
      <c r="A3754" s="282"/>
      <c r="B3754" s="282"/>
      <c r="C3754" s="282"/>
      <c r="D3754" s="282"/>
      <c r="E3754" s="282"/>
      <c r="F3754" s="282"/>
      <c r="G3754" s="329"/>
      <c r="H3754" s="329"/>
      <c r="I3754" s="329"/>
      <c r="J3754" s="329"/>
      <c r="K3754" s="329"/>
      <c r="L3754" s="329"/>
      <c r="M3754" s="329"/>
      <c r="N3754" s="329"/>
      <c r="O3754" s="329"/>
      <c r="P3754" s="329"/>
      <c r="Q3754" s="329"/>
      <c r="R3754" s="329"/>
    </row>
    <row r="3755" spans="1:18" ht="13">
      <c r="A3755" s="282"/>
      <c r="B3755" s="282"/>
      <c r="C3755" s="282"/>
      <c r="D3755" s="282"/>
      <c r="E3755" s="282"/>
      <c r="F3755" s="282"/>
      <c r="G3755" s="329"/>
      <c r="H3755" s="329"/>
      <c r="I3755" s="329"/>
      <c r="J3755" s="329"/>
      <c r="K3755" s="329"/>
      <c r="L3755" s="329"/>
      <c r="M3755" s="329"/>
      <c r="N3755" s="329"/>
      <c r="O3755" s="329"/>
      <c r="P3755" s="329"/>
      <c r="Q3755" s="329"/>
      <c r="R3755" s="329"/>
    </row>
    <row r="3756" spans="1:18" ht="13">
      <c r="A3756" s="282"/>
      <c r="B3756" s="282"/>
      <c r="C3756" s="282"/>
      <c r="D3756" s="282"/>
      <c r="E3756" s="282"/>
      <c r="F3756" s="282"/>
      <c r="G3756" s="329"/>
      <c r="H3756" s="329"/>
      <c r="I3756" s="329"/>
      <c r="J3756" s="329"/>
      <c r="K3756" s="329"/>
      <c r="L3756" s="329"/>
      <c r="M3756" s="329"/>
      <c r="N3756" s="329"/>
      <c r="O3756" s="329"/>
      <c r="P3756" s="329"/>
      <c r="Q3756" s="329"/>
      <c r="R3756" s="329"/>
    </row>
    <row r="3757" spans="1:18" ht="13">
      <c r="A3757" s="282"/>
      <c r="B3757" s="282"/>
      <c r="C3757" s="282"/>
      <c r="D3757" s="282"/>
      <c r="E3757" s="282"/>
      <c r="F3757" s="282"/>
      <c r="G3757" s="329"/>
      <c r="H3757" s="329"/>
      <c r="I3757" s="329"/>
      <c r="J3757" s="329"/>
      <c r="K3757" s="329"/>
      <c r="L3757" s="329"/>
      <c r="M3757" s="329"/>
      <c r="N3757" s="329"/>
      <c r="O3757" s="329"/>
      <c r="P3757" s="329"/>
      <c r="Q3757" s="329"/>
      <c r="R3757" s="329"/>
    </row>
    <row r="3758" spans="1:18" ht="13">
      <c r="A3758" s="282"/>
      <c r="B3758" s="282"/>
      <c r="C3758" s="282"/>
      <c r="D3758" s="282"/>
      <c r="E3758" s="282"/>
      <c r="F3758" s="282"/>
      <c r="G3758" s="329"/>
      <c r="H3758" s="329"/>
      <c r="I3758" s="329"/>
      <c r="J3758" s="329"/>
      <c r="K3758" s="329"/>
      <c r="L3758" s="329"/>
      <c r="M3758" s="329"/>
      <c r="N3758" s="329"/>
      <c r="O3758" s="329"/>
      <c r="P3758" s="329"/>
      <c r="Q3758" s="329"/>
      <c r="R3758" s="329"/>
    </row>
    <row r="3759" spans="1:18" ht="13">
      <c r="A3759" s="282"/>
      <c r="B3759" s="282"/>
      <c r="C3759" s="282"/>
      <c r="D3759" s="282"/>
      <c r="E3759" s="282"/>
      <c r="F3759" s="282"/>
      <c r="G3759" s="329"/>
      <c r="H3759" s="329"/>
      <c r="I3759" s="329"/>
      <c r="J3759" s="329"/>
      <c r="K3759" s="329"/>
      <c r="L3759" s="329"/>
      <c r="M3759" s="329"/>
      <c r="N3759" s="329"/>
      <c r="O3759" s="329"/>
      <c r="P3759" s="329"/>
      <c r="Q3759" s="329"/>
      <c r="R3759" s="329"/>
    </row>
    <row r="3760" spans="1:18" ht="13">
      <c r="A3760" s="282"/>
      <c r="B3760" s="282"/>
      <c r="C3760" s="282"/>
      <c r="D3760" s="282"/>
      <c r="E3760" s="282"/>
      <c r="F3760" s="282"/>
      <c r="G3760" s="329"/>
      <c r="H3760" s="329"/>
      <c r="I3760" s="329"/>
      <c r="J3760" s="329"/>
      <c r="K3760" s="329"/>
      <c r="L3760" s="329"/>
      <c r="M3760" s="329"/>
      <c r="N3760" s="329"/>
      <c r="O3760" s="329"/>
      <c r="P3760" s="329"/>
      <c r="Q3760" s="329"/>
      <c r="R3760" s="329"/>
    </row>
    <row r="3761" spans="1:18" ht="13">
      <c r="A3761" s="282"/>
      <c r="B3761" s="282"/>
      <c r="C3761" s="282"/>
      <c r="D3761" s="282"/>
      <c r="E3761" s="282"/>
      <c r="F3761" s="282"/>
      <c r="G3761" s="329"/>
      <c r="H3761" s="329"/>
      <c r="I3761" s="329"/>
      <c r="J3761" s="329"/>
      <c r="K3761" s="329"/>
      <c r="L3761" s="329"/>
      <c r="M3761" s="329"/>
      <c r="N3761" s="329"/>
      <c r="O3761" s="329"/>
      <c r="P3761" s="329"/>
      <c r="Q3761" s="329"/>
      <c r="R3761" s="329"/>
    </row>
    <row r="3762" spans="1:18" ht="13">
      <c r="A3762" s="282"/>
      <c r="B3762" s="282"/>
      <c r="C3762" s="282"/>
      <c r="D3762" s="282"/>
      <c r="E3762" s="282"/>
      <c r="F3762" s="282"/>
      <c r="G3762" s="329"/>
      <c r="H3762" s="329"/>
      <c r="I3762" s="329"/>
      <c r="J3762" s="329"/>
      <c r="K3762" s="329"/>
      <c r="L3762" s="329"/>
      <c r="M3762" s="329"/>
      <c r="N3762" s="329"/>
      <c r="O3762" s="329"/>
      <c r="P3762" s="329"/>
      <c r="Q3762" s="329"/>
      <c r="R3762" s="329"/>
    </row>
    <row r="3763" spans="1:18" ht="13">
      <c r="A3763" s="282"/>
      <c r="B3763" s="282"/>
      <c r="C3763" s="282"/>
      <c r="D3763" s="282"/>
      <c r="E3763" s="282"/>
      <c r="F3763" s="282"/>
      <c r="G3763" s="329"/>
      <c r="H3763" s="329"/>
      <c r="I3763" s="329"/>
      <c r="J3763" s="329"/>
      <c r="K3763" s="329"/>
      <c r="L3763" s="329"/>
      <c r="M3763" s="329"/>
      <c r="N3763" s="329"/>
      <c r="O3763" s="329"/>
      <c r="P3763" s="329"/>
      <c r="Q3763" s="329"/>
      <c r="R3763" s="329"/>
    </row>
    <row r="3764" spans="1:18" ht="13">
      <c r="A3764" s="282"/>
      <c r="B3764" s="282"/>
      <c r="C3764" s="282"/>
      <c r="D3764" s="282"/>
      <c r="E3764" s="282"/>
      <c r="F3764" s="282"/>
      <c r="G3764" s="329"/>
      <c r="H3764" s="329"/>
      <c r="I3764" s="329"/>
      <c r="J3764" s="329"/>
      <c r="K3764" s="329"/>
      <c r="L3764" s="329"/>
      <c r="M3764" s="329"/>
      <c r="N3764" s="329"/>
      <c r="O3764" s="329"/>
      <c r="P3764" s="329"/>
      <c r="Q3764" s="329"/>
      <c r="R3764" s="329"/>
    </row>
    <row r="3765" spans="1:18" ht="13">
      <c r="A3765" s="282"/>
      <c r="B3765" s="282"/>
      <c r="C3765" s="282"/>
      <c r="D3765" s="282"/>
      <c r="E3765" s="282"/>
      <c r="F3765" s="282"/>
      <c r="G3765" s="329"/>
      <c r="H3765" s="329"/>
      <c r="I3765" s="329"/>
      <c r="J3765" s="329"/>
      <c r="K3765" s="329"/>
      <c r="L3765" s="329"/>
      <c r="M3765" s="329"/>
      <c r="N3765" s="329"/>
      <c r="O3765" s="329"/>
      <c r="P3765" s="329"/>
      <c r="Q3765" s="329"/>
      <c r="R3765" s="329"/>
    </row>
    <row r="3766" spans="1:18" ht="13">
      <c r="A3766" s="282"/>
      <c r="B3766" s="282"/>
      <c r="C3766" s="282"/>
      <c r="D3766" s="282"/>
      <c r="E3766" s="282"/>
      <c r="F3766" s="282"/>
      <c r="G3766" s="329"/>
      <c r="H3766" s="329"/>
      <c r="I3766" s="329"/>
      <c r="J3766" s="329"/>
      <c r="K3766" s="329"/>
      <c r="L3766" s="329"/>
      <c r="M3766" s="329"/>
      <c r="N3766" s="329"/>
      <c r="O3766" s="329"/>
      <c r="P3766" s="329"/>
      <c r="Q3766" s="329"/>
      <c r="R3766" s="329"/>
    </row>
    <row r="3767" spans="1:18" ht="13">
      <c r="A3767" s="282"/>
      <c r="B3767" s="282"/>
      <c r="C3767" s="282"/>
      <c r="D3767" s="282"/>
      <c r="E3767" s="282"/>
      <c r="F3767" s="282"/>
      <c r="G3767" s="329"/>
      <c r="H3767" s="329"/>
      <c r="I3767" s="329"/>
      <c r="J3767" s="329"/>
      <c r="K3767" s="329"/>
      <c r="L3767" s="329"/>
      <c r="M3767" s="329"/>
      <c r="N3767" s="329"/>
      <c r="O3767" s="329"/>
      <c r="P3767" s="329"/>
      <c r="Q3767" s="329"/>
      <c r="R3767" s="329"/>
    </row>
    <row r="3768" spans="1:18" ht="13">
      <c r="A3768" s="282"/>
      <c r="B3768" s="282"/>
      <c r="C3768" s="282"/>
      <c r="D3768" s="282"/>
      <c r="E3768" s="282"/>
      <c r="F3768" s="282"/>
      <c r="G3768" s="329"/>
      <c r="H3768" s="329"/>
      <c r="I3768" s="329"/>
      <c r="J3768" s="329"/>
      <c r="K3768" s="329"/>
      <c r="L3768" s="329"/>
      <c r="M3768" s="329"/>
      <c r="N3768" s="329"/>
      <c r="O3768" s="329"/>
      <c r="P3768" s="329"/>
      <c r="Q3768" s="329"/>
      <c r="R3768" s="329"/>
    </row>
    <row r="3769" spans="1:18" ht="13">
      <c r="A3769" s="282"/>
      <c r="B3769" s="282"/>
      <c r="C3769" s="282"/>
      <c r="D3769" s="282"/>
      <c r="E3769" s="282"/>
      <c r="F3769" s="282"/>
      <c r="G3769" s="329"/>
      <c r="H3769" s="329"/>
      <c r="I3769" s="329"/>
      <c r="J3769" s="329"/>
      <c r="K3769" s="329"/>
      <c r="L3769" s="329"/>
      <c r="M3769" s="329"/>
      <c r="N3769" s="329"/>
      <c r="O3769" s="329"/>
      <c r="P3769" s="329"/>
      <c r="Q3769" s="329"/>
      <c r="R3769" s="329"/>
    </row>
    <row r="3770" spans="1:18" ht="13">
      <c r="A3770" s="282"/>
      <c r="B3770" s="282"/>
      <c r="C3770" s="282"/>
      <c r="D3770" s="282"/>
      <c r="E3770" s="282"/>
      <c r="F3770" s="282"/>
      <c r="G3770" s="329"/>
      <c r="H3770" s="329"/>
      <c r="I3770" s="329"/>
      <c r="J3770" s="329"/>
      <c r="K3770" s="329"/>
      <c r="L3770" s="329"/>
      <c r="M3770" s="329"/>
      <c r="N3770" s="329"/>
      <c r="O3770" s="329"/>
      <c r="P3770" s="329"/>
      <c r="Q3770" s="329"/>
      <c r="R3770" s="329"/>
    </row>
    <row r="3771" spans="1:18" ht="13">
      <c r="A3771" s="282"/>
      <c r="B3771" s="282"/>
      <c r="C3771" s="282"/>
      <c r="D3771" s="282"/>
      <c r="E3771" s="282"/>
      <c r="F3771" s="282"/>
      <c r="G3771" s="329"/>
      <c r="H3771" s="329"/>
      <c r="I3771" s="329"/>
      <c r="J3771" s="329"/>
      <c r="K3771" s="329"/>
      <c r="L3771" s="329"/>
      <c r="M3771" s="329"/>
      <c r="N3771" s="329"/>
      <c r="O3771" s="329"/>
      <c r="P3771" s="329"/>
      <c r="Q3771" s="329"/>
      <c r="R3771" s="329"/>
    </row>
    <row r="3772" spans="1:18" ht="13">
      <c r="A3772" s="282"/>
      <c r="B3772" s="282"/>
      <c r="C3772" s="282"/>
      <c r="D3772" s="282"/>
      <c r="E3772" s="282"/>
      <c r="F3772" s="282"/>
      <c r="G3772" s="329"/>
      <c r="H3772" s="329"/>
      <c r="I3772" s="329"/>
      <c r="J3772" s="329"/>
      <c r="K3772" s="329"/>
      <c r="L3772" s="329"/>
      <c r="M3772" s="329"/>
      <c r="N3772" s="329"/>
      <c r="O3772" s="329"/>
      <c r="P3772" s="329"/>
      <c r="Q3772" s="329"/>
      <c r="R3772" s="329"/>
    </row>
    <row r="3773" spans="1:18" ht="13">
      <c r="A3773" s="282"/>
      <c r="B3773" s="282"/>
      <c r="C3773" s="282"/>
      <c r="D3773" s="282"/>
      <c r="E3773" s="282"/>
      <c r="F3773" s="282"/>
      <c r="G3773" s="329"/>
      <c r="H3773" s="329"/>
      <c r="I3773" s="329"/>
      <c r="J3773" s="329"/>
      <c r="K3773" s="329"/>
      <c r="L3773" s="329"/>
      <c r="M3773" s="329"/>
      <c r="N3773" s="329"/>
      <c r="O3773" s="329"/>
      <c r="P3773" s="329"/>
      <c r="Q3773" s="329"/>
      <c r="R3773" s="329"/>
    </row>
    <row r="3774" spans="1:18" ht="13">
      <c r="A3774" s="282"/>
      <c r="B3774" s="282"/>
      <c r="C3774" s="282"/>
      <c r="D3774" s="282"/>
      <c r="E3774" s="282"/>
      <c r="F3774" s="282"/>
      <c r="G3774" s="329"/>
      <c r="H3774" s="329"/>
      <c r="I3774" s="329"/>
      <c r="J3774" s="329"/>
      <c r="K3774" s="329"/>
      <c r="L3774" s="329"/>
      <c r="M3774" s="329"/>
      <c r="N3774" s="329"/>
      <c r="O3774" s="329"/>
      <c r="P3774" s="329"/>
      <c r="Q3774" s="329"/>
      <c r="R3774" s="329"/>
    </row>
    <row r="3775" spans="1:18" ht="13">
      <c r="A3775" s="282"/>
      <c r="B3775" s="282"/>
      <c r="C3775" s="282"/>
      <c r="D3775" s="282"/>
      <c r="E3775" s="282"/>
      <c r="F3775" s="282"/>
      <c r="G3775" s="329"/>
      <c r="H3775" s="329"/>
      <c r="I3775" s="329"/>
      <c r="J3775" s="329"/>
      <c r="K3775" s="329"/>
      <c r="L3775" s="329"/>
      <c r="M3775" s="329"/>
      <c r="N3775" s="329"/>
      <c r="O3775" s="329"/>
      <c r="P3775" s="329"/>
      <c r="Q3775" s="329"/>
      <c r="R3775" s="329"/>
    </row>
    <row r="3776" spans="1:18" ht="13">
      <c r="A3776" s="282"/>
      <c r="B3776" s="282"/>
      <c r="C3776" s="282"/>
      <c r="D3776" s="282"/>
      <c r="E3776" s="282"/>
      <c r="F3776" s="282"/>
      <c r="G3776" s="329"/>
      <c r="H3776" s="329"/>
      <c r="I3776" s="329"/>
      <c r="J3776" s="329"/>
      <c r="K3776" s="329"/>
      <c r="L3776" s="329"/>
      <c r="M3776" s="329"/>
      <c r="N3776" s="329"/>
      <c r="O3776" s="329"/>
      <c r="P3776" s="329"/>
      <c r="Q3776" s="329"/>
      <c r="R3776" s="329"/>
    </row>
    <row r="3777" spans="1:18" ht="13">
      <c r="A3777" s="282"/>
      <c r="B3777" s="282"/>
      <c r="C3777" s="282"/>
      <c r="D3777" s="282"/>
      <c r="E3777" s="282"/>
      <c r="F3777" s="282"/>
      <c r="G3777" s="329"/>
      <c r="H3777" s="329"/>
      <c r="I3777" s="329"/>
      <c r="J3777" s="329"/>
      <c r="K3777" s="329"/>
      <c r="L3777" s="329"/>
      <c r="M3777" s="329"/>
      <c r="N3777" s="329"/>
      <c r="O3777" s="329"/>
      <c r="P3777" s="329"/>
      <c r="Q3777" s="329"/>
      <c r="R3777" s="329"/>
    </row>
    <row r="3778" spans="1:18" ht="13">
      <c r="A3778" s="282"/>
      <c r="B3778" s="282"/>
      <c r="C3778" s="282"/>
      <c r="D3778" s="282"/>
      <c r="E3778" s="282"/>
      <c r="F3778" s="282"/>
      <c r="G3778" s="329"/>
      <c r="H3778" s="329"/>
      <c r="I3778" s="329"/>
      <c r="J3778" s="329"/>
      <c r="K3778" s="329"/>
      <c r="L3778" s="329"/>
      <c r="M3778" s="329"/>
      <c r="N3778" s="329"/>
      <c r="O3778" s="329"/>
      <c r="P3778" s="329"/>
      <c r="Q3778" s="329"/>
      <c r="R3778" s="329"/>
    </row>
    <row r="3779" spans="1:18" ht="13">
      <c r="A3779" s="282"/>
      <c r="B3779" s="282"/>
      <c r="C3779" s="282"/>
      <c r="D3779" s="282"/>
      <c r="E3779" s="282"/>
      <c r="F3779" s="282"/>
      <c r="G3779" s="329"/>
      <c r="H3779" s="329"/>
      <c r="I3779" s="329"/>
      <c r="J3779" s="329"/>
      <c r="K3779" s="329"/>
      <c r="L3779" s="329"/>
      <c r="M3779" s="329"/>
      <c r="N3779" s="329"/>
      <c r="O3779" s="329"/>
      <c r="P3779" s="329"/>
      <c r="Q3779" s="329"/>
      <c r="R3779" s="329"/>
    </row>
    <row r="3780" spans="1:18" ht="13">
      <c r="A3780" s="282"/>
      <c r="B3780" s="282"/>
      <c r="C3780" s="282"/>
      <c r="D3780" s="282"/>
      <c r="E3780" s="282"/>
      <c r="F3780" s="282"/>
      <c r="G3780" s="329"/>
      <c r="H3780" s="329"/>
      <c r="I3780" s="329"/>
      <c r="J3780" s="329"/>
      <c r="K3780" s="329"/>
      <c r="L3780" s="329"/>
      <c r="M3780" s="329"/>
      <c r="N3780" s="329"/>
      <c r="O3780" s="329"/>
      <c r="P3780" s="329"/>
      <c r="Q3780" s="329"/>
      <c r="R3780" s="329"/>
    </row>
    <row r="3781" spans="1:18" ht="13">
      <c r="A3781" s="282"/>
      <c r="B3781" s="282"/>
      <c r="C3781" s="282"/>
      <c r="D3781" s="282"/>
      <c r="E3781" s="282"/>
      <c r="F3781" s="282"/>
      <c r="G3781" s="329"/>
      <c r="H3781" s="329"/>
      <c r="I3781" s="329"/>
      <c r="J3781" s="329"/>
      <c r="K3781" s="329"/>
      <c r="L3781" s="329"/>
      <c r="M3781" s="329"/>
      <c r="N3781" s="329"/>
      <c r="O3781" s="329"/>
      <c r="P3781" s="329"/>
      <c r="Q3781" s="329"/>
      <c r="R3781" s="329"/>
    </row>
    <row r="3782" spans="1:18" ht="13">
      <c r="A3782" s="282"/>
      <c r="B3782" s="282"/>
      <c r="C3782" s="282"/>
      <c r="D3782" s="282"/>
      <c r="E3782" s="282"/>
      <c r="F3782" s="282"/>
      <c r="G3782" s="329"/>
      <c r="H3782" s="329"/>
      <c r="I3782" s="329"/>
      <c r="J3782" s="329"/>
      <c r="K3782" s="329"/>
      <c r="L3782" s="329"/>
      <c r="M3782" s="329"/>
      <c r="N3782" s="329"/>
      <c r="O3782" s="329"/>
      <c r="P3782" s="329"/>
      <c r="Q3782" s="329"/>
      <c r="R3782" s="329"/>
    </row>
    <row r="3783" spans="1:18" ht="13">
      <c r="A3783" s="282"/>
      <c r="B3783" s="282"/>
      <c r="C3783" s="282"/>
      <c r="D3783" s="282"/>
      <c r="E3783" s="282"/>
      <c r="F3783" s="282"/>
      <c r="G3783" s="329"/>
      <c r="H3783" s="329"/>
      <c r="I3783" s="329"/>
      <c r="J3783" s="329"/>
      <c r="K3783" s="329"/>
      <c r="L3783" s="329"/>
      <c r="M3783" s="329"/>
      <c r="N3783" s="329"/>
      <c r="O3783" s="329"/>
      <c r="P3783" s="329"/>
      <c r="Q3783" s="329"/>
      <c r="R3783" s="329"/>
    </row>
    <row r="3784" spans="1:18" ht="13">
      <c r="A3784" s="282"/>
      <c r="B3784" s="282"/>
      <c r="C3784" s="282"/>
      <c r="D3784" s="282"/>
      <c r="E3784" s="282"/>
      <c r="F3784" s="282"/>
      <c r="G3784" s="329"/>
      <c r="H3784" s="329"/>
      <c r="I3784" s="329"/>
      <c r="J3784" s="329"/>
      <c r="K3784" s="329"/>
      <c r="L3784" s="329"/>
      <c r="M3784" s="329"/>
      <c r="N3784" s="329"/>
      <c r="O3784" s="329"/>
      <c r="P3784" s="329"/>
      <c r="Q3784" s="329"/>
      <c r="R3784" s="329"/>
    </row>
    <row r="3785" spans="1:18" ht="13">
      <c r="A3785" s="282"/>
      <c r="B3785" s="282"/>
      <c r="C3785" s="282"/>
      <c r="D3785" s="282"/>
      <c r="E3785" s="282"/>
      <c r="F3785" s="282"/>
      <c r="G3785" s="329"/>
      <c r="H3785" s="329"/>
      <c r="I3785" s="329"/>
      <c r="J3785" s="329"/>
      <c r="K3785" s="329"/>
      <c r="L3785" s="329"/>
      <c r="M3785" s="329"/>
      <c r="N3785" s="329"/>
      <c r="O3785" s="329"/>
      <c r="P3785" s="329"/>
      <c r="Q3785" s="329"/>
      <c r="R3785" s="329"/>
    </row>
    <row r="3786" spans="1:18" ht="13">
      <c r="A3786" s="282"/>
      <c r="B3786" s="282"/>
      <c r="C3786" s="282"/>
      <c r="D3786" s="282"/>
      <c r="E3786" s="282"/>
      <c r="F3786" s="282"/>
      <c r="G3786" s="329"/>
      <c r="H3786" s="329"/>
      <c r="I3786" s="329"/>
      <c r="J3786" s="329"/>
      <c r="K3786" s="329"/>
      <c r="L3786" s="329"/>
      <c r="M3786" s="329"/>
      <c r="N3786" s="329"/>
      <c r="O3786" s="329"/>
      <c r="P3786" s="329"/>
      <c r="Q3786" s="329"/>
      <c r="R3786" s="329"/>
    </row>
    <row r="3787" spans="1:18" ht="13">
      <c r="A3787" s="282"/>
      <c r="B3787" s="282"/>
      <c r="C3787" s="282"/>
      <c r="D3787" s="282"/>
      <c r="E3787" s="282"/>
      <c r="F3787" s="282"/>
      <c r="G3787" s="329"/>
      <c r="H3787" s="329"/>
      <c r="I3787" s="329"/>
      <c r="J3787" s="329"/>
      <c r="K3787" s="329"/>
      <c r="L3787" s="329"/>
      <c r="M3787" s="329"/>
      <c r="N3787" s="329"/>
      <c r="O3787" s="329"/>
      <c r="P3787" s="329"/>
      <c r="Q3787" s="329"/>
      <c r="R3787" s="329"/>
    </row>
    <row r="3788" spans="1:18" ht="13">
      <c r="A3788" s="282"/>
      <c r="B3788" s="282"/>
      <c r="C3788" s="282"/>
      <c r="D3788" s="282"/>
      <c r="E3788" s="282"/>
      <c r="F3788" s="282"/>
      <c r="G3788" s="329"/>
      <c r="H3788" s="329"/>
      <c r="I3788" s="329"/>
      <c r="J3788" s="329"/>
      <c r="K3788" s="329"/>
      <c r="L3788" s="329"/>
      <c r="M3788" s="329"/>
      <c r="N3788" s="329"/>
      <c r="O3788" s="329"/>
      <c r="P3788" s="329"/>
      <c r="Q3788" s="329"/>
      <c r="R3788" s="329"/>
    </row>
    <row r="3789" spans="1:18" ht="13">
      <c r="A3789" s="282"/>
      <c r="B3789" s="282"/>
      <c r="C3789" s="282"/>
      <c r="D3789" s="282"/>
      <c r="E3789" s="282"/>
      <c r="F3789" s="282"/>
      <c r="G3789" s="329"/>
      <c r="H3789" s="329"/>
      <c r="I3789" s="329"/>
      <c r="J3789" s="329"/>
      <c r="K3789" s="329"/>
      <c r="L3789" s="329"/>
      <c r="M3789" s="329"/>
      <c r="N3789" s="329"/>
      <c r="O3789" s="329"/>
      <c r="P3789" s="329"/>
      <c r="Q3789" s="329"/>
      <c r="R3789" s="329"/>
    </row>
    <row r="3790" spans="1:18" ht="13">
      <c r="A3790" s="282"/>
      <c r="B3790" s="282"/>
      <c r="C3790" s="282"/>
      <c r="D3790" s="282"/>
      <c r="E3790" s="282"/>
      <c r="F3790" s="282"/>
      <c r="G3790" s="329"/>
      <c r="H3790" s="329"/>
      <c r="I3790" s="329"/>
      <c r="J3790" s="329"/>
      <c r="K3790" s="329"/>
      <c r="L3790" s="329"/>
      <c r="M3790" s="329"/>
      <c r="N3790" s="329"/>
      <c r="O3790" s="329"/>
      <c r="P3790" s="329"/>
      <c r="Q3790" s="329"/>
      <c r="R3790" s="329"/>
    </row>
    <row r="3791" spans="1:18" ht="13">
      <c r="A3791" s="282"/>
      <c r="B3791" s="282"/>
      <c r="C3791" s="282"/>
      <c r="D3791" s="282"/>
      <c r="E3791" s="282"/>
      <c r="F3791" s="282"/>
      <c r="G3791" s="329"/>
      <c r="H3791" s="329"/>
      <c r="I3791" s="329"/>
      <c r="J3791" s="329"/>
      <c r="K3791" s="329"/>
      <c r="L3791" s="329"/>
      <c r="M3791" s="329"/>
      <c r="N3791" s="329"/>
      <c r="O3791" s="329"/>
      <c r="P3791" s="329"/>
      <c r="Q3791" s="329"/>
      <c r="R3791" s="329"/>
    </row>
    <row r="3792" spans="1:18" ht="13">
      <c r="A3792" s="282"/>
      <c r="B3792" s="282"/>
      <c r="C3792" s="282"/>
      <c r="D3792" s="282"/>
      <c r="E3792" s="282"/>
      <c r="F3792" s="282"/>
      <c r="G3792" s="329"/>
      <c r="H3792" s="329"/>
      <c r="I3792" s="329"/>
      <c r="J3792" s="329"/>
      <c r="K3792" s="329"/>
      <c r="L3792" s="329"/>
      <c r="M3792" s="329"/>
      <c r="N3792" s="329"/>
      <c r="O3792" s="329"/>
      <c r="P3792" s="329"/>
      <c r="Q3792" s="329"/>
      <c r="R3792" s="329"/>
    </row>
    <row r="3793" spans="1:18" ht="13">
      <c r="A3793" s="282"/>
      <c r="B3793" s="282"/>
      <c r="C3793" s="282"/>
      <c r="D3793" s="282"/>
      <c r="E3793" s="282"/>
      <c r="F3793" s="282"/>
      <c r="G3793" s="329"/>
      <c r="H3793" s="329"/>
      <c r="I3793" s="329"/>
      <c r="J3793" s="329"/>
      <c r="K3793" s="329"/>
      <c r="L3793" s="329"/>
      <c r="M3793" s="329"/>
      <c r="N3793" s="329"/>
      <c r="O3793" s="329"/>
      <c r="P3793" s="329"/>
      <c r="Q3793" s="329"/>
      <c r="R3793" s="329"/>
    </row>
    <row r="3794" spans="1:18" ht="13">
      <c r="A3794" s="282"/>
      <c r="B3794" s="282"/>
      <c r="C3794" s="282"/>
      <c r="D3794" s="282"/>
      <c r="E3794" s="282"/>
      <c r="F3794" s="282"/>
      <c r="G3794" s="329"/>
      <c r="H3794" s="329"/>
      <c r="I3794" s="329"/>
      <c r="J3794" s="329"/>
      <c r="K3794" s="329"/>
      <c r="L3794" s="329"/>
      <c r="M3794" s="329"/>
      <c r="N3794" s="329"/>
      <c r="O3794" s="329"/>
      <c r="P3794" s="329"/>
      <c r="Q3794" s="329"/>
      <c r="R3794" s="329"/>
    </row>
    <row r="3795" spans="1:18" ht="13">
      <c r="A3795" s="282"/>
      <c r="B3795" s="282"/>
      <c r="C3795" s="282"/>
      <c r="D3795" s="282"/>
      <c r="E3795" s="282"/>
      <c r="F3795" s="282"/>
      <c r="G3795" s="329"/>
      <c r="H3795" s="329"/>
      <c r="I3795" s="329"/>
      <c r="J3795" s="329"/>
      <c r="K3795" s="329"/>
      <c r="L3795" s="329"/>
      <c r="M3795" s="329"/>
      <c r="N3795" s="329"/>
      <c r="O3795" s="329"/>
      <c r="P3795" s="329"/>
      <c r="Q3795" s="329"/>
      <c r="R3795" s="329"/>
    </row>
    <row r="3796" spans="1:18" ht="13">
      <c r="A3796" s="282"/>
      <c r="B3796" s="282"/>
      <c r="C3796" s="282"/>
      <c r="D3796" s="282"/>
      <c r="E3796" s="282"/>
      <c r="F3796" s="282"/>
      <c r="G3796" s="329"/>
      <c r="H3796" s="329"/>
      <c r="I3796" s="329"/>
      <c r="J3796" s="329"/>
      <c r="K3796" s="329"/>
      <c r="L3796" s="329"/>
      <c r="M3796" s="329"/>
      <c r="N3796" s="329"/>
      <c r="O3796" s="329"/>
      <c r="P3796" s="329"/>
      <c r="Q3796" s="329"/>
      <c r="R3796" s="329"/>
    </row>
    <row r="3797" spans="1:18" ht="13">
      <c r="A3797" s="282"/>
      <c r="B3797" s="282"/>
      <c r="C3797" s="282"/>
      <c r="D3797" s="282"/>
      <c r="E3797" s="282"/>
      <c r="F3797" s="282"/>
      <c r="G3797" s="329"/>
      <c r="H3797" s="329"/>
      <c r="I3797" s="329"/>
      <c r="J3797" s="329"/>
      <c r="K3797" s="329"/>
      <c r="L3797" s="329"/>
      <c r="M3797" s="329"/>
      <c r="N3797" s="329"/>
      <c r="O3797" s="329"/>
      <c r="P3797" s="329"/>
      <c r="Q3797" s="329"/>
      <c r="R3797" s="329"/>
    </row>
    <row r="3798" spans="1:18" ht="13">
      <c r="A3798" s="282"/>
      <c r="B3798" s="282"/>
      <c r="C3798" s="282"/>
      <c r="D3798" s="282"/>
      <c r="E3798" s="282"/>
      <c r="F3798" s="282"/>
      <c r="G3798" s="329"/>
      <c r="H3798" s="329"/>
      <c r="I3798" s="329"/>
      <c r="J3798" s="329"/>
      <c r="K3798" s="329"/>
      <c r="L3798" s="329"/>
      <c r="M3798" s="329"/>
      <c r="N3798" s="329"/>
      <c r="O3798" s="329"/>
      <c r="P3798" s="329"/>
      <c r="Q3798" s="329"/>
      <c r="R3798" s="329"/>
    </row>
    <row r="3799" spans="1:18" ht="13">
      <c r="A3799" s="282"/>
      <c r="B3799" s="282"/>
      <c r="C3799" s="282"/>
      <c r="D3799" s="282"/>
      <c r="E3799" s="282"/>
      <c r="F3799" s="282"/>
      <c r="G3799" s="329"/>
      <c r="H3799" s="329"/>
      <c r="I3799" s="329"/>
      <c r="J3799" s="329"/>
      <c r="K3799" s="329"/>
      <c r="L3799" s="329"/>
      <c r="M3799" s="329"/>
      <c r="N3799" s="329"/>
      <c r="O3799" s="329"/>
      <c r="P3799" s="329"/>
      <c r="Q3799" s="329"/>
      <c r="R3799" s="329"/>
    </row>
    <row r="3800" spans="1:18" ht="13">
      <c r="A3800" s="282"/>
      <c r="B3800" s="282"/>
      <c r="C3800" s="282"/>
      <c r="D3800" s="282"/>
      <c r="E3800" s="282"/>
      <c r="F3800" s="282"/>
      <c r="G3800" s="329"/>
      <c r="H3800" s="329"/>
      <c r="I3800" s="329"/>
      <c r="J3800" s="329"/>
      <c r="K3800" s="329"/>
      <c r="L3800" s="329"/>
      <c r="M3800" s="329"/>
      <c r="N3800" s="329"/>
      <c r="O3800" s="329"/>
      <c r="P3800" s="329"/>
      <c r="Q3800" s="329"/>
      <c r="R3800" s="329"/>
    </row>
    <row r="3801" spans="1:18" ht="13">
      <c r="A3801" s="282"/>
      <c r="B3801" s="282"/>
      <c r="C3801" s="282"/>
      <c r="D3801" s="282"/>
      <c r="E3801" s="282"/>
      <c r="F3801" s="282"/>
      <c r="G3801" s="329"/>
      <c r="H3801" s="329"/>
      <c r="I3801" s="329"/>
      <c r="J3801" s="329"/>
      <c r="K3801" s="329"/>
      <c r="L3801" s="329"/>
      <c r="M3801" s="329"/>
      <c r="N3801" s="329"/>
      <c r="O3801" s="329"/>
      <c r="P3801" s="329"/>
      <c r="Q3801" s="329"/>
      <c r="R3801" s="329"/>
    </row>
    <row r="3802" spans="1:18" ht="13">
      <c r="A3802" s="282"/>
      <c r="B3802" s="282"/>
      <c r="C3802" s="282"/>
      <c r="D3802" s="282"/>
      <c r="E3802" s="282"/>
      <c r="F3802" s="282"/>
      <c r="G3802" s="329"/>
      <c r="H3802" s="329"/>
      <c r="I3802" s="329"/>
      <c r="J3802" s="329"/>
      <c r="K3802" s="329"/>
      <c r="L3802" s="329"/>
      <c r="M3802" s="329"/>
      <c r="N3802" s="329"/>
      <c r="O3802" s="329"/>
      <c r="P3802" s="329"/>
      <c r="Q3802" s="329"/>
      <c r="R3802" s="329"/>
    </row>
    <row r="3803" spans="1:18" ht="13">
      <c r="A3803" s="282"/>
      <c r="B3803" s="282"/>
      <c r="C3803" s="282"/>
      <c r="D3803" s="282"/>
      <c r="E3803" s="282"/>
      <c r="F3803" s="282"/>
      <c r="G3803" s="329"/>
      <c r="H3803" s="329"/>
      <c r="I3803" s="329"/>
      <c r="J3803" s="329"/>
      <c r="K3803" s="329"/>
      <c r="L3803" s="329"/>
      <c r="M3803" s="329"/>
      <c r="N3803" s="329"/>
      <c r="O3803" s="329"/>
      <c r="P3803" s="329"/>
      <c r="Q3803" s="329"/>
      <c r="R3803" s="329"/>
    </row>
    <row r="3804" spans="1:18" ht="13">
      <c r="A3804" s="282"/>
      <c r="B3804" s="282"/>
      <c r="C3804" s="282"/>
      <c r="D3804" s="282"/>
      <c r="E3804" s="282"/>
      <c r="F3804" s="282"/>
      <c r="G3804" s="329"/>
      <c r="H3804" s="329"/>
      <c r="I3804" s="329"/>
      <c r="J3804" s="329"/>
      <c r="K3804" s="329"/>
      <c r="L3804" s="329"/>
      <c r="M3804" s="329"/>
      <c r="N3804" s="329"/>
      <c r="O3804" s="329"/>
      <c r="P3804" s="329"/>
      <c r="Q3804" s="329"/>
      <c r="R3804" s="329"/>
    </row>
    <row r="3805" spans="1:18" ht="13">
      <c r="A3805" s="282"/>
      <c r="B3805" s="282"/>
      <c r="C3805" s="282"/>
      <c r="D3805" s="282"/>
      <c r="E3805" s="282"/>
      <c r="F3805" s="282"/>
      <c r="G3805" s="329"/>
      <c r="H3805" s="329"/>
      <c r="I3805" s="329"/>
      <c r="J3805" s="329"/>
      <c r="K3805" s="329"/>
      <c r="L3805" s="329"/>
      <c r="M3805" s="329"/>
      <c r="N3805" s="329"/>
      <c r="O3805" s="329"/>
      <c r="P3805" s="329"/>
      <c r="Q3805" s="329"/>
      <c r="R3805" s="329"/>
    </row>
    <row r="3806" spans="1:18" ht="13">
      <c r="A3806" s="282"/>
      <c r="B3806" s="282"/>
      <c r="C3806" s="282"/>
      <c r="D3806" s="282"/>
      <c r="E3806" s="282"/>
      <c r="F3806" s="282"/>
      <c r="G3806" s="329"/>
      <c r="H3806" s="329"/>
      <c r="I3806" s="329"/>
      <c r="J3806" s="329"/>
      <c r="K3806" s="329"/>
      <c r="L3806" s="329"/>
      <c r="M3806" s="329"/>
      <c r="N3806" s="329"/>
      <c r="O3806" s="329"/>
      <c r="P3806" s="329"/>
      <c r="Q3806" s="329"/>
      <c r="R3806" s="329"/>
    </row>
    <row r="3807" spans="1:18" ht="13">
      <c r="A3807" s="282"/>
      <c r="B3807" s="282"/>
      <c r="C3807" s="282"/>
      <c r="D3807" s="282"/>
      <c r="E3807" s="282"/>
      <c r="F3807" s="282"/>
      <c r="G3807" s="329"/>
      <c r="H3807" s="329"/>
      <c r="I3807" s="329"/>
      <c r="J3807" s="329"/>
      <c r="K3807" s="329"/>
      <c r="L3807" s="329"/>
      <c r="M3807" s="329"/>
      <c r="N3807" s="329"/>
      <c r="O3807" s="329"/>
      <c r="P3807" s="329"/>
      <c r="Q3807" s="329"/>
      <c r="R3807" s="329"/>
    </row>
    <row r="3808" spans="1:18" ht="13">
      <c r="A3808" s="282"/>
      <c r="B3808" s="282"/>
      <c r="C3808" s="282"/>
      <c r="D3808" s="282"/>
      <c r="E3808" s="282"/>
      <c r="F3808" s="282"/>
      <c r="G3808" s="329"/>
      <c r="H3808" s="329"/>
      <c r="I3808" s="329"/>
      <c r="J3808" s="329"/>
      <c r="K3808" s="329"/>
      <c r="L3808" s="329"/>
      <c r="M3808" s="329"/>
      <c r="N3808" s="329"/>
      <c r="O3808" s="329"/>
      <c r="P3808" s="329"/>
      <c r="Q3808" s="329"/>
      <c r="R3808" s="329"/>
    </row>
    <row r="3809" spans="1:18" ht="13">
      <c r="A3809" s="282"/>
      <c r="B3809" s="282"/>
      <c r="C3809" s="282"/>
      <c r="D3809" s="282"/>
      <c r="E3809" s="282"/>
      <c r="F3809" s="282"/>
      <c r="G3809" s="329"/>
      <c r="H3809" s="329"/>
      <c r="I3809" s="329"/>
      <c r="J3809" s="329"/>
      <c r="K3809" s="329"/>
      <c r="L3809" s="329"/>
      <c r="M3809" s="329"/>
      <c r="N3809" s="329"/>
      <c r="O3809" s="329"/>
      <c r="P3809" s="329"/>
      <c r="Q3809" s="329"/>
      <c r="R3809" s="329"/>
    </row>
    <row r="3810" spans="1:18" ht="13">
      <c r="A3810" s="282"/>
      <c r="B3810" s="282"/>
      <c r="C3810" s="282"/>
      <c r="D3810" s="282"/>
      <c r="E3810" s="282"/>
      <c r="F3810" s="282"/>
      <c r="G3810" s="329"/>
      <c r="H3810" s="329"/>
      <c r="I3810" s="329"/>
      <c r="J3810" s="329"/>
      <c r="K3810" s="329"/>
      <c r="L3810" s="329"/>
      <c r="M3810" s="329"/>
      <c r="N3810" s="329"/>
      <c r="O3810" s="329"/>
      <c r="P3810" s="329"/>
      <c r="Q3810" s="329"/>
      <c r="R3810" s="329"/>
    </row>
    <row r="3811" spans="1:18" ht="13">
      <c r="A3811" s="282"/>
      <c r="B3811" s="282"/>
      <c r="C3811" s="282"/>
      <c r="D3811" s="282"/>
      <c r="E3811" s="282"/>
      <c r="F3811" s="282"/>
      <c r="G3811" s="329"/>
      <c r="H3811" s="329"/>
      <c r="I3811" s="329"/>
      <c r="J3811" s="329"/>
      <c r="K3811" s="329"/>
      <c r="L3811" s="329"/>
      <c r="M3811" s="329"/>
      <c r="N3811" s="329"/>
      <c r="O3811" s="329"/>
      <c r="P3811" s="329"/>
      <c r="Q3811" s="329"/>
      <c r="R3811" s="329"/>
    </row>
    <row r="3812" spans="1:18" ht="13">
      <c r="A3812" s="282"/>
      <c r="B3812" s="282"/>
      <c r="C3812" s="282"/>
      <c r="D3812" s="282"/>
      <c r="E3812" s="282"/>
      <c r="F3812" s="282"/>
      <c r="G3812" s="329"/>
      <c r="H3812" s="329"/>
      <c r="I3812" s="329"/>
      <c r="J3812" s="329"/>
      <c r="K3812" s="329"/>
      <c r="L3812" s="329"/>
      <c r="M3812" s="329"/>
      <c r="N3812" s="329"/>
      <c r="O3812" s="329"/>
      <c r="P3812" s="329"/>
      <c r="Q3812" s="329"/>
      <c r="R3812" s="329"/>
    </row>
    <row r="3813" spans="1:18" ht="13">
      <c r="A3813" s="282"/>
      <c r="B3813" s="282"/>
      <c r="C3813" s="282"/>
      <c r="D3813" s="282"/>
      <c r="E3813" s="282"/>
      <c r="F3813" s="282"/>
      <c r="G3813" s="329"/>
      <c r="H3813" s="329"/>
      <c r="I3813" s="329"/>
      <c r="J3813" s="329"/>
      <c r="K3813" s="329"/>
      <c r="L3813" s="329"/>
      <c r="M3813" s="329"/>
      <c r="N3813" s="329"/>
      <c r="O3813" s="329"/>
      <c r="P3813" s="329"/>
      <c r="Q3813" s="329"/>
      <c r="R3813" s="329"/>
    </row>
    <row r="3814" spans="1:18" ht="13">
      <c r="A3814" s="282"/>
      <c r="B3814" s="282"/>
      <c r="C3814" s="282"/>
      <c r="D3814" s="282"/>
      <c r="E3814" s="282"/>
      <c r="F3814" s="282"/>
      <c r="G3814" s="329"/>
      <c r="H3814" s="329"/>
      <c r="I3814" s="329"/>
      <c r="J3814" s="329"/>
      <c r="K3814" s="329"/>
      <c r="L3814" s="329"/>
      <c r="M3814" s="329"/>
      <c r="N3814" s="329"/>
      <c r="O3814" s="329"/>
      <c r="P3814" s="329"/>
      <c r="Q3814" s="329"/>
      <c r="R3814" s="329"/>
    </row>
    <row r="3815" spans="1:18" ht="13">
      <c r="A3815" s="282"/>
      <c r="B3815" s="282"/>
      <c r="C3815" s="282"/>
      <c r="D3815" s="282"/>
      <c r="E3815" s="282"/>
      <c r="F3815" s="282"/>
      <c r="G3815" s="329"/>
      <c r="H3815" s="329"/>
      <c r="I3815" s="329"/>
      <c r="J3815" s="329"/>
      <c r="K3815" s="329"/>
      <c r="L3815" s="329"/>
      <c r="M3815" s="329"/>
      <c r="N3815" s="329"/>
      <c r="O3815" s="329"/>
      <c r="P3815" s="329"/>
      <c r="Q3815" s="329"/>
      <c r="R3815" s="329"/>
    </row>
    <row r="3816" spans="1:18" ht="13">
      <c r="A3816" s="282"/>
      <c r="B3816" s="282"/>
      <c r="C3816" s="282"/>
      <c r="D3816" s="282"/>
      <c r="E3816" s="282"/>
      <c r="F3816" s="282"/>
      <c r="G3816" s="329"/>
      <c r="H3816" s="329"/>
      <c r="I3816" s="329"/>
      <c r="J3816" s="329"/>
      <c r="K3816" s="329"/>
      <c r="L3816" s="329"/>
      <c r="M3816" s="329"/>
      <c r="N3816" s="329"/>
      <c r="O3816" s="329"/>
      <c r="P3816" s="329"/>
      <c r="Q3816" s="329"/>
      <c r="R3816" s="329"/>
    </row>
    <row r="3817" spans="1:18" ht="13">
      <c r="A3817" s="282"/>
      <c r="B3817" s="282"/>
      <c r="C3817" s="282"/>
      <c r="D3817" s="282"/>
      <c r="E3817" s="282"/>
      <c r="F3817" s="282"/>
      <c r="G3817" s="329"/>
      <c r="H3817" s="329"/>
      <c r="I3817" s="329"/>
      <c r="J3817" s="329"/>
      <c r="K3817" s="329"/>
      <c r="L3817" s="329"/>
      <c r="M3817" s="329"/>
      <c r="N3817" s="329"/>
      <c r="O3817" s="329"/>
      <c r="P3817" s="329"/>
      <c r="Q3817" s="329"/>
      <c r="R3817" s="329"/>
    </row>
    <row r="3818" spans="1:18" ht="13">
      <c r="A3818" s="282"/>
      <c r="B3818" s="282"/>
      <c r="C3818" s="282"/>
      <c r="D3818" s="282"/>
      <c r="E3818" s="282"/>
      <c r="F3818" s="282"/>
      <c r="G3818" s="329"/>
      <c r="H3818" s="329"/>
      <c r="I3818" s="329"/>
      <c r="J3818" s="329"/>
      <c r="K3818" s="329"/>
      <c r="L3818" s="329"/>
      <c r="M3818" s="329"/>
      <c r="N3818" s="329"/>
      <c r="O3818" s="329"/>
      <c r="P3818" s="329"/>
      <c r="Q3818" s="329"/>
      <c r="R3818" s="329"/>
    </row>
    <row r="3819" spans="1:18" ht="13">
      <c r="A3819" s="282"/>
      <c r="B3819" s="282"/>
      <c r="C3819" s="282"/>
      <c r="D3819" s="282"/>
      <c r="E3819" s="282"/>
      <c r="F3819" s="282"/>
      <c r="G3819" s="329"/>
      <c r="H3819" s="329"/>
      <c r="I3819" s="329"/>
      <c r="J3819" s="329"/>
      <c r="K3819" s="329"/>
      <c r="L3819" s="329"/>
      <c r="M3819" s="329"/>
      <c r="N3819" s="329"/>
      <c r="O3819" s="329"/>
      <c r="P3819" s="329"/>
      <c r="Q3819" s="329"/>
      <c r="R3819" s="329"/>
    </row>
    <row r="3820" spans="1:18" ht="13">
      <c r="A3820" s="282"/>
      <c r="B3820" s="282"/>
      <c r="C3820" s="282"/>
      <c r="D3820" s="282"/>
      <c r="E3820" s="282"/>
      <c r="F3820" s="282"/>
      <c r="G3820" s="329"/>
      <c r="H3820" s="329"/>
      <c r="I3820" s="329"/>
      <c r="J3820" s="329"/>
      <c r="K3820" s="329"/>
      <c r="L3820" s="329"/>
      <c r="M3820" s="329"/>
      <c r="N3820" s="329"/>
      <c r="O3820" s="329"/>
      <c r="P3820" s="329"/>
      <c r="Q3820" s="329"/>
      <c r="R3820" s="329"/>
    </row>
    <row r="3821" spans="1:18" ht="13">
      <c r="A3821" s="282"/>
      <c r="B3821" s="282"/>
      <c r="C3821" s="282"/>
      <c r="D3821" s="282"/>
      <c r="E3821" s="282"/>
      <c r="F3821" s="282"/>
      <c r="G3821" s="329"/>
      <c r="H3821" s="329"/>
      <c r="I3821" s="329"/>
      <c r="J3821" s="329"/>
      <c r="K3821" s="329"/>
      <c r="L3821" s="329"/>
      <c r="M3821" s="329"/>
      <c r="N3821" s="329"/>
      <c r="O3821" s="329"/>
      <c r="P3821" s="329"/>
      <c r="Q3821" s="329"/>
      <c r="R3821" s="329"/>
    </row>
    <row r="3822" spans="1:18" ht="13">
      <c r="A3822" s="282"/>
      <c r="B3822" s="282"/>
      <c r="C3822" s="282"/>
      <c r="D3822" s="282"/>
      <c r="E3822" s="282"/>
      <c r="F3822" s="282"/>
      <c r="G3822" s="329"/>
      <c r="H3822" s="329"/>
      <c r="I3822" s="329"/>
      <c r="J3822" s="329"/>
      <c r="K3822" s="329"/>
      <c r="L3822" s="329"/>
      <c r="M3822" s="329"/>
      <c r="N3822" s="329"/>
      <c r="O3822" s="329"/>
      <c r="P3822" s="329"/>
      <c r="Q3822" s="329"/>
      <c r="R3822" s="329"/>
    </row>
    <row r="3823" spans="1:18" ht="13">
      <c r="A3823" s="282"/>
      <c r="B3823" s="282"/>
      <c r="C3823" s="282"/>
      <c r="D3823" s="282"/>
      <c r="E3823" s="282"/>
      <c r="F3823" s="282"/>
      <c r="G3823" s="329"/>
      <c r="H3823" s="329"/>
      <c r="I3823" s="329"/>
      <c r="J3823" s="329"/>
      <c r="K3823" s="329"/>
      <c r="L3823" s="329"/>
      <c r="M3823" s="329"/>
      <c r="N3823" s="329"/>
      <c r="O3823" s="329"/>
      <c r="P3823" s="329"/>
      <c r="Q3823" s="329"/>
      <c r="R3823" s="329"/>
    </row>
    <row r="3824" spans="1:18" ht="13">
      <c r="A3824" s="282"/>
      <c r="B3824" s="282"/>
      <c r="C3824" s="282"/>
      <c r="D3824" s="282"/>
      <c r="E3824" s="282"/>
      <c r="F3824" s="282"/>
      <c r="G3824" s="329"/>
      <c r="H3824" s="329"/>
      <c r="I3824" s="329"/>
      <c r="J3824" s="329"/>
      <c r="K3824" s="329"/>
      <c r="L3824" s="329"/>
      <c r="M3824" s="329"/>
      <c r="N3824" s="329"/>
      <c r="O3824" s="329"/>
      <c r="P3824" s="329"/>
      <c r="Q3824" s="329"/>
      <c r="R3824" s="329"/>
    </row>
    <row r="3825" spans="1:18" ht="13">
      <c r="A3825" s="282"/>
      <c r="B3825" s="282"/>
      <c r="C3825" s="282"/>
      <c r="D3825" s="282"/>
      <c r="E3825" s="282"/>
      <c r="F3825" s="282"/>
      <c r="G3825" s="329"/>
      <c r="H3825" s="329"/>
      <c r="I3825" s="329"/>
      <c r="J3825" s="329"/>
      <c r="K3825" s="329"/>
      <c r="L3825" s="329"/>
      <c r="M3825" s="329"/>
      <c r="N3825" s="329"/>
      <c r="O3825" s="329"/>
      <c r="P3825" s="329"/>
      <c r="Q3825" s="329"/>
      <c r="R3825" s="329"/>
    </row>
    <row r="3826" spans="1:18" ht="13">
      <c r="A3826" s="282"/>
      <c r="B3826" s="282"/>
      <c r="C3826" s="282"/>
      <c r="D3826" s="282"/>
      <c r="E3826" s="282"/>
      <c r="F3826" s="282"/>
      <c r="G3826" s="329"/>
      <c r="H3826" s="329"/>
      <c r="I3826" s="329"/>
      <c r="J3826" s="329"/>
      <c r="K3826" s="329"/>
      <c r="L3826" s="329"/>
      <c r="M3826" s="329"/>
      <c r="N3826" s="329"/>
      <c r="O3826" s="329"/>
      <c r="P3826" s="329"/>
      <c r="Q3826" s="329"/>
      <c r="R3826" s="329"/>
    </row>
    <row r="3827" spans="1:18" ht="13">
      <c r="A3827" s="282"/>
      <c r="B3827" s="282"/>
      <c r="C3827" s="282"/>
      <c r="D3827" s="282"/>
      <c r="E3827" s="282"/>
      <c r="F3827" s="282"/>
      <c r="G3827" s="329"/>
      <c r="H3827" s="329"/>
      <c r="I3827" s="329"/>
      <c r="J3827" s="329"/>
      <c r="K3827" s="329"/>
      <c r="L3827" s="329"/>
      <c r="M3827" s="329"/>
      <c r="N3827" s="329"/>
      <c r="O3827" s="329"/>
      <c r="P3827" s="329"/>
      <c r="Q3827" s="329"/>
      <c r="R3827" s="329"/>
    </row>
    <row r="3828" spans="1:18" ht="13">
      <c r="A3828" s="282"/>
      <c r="B3828" s="282"/>
      <c r="C3828" s="282"/>
      <c r="D3828" s="282"/>
      <c r="E3828" s="282"/>
      <c r="F3828" s="282"/>
      <c r="G3828" s="329"/>
      <c r="H3828" s="329"/>
      <c r="I3828" s="329"/>
      <c r="J3828" s="329"/>
      <c r="K3828" s="329"/>
      <c r="L3828" s="329"/>
      <c r="M3828" s="329"/>
      <c r="N3828" s="329"/>
      <c r="O3828" s="329"/>
      <c r="P3828" s="329"/>
      <c r="Q3828" s="329"/>
      <c r="R3828" s="329"/>
    </row>
    <row r="3829" spans="1:18" ht="13">
      <c r="A3829" s="282"/>
      <c r="B3829" s="282"/>
      <c r="C3829" s="282"/>
      <c r="D3829" s="282"/>
      <c r="E3829" s="282"/>
      <c r="F3829" s="282"/>
      <c r="G3829" s="329"/>
      <c r="H3829" s="329"/>
      <c r="I3829" s="329"/>
      <c r="J3829" s="329"/>
      <c r="K3829" s="329"/>
      <c r="L3829" s="329"/>
      <c r="M3829" s="329"/>
      <c r="N3829" s="329"/>
      <c r="O3829" s="329"/>
      <c r="P3829" s="329"/>
      <c r="Q3829" s="329"/>
      <c r="R3829" s="329"/>
    </row>
    <row r="3830" spans="1:18" ht="13">
      <c r="A3830" s="282"/>
      <c r="B3830" s="282"/>
      <c r="C3830" s="282"/>
      <c r="D3830" s="282"/>
      <c r="E3830" s="282"/>
      <c r="F3830" s="282"/>
      <c r="G3830" s="329"/>
      <c r="H3830" s="329"/>
      <c r="I3830" s="329"/>
      <c r="J3830" s="329"/>
      <c r="K3830" s="329"/>
      <c r="L3830" s="329"/>
      <c r="M3830" s="329"/>
      <c r="N3830" s="329"/>
      <c r="O3830" s="329"/>
      <c r="P3830" s="329"/>
      <c r="Q3830" s="329"/>
      <c r="R3830" s="329"/>
    </row>
    <row r="3831" spans="1:18" ht="13">
      <c r="A3831" s="282"/>
      <c r="B3831" s="282"/>
      <c r="C3831" s="282"/>
      <c r="D3831" s="282"/>
      <c r="E3831" s="282"/>
      <c r="F3831" s="282"/>
      <c r="G3831" s="329"/>
      <c r="H3831" s="329"/>
      <c r="I3831" s="329"/>
      <c r="J3831" s="329"/>
      <c r="K3831" s="329"/>
      <c r="L3831" s="329"/>
      <c r="M3831" s="329"/>
      <c r="N3831" s="329"/>
      <c r="O3831" s="329"/>
      <c r="P3831" s="329"/>
      <c r="Q3831" s="329"/>
      <c r="R3831" s="329"/>
    </row>
    <row r="3832" spans="1:18" ht="13">
      <c r="A3832" s="282"/>
      <c r="B3832" s="282"/>
      <c r="C3832" s="282"/>
      <c r="D3832" s="282"/>
      <c r="E3832" s="282"/>
      <c r="F3832" s="282"/>
      <c r="G3832" s="329"/>
      <c r="H3832" s="329"/>
      <c r="I3832" s="329"/>
      <c r="J3832" s="329"/>
      <c r="K3832" s="329"/>
      <c r="L3832" s="329"/>
      <c r="M3832" s="329"/>
      <c r="N3832" s="329"/>
      <c r="O3832" s="329"/>
      <c r="P3832" s="329"/>
      <c r="Q3832" s="329"/>
      <c r="R3832" s="329"/>
    </row>
    <row r="3833" spans="1:18" ht="13">
      <c r="A3833" s="282"/>
      <c r="B3833" s="282"/>
      <c r="C3833" s="282"/>
      <c r="D3833" s="282"/>
      <c r="E3833" s="282"/>
      <c r="F3833" s="282"/>
      <c r="G3833" s="329"/>
      <c r="H3833" s="329"/>
      <c r="I3833" s="329"/>
      <c r="J3833" s="329"/>
      <c r="K3833" s="329"/>
      <c r="L3833" s="329"/>
      <c r="M3833" s="329"/>
      <c r="N3833" s="329"/>
      <c r="O3833" s="329"/>
      <c r="P3833" s="329"/>
      <c r="Q3833" s="329"/>
      <c r="R3833" s="329"/>
    </row>
    <row r="3834" spans="1:18" ht="13">
      <c r="A3834" s="282"/>
      <c r="B3834" s="282"/>
      <c r="C3834" s="282"/>
      <c r="D3834" s="282"/>
      <c r="E3834" s="282"/>
      <c r="F3834" s="282"/>
      <c r="G3834" s="329"/>
      <c r="H3834" s="329"/>
      <c r="I3834" s="329"/>
      <c r="J3834" s="329"/>
      <c r="K3834" s="329"/>
      <c r="L3834" s="329"/>
      <c r="M3834" s="329"/>
      <c r="N3834" s="329"/>
      <c r="O3834" s="329"/>
      <c r="P3834" s="329"/>
      <c r="Q3834" s="329"/>
      <c r="R3834" s="329"/>
    </row>
    <row r="3835" spans="1:18" ht="13">
      <c r="A3835" s="282"/>
      <c r="B3835" s="282"/>
      <c r="C3835" s="282"/>
      <c r="D3835" s="282"/>
      <c r="E3835" s="282"/>
      <c r="F3835" s="282"/>
      <c r="G3835" s="329"/>
      <c r="H3835" s="329"/>
      <c r="I3835" s="329"/>
      <c r="J3835" s="329"/>
      <c r="K3835" s="329"/>
      <c r="L3835" s="329"/>
      <c r="M3835" s="329"/>
      <c r="N3835" s="329"/>
      <c r="O3835" s="329"/>
      <c r="P3835" s="329"/>
      <c r="Q3835" s="329"/>
      <c r="R3835" s="329"/>
    </row>
    <row r="3836" spans="1:18" ht="13">
      <c r="A3836" s="282"/>
      <c r="B3836" s="282"/>
      <c r="C3836" s="282"/>
      <c r="D3836" s="282"/>
      <c r="E3836" s="282"/>
      <c r="F3836" s="282"/>
      <c r="G3836" s="329"/>
      <c r="H3836" s="329"/>
      <c r="I3836" s="329"/>
      <c r="J3836" s="329"/>
      <c r="K3836" s="329"/>
      <c r="L3836" s="329"/>
      <c r="M3836" s="329"/>
      <c r="N3836" s="329"/>
      <c r="O3836" s="329"/>
      <c r="P3836" s="329"/>
      <c r="Q3836" s="329"/>
      <c r="R3836" s="329"/>
    </row>
    <row r="3837" spans="1:18" ht="13">
      <c r="A3837" s="282"/>
      <c r="B3837" s="282"/>
      <c r="C3837" s="282"/>
      <c r="D3837" s="282"/>
      <c r="E3837" s="282"/>
      <c r="F3837" s="282"/>
      <c r="G3837" s="329"/>
      <c r="H3837" s="329"/>
      <c r="I3837" s="329"/>
      <c r="J3837" s="329"/>
      <c r="K3837" s="329"/>
      <c r="L3837" s="329"/>
      <c r="M3837" s="329"/>
      <c r="N3837" s="329"/>
      <c r="O3837" s="329"/>
      <c r="P3837" s="329"/>
      <c r="Q3837" s="329"/>
      <c r="R3837" s="329"/>
    </row>
    <row r="3838" spans="1:18" ht="13">
      <c r="A3838" s="282"/>
      <c r="B3838" s="282"/>
      <c r="C3838" s="282"/>
      <c r="D3838" s="282"/>
      <c r="E3838" s="282"/>
      <c r="F3838" s="282"/>
      <c r="G3838" s="329"/>
      <c r="H3838" s="329"/>
      <c r="I3838" s="329"/>
      <c r="J3838" s="329"/>
      <c r="K3838" s="329"/>
      <c r="L3838" s="329"/>
      <c r="M3838" s="329"/>
      <c r="N3838" s="329"/>
      <c r="O3838" s="329"/>
      <c r="P3838" s="329"/>
      <c r="Q3838" s="329"/>
      <c r="R3838" s="329"/>
    </row>
    <row r="3839" spans="1:18" ht="13">
      <c r="A3839" s="282"/>
      <c r="B3839" s="282"/>
      <c r="C3839" s="282"/>
      <c r="D3839" s="282"/>
      <c r="E3839" s="282"/>
      <c r="F3839" s="282"/>
      <c r="G3839" s="329"/>
      <c r="H3839" s="329"/>
      <c r="I3839" s="329"/>
      <c r="J3839" s="329"/>
      <c r="K3839" s="329"/>
      <c r="L3839" s="329"/>
      <c r="M3839" s="329"/>
      <c r="N3839" s="329"/>
      <c r="O3839" s="329"/>
      <c r="P3839" s="329"/>
      <c r="Q3839" s="329"/>
      <c r="R3839" s="329"/>
    </row>
    <row r="3840" spans="1:18" ht="13">
      <c r="A3840" s="282"/>
      <c r="B3840" s="282"/>
      <c r="C3840" s="282"/>
      <c r="D3840" s="282"/>
      <c r="E3840" s="282"/>
      <c r="F3840" s="282"/>
      <c r="G3840" s="329"/>
      <c r="H3840" s="329"/>
      <c r="I3840" s="329"/>
      <c r="J3840" s="329"/>
      <c r="K3840" s="329"/>
      <c r="L3840" s="329"/>
      <c r="M3840" s="329"/>
      <c r="N3840" s="329"/>
      <c r="O3840" s="329"/>
      <c r="P3840" s="329"/>
      <c r="Q3840" s="329"/>
      <c r="R3840" s="329"/>
    </row>
    <row r="3841" spans="1:18" ht="13">
      <c r="A3841" s="282"/>
      <c r="B3841" s="282"/>
      <c r="C3841" s="282"/>
      <c r="D3841" s="282"/>
      <c r="E3841" s="282"/>
      <c r="F3841" s="282"/>
      <c r="G3841" s="329"/>
      <c r="H3841" s="329"/>
      <c r="I3841" s="329"/>
      <c r="J3841" s="329"/>
      <c r="K3841" s="329"/>
      <c r="L3841" s="329"/>
      <c r="M3841" s="329"/>
      <c r="N3841" s="329"/>
      <c r="O3841" s="329"/>
      <c r="P3841" s="329"/>
      <c r="Q3841" s="329"/>
      <c r="R3841" s="329"/>
    </row>
    <row r="3842" spans="1:18" ht="13">
      <c r="A3842" s="282"/>
      <c r="B3842" s="282"/>
      <c r="C3842" s="282"/>
      <c r="D3842" s="282"/>
      <c r="E3842" s="282"/>
      <c r="F3842" s="282"/>
      <c r="G3842" s="329"/>
      <c r="H3842" s="329"/>
      <c r="I3842" s="329"/>
      <c r="J3842" s="329"/>
      <c r="K3842" s="329"/>
      <c r="L3842" s="329"/>
      <c r="M3842" s="329"/>
      <c r="N3842" s="329"/>
      <c r="O3842" s="329"/>
      <c r="P3842" s="329"/>
      <c r="Q3842" s="329"/>
      <c r="R3842" s="329"/>
    </row>
    <row r="3843" spans="1:18" ht="13">
      <c r="A3843" s="282"/>
      <c r="B3843" s="282"/>
      <c r="C3843" s="282"/>
      <c r="D3843" s="282"/>
      <c r="E3843" s="282"/>
      <c r="F3843" s="282"/>
      <c r="G3843" s="329"/>
      <c r="H3843" s="329"/>
      <c r="I3843" s="329"/>
      <c r="J3843" s="329"/>
      <c r="K3843" s="329"/>
      <c r="L3843" s="329"/>
      <c r="M3843" s="329"/>
      <c r="N3843" s="329"/>
      <c r="O3843" s="329"/>
      <c r="P3843" s="329"/>
      <c r="Q3843" s="329"/>
      <c r="R3843" s="329"/>
    </row>
    <row r="3844" spans="1:18" ht="13">
      <c r="A3844" s="282"/>
      <c r="B3844" s="282"/>
      <c r="C3844" s="282"/>
      <c r="D3844" s="282"/>
      <c r="E3844" s="282"/>
      <c r="F3844" s="282"/>
      <c r="G3844" s="329"/>
      <c r="H3844" s="329"/>
      <c r="I3844" s="329"/>
      <c r="J3844" s="329"/>
      <c r="K3844" s="329"/>
      <c r="L3844" s="329"/>
      <c r="M3844" s="329"/>
      <c r="N3844" s="329"/>
      <c r="O3844" s="329"/>
      <c r="P3844" s="329"/>
      <c r="Q3844" s="329"/>
      <c r="R3844" s="329"/>
    </row>
    <row r="3845" spans="1:18" ht="13">
      <c r="A3845" s="282"/>
      <c r="B3845" s="282"/>
      <c r="C3845" s="282"/>
      <c r="D3845" s="282"/>
      <c r="E3845" s="282"/>
      <c r="F3845" s="282"/>
      <c r="G3845" s="329"/>
      <c r="H3845" s="329"/>
      <c r="I3845" s="329"/>
      <c r="J3845" s="329"/>
      <c r="K3845" s="329"/>
      <c r="L3845" s="329"/>
      <c r="M3845" s="329"/>
      <c r="N3845" s="329"/>
      <c r="O3845" s="329"/>
      <c r="P3845" s="329"/>
      <c r="Q3845" s="329"/>
      <c r="R3845" s="329"/>
    </row>
    <row r="3846" spans="1:18" ht="13">
      <c r="A3846" s="282"/>
      <c r="B3846" s="282"/>
      <c r="C3846" s="282"/>
      <c r="D3846" s="282"/>
      <c r="E3846" s="282"/>
      <c r="F3846" s="282"/>
      <c r="G3846" s="329"/>
      <c r="H3846" s="329"/>
      <c r="I3846" s="329"/>
      <c r="J3846" s="329"/>
      <c r="K3846" s="329"/>
      <c r="L3846" s="329"/>
      <c r="M3846" s="329"/>
      <c r="N3846" s="329"/>
      <c r="O3846" s="329"/>
      <c r="P3846" s="329"/>
      <c r="Q3846" s="329"/>
      <c r="R3846" s="329"/>
    </row>
    <row r="3847" spans="1:18" ht="13">
      <c r="A3847" s="282"/>
      <c r="B3847" s="282"/>
      <c r="C3847" s="282"/>
      <c r="D3847" s="282"/>
      <c r="E3847" s="282"/>
      <c r="F3847" s="282"/>
      <c r="G3847" s="329"/>
      <c r="H3847" s="329"/>
      <c r="I3847" s="329"/>
      <c r="J3847" s="329"/>
      <c r="K3847" s="329"/>
      <c r="L3847" s="329"/>
      <c r="M3847" s="329"/>
      <c r="N3847" s="329"/>
      <c r="O3847" s="329"/>
      <c r="P3847" s="329"/>
      <c r="Q3847" s="329"/>
      <c r="R3847" s="329"/>
    </row>
    <row r="3848" spans="1:18" ht="13">
      <c r="A3848" s="282"/>
      <c r="B3848" s="282"/>
      <c r="C3848" s="282"/>
      <c r="D3848" s="282"/>
      <c r="E3848" s="282"/>
      <c r="F3848" s="282"/>
      <c r="G3848" s="329"/>
      <c r="H3848" s="329"/>
      <c r="I3848" s="329"/>
      <c r="J3848" s="329"/>
      <c r="K3848" s="329"/>
      <c r="L3848" s="329"/>
      <c r="M3848" s="329"/>
      <c r="N3848" s="329"/>
      <c r="O3848" s="329"/>
      <c r="P3848" s="329"/>
      <c r="Q3848" s="329"/>
      <c r="R3848" s="329"/>
    </row>
    <row r="3849" spans="1:18" ht="13">
      <c r="A3849" s="282"/>
      <c r="B3849" s="282"/>
      <c r="C3849" s="282"/>
      <c r="D3849" s="282"/>
      <c r="E3849" s="282"/>
      <c r="F3849" s="282"/>
      <c r="G3849" s="329"/>
      <c r="H3849" s="329"/>
      <c r="I3849" s="329"/>
      <c r="J3849" s="329"/>
      <c r="K3849" s="329"/>
      <c r="L3849" s="329"/>
      <c r="M3849" s="329"/>
      <c r="N3849" s="329"/>
      <c r="O3849" s="329"/>
      <c r="P3849" s="329"/>
      <c r="Q3849" s="329"/>
      <c r="R3849" s="329"/>
    </row>
    <row r="3850" spans="1:18" ht="13">
      <c r="A3850" s="282"/>
      <c r="B3850" s="282"/>
      <c r="C3850" s="282"/>
      <c r="D3850" s="282"/>
      <c r="E3850" s="282"/>
      <c r="F3850" s="282"/>
      <c r="G3850" s="329"/>
      <c r="H3850" s="329"/>
      <c r="I3850" s="329"/>
      <c r="J3850" s="329"/>
      <c r="K3850" s="329"/>
      <c r="L3850" s="329"/>
      <c r="M3850" s="329"/>
      <c r="N3850" s="329"/>
      <c r="O3850" s="329"/>
      <c r="P3850" s="329"/>
      <c r="Q3850" s="329"/>
      <c r="R3850" s="329"/>
    </row>
    <row r="3851" spans="1:18" ht="13">
      <c r="A3851" s="282"/>
      <c r="B3851" s="282"/>
      <c r="C3851" s="282"/>
      <c r="D3851" s="282"/>
      <c r="E3851" s="282"/>
      <c r="F3851" s="282"/>
      <c r="G3851" s="329"/>
      <c r="H3851" s="329"/>
      <c r="I3851" s="329"/>
      <c r="J3851" s="329"/>
      <c r="K3851" s="329"/>
      <c r="L3851" s="329"/>
      <c r="M3851" s="329"/>
      <c r="N3851" s="329"/>
      <c r="O3851" s="329"/>
      <c r="P3851" s="329"/>
      <c r="Q3851" s="329"/>
      <c r="R3851" s="329"/>
    </row>
    <row r="3852" spans="1:18" ht="13">
      <c r="A3852" s="282"/>
      <c r="B3852" s="282"/>
      <c r="C3852" s="282"/>
      <c r="D3852" s="282"/>
      <c r="E3852" s="282"/>
      <c r="F3852" s="282"/>
      <c r="G3852" s="329"/>
      <c r="H3852" s="329"/>
      <c r="I3852" s="329"/>
      <c r="J3852" s="329"/>
      <c r="K3852" s="329"/>
      <c r="L3852" s="329"/>
      <c r="M3852" s="329"/>
      <c r="N3852" s="329"/>
      <c r="O3852" s="329"/>
      <c r="P3852" s="329"/>
      <c r="Q3852" s="329"/>
      <c r="R3852" s="329"/>
    </row>
    <row r="3853" spans="1:18" ht="13">
      <c r="A3853" s="282"/>
      <c r="B3853" s="282"/>
      <c r="C3853" s="282"/>
      <c r="D3853" s="282"/>
      <c r="E3853" s="282"/>
      <c r="F3853" s="282"/>
      <c r="G3853" s="329"/>
      <c r="H3853" s="329"/>
      <c r="I3853" s="329"/>
      <c r="J3853" s="329"/>
      <c r="K3853" s="329"/>
      <c r="L3853" s="329"/>
      <c r="M3853" s="329"/>
      <c r="N3853" s="329"/>
      <c r="O3853" s="329"/>
      <c r="P3853" s="329"/>
      <c r="Q3853" s="329"/>
      <c r="R3853" s="329"/>
    </row>
    <row r="3854" spans="1:18" ht="13">
      <c r="A3854" s="282"/>
      <c r="B3854" s="282"/>
      <c r="C3854" s="282"/>
      <c r="D3854" s="282"/>
      <c r="E3854" s="282"/>
      <c r="F3854" s="282"/>
      <c r="G3854" s="329"/>
      <c r="H3854" s="329"/>
      <c r="I3854" s="329"/>
      <c r="J3854" s="329"/>
      <c r="K3854" s="329"/>
      <c r="L3854" s="329"/>
      <c r="M3854" s="329"/>
      <c r="N3854" s="329"/>
      <c r="O3854" s="329"/>
      <c r="P3854" s="329"/>
      <c r="Q3854" s="329"/>
      <c r="R3854" s="329"/>
    </row>
    <row r="3855" spans="1:18" ht="13">
      <c r="A3855" s="282"/>
      <c r="B3855" s="282"/>
      <c r="C3855" s="282"/>
      <c r="D3855" s="282"/>
      <c r="E3855" s="282"/>
      <c r="F3855" s="282"/>
      <c r="G3855" s="329"/>
      <c r="H3855" s="329"/>
      <c r="I3855" s="329"/>
      <c r="J3855" s="329"/>
      <c r="K3855" s="329"/>
      <c r="L3855" s="329"/>
      <c r="M3855" s="329"/>
      <c r="N3855" s="329"/>
      <c r="O3855" s="329"/>
      <c r="P3855" s="329"/>
      <c r="Q3855" s="329"/>
      <c r="R3855" s="329"/>
    </row>
    <row r="3856" spans="1:18" ht="13">
      <c r="A3856" s="282"/>
      <c r="B3856" s="282"/>
      <c r="C3856" s="282"/>
      <c r="D3856" s="282"/>
      <c r="E3856" s="282"/>
      <c r="F3856" s="282"/>
      <c r="G3856" s="329"/>
      <c r="H3856" s="329"/>
      <c r="I3856" s="329"/>
      <c r="J3856" s="329"/>
      <c r="K3856" s="329"/>
      <c r="L3856" s="329"/>
      <c r="M3856" s="329"/>
      <c r="N3856" s="329"/>
      <c r="O3856" s="329"/>
      <c r="P3856" s="329"/>
      <c r="Q3856" s="329"/>
      <c r="R3856" s="329"/>
    </row>
    <row r="3857" spans="1:18" ht="13">
      <c r="A3857" s="282"/>
      <c r="B3857" s="282"/>
      <c r="C3857" s="282"/>
      <c r="D3857" s="282"/>
      <c r="E3857" s="282"/>
      <c r="F3857" s="282"/>
      <c r="G3857" s="329"/>
      <c r="H3857" s="329"/>
      <c r="I3857" s="329"/>
      <c r="J3857" s="329"/>
      <c r="K3857" s="329"/>
      <c r="L3857" s="329"/>
      <c r="M3857" s="329"/>
      <c r="N3857" s="329"/>
      <c r="O3857" s="329"/>
      <c r="P3857" s="329"/>
      <c r="Q3857" s="329"/>
      <c r="R3857" s="329"/>
    </row>
    <row r="3858" spans="1:18" ht="13">
      <c r="A3858" s="282"/>
      <c r="B3858" s="282"/>
      <c r="C3858" s="282"/>
      <c r="D3858" s="282"/>
      <c r="E3858" s="282"/>
      <c r="F3858" s="282"/>
      <c r="G3858" s="329"/>
      <c r="H3858" s="329"/>
      <c r="I3858" s="329"/>
      <c r="J3858" s="329"/>
      <c r="K3858" s="329"/>
      <c r="L3858" s="329"/>
      <c r="M3858" s="329"/>
      <c r="N3858" s="329"/>
      <c r="O3858" s="329"/>
      <c r="P3858" s="329"/>
      <c r="Q3858" s="329"/>
      <c r="R3858" s="329"/>
    </row>
    <row r="3859" spans="1:18" ht="13">
      <c r="A3859" s="282"/>
      <c r="B3859" s="282"/>
      <c r="C3859" s="282"/>
      <c r="D3859" s="282"/>
      <c r="E3859" s="282"/>
      <c r="F3859" s="282"/>
      <c r="G3859" s="329"/>
      <c r="H3859" s="329"/>
      <c r="I3859" s="329"/>
      <c r="J3859" s="329"/>
      <c r="K3859" s="329"/>
      <c r="L3859" s="329"/>
      <c r="M3859" s="329"/>
      <c r="N3859" s="329"/>
      <c r="O3859" s="329"/>
      <c r="P3859" s="329"/>
      <c r="Q3859" s="329"/>
      <c r="R3859" s="329"/>
    </row>
    <row r="3860" spans="1:18" ht="13">
      <c r="A3860" s="282"/>
      <c r="B3860" s="282"/>
      <c r="C3860" s="282"/>
      <c r="D3860" s="282"/>
      <c r="E3860" s="282"/>
      <c r="F3860" s="282"/>
      <c r="G3860" s="329"/>
      <c r="H3860" s="329"/>
      <c r="I3860" s="329"/>
      <c r="J3860" s="329"/>
      <c r="K3860" s="329"/>
      <c r="L3860" s="329"/>
      <c r="M3860" s="329"/>
      <c r="N3860" s="329"/>
      <c r="O3860" s="329"/>
      <c r="P3860" s="329"/>
      <c r="Q3860" s="329"/>
      <c r="R3860" s="329"/>
    </row>
    <row r="3861" spans="1:18" ht="13">
      <c r="A3861" s="282"/>
      <c r="B3861" s="282"/>
      <c r="C3861" s="282"/>
      <c r="D3861" s="282"/>
      <c r="E3861" s="282"/>
      <c r="F3861" s="282"/>
      <c r="G3861" s="329"/>
      <c r="H3861" s="329"/>
      <c r="I3861" s="329"/>
      <c r="J3861" s="329"/>
      <c r="K3861" s="329"/>
      <c r="L3861" s="329"/>
      <c r="M3861" s="329"/>
      <c r="N3861" s="329"/>
      <c r="O3861" s="329"/>
      <c r="P3861" s="329"/>
      <c r="Q3861" s="329"/>
      <c r="R3861" s="329"/>
    </row>
    <row r="3862" spans="1:18" ht="13">
      <c r="A3862" s="282"/>
      <c r="B3862" s="282"/>
      <c r="C3862" s="282"/>
      <c r="D3862" s="282"/>
      <c r="E3862" s="282"/>
      <c r="F3862" s="282"/>
      <c r="G3862" s="329"/>
      <c r="H3862" s="329"/>
      <c r="I3862" s="329"/>
      <c r="J3862" s="329"/>
      <c r="K3862" s="329"/>
      <c r="L3862" s="329"/>
      <c r="M3862" s="329"/>
      <c r="N3862" s="329"/>
      <c r="O3862" s="329"/>
      <c r="P3862" s="329"/>
      <c r="Q3862" s="329"/>
      <c r="R3862" s="329"/>
    </row>
    <row r="3863" spans="1:18" ht="13">
      <c r="A3863" s="282"/>
      <c r="B3863" s="282"/>
      <c r="C3863" s="282"/>
      <c r="D3863" s="282"/>
      <c r="E3863" s="282"/>
      <c r="F3863" s="282"/>
      <c r="G3863" s="329"/>
      <c r="H3863" s="329"/>
      <c r="I3863" s="329"/>
      <c r="J3863" s="329"/>
      <c r="K3863" s="329"/>
      <c r="L3863" s="329"/>
      <c r="M3863" s="329"/>
      <c r="N3863" s="329"/>
      <c r="O3863" s="329"/>
      <c r="P3863" s="329"/>
      <c r="Q3863" s="329"/>
      <c r="R3863" s="329"/>
    </row>
    <row r="3864" spans="1:18" ht="13">
      <c r="A3864" s="282"/>
      <c r="B3864" s="282"/>
      <c r="C3864" s="282"/>
      <c r="D3864" s="282"/>
      <c r="E3864" s="282"/>
      <c r="F3864" s="282"/>
      <c r="G3864" s="329"/>
      <c r="H3864" s="329"/>
      <c r="I3864" s="329"/>
      <c r="J3864" s="329"/>
      <c r="K3864" s="329"/>
      <c r="L3864" s="329"/>
      <c r="M3864" s="329"/>
      <c r="N3864" s="329"/>
      <c r="O3864" s="329"/>
      <c r="P3864" s="329"/>
      <c r="Q3864" s="329"/>
      <c r="R3864" s="329"/>
    </row>
    <row r="3865" spans="1:18" ht="13">
      <c r="A3865" s="282"/>
      <c r="B3865" s="282"/>
      <c r="C3865" s="282"/>
      <c r="D3865" s="282"/>
      <c r="E3865" s="282"/>
      <c r="F3865" s="282"/>
      <c r="G3865" s="329"/>
      <c r="H3865" s="329"/>
      <c r="I3865" s="329"/>
      <c r="J3865" s="329"/>
      <c r="K3865" s="329"/>
      <c r="L3865" s="329"/>
      <c r="M3865" s="329"/>
      <c r="N3865" s="329"/>
      <c r="O3865" s="329"/>
      <c r="P3865" s="329"/>
      <c r="Q3865" s="329"/>
      <c r="R3865" s="329"/>
    </row>
    <row r="3866" spans="1:18" ht="13">
      <c r="A3866" s="282"/>
      <c r="B3866" s="282"/>
      <c r="C3866" s="282"/>
      <c r="D3866" s="282"/>
      <c r="E3866" s="282"/>
      <c r="F3866" s="282"/>
      <c r="G3866" s="329"/>
      <c r="H3866" s="329"/>
      <c r="I3866" s="329"/>
      <c r="J3866" s="329"/>
      <c r="K3866" s="329"/>
      <c r="L3866" s="329"/>
      <c r="M3866" s="329"/>
      <c r="N3866" s="329"/>
      <c r="O3866" s="329"/>
      <c r="P3866" s="329"/>
      <c r="Q3866" s="329"/>
      <c r="R3866" s="329"/>
    </row>
    <row r="3867" spans="1:18" ht="13">
      <c r="A3867" s="282"/>
      <c r="B3867" s="282"/>
      <c r="C3867" s="282"/>
      <c r="D3867" s="282"/>
      <c r="E3867" s="282"/>
      <c r="F3867" s="282"/>
      <c r="G3867" s="329"/>
      <c r="H3867" s="329"/>
      <c r="I3867" s="329"/>
      <c r="J3867" s="329"/>
      <c r="K3867" s="329"/>
      <c r="L3867" s="329"/>
      <c r="M3867" s="329"/>
      <c r="N3867" s="329"/>
      <c r="O3867" s="329"/>
      <c r="P3867" s="329"/>
      <c r="Q3867" s="329"/>
      <c r="R3867" s="329"/>
    </row>
    <row r="3868" spans="1:18" ht="13">
      <c r="A3868" s="282"/>
      <c r="B3868" s="282"/>
      <c r="C3868" s="282"/>
      <c r="D3868" s="282"/>
      <c r="E3868" s="282"/>
      <c r="F3868" s="282"/>
      <c r="G3868" s="329"/>
      <c r="H3868" s="329"/>
      <c r="I3868" s="329"/>
      <c r="J3868" s="329"/>
      <c r="K3868" s="329"/>
      <c r="L3868" s="329"/>
      <c r="M3868" s="329"/>
      <c r="N3868" s="329"/>
      <c r="O3868" s="329"/>
      <c r="P3868" s="329"/>
      <c r="Q3868" s="329"/>
      <c r="R3868" s="329"/>
    </row>
    <row r="3869" spans="1:18" ht="13">
      <c r="A3869" s="282"/>
      <c r="B3869" s="282"/>
      <c r="C3869" s="282"/>
      <c r="D3869" s="282"/>
      <c r="E3869" s="282"/>
      <c r="F3869" s="282"/>
      <c r="G3869" s="329"/>
      <c r="H3869" s="329"/>
      <c r="I3869" s="329"/>
      <c r="J3869" s="329"/>
      <c r="K3869" s="329"/>
      <c r="L3869" s="329"/>
      <c r="M3869" s="329"/>
      <c r="N3869" s="329"/>
      <c r="O3869" s="329"/>
      <c r="P3869" s="329"/>
      <c r="Q3869" s="329"/>
      <c r="R3869" s="329"/>
    </row>
    <row r="3870" spans="1:18" ht="13">
      <c r="A3870" s="282"/>
      <c r="B3870" s="282"/>
      <c r="C3870" s="282"/>
      <c r="D3870" s="282"/>
      <c r="E3870" s="282"/>
      <c r="F3870" s="282"/>
      <c r="G3870" s="329"/>
      <c r="H3870" s="329"/>
      <c r="I3870" s="329"/>
      <c r="J3870" s="329"/>
      <c r="K3870" s="329"/>
      <c r="L3870" s="329"/>
      <c r="M3870" s="329"/>
      <c r="N3870" s="329"/>
      <c r="O3870" s="329"/>
      <c r="P3870" s="329"/>
      <c r="Q3870" s="329"/>
      <c r="R3870" s="329"/>
    </row>
    <row r="3871" spans="1:18" ht="13">
      <c r="A3871" s="282"/>
      <c r="B3871" s="282"/>
      <c r="C3871" s="282"/>
      <c r="D3871" s="282"/>
      <c r="E3871" s="282"/>
      <c r="F3871" s="282"/>
      <c r="G3871" s="329"/>
      <c r="H3871" s="329"/>
      <c r="I3871" s="329"/>
      <c r="J3871" s="329"/>
      <c r="K3871" s="329"/>
      <c r="L3871" s="329"/>
      <c r="M3871" s="329"/>
      <c r="N3871" s="329"/>
      <c r="O3871" s="329"/>
      <c r="P3871" s="329"/>
      <c r="Q3871" s="329"/>
      <c r="R3871" s="329"/>
    </row>
    <row r="3872" spans="1:18" ht="13">
      <c r="A3872" s="282"/>
      <c r="B3872" s="282"/>
      <c r="C3872" s="282"/>
      <c r="D3872" s="282"/>
      <c r="E3872" s="282"/>
      <c r="F3872" s="282"/>
      <c r="G3872" s="329"/>
      <c r="H3872" s="329"/>
      <c r="I3872" s="329"/>
      <c r="J3872" s="329"/>
      <c r="K3872" s="329"/>
      <c r="L3872" s="329"/>
      <c r="M3872" s="329"/>
      <c r="N3872" s="329"/>
      <c r="O3872" s="329"/>
      <c r="P3872" s="329"/>
      <c r="Q3872" s="329"/>
      <c r="R3872" s="329"/>
    </row>
    <row r="3873" spans="1:18" ht="13">
      <c r="A3873" s="282"/>
      <c r="B3873" s="282"/>
      <c r="C3873" s="282"/>
      <c r="D3873" s="282"/>
      <c r="E3873" s="282"/>
      <c r="F3873" s="282"/>
      <c r="G3873" s="329"/>
      <c r="H3873" s="329"/>
      <c r="I3873" s="329"/>
      <c r="J3873" s="329"/>
      <c r="K3873" s="329"/>
      <c r="L3873" s="329"/>
      <c r="M3873" s="329"/>
      <c r="N3873" s="329"/>
      <c r="O3873" s="329"/>
      <c r="P3873" s="329"/>
      <c r="Q3873" s="329"/>
      <c r="R3873" s="329"/>
    </row>
    <row r="3874" spans="1:18" ht="13">
      <c r="A3874" s="282"/>
      <c r="B3874" s="282"/>
      <c r="C3874" s="282"/>
      <c r="D3874" s="282"/>
      <c r="E3874" s="282"/>
      <c r="F3874" s="282"/>
      <c r="G3874" s="329"/>
      <c r="H3874" s="329"/>
      <c r="I3874" s="329"/>
      <c r="J3874" s="329"/>
      <c r="K3874" s="329"/>
      <c r="L3874" s="329"/>
      <c r="M3874" s="329"/>
      <c r="N3874" s="329"/>
      <c r="O3874" s="329"/>
      <c r="P3874" s="329"/>
      <c r="Q3874" s="329"/>
      <c r="R3874" s="329"/>
    </row>
    <row r="3875" spans="1:18" ht="13">
      <c r="A3875" s="282"/>
      <c r="B3875" s="282"/>
      <c r="C3875" s="282"/>
      <c r="D3875" s="282"/>
      <c r="E3875" s="282"/>
      <c r="F3875" s="282"/>
      <c r="G3875" s="329"/>
      <c r="H3875" s="329"/>
      <c r="I3875" s="329"/>
      <c r="J3875" s="329"/>
      <c r="K3875" s="329"/>
      <c r="L3875" s="329"/>
      <c r="M3875" s="329"/>
      <c r="N3875" s="329"/>
      <c r="O3875" s="329"/>
      <c r="P3875" s="329"/>
      <c r="Q3875" s="329"/>
      <c r="R3875" s="329"/>
    </row>
    <row r="3876" spans="1:18" ht="13">
      <c r="A3876" s="282"/>
      <c r="B3876" s="282"/>
      <c r="C3876" s="282"/>
      <c r="D3876" s="282"/>
      <c r="E3876" s="282"/>
      <c r="F3876" s="282"/>
      <c r="G3876" s="329"/>
      <c r="H3876" s="329"/>
      <c r="I3876" s="329"/>
      <c r="J3876" s="329"/>
      <c r="K3876" s="329"/>
      <c r="L3876" s="329"/>
      <c r="M3876" s="329"/>
      <c r="N3876" s="329"/>
      <c r="O3876" s="329"/>
      <c r="P3876" s="329"/>
      <c r="Q3876" s="329"/>
      <c r="R3876" s="329"/>
    </row>
    <row r="3877" spans="1:18" ht="13">
      <c r="A3877" s="282"/>
      <c r="B3877" s="282"/>
      <c r="C3877" s="282"/>
      <c r="D3877" s="282"/>
      <c r="E3877" s="282"/>
      <c r="F3877" s="282"/>
      <c r="G3877" s="329"/>
      <c r="H3877" s="329"/>
      <c r="I3877" s="329"/>
      <c r="J3877" s="329"/>
      <c r="K3877" s="329"/>
      <c r="L3877" s="329"/>
      <c r="M3877" s="329"/>
      <c r="N3877" s="329"/>
      <c r="O3877" s="329"/>
      <c r="P3877" s="329"/>
      <c r="Q3877" s="329"/>
      <c r="R3877" s="329"/>
    </row>
    <row r="3878" spans="1:18" ht="13">
      <c r="A3878" s="282"/>
      <c r="B3878" s="282"/>
      <c r="C3878" s="282"/>
      <c r="D3878" s="282"/>
      <c r="E3878" s="282"/>
      <c r="F3878" s="282"/>
      <c r="G3878" s="329"/>
      <c r="H3878" s="329"/>
      <c r="I3878" s="329"/>
      <c r="J3878" s="329"/>
      <c r="K3878" s="329"/>
      <c r="L3878" s="329"/>
      <c r="M3878" s="329"/>
      <c r="N3878" s="329"/>
      <c r="O3878" s="329"/>
      <c r="P3878" s="329"/>
      <c r="Q3878" s="329"/>
      <c r="R3878" s="329"/>
    </row>
    <row r="3879" spans="1:18" ht="13">
      <c r="A3879" s="282"/>
      <c r="B3879" s="282"/>
      <c r="C3879" s="282"/>
      <c r="D3879" s="282"/>
      <c r="E3879" s="282"/>
      <c r="F3879" s="282"/>
      <c r="G3879" s="329"/>
      <c r="H3879" s="329"/>
      <c r="I3879" s="329"/>
      <c r="J3879" s="329"/>
      <c r="K3879" s="329"/>
      <c r="L3879" s="329"/>
      <c r="M3879" s="329"/>
      <c r="N3879" s="329"/>
      <c r="O3879" s="329"/>
      <c r="P3879" s="329"/>
      <c r="Q3879" s="329"/>
      <c r="R3879" s="329"/>
    </row>
    <row r="3880" spans="1:18" ht="13">
      <c r="A3880" s="282"/>
      <c r="B3880" s="282"/>
      <c r="C3880" s="282"/>
      <c r="D3880" s="282"/>
      <c r="E3880" s="282"/>
      <c r="F3880" s="282"/>
      <c r="G3880" s="329"/>
      <c r="H3880" s="329"/>
      <c r="I3880" s="329"/>
      <c r="J3880" s="329"/>
      <c r="K3880" s="329"/>
      <c r="L3880" s="329"/>
      <c r="M3880" s="329"/>
      <c r="N3880" s="329"/>
      <c r="O3880" s="329"/>
      <c r="P3880" s="329"/>
      <c r="Q3880" s="329"/>
      <c r="R3880" s="329"/>
    </row>
    <row r="3881" spans="1:18" ht="13">
      <c r="A3881" s="282"/>
      <c r="B3881" s="282"/>
      <c r="C3881" s="282"/>
      <c r="D3881" s="282"/>
      <c r="E3881" s="282"/>
      <c r="F3881" s="282"/>
      <c r="G3881" s="329"/>
      <c r="H3881" s="329"/>
      <c r="I3881" s="329"/>
      <c r="J3881" s="329"/>
      <c r="K3881" s="329"/>
      <c r="L3881" s="329"/>
      <c r="M3881" s="329"/>
      <c r="N3881" s="329"/>
      <c r="O3881" s="329"/>
      <c r="P3881" s="329"/>
      <c r="Q3881" s="329"/>
      <c r="R3881" s="329"/>
    </row>
    <row r="3882" spans="1:18" ht="13">
      <c r="A3882" s="282"/>
      <c r="B3882" s="282"/>
      <c r="C3882" s="282"/>
      <c r="D3882" s="282"/>
      <c r="E3882" s="282"/>
      <c r="F3882" s="282"/>
      <c r="G3882" s="329"/>
      <c r="H3882" s="329"/>
      <c r="I3882" s="329"/>
      <c r="J3882" s="329"/>
      <c r="K3882" s="329"/>
      <c r="L3882" s="329"/>
      <c r="M3882" s="329"/>
      <c r="N3882" s="329"/>
      <c r="O3882" s="329"/>
      <c r="P3882" s="329"/>
      <c r="Q3882" s="329"/>
      <c r="R3882" s="329"/>
    </row>
    <row r="3883" spans="1:18" ht="13">
      <c r="A3883" s="282"/>
      <c r="B3883" s="282"/>
      <c r="C3883" s="282"/>
      <c r="D3883" s="282"/>
      <c r="E3883" s="282"/>
      <c r="F3883" s="282"/>
      <c r="G3883" s="329"/>
      <c r="H3883" s="329"/>
      <c r="I3883" s="329"/>
      <c r="J3883" s="329"/>
      <c r="K3883" s="329"/>
      <c r="L3883" s="329"/>
      <c r="M3883" s="329"/>
      <c r="N3883" s="329"/>
      <c r="O3883" s="329"/>
      <c r="P3883" s="329"/>
      <c r="Q3883" s="329"/>
      <c r="R3883" s="329"/>
    </row>
    <row r="3884" spans="1:18" ht="13">
      <c r="A3884" s="282"/>
      <c r="B3884" s="282"/>
      <c r="C3884" s="282"/>
      <c r="D3884" s="282"/>
      <c r="E3884" s="282"/>
      <c r="F3884" s="282"/>
      <c r="G3884" s="329"/>
      <c r="H3884" s="329"/>
      <c r="I3884" s="329"/>
      <c r="J3884" s="329"/>
      <c r="K3884" s="329"/>
      <c r="L3884" s="329"/>
      <c r="M3884" s="329"/>
      <c r="N3884" s="329"/>
      <c r="O3884" s="329"/>
      <c r="P3884" s="329"/>
      <c r="Q3884" s="329"/>
      <c r="R3884" s="329"/>
    </row>
    <row r="3885" spans="1:18" ht="13">
      <c r="A3885" s="282"/>
      <c r="B3885" s="282"/>
      <c r="C3885" s="282"/>
      <c r="D3885" s="282"/>
      <c r="E3885" s="282"/>
      <c r="F3885" s="282"/>
      <c r="G3885" s="329"/>
      <c r="H3885" s="329"/>
      <c r="I3885" s="329"/>
      <c r="J3885" s="329"/>
      <c r="K3885" s="329"/>
      <c r="L3885" s="329"/>
      <c r="M3885" s="329"/>
      <c r="N3885" s="329"/>
      <c r="O3885" s="329"/>
      <c r="P3885" s="329"/>
      <c r="Q3885" s="329"/>
      <c r="R3885" s="329"/>
    </row>
  </sheetData>
  <mergeCells count="459">
    <mergeCell ref="A1766:B1766"/>
    <mergeCell ref="A1767:B1767"/>
    <mergeCell ref="A1769:S1769"/>
    <mergeCell ref="D1770:F1770"/>
    <mergeCell ref="G1770:I1770"/>
    <mergeCell ref="A1793:B1793"/>
    <mergeCell ref="A1818:B1818"/>
    <mergeCell ref="A1819:B1819"/>
    <mergeCell ref="A1792:B1792"/>
    <mergeCell ref="A1795:S1795"/>
    <mergeCell ref="D1796:F1796"/>
    <mergeCell ref="G1796:I1796"/>
    <mergeCell ref="J1796:L1796"/>
    <mergeCell ref="M1796:O1796"/>
    <mergeCell ref="P1796:R1796"/>
    <mergeCell ref="D1714:F1714"/>
    <mergeCell ref="G1714:I1714"/>
    <mergeCell ref="P1714:R1714"/>
    <mergeCell ref="J1714:L1714"/>
    <mergeCell ref="M1714:O1714"/>
    <mergeCell ref="A1738:B1738"/>
    <mergeCell ref="A1739:B1739"/>
    <mergeCell ref="A1741:S1741"/>
    <mergeCell ref="D1742:F1742"/>
    <mergeCell ref="G1742:I1742"/>
    <mergeCell ref="P1742:R1742"/>
    <mergeCell ref="J1742:L1742"/>
    <mergeCell ref="M1742:O1742"/>
    <mergeCell ref="A1685:S1685"/>
    <mergeCell ref="D1686:F1686"/>
    <mergeCell ref="G1686:I1686"/>
    <mergeCell ref="P1686:R1686"/>
    <mergeCell ref="J1686:L1686"/>
    <mergeCell ref="M1686:O1686"/>
    <mergeCell ref="A1710:B1710"/>
    <mergeCell ref="A1711:B1711"/>
    <mergeCell ref="A1713:S1713"/>
    <mergeCell ref="A1654:B1654"/>
    <mergeCell ref="A1656:S1656"/>
    <mergeCell ref="D1657:F1657"/>
    <mergeCell ref="G1657:I1657"/>
    <mergeCell ref="P1657:R1657"/>
    <mergeCell ref="J1657:L1657"/>
    <mergeCell ref="M1657:O1657"/>
    <mergeCell ref="A1682:B1682"/>
    <mergeCell ref="A1683:B1683"/>
    <mergeCell ref="A1624:B1624"/>
    <mergeCell ref="A1625:B1625"/>
    <mergeCell ref="A1627:S1627"/>
    <mergeCell ref="D1628:F1628"/>
    <mergeCell ref="G1628:I1628"/>
    <mergeCell ref="P1628:R1628"/>
    <mergeCell ref="J1628:L1628"/>
    <mergeCell ref="M1628:O1628"/>
    <mergeCell ref="A1653:B1653"/>
    <mergeCell ref="D1570:F1570"/>
    <mergeCell ref="G1570:I1570"/>
    <mergeCell ref="P1570:R1570"/>
    <mergeCell ref="J1570:L1570"/>
    <mergeCell ref="M1570:O1570"/>
    <mergeCell ref="A1595:B1595"/>
    <mergeCell ref="A1596:B1596"/>
    <mergeCell ref="A1598:S1598"/>
    <mergeCell ref="D1599:F1599"/>
    <mergeCell ref="G1599:I1599"/>
    <mergeCell ref="P1599:R1599"/>
    <mergeCell ref="J1599:L1599"/>
    <mergeCell ref="M1599:O1599"/>
    <mergeCell ref="A1539:S1539"/>
    <mergeCell ref="D1540:F1540"/>
    <mergeCell ref="G1540:I1540"/>
    <mergeCell ref="P1540:R1540"/>
    <mergeCell ref="J1540:L1540"/>
    <mergeCell ref="M1540:O1540"/>
    <mergeCell ref="A1566:B1566"/>
    <mergeCell ref="A1567:B1567"/>
    <mergeCell ref="A1569:S1569"/>
    <mergeCell ref="A1507:B1507"/>
    <mergeCell ref="A1509:S1509"/>
    <mergeCell ref="D1510:F1510"/>
    <mergeCell ref="G1510:I1510"/>
    <mergeCell ref="P1510:R1510"/>
    <mergeCell ref="J1510:L1510"/>
    <mergeCell ref="M1510:O1510"/>
    <mergeCell ref="A1536:B1536"/>
    <mergeCell ref="A1537:B1537"/>
    <mergeCell ref="A1476:B1476"/>
    <mergeCell ref="A1477:B1477"/>
    <mergeCell ref="A1479:S1479"/>
    <mergeCell ref="D1480:F1480"/>
    <mergeCell ref="G1480:I1480"/>
    <mergeCell ref="P1480:R1480"/>
    <mergeCell ref="J1480:L1480"/>
    <mergeCell ref="M1480:O1480"/>
    <mergeCell ref="A1506:B1506"/>
    <mergeCell ref="J1418:L1418"/>
    <mergeCell ref="M1418:O1418"/>
    <mergeCell ref="A1445:B1445"/>
    <mergeCell ref="A1446:B1446"/>
    <mergeCell ref="A1448:S1448"/>
    <mergeCell ref="D1449:F1449"/>
    <mergeCell ref="G1449:I1449"/>
    <mergeCell ref="P1449:R1449"/>
    <mergeCell ref="J1449:L1449"/>
    <mergeCell ref="M1449:O1449"/>
    <mergeCell ref="A1290:B1290"/>
    <mergeCell ref="A1292:S1292"/>
    <mergeCell ref="D1293:F1293"/>
    <mergeCell ref="G1293:I1293"/>
    <mergeCell ref="P1293:R1293"/>
    <mergeCell ref="J1770:L1770"/>
    <mergeCell ref="M1770:O1770"/>
    <mergeCell ref="P1770:R1770"/>
    <mergeCell ref="J1356:L1356"/>
    <mergeCell ref="M1356:O1356"/>
    <mergeCell ref="A1383:B1383"/>
    <mergeCell ref="A1384:B1384"/>
    <mergeCell ref="A1386:S1386"/>
    <mergeCell ref="D1387:F1387"/>
    <mergeCell ref="G1387:I1387"/>
    <mergeCell ref="P1387:R1387"/>
    <mergeCell ref="J1387:L1387"/>
    <mergeCell ref="M1387:O1387"/>
    <mergeCell ref="A1414:B1414"/>
    <mergeCell ref="A1415:B1415"/>
    <mergeCell ref="A1417:S1417"/>
    <mergeCell ref="D1418:F1418"/>
    <mergeCell ref="G1418:I1418"/>
    <mergeCell ref="P1418:R1418"/>
    <mergeCell ref="A1257:B1257"/>
    <mergeCell ref="A1258:B1258"/>
    <mergeCell ref="A1260:S1260"/>
    <mergeCell ref="D1261:F1261"/>
    <mergeCell ref="G1261:I1261"/>
    <mergeCell ref="P1261:R1261"/>
    <mergeCell ref="J1261:L1261"/>
    <mergeCell ref="M1261:O1261"/>
    <mergeCell ref="A1289:B1289"/>
    <mergeCell ref="M1200:O1200"/>
    <mergeCell ref="A1226:B1226"/>
    <mergeCell ref="A1227:B1227"/>
    <mergeCell ref="A1229:S1229"/>
    <mergeCell ref="D1230:F1230"/>
    <mergeCell ref="G1230:I1230"/>
    <mergeCell ref="P1230:R1230"/>
    <mergeCell ref="J1230:L1230"/>
    <mergeCell ref="M1230:O1230"/>
    <mergeCell ref="A1352:B1352"/>
    <mergeCell ref="A1353:B1353"/>
    <mergeCell ref="A1355:S1355"/>
    <mergeCell ref="D1356:F1356"/>
    <mergeCell ref="G1356:I1356"/>
    <mergeCell ref="P1356:R1356"/>
    <mergeCell ref="M1169:O1169"/>
    <mergeCell ref="P1169:R1169"/>
    <mergeCell ref="D1139:F1139"/>
    <mergeCell ref="G1139:I1139"/>
    <mergeCell ref="J1139:L1139"/>
    <mergeCell ref="M1139:O1139"/>
    <mergeCell ref="P1139:R1139"/>
    <mergeCell ref="A1168:S1168"/>
    <mergeCell ref="D1169:F1169"/>
    <mergeCell ref="G1169:I1169"/>
    <mergeCell ref="J1169:L1169"/>
    <mergeCell ref="A1196:B1196"/>
    <mergeCell ref="A1197:B1197"/>
    <mergeCell ref="A1199:S1199"/>
    <mergeCell ref="D1200:F1200"/>
    <mergeCell ref="G1200:I1200"/>
    <mergeCell ref="P1200:R1200"/>
    <mergeCell ref="J1200:L1200"/>
    <mergeCell ref="J1293:L1293"/>
    <mergeCell ref="M1293:O1293"/>
    <mergeCell ref="A1321:B1321"/>
    <mergeCell ref="A1322:B1322"/>
    <mergeCell ref="A1324:S1324"/>
    <mergeCell ref="D1325:F1325"/>
    <mergeCell ref="G1325:I1325"/>
    <mergeCell ref="P1325:R1325"/>
    <mergeCell ref="J1325:L1325"/>
    <mergeCell ref="M1325:O1325"/>
    <mergeCell ref="A1136:B1136"/>
    <mergeCell ref="A1165:B1165"/>
    <mergeCell ref="A1166:B1166"/>
    <mergeCell ref="A1065:B1065"/>
    <mergeCell ref="A1068:S1068"/>
    <mergeCell ref="D1069:F1069"/>
    <mergeCell ref="G1069:I1069"/>
    <mergeCell ref="J1069:L1069"/>
    <mergeCell ref="M1069:O1069"/>
    <mergeCell ref="P1069:R1069"/>
    <mergeCell ref="A1103:S1103"/>
    <mergeCell ref="D1104:F1104"/>
    <mergeCell ref="G1104:I1104"/>
    <mergeCell ref="J1104:L1104"/>
    <mergeCell ref="M1104:O1104"/>
    <mergeCell ref="P1104:R1104"/>
    <mergeCell ref="A1138:S1138"/>
    <mergeCell ref="D1034:F1034"/>
    <mergeCell ref="G1034:I1034"/>
    <mergeCell ref="J1034:L1034"/>
    <mergeCell ref="M1034:O1034"/>
    <mergeCell ref="P1034:R1034"/>
    <mergeCell ref="A1066:B1066"/>
    <mergeCell ref="A1100:B1100"/>
    <mergeCell ref="A1101:B1101"/>
    <mergeCell ref="A1135:B1135"/>
    <mergeCell ref="A998:S998"/>
    <mergeCell ref="D999:F999"/>
    <mergeCell ref="G999:I999"/>
    <mergeCell ref="J999:L999"/>
    <mergeCell ref="M999:O999"/>
    <mergeCell ref="P999:R999"/>
    <mergeCell ref="A1030:B1030"/>
    <mergeCell ref="A1031:B1031"/>
    <mergeCell ref="A1033:S1033"/>
    <mergeCell ref="A995:B995"/>
    <mergeCell ref="A996:B996"/>
    <mergeCell ref="A928:S928"/>
    <mergeCell ref="D929:F929"/>
    <mergeCell ref="G929:I929"/>
    <mergeCell ref="J929:L929"/>
    <mergeCell ref="M929:O929"/>
    <mergeCell ref="P929:R929"/>
    <mergeCell ref="A960:B960"/>
    <mergeCell ref="A961:B961"/>
    <mergeCell ref="A963:S963"/>
    <mergeCell ref="D964:F964"/>
    <mergeCell ref="G964:I964"/>
    <mergeCell ref="J964:L964"/>
    <mergeCell ref="M964:O964"/>
    <mergeCell ref="P964:R964"/>
    <mergeCell ref="A386:B386"/>
    <mergeCell ref="C390:E390"/>
    <mergeCell ref="F390:H390"/>
    <mergeCell ref="I390:K390"/>
    <mergeCell ref="L390:N390"/>
    <mergeCell ref="A387:B387"/>
    <mergeCell ref="A411:B411"/>
    <mergeCell ref="A412:B412"/>
    <mergeCell ref="C415:E415"/>
    <mergeCell ref="F415:H415"/>
    <mergeCell ref="I415:K415"/>
    <mergeCell ref="L415:N415"/>
    <mergeCell ref="A336:B336"/>
    <mergeCell ref="A337:B337"/>
    <mergeCell ref="C340:E340"/>
    <mergeCell ref="F340:H340"/>
    <mergeCell ref="I340:K340"/>
    <mergeCell ref="L340:N340"/>
    <mergeCell ref="A361:B361"/>
    <mergeCell ref="A362:B362"/>
    <mergeCell ref="C365:E365"/>
    <mergeCell ref="L365:N365"/>
    <mergeCell ref="F365:H365"/>
    <mergeCell ref="I365:K365"/>
    <mergeCell ref="A284:B284"/>
    <mergeCell ref="A285:B285"/>
    <mergeCell ref="C288:E288"/>
    <mergeCell ref="F288:H288"/>
    <mergeCell ref="I288:K288"/>
    <mergeCell ref="L288:N288"/>
    <mergeCell ref="A310:B310"/>
    <mergeCell ref="A311:B311"/>
    <mergeCell ref="C314:E314"/>
    <mergeCell ref="F314:H314"/>
    <mergeCell ref="I314:K314"/>
    <mergeCell ref="L314:N314"/>
    <mergeCell ref="A891:B891"/>
    <mergeCell ref="A925:B925"/>
    <mergeCell ref="A926:B926"/>
    <mergeCell ref="A890:B890"/>
    <mergeCell ref="A893:S893"/>
    <mergeCell ref="D894:F894"/>
    <mergeCell ref="G894:I894"/>
    <mergeCell ref="J894:L894"/>
    <mergeCell ref="M894:O894"/>
    <mergeCell ref="P894:R894"/>
    <mergeCell ref="D825:F825"/>
    <mergeCell ref="G825:I825"/>
    <mergeCell ref="J825:L825"/>
    <mergeCell ref="M825:O825"/>
    <mergeCell ref="P825:R825"/>
    <mergeCell ref="A855:B855"/>
    <mergeCell ref="A856:B856"/>
    <mergeCell ref="A858:S858"/>
    <mergeCell ref="D859:F859"/>
    <mergeCell ref="G859:I859"/>
    <mergeCell ref="J859:L859"/>
    <mergeCell ref="M859:O859"/>
    <mergeCell ref="P859:R859"/>
    <mergeCell ref="A822:B822"/>
    <mergeCell ref="A787:B787"/>
    <mergeCell ref="A790:S790"/>
    <mergeCell ref="D791:F791"/>
    <mergeCell ref="G791:I791"/>
    <mergeCell ref="J791:L791"/>
    <mergeCell ref="M791:O791"/>
    <mergeCell ref="P791:R791"/>
    <mergeCell ref="A824:S824"/>
    <mergeCell ref="A755:B755"/>
    <mergeCell ref="A757:S757"/>
    <mergeCell ref="D758:F758"/>
    <mergeCell ref="G758:I758"/>
    <mergeCell ref="J758:L758"/>
    <mergeCell ref="M758:O758"/>
    <mergeCell ref="P758:R758"/>
    <mergeCell ref="A788:B788"/>
    <mergeCell ref="A821:B821"/>
    <mergeCell ref="A486:B486"/>
    <mergeCell ref="A487:B487"/>
    <mergeCell ref="A725:R725"/>
    <mergeCell ref="C726:E726"/>
    <mergeCell ref="F726:H726"/>
    <mergeCell ref="I726:K726"/>
    <mergeCell ref="L726:N726"/>
    <mergeCell ref="O726:Q726"/>
    <mergeCell ref="A754:B754"/>
    <mergeCell ref="A489:R489"/>
    <mergeCell ref="C490:E490"/>
    <mergeCell ref="F490:H490"/>
    <mergeCell ref="I490:K490"/>
    <mergeCell ref="L490:N490"/>
    <mergeCell ref="O490:Q490"/>
    <mergeCell ref="A436:B436"/>
    <mergeCell ref="A437:B437"/>
    <mergeCell ref="C440:E440"/>
    <mergeCell ref="F440:H440"/>
    <mergeCell ref="I440:K440"/>
    <mergeCell ref="L440:N440"/>
    <mergeCell ref="A461:B461"/>
    <mergeCell ref="A462:B462"/>
    <mergeCell ref="C465:E465"/>
    <mergeCell ref="F465:H465"/>
    <mergeCell ref="I465:K465"/>
    <mergeCell ref="L465:N465"/>
    <mergeCell ref="C662:E662"/>
    <mergeCell ref="F662:H662"/>
    <mergeCell ref="I662:K662"/>
    <mergeCell ref="L662:N662"/>
    <mergeCell ref="O662:Q662"/>
    <mergeCell ref="A691:B691"/>
    <mergeCell ref="A722:B722"/>
    <mergeCell ref="A723:B723"/>
    <mergeCell ref="A690:B690"/>
    <mergeCell ref="A693:R693"/>
    <mergeCell ref="C694:E694"/>
    <mergeCell ref="F694:H694"/>
    <mergeCell ref="I694:K694"/>
    <mergeCell ref="L694:N694"/>
    <mergeCell ref="O694:Q694"/>
    <mergeCell ref="A630:R630"/>
    <mergeCell ref="C631:E631"/>
    <mergeCell ref="F631:H631"/>
    <mergeCell ref="I631:K631"/>
    <mergeCell ref="L631:N631"/>
    <mergeCell ref="O631:Q631"/>
    <mergeCell ref="A658:B658"/>
    <mergeCell ref="A659:B659"/>
    <mergeCell ref="A661:R661"/>
    <mergeCell ref="C571:E571"/>
    <mergeCell ref="F571:H571"/>
    <mergeCell ref="I571:K571"/>
    <mergeCell ref="L571:N571"/>
    <mergeCell ref="O571:Q571"/>
    <mergeCell ref="A595:B595"/>
    <mergeCell ref="A625:B625"/>
    <mergeCell ref="A626:B626"/>
    <mergeCell ref="A594:B594"/>
    <mergeCell ref="A597:R597"/>
    <mergeCell ref="C598:E598"/>
    <mergeCell ref="F598:H598"/>
    <mergeCell ref="I598:K598"/>
    <mergeCell ref="L598:N598"/>
    <mergeCell ref="O598:Q598"/>
    <mergeCell ref="A543:R543"/>
    <mergeCell ref="C544:E544"/>
    <mergeCell ref="F544:H544"/>
    <mergeCell ref="I544:K544"/>
    <mergeCell ref="L544:N544"/>
    <mergeCell ref="O544:Q544"/>
    <mergeCell ref="A567:B567"/>
    <mergeCell ref="A568:B568"/>
    <mergeCell ref="A570:R570"/>
    <mergeCell ref="A513:B513"/>
    <mergeCell ref="A539:B539"/>
    <mergeCell ref="A540:B540"/>
    <mergeCell ref="A512:B512"/>
    <mergeCell ref="A515:R515"/>
    <mergeCell ref="C516:E516"/>
    <mergeCell ref="F516:H516"/>
    <mergeCell ref="I516:K516"/>
    <mergeCell ref="L516:N516"/>
    <mergeCell ref="O516:Q516"/>
    <mergeCell ref="A180:B180"/>
    <mergeCell ref="A181:B181"/>
    <mergeCell ref="A233:B233"/>
    <mergeCell ref="A258:B258"/>
    <mergeCell ref="A259:B259"/>
    <mergeCell ref="C262:E262"/>
    <mergeCell ref="F262:H262"/>
    <mergeCell ref="I262:K262"/>
    <mergeCell ref="L262:N262"/>
    <mergeCell ref="A128:B128"/>
    <mergeCell ref="A129:B129"/>
    <mergeCell ref="C132:E132"/>
    <mergeCell ref="F132:H132"/>
    <mergeCell ref="I132:K132"/>
    <mergeCell ref="L132:N132"/>
    <mergeCell ref="A154:B154"/>
    <mergeCell ref="A155:B155"/>
    <mergeCell ref="C158:E158"/>
    <mergeCell ref="F158:H158"/>
    <mergeCell ref="I158:K158"/>
    <mergeCell ref="L158:N158"/>
    <mergeCell ref="F80:H80"/>
    <mergeCell ref="I80:K80"/>
    <mergeCell ref="L80:N80"/>
    <mergeCell ref="A77:B77"/>
    <mergeCell ref="A102:B102"/>
    <mergeCell ref="A103:B103"/>
    <mergeCell ref="C106:E106"/>
    <mergeCell ref="F106:H106"/>
    <mergeCell ref="I106:K106"/>
    <mergeCell ref="L106:N106"/>
    <mergeCell ref="A232:B232"/>
    <mergeCell ref="C236:E236"/>
    <mergeCell ref="F236:H236"/>
    <mergeCell ref="I236:K236"/>
    <mergeCell ref="L236:N236"/>
    <mergeCell ref="A4:R4"/>
    <mergeCell ref="C5:E5"/>
    <mergeCell ref="F5:H5"/>
    <mergeCell ref="I5:K5"/>
    <mergeCell ref="L5:N5"/>
    <mergeCell ref="A26:B26"/>
    <mergeCell ref="A27:B27"/>
    <mergeCell ref="C30:E30"/>
    <mergeCell ref="F30:H30"/>
    <mergeCell ref="I30:K30"/>
    <mergeCell ref="L30:N30"/>
    <mergeCell ref="A51:B51"/>
    <mergeCell ref="A52:B52"/>
    <mergeCell ref="C55:E55"/>
    <mergeCell ref="L55:N55"/>
    <mergeCell ref="F55:H55"/>
    <mergeCell ref="I55:K55"/>
    <mergeCell ref="A76:B76"/>
    <mergeCell ref="C80:E80"/>
    <mergeCell ref="C184:E184"/>
    <mergeCell ref="F184:H184"/>
    <mergeCell ref="I184:K184"/>
    <mergeCell ref="L184:N184"/>
    <mergeCell ref="A206:B206"/>
    <mergeCell ref="A207:B207"/>
    <mergeCell ref="C210:E210"/>
    <mergeCell ref="L210:N210"/>
    <mergeCell ref="F210:H210"/>
    <mergeCell ref="I210:K2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96"/>
  <sheetViews>
    <sheetView workbookViewId="0"/>
  </sheetViews>
  <sheetFormatPr baseColWidth="10" defaultColWidth="12.6640625" defaultRowHeight="15.75" customHeight="1"/>
  <sheetData>
    <row r="1" spans="1:22">
      <c r="A1" s="457" t="s">
        <v>234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9"/>
      <c r="P1" s="11"/>
      <c r="Q1" s="11"/>
      <c r="R1" s="17"/>
      <c r="S1" s="17"/>
      <c r="T1" s="17"/>
      <c r="U1" s="17"/>
      <c r="V1" s="14"/>
    </row>
    <row r="2" spans="1:22">
      <c r="A2" s="1" t="s">
        <v>0</v>
      </c>
      <c r="B2" s="2" t="s">
        <v>1</v>
      </c>
      <c r="C2" s="2" t="s">
        <v>183</v>
      </c>
      <c r="D2" s="2" t="s">
        <v>3</v>
      </c>
      <c r="E2" s="2" t="s">
        <v>2</v>
      </c>
      <c r="F2" s="2" t="s">
        <v>4</v>
      </c>
      <c r="G2" s="2" t="s">
        <v>6</v>
      </c>
      <c r="H2" s="2"/>
      <c r="I2" s="2" t="s">
        <v>7</v>
      </c>
      <c r="J2" s="2" t="s">
        <v>9</v>
      </c>
      <c r="K2" s="2" t="s">
        <v>106</v>
      </c>
      <c r="L2" s="2" t="s">
        <v>107</v>
      </c>
      <c r="M2" s="2" t="s">
        <v>5</v>
      </c>
      <c r="N2" s="2" t="s">
        <v>12</v>
      </c>
      <c r="O2" s="2" t="s">
        <v>184</v>
      </c>
      <c r="P2" s="2"/>
      <c r="Q2" s="2" t="s">
        <v>108</v>
      </c>
      <c r="R2" s="2" t="s">
        <v>8</v>
      </c>
      <c r="S2" s="12" t="s">
        <v>185</v>
      </c>
      <c r="T2" s="2" t="s">
        <v>13</v>
      </c>
      <c r="U2" s="2"/>
      <c r="V2" s="14" t="s">
        <v>98</v>
      </c>
    </row>
    <row r="3" spans="1:22">
      <c r="A3" s="43" t="s">
        <v>211</v>
      </c>
      <c r="B3" s="44">
        <v>465188</v>
      </c>
      <c r="C3" s="45" t="s">
        <v>186</v>
      </c>
      <c r="D3" s="44">
        <v>0</v>
      </c>
      <c r="E3" s="46">
        <v>0</v>
      </c>
      <c r="F3" s="46">
        <v>748</v>
      </c>
      <c r="G3" s="46">
        <v>0</v>
      </c>
      <c r="H3" s="46"/>
      <c r="I3" s="46">
        <v>252.46</v>
      </c>
      <c r="J3" s="44">
        <v>0</v>
      </c>
      <c r="K3" s="46">
        <f t="shared" ref="K3:K16" si="0">J3*0.071</f>
        <v>0</v>
      </c>
      <c r="L3" s="46">
        <f>J3*0.17</f>
        <v>0</v>
      </c>
      <c r="M3" s="46">
        <v>198.5</v>
      </c>
      <c r="N3" s="46">
        <v>450</v>
      </c>
      <c r="O3" s="46">
        <v>26.25</v>
      </c>
      <c r="P3" s="46"/>
      <c r="Q3" s="46">
        <f t="shared" ref="Q3:Q17" si="1">E3*0.01</f>
        <v>0</v>
      </c>
      <c r="R3" s="46"/>
      <c r="S3" s="46">
        <v>0</v>
      </c>
      <c r="T3" s="46">
        <f>E3-F3-M3-N3</f>
        <v>-1396.5</v>
      </c>
      <c r="U3" s="46"/>
      <c r="V3" s="46">
        <f>E3*0.78-G3-I3-L3-O3-R3</f>
        <v>-278.71000000000004</v>
      </c>
    </row>
    <row r="4" spans="1:22">
      <c r="A4" s="22" t="s">
        <v>33</v>
      </c>
      <c r="B4" s="23">
        <v>352368</v>
      </c>
      <c r="C4" s="24" t="s">
        <v>197</v>
      </c>
      <c r="D4" s="23">
        <v>1</v>
      </c>
      <c r="E4" s="25">
        <v>1525</v>
      </c>
      <c r="F4" s="25">
        <v>666.5</v>
      </c>
      <c r="G4" s="25">
        <v>0</v>
      </c>
      <c r="H4" s="25"/>
      <c r="I4" s="25">
        <v>600</v>
      </c>
      <c r="J4" s="23">
        <v>1195</v>
      </c>
      <c r="K4" s="25">
        <f t="shared" si="0"/>
        <v>84.844999999999999</v>
      </c>
      <c r="L4" s="25">
        <v>0</v>
      </c>
      <c r="M4" s="25">
        <v>163.25</v>
      </c>
      <c r="N4" s="25">
        <v>450</v>
      </c>
      <c r="O4" s="25">
        <v>32.5</v>
      </c>
      <c r="P4" s="25"/>
      <c r="Q4" s="25">
        <f t="shared" si="1"/>
        <v>15.25</v>
      </c>
      <c r="R4" s="25">
        <v>49.71</v>
      </c>
      <c r="S4" s="25">
        <v>7</v>
      </c>
      <c r="T4" s="25">
        <f>E4-J4*0.75-K4-M4-N4-O4-Q4-I4-F4</f>
        <v>-1383.595</v>
      </c>
      <c r="U4" s="25"/>
      <c r="V4" s="25">
        <f>J4*0.75</f>
        <v>896.25</v>
      </c>
    </row>
    <row r="5" spans="1:22">
      <c r="A5" s="18" t="s">
        <v>215</v>
      </c>
      <c r="B5" s="19">
        <v>465184</v>
      </c>
      <c r="C5" s="20" t="s">
        <v>186</v>
      </c>
      <c r="D5" s="19">
        <v>7</v>
      </c>
      <c r="E5" s="21">
        <v>8100</v>
      </c>
      <c r="F5" s="21">
        <v>748</v>
      </c>
      <c r="G5" s="21">
        <v>850</v>
      </c>
      <c r="H5" s="21"/>
      <c r="I5" s="21">
        <v>2525.21</v>
      </c>
      <c r="J5" s="19">
        <v>2997</v>
      </c>
      <c r="K5" s="21">
        <f t="shared" si="0"/>
        <v>212.78699999999998</v>
      </c>
      <c r="L5" s="21">
        <f>J5*0.17</f>
        <v>509.49</v>
      </c>
      <c r="M5" s="21">
        <v>198.5</v>
      </c>
      <c r="N5" s="21">
        <v>450</v>
      </c>
      <c r="O5" s="21">
        <v>40</v>
      </c>
      <c r="P5" s="21"/>
      <c r="Q5" s="21">
        <f t="shared" si="1"/>
        <v>81</v>
      </c>
      <c r="R5" s="21">
        <v>15.68</v>
      </c>
      <c r="S5" s="21">
        <v>0</v>
      </c>
      <c r="T5" s="21">
        <f>E5*0.22-M5-N5-Q5</f>
        <v>1052.5</v>
      </c>
      <c r="U5" s="21"/>
      <c r="V5" s="21">
        <f>E5*0.78-G5-L5-O5-R5-I5</f>
        <v>2377.62</v>
      </c>
    </row>
    <row r="6" spans="1:22">
      <c r="A6" s="22" t="s">
        <v>200</v>
      </c>
      <c r="B6" s="23">
        <v>352377</v>
      </c>
      <c r="C6" s="24" t="s">
        <v>197</v>
      </c>
      <c r="D6" s="23">
        <v>3</v>
      </c>
      <c r="E6" s="25">
        <v>4000</v>
      </c>
      <c r="F6" s="25">
        <v>666.5</v>
      </c>
      <c r="G6" s="25">
        <v>0</v>
      </c>
      <c r="H6" s="25"/>
      <c r="I6" s="25">
        <v>1373.44</v>
      </c>
      <c r="J6" s="23">
        <v>1519</v>
      </c>
      <c r="K6" s="25">
        <f t="shared" si="0"/>
        <v>107.84899999999999</v>
      </c>
      <c r="L6" s="25">
        <v>0</v>
      </c>
      <c r="M6" s="25">
        <v>198.5</v>
      </c>
      <c r="N6" s="25">
        <v>450</v>
      </c>
      <c r="O6" s="25">
        <v>32.5</v>
      </c>
      <c r="P6" s="25"/>
      <c r="Q6" s="25">
        <f t="shared" si="1"/>
        <v>40</v>
      </c>
      <c r="R6" s="25">
        <v>14.41</v>
      </c>
      <c r="S6" s="25">
        <v>7</v>
      </c>
      <c r="T6" s="25">
        <f>E6-J6*0.75-K6-F6-M6-N6-O6-Q6-I6-R6</f>
        <v>-22.449000000000215</v>
      </c>
      <c r="U6" s="25"/>
      <c r="V6" s="25">
        <f>J6*0.75</f>
        <v>1139.25</v>
      </c>
    </row>
    <row r="7" spans="1:22">
      <c r="A7" s="18" t="s">
        <v>217</v>
      </c>
      <c r="B7" s="19">
        <v>465180</v>
      </c>
      <c r="C7" s="20" t="s">
        <v>186</v>
      </c>
      <c r="D7" s="19">
        <v>7</v>
      </c>
      <c r="E7" s="21">
        <v>8750</v>
      </c>
      <c r="F7" s="21">
        <v>748</v>
      </c>
      <c r="G7" s="21">
        <v>850</v>
      </c>
      <c r="H7" s="21"/>
      <c r="I7" s="21">
        <v>2561.4699999999998</v>
      </c>
      <c r="J7" s="19">
        <v>3164</v>
      </c>
      <c r="K7" s="21">
        <f t="shared" si="0"/>
        <v>224.64399999999998</v>
      </c>
      <c r="L7" s="21">
        <f>J7*0.17</f>
        <v>537.88</v>
      </c>
      <c r="M7" s="21">
        <v>198.5</v>
      </c>
      <c r="N7" s="21">
        <v>450</v>
      </c>
      <c r="O7" s="21">
        <v>26.25</v>
      </c>
      <c r="P7" s="21"/>
      <c r="Q7" s="21">
        <f t="shared" si="1"/>
        <v>87.5</v>
      </c>
      <c r="R7" s="21"/>
      <c r="S7" s="21">
        <v>0</v>
      </c>
      <c r="T7" s="21">
        <f>E7*0.22-M7-N7-Q7</f>
        <v>1189</v>
      </c>
      <c r="U7" s="21"/>
      <c r="V7" s="21">
        <f>E7*0.78-I7-G7-L7</f>
        <v>2875.6500000000005</v>
      </c>
    </row>
    <row r="8" spans="1:22">
      <c r="A8" s="22" t="s">
        <v>218</v>
      </c>
      <c r="B8" s="23">
        <v>352372</v>
      </c>
      <c r="C8" s="24" t="s">
        <v>197</v>
      </c>
      <c r="D8" s="23">
        <v>5</v>
      </c>
      <c r="E8" s="25">
        <v>6600</v>
      </c>
      <c r="F8" s="25">
        <v>666.5</v>
      </c>
      <c r="G8" s="25">
        <v>0</v>
      </c>
      <c r="H8" s="25"/>
      <c r="I8" s="25">
        <v>1957.17</v>
      </c>
      <c r="J8" s="23">
        <v>2396</v>
      </c>
      <c r="K8" s="25">
        <f t="shared" si="0"/>
        <v>170.11599999999999</v>
      </c>
      <c r="L8" s="25">
        <v>0</v>
      </c>
      <c r="M8" s="25">
        <v>163.25</v>
      </c>
      <c r="N8" s="25">
        <v>450</v>
      </c>
      <c r="O8" s="25">
        <v>40</v>
      </c>
      <c r="P8" s="25"/>
      <c r="Q8" s="25">
        <f t="shared" si="1"/>
        <v>66</v>
      </c>
      <c r="R8" s="25"/>
      <c r="S8" s="25">
        <v>7</v>
      </c>
      <c r="T8" s="25">
        <f>E8-F8-K8-(J8*0.75)-M8-N8-O8-Q8-I8-S8-R8</f>
        <v>1282.9639999999999</v>
      </c>
      <c r="U8" s="25"/>
      <c r="V8" s="25">
        <f t="shared" ref="V8:V15" si="2">J8*0.75</f>
        <v>1797</v>
      </c>
    </row>
    <row r="9" spans="1:22">
      <c r="A9" s="22" t="s">
        <v>220</v>
      </c>
      <c r="B9" s="23">
        <v>465185</v>
      </c>
      <c r="C9" s="24" t="s">
        <v>197</v>
      </c>
      <c r="D9" s="23">
        <v>7</v>
      </c>
      <c r="E9" s="25">
        <v>7450</v>
      </c>
      <c r="F9" s="25">
        <v>748</v>
      </c>
      <c r="G9" s="25">
        <v>0</v>
      </c>
      <c r="H9" s="25"/>
      <c r="I9" s="25">
        <v>2870.36</v>
      </c>
      <c r="J9" s="23">
        <v>2786</v>
      </c>
      <c r="K9" s="25">
        <f t="shared" si="0"/>
        <v>197.80599999999998</v>
      </c>
      <c r="L9" s="25">
        <v>0</v>
      </c>
      <c r="M9" s="25">
        <v>163.25</v>
      </c>
      <c r="N9" s="25">
        <v>450</v>
      </c>
      <c r="O9" s="25">
        <v>40</v>
      </c>
      <c r="P9" s="25"/>
      <c r="Q9" s="25">
        <f t="shared" si="1"/>
        <v>74.5</v>
      </c>
      <c r="R9" s="25">
        <v>36.99</v>
      </c>
      <c r="S9" s="25">
        <v>7</v>
      </c>
      <c r="T9" s="25">
        <f>E9-F9-I9-K9-M9-N9-O9-Q9-J9*0.75-R9</f>
        <v>779.59399999999982</v>
      </c>
      <c r="U9" s="25"/>
      <c r="V9" s="25">
        <f t="shared" si="2"/>
        <v>2089.5</v>
      </c>
    </row>
    <row r="10" spans="1:22">
      <c r="A10" s="22" t="s">
        <v>235</v>
      </c>
      <c r="B10" s="23">
        <v>352371</v>
      </c>
      <c r="C10" s="24" t="s">
        <v>197</v>
      </c>
      <c r="D10" s="23">
        <v>7</v>
      </c>
      <c r="E10" s="25">
        <v>8500</v>
      </c>
      <c r="F10" s="25">
        <v>666.5</v>
      </c>
      <c r="G10" s="25">
        <v>850</v>
      </c>
      <c r="H10" s="25"/>
      <c r="I10" s="25">
        <v>3427.37</v>
      </c>
      <c r="J10" s="23">
        <v>3513</v>
      </c>
      <c r="K10" s="25">
        <f t="shared" si="0"/>
        <v>249.42299999999997</v>
      </c>
      <c r="L10" s="25">
        <v>0</v>
      </c>
      <c r="M10" s="25">
        <v>163.25</v>
      </c>
      <c r="N10" s="25">
        <v>450</v>
      </c>
      <c r="O10" s="25">
        <v>32.5</v>
      </c>
      <c r="P10" s="25"/>
      <c r="Q10" s="25">
        <f t="shared" si="1"/>
        <v>85</v>
      </c>
      <c r="R10" s="25"/>
      <c r="S10" s="25">
        <v>0</v>
      </c>
      <c r="T10" s="25">
        <f>E10-(J10*0.75)-K10-F10-M10-N10-O10-Q10-I10</f>
        <v>791.20700000000033</v>
      </c>
      <c r="U10" s="25"/>
      <c r="V10" s="25">
        <f t="shared" si="2"/>
        <v>2634.75</v>
      </c>
    </row>
    <row r="11" spans="1:22">
      <c r="A11" s="22" t="s">
        <v>223</v>
      </c>
      <c r="B11" s="23">
        <v>465183</v>
      </c>
      <c r="C11" s="24" t="s">
        <v>197</v>
      </c>
      <c r="D11" s="23">
        <v>7</v>
      </c>
      <c r="E11" s="25">
        <v>8180</v>
      </c>
      <c r="F11" s="25">
        <v>748</v>
      </c>
      <c r="G11" s="25">
        <v>0</v>
      </c>
      <c r="H11" s="25"/>
      <c r="I11" s="25">
        <v>2246.69</v>
      </c>
      <c r="J11" s="23">
        <v>2500</v>
      </c>
      <c r="K11" s="25">
        <f t="shared" si="0"/>
        <v>177.49999999999997</v>
      </c>
      <c r="L11" s="25">
        <v>0</v>
      </c>
      <c r="M11" s="25">
        <v>163.25</v>
      </c>
      <c r="N11" s="25">
        <v>450</v>
      </c>
      <c r="O11" s="25">
        <v>26.25</v>
      </c>
      <c r="P11" s="25"/>
      <c r="Q11" s="25">
        <f t="shared" si="1"/>
        <v>81.8</v>
      </c>
      <c r="R11" s="25">
        <v>96</v>
      </c>
      <c r="S11" s="25">
        <v>7</v>
      </c>
      <c r="T11" s="25">
        <f t="shared" ref="T11:T12" si="3">E11-F11-I11-K11-M11-N11-O11-Q11-J11*0.75-R11</f>
        <v>2315.5099999999993</v>
      </c>
      <c r="U11" s="25"/>
      <c r="V11" s="25">
        <f t="shared" si="2"/>
        <v>1875</v>
      </c>
    </row>
    <row r="12" spans="1:22">
      <c r="A12" s="22" t="s">
        <v>224</v>
      </c>
      <c r="B12" s="23">
        <v>465187</v>
      </c>
      <c r="C12" s="24" t="s">
        <v>197</v>
      </c>
      <c r="D12" s="23">
        <v>7</v>
      </c>
      <c r="E12" s="25">
        <v>9622</v>
      </c>
      <c r="F12" s="25">
        <v>748</v>
      </c>
      <c r="G12" s="25">
        <v>0</v>
      </c>
      <c r="H12" s="25"/>
      <c r="I12" s="25">
        <v>2026.15</v>
      </c>
      <c r="J12" s="23">
        <v>3931</v>
      </c>
      <c r="K12" s="25">
        <f t="shared" si="0"/>
        <v>279.101</v>
      </c>
      <c r="L12" s="25">
        <v>0</v>
      </c>
      <c r="M12" s="25">
        <v>163.25</v>
      </c>
      <c r="N12" s="25">
        <v>450</v>
      </c>
      <c r="O12" s="25">
        <v>40</v>
      </c>
      <c r="P12" s="25"/>
      <c r="Q12" s="25">
        <f t="shared" si="1"/>
        <v>96.22</v>
      </c>
      <c r="R12" s="25"/>
      <c r="S12" s="25">
        <v>7</v>
      </c>
      <c r="T12" s="25">
        <f t="shared" si="3"/>
        <v>2871.0290000000005</v>
      </c>
      <c r="U12" s="25"/>
      <c r="V12" s="25">
        <f t="shared" si="2"/>
        <v>2948.25</v>
      </c>
    </row>
    <row r="13" spans="1:22">
      <c r="A13" s="43" t="s">
        <v>207</v>
      </c>
      <c r="B13" s="44">
        <v>465186</v>
      </c>
      <c r="C13" s="45" t="s">
        <v>197</v>
      </c>
      <c r="D13" s="44">
        <v>0</v>
      </c>
      <c r="E13" s="46">
        <v>0</v>
      </c>
      <c r="F13" s="46">
        <v>748</v>
      </c>
      <c r="G13" s="46">
        <v>0</v>
      </c>
      <c r="H13" s="46"/>
      <c r="I13" s="46">
        <v>0</v>
      </c>
      <c r="J13" s="44">
        <v>0</v>
      </c>
      <c r="K13" s="46">
        <f t="shared" si="0"/>
        <v>0</v>
      </c>
      <c r="L13" s="46">
        <v>0</v>
      </c>
      <c r="M13" s="46">
        <v>163.25</v>
      </c>
      <c r="N13" s="46">
        <v>450</v>
      </c>
      <c r="O13" s="46">
        <v>26.25</v>
      </c>
      <c r="P13" s="46"/>
      <c r="Q13" s="46">
        <f t="shared" si="1"/>
        <v>0</v>
      </c>
      <c r="R13" s="46"/>
      <c r="S13" s="46">
        <v>7</v>
      </c>
      <c r="T13" s="46">
        <f>E13-F13-I13-J13*0.75-K13-M13-N13-O13-Q13-R13-S13</f>
        <v>-1394.5</v>
      </c>
      <c r="U13" s="46"/>
      <c r="V13" s="46">
        <f t="shared" si="2"/>
        <v>0</v>
      </c>
    </row>
    <row r="14" spans="1:22">
      <c r="A14" s="22" t="s">
        <v>208</v>
      </c>
      <c r="B14" s="23">
        <v>465189</v>
      </c>
      <c r="C14" s="24" t="s">
        <v>197</v>
      </c>
      <c r="D14" s="23">
        <v>6</v>
      </c>
      <c r="E14" s="25">
        <v>4700</v>
      </c>
      <c r="F14" s="25">
        <v>748</v>
      </c>
      <c r="G14" s="25">
        <v>0</v>
      </c>
      <c r="H14" s="25"/>
      <c r="I14" s="25">
        <v>2230.06</v>
      </c>
      <c r="J14" s="23">
        <v>1948</v>
      </c>
      <c r="K14" s="25">
        <f t="shared" si="0"/>
        <v>138.30799999999999</v>
      </c>
      <c r="L14" s="25">
        <v>0</v>
      </c>
      <c r="M14" s="25">
        <v>163.25</v>
      </c>
      <c r="N14" s="25">
        <v>450</v>
      </c>
      <c r="O14" s="25">
        <v>26.25</v>
      </c>
      <c r="P14" s="25"/>
      <c r="Q14" s="25">
        <f t="shared" si="1"/>
        <v>47</v>
      </c>
      <c r="R14" s="25"/>
      <c r="S14" s="25">
        <v>7</v>
      </c>
      <c r="T14" s="25">
        <f t="shared" ref="T14:T15" si="4">E14-F14-I14-J14*0.75-M14-N14-O14-Q14-R14-S14</f>
        <v>-432.55999999999995</v>
      </c>
      <c r="U14" s="25"/>
      <c r="V14" s="25">
        <f t="shared" si="2"/>
        <v>1461</v>
      </c>
    </row>
    <row r="15" spans="1:22">
      <c r="A15" s="34" t="s">
        <v>232</v>
      </c>
      <c r="B15" s="23">
        <v>465181</v>
      </c>
      <c r="C15" s="34" t="s">
        <v>197</v>
      </c>
      <c r="D15" s="47">
        <v>6</v>
      </c>
      <c r="E15" s="35">
        <v>6100</v>
      </c>
      <c r="F15" s="25">
        <v>748</v>
      </c>
      <c r="G15" s="25">
        <v>0</v>
      </c>
      <c r="H15" s="36"/>
      <c r="I15" s="37">
        <v>2340.9499999999998</v>
      </c>
      <c r="J15" s="47">
        <v>2227</v>
      </c>
      <c r="K15" s="25">
        <f t="shared" si="0"/>
        <v>158.11699999999999</v>
      </c>
      <c r="L15" s="25">
        <v>0</v>
      </c>
      <c r="M15" s="25">
        <v>163.25</v>
      </c>
      <c r="N15" s="25">
        <v>450</v>
      </c>
      <c r="O15" s="25">
        <v>26.25</v>
      </c>
      <c r="P15" s="25"/>
      <c r="Q15" s="25">
        <f t="shared" si="1"/>
        <v>61</v>
      </c>
      <c r="R15" s="34"/>
      <c r="S15" s="25">
        <v>7</v>
      </c>
      <c r="T15" s="35">
        <f t="shared" si="4"/>
        <v>633.30000000000018</v>
      </c>
      <c r="U15" s="35"/>
      <c r="V15" s="35">
        <f t="shared" si="2"/>
        <v>1670.25</v>
      </c>
    </row>
    <row r="16" spans="1:22">
      <c r="A16" s="48" t="s">
        <v>236</v>
      </c>
      <c r="B16" s="19">
        <v>352373</v>
      </c>
      <c r="C16" s="48" t="s">
        <v>237</v>
      </c>
      <c r="D16" s="49">
        <v>3</v>
      </c>
      <c r="E16" s="50">
        <v>3900</v>
      </c>
      <c r="F16" s="21">
        <v>666.5</v>
      </c>
      <c r="G16" s="21">
        <v>850</v>
      </c>
      <c r="H16" s="51"/>
      <c r="I16" s="52">
        <v>1395.51</v>
      </c>
      <c r="J16" s="49">
        <v>1695</v>
      </c>
      <c r="K16" s="21">
        <f t="shared" si="0"/>
        <v>120.34499999999998</v>
      </c>
      <c r="L16" s="21">
        <f>J16*0.0691</f>
        <v>117.1245</v>
      </c>
      <c r="M16" s="21">
        <v>163.25</v>
      </c>
      <c r="N16" s="21">
        <v>450</v>
      </c>
      <c r="O16" s="21">
        <v>26.25</v>
      </c>
      <c r="P16" s="21"/>
      <c r="Q16" s="21">
        <f t="shared" si="1"/>
        <v>39</v>
      </c>
      <c r="R16" s="48"/>
      <c r="S16" s="21">
        <v>7</v>
      </c>
      <c r="T16" s="50">
        <f>E16-(E16*0.75)</f>
        <v>975</v>
      </c>
      <c r="U16" s="50"/>
      <c r="V16" s="50">
        <f>E16*0.75-K16-G16-I16</f>
        <v>559.14500000000021</v>
      </c>
    </row>
    <row r="17" spans="1:22">
      <c r="A17" s="39" t="s">
        <v>89</v>
      </c>
      <c r="B17" s="40">
        <v>14</v>
      </c>
      <c r="C17" s="41" t="s">
        <v>238</v>
      </c>
      <c r="D17" s="40">
        <f>AVERAGE(D3:D16)</f>
        <v>4.7142857142857144</v>
      </c>
      <c r="E17" s="42">
        <f t="shared" ref="E17:F17" si="5">SUM(E4:E16)</f>
        <v>77427</v>
      </c>
      <c r="F17" s="42">
        <f t="shared" si="5"/>
        <v>9316.5</v>
      </c>
      <c r="G17" s="42">
        <f>SUM(G4:G13)</f>
        <v>2550</v>
      </c>
      <c r="H17" s="42"/>
      <c r="I17" s="42">
        <f t="shared" ref="I17:O17" si="6">SUM(I4:I16)</f>
        <v>25554.38</v>
      </c>
      <c r="J17" s="40">
        <f t="shared" si="6"/>
        <v>29871</v>
      </c>
      <c r="K17" s="42">
        <f t="shared" si="6"/>
        <v>2120.8409999999999</v>
      </c>
      <c r="L17" s="42">
        <f t="shared" si="6"/>
        <v>1164.4944999999998</v>
      </c>
      <c r="M17" s="42">
        <f t="shared" si="6"/>
        <v>2228</v>
      </c>
      <c r="N17" s="42">
        <f t="shared" si="6"/>
        <v>5850</v>
      </c>
      <c r="O17" s="42">
        <f t="shared" si="6"/>
        <v>415</v>
      </c>
      <c r="P17" s="42"/>
      <c r="Q17" s="42">
        <f t="shared" si="1"/>
        <v>774.27</v>
      </c>
      <c r="R17" s="42"/>
      <c r="S17" s="42">
        <f t="shared" ref="S17:T17" si="7">SUM(S4:S16)</f>
        <v>70</v>
      </c>
      <c r="T17" s="42">
        <f t="shared" si="7"/>
        <v>8657</v>
      </c>
      <c r="U17" s="40"/>
      <c r="V17" s="42">
        <f>SUM(V3:V16)</f>
        <v>22044.955000000002</v>
      </c>
    </row>
    <row r="19" spans="1:22">
      <c r="A19" s="457" t="s">
        <v>239</v>
      </c>
      <c r="B19" s="458"/>
      <c r="C19" s="458"/>
      <c r="D19" s="458"/>
      <c r="E19" s="458"/>
      <c r="F19" s="458"/>
      <c r="G19" s="458"/>
      <c r="H19" s="458"/>
      <c r="I19" s="458"/>
      <c r="J19" s="458"/>
      <c r="K19" s="458"/>
      <c r="L19" s="458"/>
      <c r="M19" s="458"/>
      <c r="N19" s="458"/>
      <c r="O19" s="458"/>
      <c r="P19" s="458"/>
      <c r="Q19" s="458"/>
      <c r="R19" s="458"/>
      <c r="S19" s="458"/>
      <c r="T19" s="458"/>
      <c r="U19" s="458"/>
      <c r="V19" s="459"/>
    </row>
    <row r="20" spans="1:22">
      <c r="A20" s="1" t="s">
        <v>0</v>
      </c>
      <c r="B20" s="2" t="s">
        <v>1</v>
      </c>
      <c r="C20" s="2" t="s">
        <v>183</v>
      </c>
      <c r="D20" s="2" t="s">
        <v>3</v>
      </c>
      <c r="E20" s="2" t="s">
        <v>2</v>
      </c>
      <c r="F20" s="2" t="s">
        <v>4</v>
      </c>
      <c r="G20" s="2" t="s">
        <v>6</v>
      </c>
      <c r="H20" s="2"/>
      <c r="I20" s="2" t="s">
        <v>7</v>
      </c>
      <c r="J20" s="2" t="s">
        <v>9</v>
      </c>
      <c r="K20" s="2" t="s">
        <v>106</v>
      </c>
      <c r="L20" s="2" t="s">
        <v>107</v>
      </c>
      <c r="M20" s="2" t="s">
        <v>5</v>
      </c>
      <c r="N20" s="2" t="s">
        <v>12</v>
      </c>
      <c r="O20" s="2" t="s">
        <v>184</v>
      </c>
      <c r="P20" s="2"/>
      <c r="Q20" s="2" t="s">
        <v>108</v>
      </c>
      <c r="R20" s="2" t="s">
        <v>8</v>
      </c>
      <c r="S20" s="12" t="s">
        <v>185</v>
      </c>
      <c r="T20" s="2" t="s">
        <v>13</v>
      </c>
      <c r="U20" s="2"/>
      <c r="V20" s="14" t="s">
        <v>98</v>
      </c>
    </row>
    <row r="21" spans="1:22">
      <c r="A21" s="18" t="s">
        <v>211</v>
      </c>
      <c r="B21" s="19">
        <v>465188</v>
      </c>
      <c r="C21" s="20" t="s">
        <v>186</v>
      </c>
      <c r="D21" s="19">
        <v>4</v>
      </c>
      <c r="E21" s="21">
        <v>4250</v>
      </c>
      <c r="F21" s="21">
        <v>748</v>
      </c>
      <c r="G21" s="21">
        <v>850</v>
      </c>
      <c r="H21" s="21"/>
      <c r="I21" s="21">
        <v>1235.3</v>
      </c>
      <c r="J21" s="19">
        <v>1616</v>
      </c>
      <c r="K21" s="21">
        <f t="shared" ref="K21:K35" si="8">J21*0.071</f>
        <v>114.73599999999999</v>
      </c>
      <c r="L21" s="21">
        <f>J21*0.17</f>
        <v>274.72000000000003</v>
      </c>
      <c r="M21" s="21">
        <v>198.5</v>
      </c>
      <c r="N21" s="21">
        <v>450</v>
      </c>
      <c r="O21" s="21">
        <v>26.25</v>
      </c>
      <c r="P21" s="21"/>
      <c r="Q21" s="21">
        <f t="shared" ref="Q21:Q36" si="9">E21*0.01</f>
        <v>42.5</v>
      </c>
      <c r="R21" s="21"/>
      <c r="S21" s="21">
        <v>0</v>
      </c>
      <c r="T21" s="21">
        <f>E21*0.22-K21-F21-N21-M21-Q21</f>
        <v>-618.73599999999999</v>
      </c>
      <c r="U21" s="21"/>
      <c r="V21" s="21">
        <f>E21*0.78-G21-I21-L21-O21-R21</f>
        <v>928.73</v>
      </c>
    </row>
    <row r="22" spans="1:22">
      <c r="A22" s="22" t="s">
        <v>240</v>
      </c>
      <c r="B22" s="23">
        <v>352368</v>
      </c>
      <c r="C22" s="24" t="s">
        <v>197</v>
      </c>
      <c r="D22" s="23">
        <v>0</v>
      </c>
      <c r="E22" s="25">
        <v>0</v>
      </c>
      <c r="F22" s="25">
        <v>666.5</v>
      </c>
      <c r="G22" s="25">
        <v>0</v>
      </c>
      <c r="H22" s="25"/>
      <c r="I22" s="25">
        <v>914.09</v>
      </c>
      <c r="J22" s="23"/>
      <c r="K22" s="25">
        <f t="shared" si="8"/>
        <v>0</v>
      </c>
      <c r="L22" s="25">
        <v>0</v>
      </c>
      <c r="M22" s="25">
        <v>163.25</v>
      </c>
      <c r="N22" s="25">
        <v>450</v>
      </c>
      <c r="O22" s="25">
        <v>32.5</v>
      </c>
      <c r="P22" s="25"/>
      <c r="Q22" s="25">
        <f t="shared" si="9"/>
        <v>0</v>
      </c>
      <c r="R22" s="25">
        <v>13.25</v>
      </c>
      <c r="S22" s="25">
        <v>7</v>
      </c>
      <c r="T22" s="25">
        <f>E22-J22*0.75-K22-M22-N22-O22-Q22-I22-F22</f>
        <v>-2226.34</v>
      </c>
      <c r="U22" s="25"/>
      <c r="V22" s="25">
        <f>J22*0.75</f>
        <v>0</v>
      </c>
    </row>
    <row r="23" spans="1:22">
      <c r="A23" s="18" t="s">
        <v>215</v>
      </c>
      <c r="B23" s="19">
        <v>465184</v>
      </c>
      <c r="C23" s="20" t="s">
        <v>186</v>
      </c>
      <c r="D23" s="19">
        <v>7</v>
      </c>
      <c r="E23" s="21">
        <v>9100</v>
      </c>
      <c r="F23" s="21">
        <v>748</v>
      </c>
      <c r="G23" s="21">
        <v>850</v>
      </c>
      <c r="H23" s="21"/>
      <c r="I23" s="21">
        <v>2346.11</v>
      </c>
      <c r="J23" s="19">
        <v>3124</v>
      </c>
      <c r="K23" s="21">
        <f t="shared" si="8"/>
        <v>221.80399999999997</v>
      </c>
      <c r="L23" s="21">
        <f>J23*0.17</f>
        <v>531.08000000000004</v>
      </c>
      <c r="M23" s="21">
        <v>198.5</v>
      </c>
      <c r="N23" s="21">
        <v>450</v>
      </c>
      <c r="O23" s="21">
        <v>40</v>
      </c>
      <c r="P23" s="21"/>
      <c r="Q23" s="21">
        <f t="shared" si="9"/>
        <v>91</v>
      </c>
      <c r="R23" s="21">
        <v>22.08</v>
      </c>
      <c r="S23" s="21">
        <v>0</v>
      </c>
      <c r="T23" s="21">
        <f>E23*0.22-M23-N23-Q23-K23</f>
        <v>1040.6959999999999</v>
      </c>
      <c r="U23" s="21"/>
      <c r="V23" s="21">
        <f>E23*0.78-G23-L23-O23-R23-I23</f>
        <v>3308.73</v>
      </c>
    </row>
    <row r="24" spans="1:22">
      <c r="A24" s="22" t="s">
        <v>200</v>
      </c>
      <c r="B24" s="23">
        <v>352377</v>
      </c>
      <c r="C24" s="24" t="s">
        <v>197</v>
      </c>
      <c r="D24" s="23">
        <v>7</v>
      </c>
      <c r="E24" s="25">
        <v>8205</v>
      </c>
      <c r="F24" s="25">
        <v>666.5</v>
      </c>
      <c r="G24" s="25">
        <v>0</v>
      </c>
      <c r="H24" s="25"/>
      <c r="I24" s="25">
        <v>2307.13</v>
      </c>
      <c r="J24" s="23">
        <v>3018</v>
      </c>
      <c r="K24" s="25">
        <f t="shared" si="8"/>
        <v>214.27799999999999</v>
      </c>
      <c r="L24" s="25">
        <v>0</v>
      </c>
      <c r="M24" s="25">
        <v>198.5</v>
      </c>
      <c r="N24" s="25">
        <v>450</v>
      </c>
      <c r="O24" s="25">
        <v>32.5</v>
      </c>
      <c r="P24" s="25"/>
      <c r="Q24" s="25">
        <f t="shared" si="9"/>
        <v>82.05</v>
      </c>
      <c r="R24" s="25">
        <v>76.69</v>
      </c>
      <c r="S24" s="25">
        <v>7</v>
      </c>
      <c r="T24" s="25">
        <f>E24-J24*0.75-K24-F24-M24-N24-O24-Q24-I24-R24</f>
        <v>1913.8519999999994</v>
      </c>
      <c r="U24" s="25"/>
      <c r="V24" s="25">
        <f>J24*0.75</f>
        <v>2263.5</v>
      </c>
    </row>
    <row r="25" spans="1:22">
      <c r="A25" s="18" t="s">
        <v>217</v>
      </c>
      <c r="B25" s="19">
        <v>465180</v>
      </c>
      <c r="C25" s="20" t="s">
        <v>186</v>
      </c>
      <c r="D25" s="19">
        <v>7</v>
      </c>
      <c r="E25" s="21">
        <v>10100</v>
      </c>
      <c r="F25" s="21">
        <v>748</v>
      </c>
      <c r="G25" s="21">
        <v>850</v>
      </c>
      <c r="H25" s="21"/>
      <c r="I25" s="21">
        <v>3213.95</v>
      </c>
      <c r="J25" s="19">
        <v>3409</v>
      </c>
      <c r="K25" s="21">
        <f t="shared" si="8"/>
        <v>242.03899999999999</v>
      </c>
      <c r="L25" s="21">
        <f>J25*0.17</f>
        <v>579.53000000000009</v>
      </c>
      <c r="M25" s="21">
        <v>198.5</v>
      </c>
      <c r="N25" s="21">
        <v>450</v>
      </c>
      <c r="O25" s="21">
        <v>26.25</v>
      </c>
      <c r="P25" s="21"/>
      <c r="Q25" s="21">
        <f t="shared" si="9"/>
        <v>101</v>
      </c>
      <c r="R25" s="21"/>
      <c r="S25" s="21">
        <v>0</v>
      </c>
      <c r="T25" s="21">
        <f>E25*0.22-M25-N25-Q25-K25</f>
        <v>1230.461</v>
      </c>
      <c r="U25" s="21"/>
      <c r="V25" s="21">
        <f>E25*0.78-I25-G25-L25</f>
        <v>3234.52</v>
      </c>
    </row>
    <row r="26" spans="1:22">
      <c r="A26" s="22" t="s">
        <v>218</v>
      </c>
      <c r="B26" s="23">
        <v>352372</v>
      </c>
      <c r="C26" s="24" t="s">
        <v>197</v>
      </c>
      <c r="D26" s="23">
        <v>7</v>
      </c>
      <c r="E26" s="25">
        <v>10450</v>
      </c>
      <c r="F26" s="25">
        <v>666.5</v>
      </c>
      <c r="G26" s="25">
        <v>0</v>
      </c>
      <c r="H26" s="25"/>
      <c r="I26" s="25">
        <v>3993.4</v>
      </c>
      <c r="J26" s="23">
        <v>3833</v>
      </c>
      <c r="K26" s="25">
        <f t="shared" si="8"/>
        <v>272.14299999999997</v>
      </c>
      <c r="L26" s="25">
        <v>0</v>
      </c>
      <c r="M26" s="25">
        <v>163.25</v>
      </c>
      <c r="N26" s="25">
        <v>450</v>
      </c>
      <c r="O26" s="25">
        <v>40</v>
      </c>
      <c r="P26" s="25"/>
      <c r="Q26" s="25">
        <f t="shared" si="9"/>
        <v>104.5</v>
      </c>
      <c r="R26" s="25"/>
      <c r="S26" s="25">
        <v>7</v>
      </c>
      <c r="T26" s="25">
        <f>E26-F26-K26-(J26*0.75)-M26-N26-O26-Q26-I26-S26-R26</f>
        <v>1878.4569999999999</v>
      </c>
      <c r="U26" s="25"/>
      <c r="V26" s="25">
        <f t="shared" ref="V26:V35" si="10">J26*0.75</f>
        <v>2874.75</v>
      </c>
    </row>
    <row r="27" spans="1:22">
      <c r="A27" s="22" t="s">
        <v>220</v>
      </c>
      <c r="B27" s="23">
        <v>465185</v>
      </c>
      <c r="C27" s="24" t="s">
        <v>197</v>
      </c>
      <c r="D27" s="23">
        <v>1</v>
      </c>
      <c r="E27" s="25">
        <v>1200</v>
      </c>
      <c r="F27" s="25">
        <v>748</v>
      </c>
      <c r="G27" s="25">
        <v>0</v>
      </c>
      <c r="H27" s="25"/>
      <c r="I27" s="25"/>
      <c r="J27" s="23">
        <v>388</v>
      </c>
      <c r="K27" s="25">
        <f t="shared" si="8"/>
        <v>27.547999999999998</v>
      </c>
      <c r="L27" s="25">
        <v>0</v>
      </c>
      <c r="M27" s="25">
        <v>163.25</v>
      </c>
      <c r="N27" s="25">
        <v>450</v>
      </c>
      <c r="O27" s="25">
        <v>40</v>
      </c>
      <c r="P27" s="25"/>
      <c r="Q27" s="25">
        <f t="shared" si="9"/>
        <v>12</v>
      </c>
      <c r="R27" s="25"/>
      <c r="S27" s="25">
        <v>7</v>
      </c>
      <c r="T27" s="25">
        <f>E27-F27-I27-K27-M27-N27-O27-Q27-J27*0.75-R27</f>
        <v>-531.798</v>
      </c>
      <c r="U27" s="25"/>
      <c r="V27" s="25">
        <f t="shared" si="10"/>
        <v>291</v>
      </c>
    </row>
    <row r="28" spans="1:22">
      <c r="A28" s="22" t="s">
        <v>235</v>
      </c>
      <c r="B28" s="23">
        <v>352371</v>
      </c>
      <c r="C28" s="24" t="s">
        <v>197</v>
      </c>
      <c r="D28" s="23">
        <v>7</v>
      </c>
      <c r="E28" s="25">
        <v>9250</v>
      </c>
      <c r="F28" s="25">
        <v>666.5</v>
      </c>
      <c r="G28" s="25">
        <v>850</v>
      </c>
      <c r="H28" s="25"/>
      <c r="I28" s="25">
        <v>3745.47</v>
      </c>
      <c r="J28" s="23">
        <v>3786</v>
      </c>
      <c r="K28" s="25">
        <f t="shared" si="8"/>
        <v>268.80599999999998</v>
      </c>
      <c r="L28" s="25">
        <v>0</v>
      </c>
      <c r="M28" s="25">
        <v>163.25</v>
      </c>
      <c r="N28" s="25">
        <v>450</v>
      </c>
      <c r="O28" s="25">
        <v>32.5</v>
      </c>
      <c r="P28" s="25"/>
      <c r="Q28" s="25">
        <f t="shared" si="9"/>
        <v>92.5</v>
      </c>
      <c r="R28" s="25">
        <v>181.64</v>
      </c>
      <c r="S28" s="25">
        <v>0</v>
      </c>
      <c r="T28" s="25">
        <f>E28-(J28*0.75)-K28-F28-M28-N28-O28-Q28-I28</f>
        <v>991.47400000000061</v>
      </c>
      <c r="U28" s="25"/>
      <c r="V28" s="25">
        <f t="shared" si="10"/>
        <v>2839.5</v>
      </c>
    </row>
    <row r="29" spans="1:22">
      <c r="A29" s="22" t="s">
        <v>223</v>
      </c>
      <c r="B29" s="23">
        <v>465183</v>
      </c>
      <c r="C29" s="24" t="s">
        <v>197</v>
      </c>
      <c r="D29" s="23">
        <v>0</v>
      </c>
      <c r="E29" s="25">
        <v>0</v>
      </c>
      <c r="F29" s="25">
        <v>748</v>
      </c>
      <c r="G29" s="25">
        <v>0</v>
      </c>
      <c r="H29" s="25"/>
      <c r="I29" s="25"/>
      <c r="J29" s="23">
        <v>0</v>
      </c>
      <c r="K29" s="25">
        <f t="shared" si="8"/>
        <v>0</v>
      </c>
      <c r="L29" s="25">
        <v>0</v>
      </c>
      <c r="M29" s="25">
        <v>163.25</v>
      </c>
      <c r="N29" s="25">
        <v>450</v>
      </c>
      <c r="O29" s="25">
        <v>26.25</v>
      </c>
      <c r="P29" s="25"/>
      <c r="Q29" s="25">
        <f t="shared" si="9"/>
        <v>0</v>
      </c>
      <c r="R29" s="25"/>
      <c r="S29" s="25">
        <v>7</v>
      </c>
      <c r="T29" s="25">
        <f t="shared" ref="T29:T30" si="11">E29-F29-I29-K29-M29-N29-O29-Q29-J29*0.75-R29</f>
        <v>-1387.5</v>
      </c>
      <c r="U29" s="25"/>
      <c r="V29" s="25">
        <f t="shared" si="10"/>
        <v>0</v>
      </c>
    </row>
    <row r="30" spans="1:22">
      <c r="A30" s="22" t="s">
        <v>224</v>
      </c>
      <c r="B30" s="23">
        <v>465187</v>
      </c>
      <c r="C30" s="24" t="s">
        <v>197</v>
      </c>
      <c r="D30" s="23">
        <v>0</v>
      </c>
      <c r="E30" s="25">
        <v>0</v>
      </c>
      <c r="F30" s="25">
        <v>748</v>
      </c>
      <c r="G30" s="25">
        <v>0</v>
      </c>
      <c r="H30" s="25"/>
      <c r="I30" s="25">
        <v>1038.8399999999999</v>
      </c>
      <c r="J30" s="23">
        <v>0</v>
      </c>
      <c r="K30" s="25">
        <f t="shared" si="8"/>
        <v>0</v>
      </c>
      <c r="L30" s="25">
        <v>0</v>
      </c>
      <c r="M30" s="25">
        <v>163.25</v>
      </c>
      <c r="N30" s="25">
        <v>450</v>
      </c>
      <c r="O30" s="25">
        <v>40</v>
      </c>
      <c r="P30" s="25"/>
      <c r="Q30" s="25">
        <f t="shared" si="9"/>
        <v>0</v>
      </c>
      <c r="R30" s="25"/>
      <c r="S30" s="25">
        <v>7</v>
      </c>
      <c r="T30" s="25">
        <f t="shared" si="11"/>
        <v>-2440.09</v>
      </c>
      <c r="U30" s="25"/>
      <c r="V30" s="25">
        <f t="shared" si="10"/>
        <v>0</v>
      </c>
    </row>
    <row r="31" spans="1:22">
      <c r="A31" s="22" t="s">
        <v>207</v>
      </c>
      <c r="B31" s="23">
        <v>465186</v>
      </c>
      <c r="C31" s="24" t="s">
        <v>197</v>
      </c>
      <c r="D31" s="23">
        <v>6</v>
      </c>
      <c r="E31" s="25">
        <v>5350</v>
      </c>
      <c r="F31" s="25">
        <v>748</v>
      </c>
      <c r="G31" s="25">
        <v>0</v>
      </c>
      <c r="H31" s="25"/>
      <c r="I31" s="25">
        <v>2442.91</v>
      </c>
      <c r="J31" s="23">
        <v>2304</v>
      </c>
      <c r="K31" s="25">
        <f t="shared" si="8"/>
        <v>163.58399999999997</v>
      </c>
      <c r="L31" s="25">
        <v>0</v>
      </c>
      <c r="M31" s="25">
        <v>163.25</v>
      </c>
      <c r="N31" s="25">
        <v>450</v>
      </c>
      <c r="O31" s="25">
        <v>26.25</v>
      </c>
      <c r="P31" s="25"/>
      <c r="Q31" s="25">
        <f t="shared" si="9"/>
        <v>53.5</v>
      </c>
      <c r="R31" s="25"/>
      <c r="S31" s="25">
        <v>7</v>
      </c>
      <c r="T31" s="25">
        <f>E31-F31-I31-J31*0.75-K31-M31-N31-O31-Q31-R31-S31</f>
        <v>-432.4939999999998</v>
      </c>
      <c r="U31" s="25"/>
      <c r="V31" s="25">
        <f t="shared" si="10"/>
        <v>1728</v>
      </c>
    </row>
    <row r="32" spans="1:22">
      <c r="A32" s="22" t="s">
        <v>208</v>
      </c>
      <c r="B32" s="23">
        <v>465189</v>
      </c>
      <c r="C32" s="24" t="s">
        <v>197</v>
      </c>
      <c r="D32" s="23">
        <v>6</v>
      </c>
      <c r="E32" s="25">
        <v>5750</v>
      </c>
      <c r="F32" s="25">
        <v>748</v>
      </c>
      <c r="G32" s="25">
        <v>0</v>
      </c>
      <c r="H32" s="25"/>
      <c r="I32" s="25">
        <v>2413.41</v>
      </c>
      <c r="J32" s="23">
        <v>2174</v>
      </c>
      <c r="K32" s="25">
        <f t="shared" si="8"/>
        <v>154.35399999999998</v>
      </c>
      <c r="L32" s="25">
        <v>0</v>
      </c>
      <c r="M32" s="25">
        <v>163.25</v>
      </c>
      <c r="N32" s="25">
        <v>450</v>
      </c>
      <c r="O32" s="25">
        <v>26.25</v>
      </c>
      <c r="P32" s="25"/>
      <c r="Q32" s="25">
        <f t="shared" si="9"/>
        <v>57.5</v>
      </c>
      <c r="R32" s="25"/>
      <c r="S32" s="25">
        <v>7</v>
      </c>
      <c r="T32" s="25">
        <f t="shared" ref="T32:T35" si="12">E32-F32-I32-J32*0.75-M32-N32-O32-Q32-R32-S32</f>
        <v>254.09000000000015</v>
      </c>
      <c r="U32" s="25"/>
      <c r="V32" s="25">
        <f t="shared" si="10"/>
        <v>1630.5</v>
      </c>
    </row>
    <row r="33" spans="1:22">
      <c r="A33" s="34" t="s">
        <v>232</v>
      </c>
      <c r="B33" s="23">
        <v>465181</v>
      </c>
      <c r="C33" s="34" t="s">
        <v>197</v>
      </c>
      <c r="D33" s="47">
        <v>5</v>
      </c>
      <c r="E33" s="35">
        <v>3900</v>
      </c>
      <c r="F33" s="25">
        <v>748</v>
      </c>
      <c r="G33" s="25">
        <v>0</v>
      </c>
      <c r="H33" s="36"/>
      <c r="I33" s="37">
        <v>2165.0100000000002</v>
      </c>
      <c r="J33" s="47">
        <v>1621</v>
      </c>
      <c r="K33" s="25">
        <f t="shared" si="8"/>
        <v>115.09099999999999</v>
      </c>
      <c r="L33" s="25">
        <v>0</v>
      </c>
      <c r="M33" s="25">
        <v>163.25</v>
      </c>
      <c r="N33" s="25">
        <v>450</v>
      </c>
      <c r="O33" s="25">
        <v>26.25</v>
      </c>
      <c r="P33" s="25"/>
      <c r="Q33" s="25">
        <f t="shared" si="9"/>
        <v>39</v>
      </c>
      <c r="R33" s="34"/>
      <c r="S33" s="25">
        <v>7</v>
      </c>
      <c r="T33" s="35">
        <f t="shared" si="12"/>
        <v>-914.26000000000022</v>
      </c>
      <c r="U33" s="35"/>
      <c r="V33" s="35">
        <f t="shared" si="10"/>
        <v>1215.75</v>
      </c>
    </row>
    <row r="34" spans="1:22">
      <c r="A34" s="22" t="s">
        <v>241</v>
      </c>
      <c r="B34" s="23">
        <v>352374</v>
      </c>
      <c r="C34" s="24" t="s">
        <v>197</v>
      </c>
      <c r="D34" s="23">
        <v>2</v>
      </c>
      <c r="E34" s="25">
        <v>1950</v>
      </c>
      <c r="F34" s="25">
        <v>748</v>
      </c>
      <c r="G34" s="25">
        <v>0</v>
      </c>
      <c r="H34" s="25"/>
      <c r="I34" s="25">
        <v>348.56</v>
      </c>
      <c r="J34" s="23">
        <v>1044</v>
      </c>
      <c r="K34" s="25">
        <f t="shared" si="8"/>
        <v>74.123999999999995</v>
      </c>
      <c r="L34" s="25">
        <v>0</v>
      </c>
      <c r="M34" s="25">
        <v>163.25</v>
      </c>
      <c r="N34" s="25">
        <v>450</v>
      </c>
      <c r="O34" s="25">
        <v>26.25</v>
      </c>
      <c r="P34" s="25"/>
      <c r="Q34" s="25">
        <f t="shared" si="9"/>
        <v>19.5</v>
      </c>
      <c r="R34" s="25">
        <v>16.559999999999999</v>
      </c>
      <c r="S34" s="25">
        <v>7</v>
      </c>
      <c r="T34" s="25">
        <f t="shared" si="12"/>
        <v>-612.11999999999989</v>
      </c>
      <c r="U34" s="25"/>
      <c r="V34" s="25">
        <f t="shared" si="10"/>
        <v>783</v>
      </c>
    </row>
    <row r="35" spans="1:22">
      <c r="A35" s="22" t="s">
        <v>242</v>
      </c>
      <c r="B35" s="23">
        <v>359886</v>
      </c>
      <c r="C35" s="24" t="s">
        <v>197</v>
      </c>
      <c r="D35" s="23">
        <v>3</v>
      </c>
      <c r="E35" s="25">
        <v>2325</v>
      </c>
      <c r="F35" s="25">
        <v>748</v>
      </c>
      <c r="G35" s="25">
        <v>0</v>
      </c>
      <c r="H35" s="25"/>
      <c r="I35" s="25">
        <v>1270.28</v>
      </c>
      <c r="J35" s="23">
        <v>1134</v>
      </c>
      <c r="K35" s="25">
        <f t="shared" si="8"/>
        <v>80.513999999999996</v>
      </c>
      <c r="L35" s="25">
        <v>0</v>
      </c>
      <c r="M35" s="25">
        <v>163.25</v>
      </c>
      <c r="N35" s="25">
        <v>450</v>
      </c>
      <c r="O35" s="25">
        <v>26.25</v>
      </c>
      <c r="P35" s="25"/>
      <c r="Q35" s="25">
        <f t="shared" si="9"/>
        <v>23.25</v>
      </c>
      <c r="R35" s="25"/>
      <c r="S35" s="25">
        <v>7</v>
      </c>
      <c r="T35" s="25">
        <f t="shared" si="12"/>
        <v>-1213.53</v>
      </c>
      <c r="U35" s="25"/>
      <c r="V35" s="25">
        <f t="shared" si="10"/>
        <v>850.5</v>
      </c>
    </row>
    <row r="36" spans="1:22">
      <c r="A36" s="39" t="s">
        <v>89</v>
      </c>
      <c r="B36" s="40">
        <v>15</v>
      </c>
      <c r="C36" s="41" t="s">
        <v>243</v>
      </c>
      <c r="D36" s="40">
        <f>AVERAGE(D21:D35)</f>
        <v>4.1333333333333337</v>
      </c>
      <c r="E36" s="42">
        <f>SUM(E21:E35)</f>
        <v>71830</v>
      </c>
      <c r="F36" s="42">
        <f>SUM(F23:F35)</f>
        <v>9479.5</v>
      </c>
      <c r="G36" s="42">
        <f>SUM(G23:G32)</f>
        <v>2550</v>
      </c>
      <c r="H36" s="42"/>
      <c r="I36" s="42">
        <f>SUM(I21:I35)</f>
        <v>27434.460000000003</v>
      </c>
      <c r="J36" s="40">
        <f>AVERAGE(J21:J35)</f>
        <v>1960.7857142857142</v>
      </c>
      <c r="K36" s="42">
        <f t="shared" ref="K36:O36" si="13">SUM(K23:K35)</f>
        <v>1834.2849999999999</v>
      </c>
      <c r="L36" s="42">
        <f t="shared" si="13"/>
        <v>1110.6100000000001</v>
      </c>
      <c r="M36" s="42">
        <f t="shared" si="13"/>
        <v>2228</v>
      </c>
      <c r="N36" s="42">
        <f t="shared" si="13"/>
        <v>5850</v>
      </c>
      <c r="O36" s="42">
        <f t="shared" si="13"/>
        <v>408.75</v>
      </c>
      <c r="P36" s="42"/>
      <c r="Q36" s="42">
        <f t="shared" si="9"/>
        <v>718.30000000000007</v>
      </c>
      <c r="R36" s="42"/>
      <c r="S36" s="42">
        <f t="shared" ref="S36:T36" si="14">SUM(S23:S35)</f>
        <v>70</v>
      </c>
      <c r="T36" s="42">
        <f t="shared" si="14"/>
        <v>-222.76199999999994</v>
      </c>
      <c r="U36" s="40"/>
      <c r="V36" s="42">
        <f>SUM(V22:V35)</f>
        <v>21019.75</v>
      </c>
    </row>
    <row r="38" spans="1:22">
      <c r="A38" s="457" t="s">
        <v>244</v>
      </c>
      <c r="B38" s="458"/>
      <c r="C38" s="458"/>
      <c r="D38" s="458"/>
      <c r="E38" s="458"/>
      <c r="F38" s="458"/>
      <c r="G38" s="458"/>
      <c r="H38" s="458"/>
      <c r="I38" s="458"/>
      <c r="J38" s="458"/>
      <c r="K38" s="458"/>
      <c r="L38" s="458"/>
      <c r="M38" s="458"/>
      <c r="N38" s="458"/>
      <c r="O38" s="458"/>
      <c r="P38" s="458"/>
      <c r="Q38" s="458"/>
      <c r="R38" s="458"/>
      <c r="S38" s="458"/>
      <c r="T38" s="458"/>
      <c r="U38" s="458"/>
      <c r="V38" s="459"/>
    </row>
    <row r="39" spans="1:22">
      <c r="A39" s="1" t="s">
        <v>0</v>
      </c>
      <c r="B39" s="2" t="s">
        <v>1</v>
      </c>
      <c r="C39" s="2" t="s">
        <v>183</v>
      </c>
      <c r="D39" s="2" t="s">
        <v>3</v>
      </c>
      <c r="E39" s="2" t="s">
        <v>2</v>
      </c>
      <c r="F39" s="2" t="s">
        <v>4</v>
      </c>
      <c r="G39" s="2" t="s">
        <v>6</v>
      </c>
      <c r="H39" s="2"/>
      <c r="I39" s="2" t="s">
        <v>7</v>
      </c>
      <c r="J39" s="2" t="s">
        <v>9</v>
      </c>
      <c r="K39" s="2" t="s">
        <v>106</v>
      </c>
      <c r="L39" s="2" t="s">
        <v>107</v>
      </c>
      <c r="M39" s="2" t="s">
        <v>5</v>
      </c>
      <c r="N39" s="2" t="s">
        <v>12</v>
      </c>
      <c r="O39" s="2" t="s">
        <v>184</v>
      </c>
      <c r="P39" s="2"/>
      <c r="Q39" s="2" t="s">
        <v>108</v>
      </c>
      <c r="R39" s="2" t="s">
        <v>8</v>
      </c>
      <c r="S39" s="12" t="s">
        <v>185</v>
      </c>
      <c r="T39" s="2" t="s">
        <v>13</v>
      </c>
      <c r="U39" s="2"/>
      <c r="V39" s="14" t="s">
        <v>98</v>
      </c>
    </row>
    <row r="40" spans="1:22">
      <c r="A40" s="18" t="s">
        <v>211</v>
      </c>
      <c r="B40" s="19">
        <v>465188</v>
      </c>
      <c r="C40" s="20" t="s">
        <v>186</v>
      </c>
      <c r="D40" s="19">
        <v>7</v>
      </c>
      <c r="E40" s="21">
        <v>9700</v>
      </c>
      <c r="F40" s="21">
        <v>748</v>
      </c>
      <c r="G40" s="21">
        <v>850</v>
      </c>
      <c r="H40" s="21"/>
      <c r="I40" s="21">
        <v>2406.6799999999998</v>
      </c>
      <c r="J40" s="19">
        <v>3649</v>
      </c>
      <c r="K40" s="21">
        <f t="shared" ref="K40:K55" si="15">J40*0.071</f>
        <v>259.07899999999995</v>
      </c>
      <c r="L40" s="21">
        <f>J40*0.17</f>
        <v>620.33000000000004</v>
      </c>
      <c r="M40" s="21">
        <v>198.5</v>
      </c>
      <c r="N40" s="21">
        <v>450</v>
      </c>
      <c r="O40" s="21">
        <v>26.25</v>
      </c>
      <c r="P40" s="21"/>
      <c r="Q40" s="21">
        <f t="shared" ref="Q40:Q56" si="16">E40*0.01</f>
        <v>97</v>
      </c>
      <c r="R40" s="21"/>
      <c r="S40" s="21">
        <v>0</v>
      </c>
      <c r="T40" s="21">
        <f>E40*0.22-K40-F40-N40-M40-Q40</f>
        <v>381.42100000000005</v>
      </c>
      <c r="U40" s="21"/>
      <c r="V40" s="21">
        <f>E40*0.78-G40-I40-L40-O40-R40</f>
        <v>3662.74</v>
      </c>
    </row>
    <row r="41" spans="1:22">
      <c r="A41" s="22" t="s">
        <v>240</v>
      </c>
      <c r="B41" s="23">
        <v>352368</v>
      </c>
      <c r="C41" s="24" t="s">
        <v>197</v>
      </c>
      <c r="D41" s="23">
        <v>2</v>
      </c>
      <c r="E41" s="25">
        <v>3000</v>
      </c>
      <c r="F41" s="25">
        <v>666.5</v>
      </c>
      <c r="G41" s="25">
        <v>0</v>
      </c>
      <c r="H41" s="25"/>
      <c r="I41" s="25">
        <v>331.59</v>
      </c>
      <c r="J41" s="53">
        <v>1330</v>
      </c>
      <c r="K41" s="25">
        <f t="shared" si="15"/>
        <v>94.429999999999993</v>
      </c>
      <c r="L41" s="25">
        <v>0</v>
      </c>
      <c r="M41" s="25">
        <v>163.25</v>
      </c>
      <c r="N41" s="25">
        <v>450</v>
      </c>
      <c r="O41" s="25">
        <v>32.5</v>
      </c>
      <c r="P41" s="25"/>
      <c r="Q41" s="25">
        <f t="shared" si="16"/>
        <v>30</v>
      </c>
      <c r="R41" s="25">
        <v>13.25</v>
      </c>
      <c r="S41" s="25">
        <v>7</v>
      </c>
      <c r="T41" s="25">
        <f>E41-J41*0.75-K41-M41-N41-O41-Q41-I41-F41</f>
        <v>234.23000000000002</v>
      </c>
      <c r="U41" s="25"/>
      <c r="V41" s="25">
        <f>J41*0.75</f>
        <v>997.5</v>
      </c>
    </row>
    <row r="42" spans="1:22">
      <c r="A42" s="18" t="s">
        <v>215</v>
      </c>
      <c r="B42" s="19">
        <v>465184</v>
      </c>
      <c r="C42" s="20" t="s">
        <v>186</v>
      </c>
      <c r="D42" s="19">
        <v>7</v>
      </c>
      <c r="E42" s="21">
        <v>6950</v>
      </c>
      <c r="F42" s="21">
        <v>748</v>
      </c>
      <c r="G42" s="21">
        <v>850</v>
      </c>
      <c r="H42" s="21"/>
      <c r="I42" s="21">
        <v>1719.03</v>
      </c>
      <c r="J42" s="19">
        <v>2830</v>
      </c>
      <c r="K42" s="21">
        <f t="shared" si="15"/>
        <v>200.92999999999998</v>
      </c>
      <c r="L42" s="21">
        <f>J42*0.17</f>
        <v>481.1</v>
      </c>
      <c r="M42" s="21">
        <v>198.5</v>
      </c>
      <c r="N42" s="21">
        <v>450</v>
      </c>
      <c r="O42" s="21">
        <v>40</v>
      </c>
      <c r="P42" s="21"/>
      <c r="Q42" s="21">
        <f t="shared" si="16"/>
        <v>69.5</v>
      </c>
      <c r="R42" s="21">
        <v>9.3000000000000007</v>
      </c>
      <c r="S42" s="21">
        <v>0</v>
      </c>
      <c r="T42" s="21">
        <f>E42*0.22-M42-N42-Q42-K42</f>
        <v>610.07000000000005</v>
      </c>
      <c r="U42" s="21"/>
      <c r="V42" s="21">
        <f>E42*0.78-G42-L42-O42-R42-I42</f>
        <v>2321.5699999999997</v>
      </c>
    </row>
    <row r="43" spans="1:22">
      <c r="A43" s="22" t="s">
        <v>200</v>
      </c>
      <c r="B43" s="23">
        <v>352377</v>
      </c>
      <c r="C43" s="24" t="s">
        <v>197</v>
      </c>
      <c r="D43" s="23">
        <v>5</v>
      </c>
      <c r="E43" s="25">
        <v>6400</v>
      </c>
      <c r="F43" s="25">
        <v>666.5</v>
      </c>
      <c r="G43" s="25">
        <v>0</v>
      </c>
      <c r="H43" s="25"/>
      <c r="I43" s="25">
        <v>2552.46</v>
      </c>
      <c r="J43" s="23">
        <v>2178</v>
      </c>
      <c r="K43" s="25">
        <f t="shared" si="15"/>
        <v>154.63799999999998</v>
      </c>
      <c r="L43" s="25">
        <v>0</v>
      </c>
      <c r="M43" s="25">
        <v>198.5</v>
      </c>
      <c r="N43" s="25">
        <v>450</v>
      </c>
      <c r="O43" s="25">
        <v>32.5</v>
      </c>
      <c r="P43" s="25"/>
      <c r="Q43" s="25">
        <f t="shared" si="16"/>
        <v>64</v>
      </c>
      <c r="R43" s="25">
        <v>41.43</v>
      </c>
      <c r="S43" s="25">
        <v>7</v>
      </c>
      <c r="T43" s="25">
        <f>E43-J43*0.75-K43-F43-M43-N43-O43-Q43-I43-R43</f>
        <v>606.47200000000009</v>
      </c>
      <c r="U43" s="25"/>
      <c r="V43" s="25">
        <f>J43*0.75</f>
        <v>1633.5</v>
      </c>
    </row>
    <row r="44" spans="1:22">
      <c r="A44" s="18" t="s">
        <v>217</v>
      </c>
      <c r="B44" s="19">
        <v>465180</v>
      </c>
      <c r="C44" s="20" t="s">
        <v>186</v>
      </c>
      <c r="D44" s="19">
        <v>5</v>
      </c>
      <c r="E44" s="21">
        <v>5620</v>
      </c>
      <c r="F44" s="21">
        <v>748</v>
      </c>
      <c r="G44" s="21">
        <v>850</v>
      </c>
      <c r="H44" s="21"/>
      <c r="I44" s="21">
        <v>1772.78</v>
      </c>
      <c r="J44" s="19">
        <v>2036</v>
      </c>
      <c r="K44" s="21">
        <f t="shared" si="15"/>
        <v>144.55599999999998</v>
      </c>
      <c r="L44" s="21">
        <f>J44*0.17</f>
        <v>346.12</v>
      </c>
      <c r="M44" s="21">
        <v>198.5</v>
      </c>
      <c r="N44" s="21">
        <v>450</v>
      </c>
      <c r="O44" s="21">
        <v>26.25</v>
      </c>
      <c r="P44" s="21"/>
      <c r="Q44" s="21">
        <f t="shared" si="16"/>
        <v>56.2</v>
      </c>
      <c r="R44" s="21"/>
      <c r="S44" s="21">
        <v>0</v>
      </c>
      <c r="T44" s="21">
        <f>E44*0.22-M44-N44-Q44-K44</f>
        <v>387.14400000000006</v>
      </c>
      <c r="U44" s="21"/>
      <c r="V44" s="21">
        <f>E44*0.78-I44-G44-L44</f>
        <v>1414.7000000000007</v>
      </c>
    </row>
    <row r="45" spans="1:22">
      <c r="A45" s="22" t="s">
        <v>218</v>
      </c>
      <c r="B45" s="23">
        <v>352372</v>
      </c>
      <c r="C45" s="24" t="s">
        <v>197</v>
      </c>
      <c r="D45" s="23">
        <v>5</v>
      </c>
      <c r="E45" s="25">
        <v>5180</v>
      </c>
      <c r="F45" s="25">
        <v>666.5</v>
      </c>
      <c r="G45" s="25">
        <v>0</v>
      </c>
      <c r="H45" s="25"/>
      <c r="I45" s="25">
        <v>2052.4</v>
      </c>
      <c r="J45" s="53">
        <v>2190</v>
      </c>
      <c r="K45" s="25">
        <f t="shared" si="15"/>
        <v>155.48999999999998</v>
      </c>
      <c r="L45" s="25">
        <v>0</v>
      </c>
      <c r="M45" s="25">
        <v>163.25</v>
      </c>
      <c r="N45" s="25">
        <v>450</v>
      </c>
      <c r="O45" s="25">
        <v>40</v>
      </c>
      <c r="P45" s="25"/>
      <c r="Q45" s="25">
        <f t="shared" si="16"/>
        <v>51.800000000000004</v>
      </c>
      <c r="R45" s="25"/>
      <c r="S45" s="25">
        <v>7</v>
      </c>
      <c r="T45" s="25">
        <f>E45-F45-K45-(J45*0.75)-M45-N45-O45-Q45-I45-S45-R45</f>
        <v>-48.939999999999827</v>
      </c>
      <c r="U45" s="25"/>
      <c r="V45" s="25">
        <f t="shared" ref="V45:V55" si="17">J45*0.75</f>
        <v>1642.5</v>
      </c>
    </row>
    <row r="46" spans="1:22">
      <c r="A46" s="22" t="s">
        <v>220</v>
      </c>
      <c r="B46" s="23">
        <v>465185</v>
      </c>
      <c r="C46" s="24" t="s">
        <v>197</v>
      </c>
      <c r="D46" s="23">
        <v>0</v>
      </c>
      <c r="E46" s="25">
        <v>0</v>
      </c>
      <c r="F46" s="25">
        <v>748</v>
      </c>
      <c r="G46" s="25">
        <v>0</v>
      </c>
      <c r="H46" s="25"/>
      <c r="I46" s="25">
        <v>0</v>
      </c>
      <c r="J46" s="23">
        <v>0</v>
      </c>
      <c r="K46" s="25">
        <f t="shared" si="15"/>
        <v>0</v>
      </c>
      <c r="L46" s="25">
        <v>0</v>
      </c>
      <c r="M46" s="25">
        <v>163.25</v>
      </c>
      <c r="N46" s="25">
        <v>450</v>
      </c>
      <c r="O46" s="25">
        <v>40</v>
      </c>
      <c r="P46" s="25"/>
      <c r="Q46" s="25">
        <f t="shared" si="16"/>
        <v>0</v>
      </c>
      <c r="R46" s="25"/>
      <c r="S46" s="25">
        <v>7</v>
      </c>
      <c r="T46" s="25">
        <f>E46-F46-I46-K46-M46-N46-O46-Q46-J46*0.75-R46</f>
        <v>-1401.25</v>
      </c>
      <c r="U46" s="25"/>
      <c r="V46" s="25">
        <f t="shared" si="17"/>
        <v>0</v>
      </c>
    </row>
    <row r="47" spans="1:22">
      <c r="A47" s="22" t="s">
        <v>235</v>
      </c>
      <c r="B47" s="23">
        <v>352371</v>
      </c>
      <c r="C47" s="24" t="s">
        <v>197</v>
      </c>
      <c r="D47" s="23">
        <v>5</v>
      </c>
      <c r="E47" s="25">
        <v>6800</v>
      </c>
      <c r="F47" s="25">
        <v>666.5</v>
      </c>
      <c r="G47" s="25">
        <v>0</v>
      </c>
      <c r="H47" s="25"/>
      <c r="I47" s="25">
        <v>2489.4899999999998</v>
      </c>
      <c r="J47" s="53">
        <v>2328</v>
      </c>
      <c r="K47" s="25">
        <f t="shared" si="15"/>
        <v>165.28799999999998</v>
      </c>
      <c r="L47" s="25">
        <v>0</v>
      </c>
      <c r="M47" s="25">
        <v>163.25</v>
      </c>
      <c r="N47" s="25">
        <v>450</v>
      </c>
      <c r="O47" s="25">
        <v>32.5</v>
      </c>
      <c r="P47" s="25"/>
      <c r="Q47" s="25">
        <f t="shared" si="16"/>
        <v>68</v>
      </c>
      <c r="R47" s="25">
        <v>205.99</v>
      </c>
      <c r="S47" s="25">
        <v>0</v>
      </c>
      <c r="T47" s="25">
        <f>E47-(J47*0.75)-K47-F47-M47-N47-O47-Q47-I47</f>
        <v>1018.9720000000007</v>
      </c>
      <c r="U47" s="25"/>
      <c r="V47" s="25">
        <f t="shared" si="17"/>
        <v>1746</v>
      </c>
    </row>
    <row r="48" spans="1:22">
      <c r="A48" s="22" t="s">
        <v>223</v>
      </c>
      <c r="B48" s="23">
        <v>465183</v>
      </c>
      <c r="C48" s="24" t="s">
        <v>197</v>
      </c>
      <c r="D48" s="23">
        <v>7</v>
      </c>
      <c r="E48" s="25">
        <v>8292</v>
      </c>
      <c r="F48" s="25">
        <v>748</v>
      </c>
      <c r="G48" s="25">
        <v>0</v>
      </c>
      <c r="H48" s="25"/>
      <c r="I48" s="25">
        <v>2411.9499999999998</v>
      </c>
      <c r="J48" s="53">
        <v>3301</v>
      </c>
      <c r="K48" s="25">
        <f t="shared" si="15"/>
        <v>234.37099999999998</v>
      </c>
      <c r="L48" s="25">
        <v>0</v>
      </c>
      <c r="M48" s="25">
        <v>163.25</v>
      </c>
      <c r="N48" s="25">
        <v>450</v>
      </c>
      <c r="O48" s="25">
        <v>26.25</v>
      </c>
      <c r="P48" s="25"/>
      <c r="Q48" s="25">
        <f t="shared" si="16"/>
        <v>82.92</v>
      </c>
      <c r="R48" s="25"/>
      <c r="S48" s="25">
        <v>7</v>
      </c>
      <c r="T48" s="25">
        <f>E48-F48-I48-K48-M48-N48-O48-Q48-J48*0.75-R48</f>
        <v>1699.509</v>
      </c>
      <c r="U48" s="25"/>
      <c r="V48" s="25">
        <f t="shared" si="17"/>
        <v>2475.75</v>
      </c>
    </row>
    <row r="49" spans="1:22">
      <c r="A49" s="22" t="s">
        <v>224</v>
      </c>
      <c r="B49" s="23">
        <v>465187</v>
      </c>
      <c r="C49" s="24" t="s">
        <v>197</v>
      </c>
      <c r="D49" s="23">
        <v>7</v>
      </c>
      <c r="E49" s="25">
        <v>6550</v>
      </c>
      <c r="F49" s="25">
        <v>748</v>
      </c>
      <c r="G49" s="25">
        <v>0</v>
      </c>
      <c r="H49" s="25"/>
      <c r="I49" s="25">
        <v>2490.23</v>
      </c>
      <c r="J49" s="53">
        <v>2822</v>
      </c>
      <c r="K49" s="25">
        <f t="shared" si="15"/>
        <v>200.36199999999999</v>
      </c>
      <c r="L49" s="25">
        <v>0</v>
      </c>
      <c r="M49" s="25">
        <v>163.25</v>
      </c>
      <c r="N49" s="25">
        <v>450</v>
      </c>
      <c r="O49" s="25">
        <v>40</v>
      </c>
      <c r="P49" s="25"/>
      <c r="Q49" s="25">
        <f t="shared" si="16"/>
        <v>65.5</v>
      </c>
      <c r="R49" s="25"/>
      <c r="S49" s="25">
        <v>7</v>
      </c>
      <c r="T49" s="25">
        <f>E48-F48-I48-J48*0.75-M48-N48-O48-Q48-R48-S48</f>
        <v>1926.88</v>
      </c>
      <c r="U49" s="25"/>
      <c r="V49" s="25">
        <f t="shared" si="17"/>
        <v>2116.5</v>
      </c>
    </row>
    <row r="50" spans="1:22">
      <c r="A50" s="22" t="s">
        <v>207</v>
      </c>
      <c r="B50" s="23">
        <v>465186</v>
      </c>
      <c r="C50" s="24" t="s">
        <v>197</v>
      </c>
      <c r="D50" s="23">
        <v>7</v>
      </c>
      <c r="E50" s="25">
        <v>8250</v>
      </c>
      <c r="F50" s="25">
        <v>748</v>
      </c>
      <c r="G50" s="25">
        <v>0</v>
      </c>
      <c r="H50" s="25"/>
      <c r="I50" s="25">
        <v>2666.18</v>
      </c>
      <c r="J50" s="53">
        <v>3076</v>
      </c>
      <c r="K50" s="25">
        <f t="shared" si="15"/>
        <v>218.39599999999999</v>
      </c>
      <c r="L50" s="25">
        <v>0</v>
      </c>
      <c r="M50" s="25">
        <v>163.25</v>
      </c>
      <c r="N50" s="25">
        <v>450</v>
      </c>
      <c r="O50" s="25">
        <v>26.25</v>
      </c>
      <c r="P50" s="25"/>
      <c r="Q50" s="25">
        <f t="shared" si="16"/>
        <v>82.5</v>
      </c>
      <c r="R50" s="25"/>
      <c r="S50" s="25">
        <v>7</v>
      </c>
      <c r="T50" s="25">
        <f>E50-F50-I50-J50*0.75-K50-M50-N50-O50-Q50-R50-S50</f>
        <v>1581.4239999999995</v>
      </c>
      <c r="U50" s="25"/>
      <c r="V50" s="25">
        <f t="shared" si="17"/>
        <v>2307</v>
      </c>
    </row>
    <row r="51" spans="1:22">
      <c r="A51" s="22" t="s">
        <v>208</v>
      </c>
      <c r="B51" s="23">
        <v>465189</v>
      </c>
      <c r="C51" s="24" t="s">
        <v>197</v>
      </c>
      <c r="D51" s="23">
        <v>3</v>
      </c>
      <c r="E51" s="25">
        <v>2900</v>
      </c>
      <c r="F51" s="25">
        <v>748</v>
      </c>
      <c r="G51" s="25">
        <v>0</v>
      </c>
      <c r="H51" s="25"/>
      <c r="I51" s="25">
        <v>1882.64</v>
      </c>
      <c r="J51" s="53">
        <v>1094</v>
      </c>
      <c r="K51" s="25">
        <f t="shared" si="15"/>
        <v>77.673999999999992</v>
      </c>
      <c r="L51" s="25">
        <v>0</v>
      </c>
      <c r="M51" s="25">
        <v>163.25</v>
      </c>
      <c r="N51" s="25">
        <v>450</v>
      </c>
      <c r="O51" s="25">
        <v>26.25</v>
      </c>
      <c r="P51" s="25"/>
      <c r="Q51" s="25">
        <f t="shared" si="16"/>
        <v>29</v>
      </c>
      <c r="R51" s="25"/>
      <c r="S51" s="25">
        <v>7</v>
      </c>
      <c r="T51" s="25">
        <f t="shared" ref="T51:T55" si="18">E51-F51-I51-J51*0.75-M51-N51-O51-Q51-R51-S51</f>
        <v>-1226.6400000000001</v>
      </c>
      <c r="U51" s="25"/>
      <c r="V51" s="25">
        <f t="shared" si="17"/>
        <v>820.5</v>
      </c>
    </row>
    <row r="52" spans="1:22">
      <c r="A52" s="34" t="s">
        <v>232</v>
      </c>
      <c r="B52" s="23">
        <v>465181</v>
      </c>
      <c r="C52" s="34" t="s">
        <v>197</v>
      </c>
      <c r="D52" s="47">
        <v>5</v>
      </c>
      <c r="E52" s="35">
        <v>4600</v>
      </c>
      <c r="F52" s="25">
        <v>748</v>
      </c>
      <c r="G52" s="25">
        <v>0</v>
      </c>
      <c r="H52" s="36"/>
      <c r="I52" s="37">
        <v>1918.91</v>
      </c>
      <c r="J52" s="54">
        <v>3046</v>
      </c>
      <c r="K52" s="25">
        <f t="shared" si="15"/>
        <v>216.26599999999999</v>
      </c>
      <c r="L52" s="25">
        <v>0</v>
      </c>
      <c r="M52" s="25">
        <v>163.25</v>
      </c>
      <c r="N52" s="25">
        <v>450</v>
      </c>
      <c r="O52" s="25">
        <v>26.25</v>
      </c>
      <c r="P52" s="25"/>
      <c r="Q52" s="25">
        <f t="shared" si="16"/>
        <v>46</v>
      </c>
      <c r="R52" s="34"/>
      <c r="S52" s="25">
        <v>7</v>
      </c>
      <c r="T52" s="35">
        <f t="shared" si="18"/>
        <v>-1043.9100000000001</v>
      </c>
      <c r="U52" s="35"/>
      <c r="V52" s="35">
        <f t="shared" si="17"/>
        <v>2284.5</v>
      </c>
    </row>
    <row r="53" spans="1:22">
      <c r="A53" s="22" t="s">
        <v>241</v>
      </c>
      <c r="B53" s="23">
        <v>352374</v>
      </c>
      <c r="C53" s="24" t="s">
        <v>197</v>
      </c>
      <c r="D53" s="23">
        <v>7</v>
      </c>
      <c r="E53" s="25">
        <v>5875</v>
      </c>
      <c r="F53" s="25">
        <v>666.5</v>
      </c>
      <c r="G53" s="25">
        <v>0</v>
      </c>
      <c r="H53" s="25"/>
      <c r="I53" s="25">
        <v>2711.67</v>
      </c>
      <c r="J53" s="53">
        <v>2312</v>
      </c>
      <c r="K53" s="25">
        <f t="shared" si="15"/>
        <v>164.15199999999999</v>
      </c>
      <c r="L53" s="25">
        <v>0</v>
      </c>
      <c r="M53" s="25">
        <v>163.25</v>
      </c>
      <c r="N53" s="25">
        <v>450</v>
      </c>
      <c r="O53" s="25">
        <v>26.25</v>
      </c>
      <c r="P53" s="25"/>
      <c r="Q53" s="25">
        <f t="shared" si="16"/>
        <v>58.75</v>
      </c>
      <c r="R53" s="25">
        <v>22.08</v>
      </c>
      <c r="S53" s="25">
        <v>7</v>
      </c>
      <c r="T53" s="25">
        <f t="shared" si="18"/>
        <v>35.499999999999929</v>
      </c>
      <c r="U53" s="25"/>
      <c r="V53" s="25">
        <f t="shared" si="17"/>
        <v>1734</v>
      </c>
    </row>
    <row r="54" spans="1:22">
      <c r="A54" s="22" t="s">
        <v>242</v>
      </c>
      <c r="B54" s="23">
        <v>359886</v>
      </c>
      <c r="C54" s="24" t="s">
        <v>197</v>
      </c>
      <c r="D54" s="23">
        <v>7</v>
      </c>
      <c r="E54" s="25">
        <v>5349</v>
      </c>
      <c r="F54" s="25">
        <v>666.5</v>
      </c>
      <c r="G54" s="25">
        <v>0</v>
      </c>
      <c r="H54" s="25"/>
      <c r="I54" s="25">
        <v>2339.41</v>
      </c>
      <c r="J54" s="53">
        <v>2258</v>
      </c>
      <c r="K54" s="25">
        <f t="shared" si="15"/>
        <v>160.31799999999998</v>
      </c>
      <c r="L54" s="25">
        <v>0</v>
      </c>
      <c r="M54" s="25">
        <v>163.25</v>
      </c>
      <c r="N54" s="25">
        <v>450</v>
      </c>
      <c r="O54" s="25">
        <v>26.25</v>
      </c>
      <c r="P54" s="25"/>
      <c r="Q54" s="25">
        <f t="shared" si="16"/>
        <v>53.49</v>
      </c>
      <c r="R54" s="25">
        <v>71.099999999999994</v>
      </c>
      <c r="S54" s="25">
        <v>7</v>
      </c>
      <c r="T54" s="25">
        <f t="shared" si="18"/>
        <v>-121.49999999999986</v>
      </c>
      <c r="U54" s="25"/>
      <c r="V54" s="25">
        <f t="shared" si="17"/>
        <v>1693.5</v>
      </c>
    </row>
    <row r="55" spans="1:22">
      <c r="A55" s="22" t="s">
        <v>245</v>
      </c>
      <c r="B55" s="23">
        <v>352375</v>
      </c>
      <c r="C55" s="24" t="s">
        <v>197</v>
      </c>
      <c r="D55" s="23">
        <v>0</v>
      </c>
      <c r="E55" s="25">
        <v>0</v>
      </c>
      <c r="F55" s="25">
        <v>666.5</v>
      </c>
      <c r="G55" s="25">
        <v>0</v>
      </c>
      <c r="H55" s="25"/>
      <c r="I55" s="25">
        <v>0</v>
      </c>
      <c r="J55" s="23">
        <v>0</v>
      </c>
      <c r="K55" s="25">
        <f t="shared" si="15"/>
        <v>0</v>
      </c>
      <c r="L55" s="25">
        <v>0</v>
      </c>
      <c r="M55" s="25">
        <v>163.25</v>
      </c>
      <c r="N55" s="25">
        <v>450</v>
      </c>
      <c r="O55" s="25">
        <v>26.25</v>
      </c>
      <c r="P55" s="25"/>
      <c r="Q55" s="25">
        <f t="shared" si="16"/>
        <v>0</v>
      </c>
      <c r="R55" s="25">
        <v>5.88</v>
      </c>
      <c r="S55" s="25">
        <v>7</v>
      </c>
      <c r="T55" s="25">
        <f t="shared" si="18"/>
        <v>-1318.88</v>
      </c>
      <c r="U55" s="25"/>
      <c r="V55" s="25">
        <f t="shared" si="17"/>
        <v>0</v>
      </c>
    </row>
    <row r="56" spans="1:22">
      <c r="A56" s="39" t="s">
        <v>89</v>
      </c>
      <c r="B56" s="40">
        <v>15</v>
      </c>
      <c r="C56" s="41" t="s">
        <v>243</v>
      </c>
      <c r="D56" s="40">
        <f>AVERAGE(D40:D55)</f>
        <v>4.9375</v>
      </c>
      <c r="E56" s="42">
        <f>SUM(E40:E55)</f>
        <v>85466</v>
      </c>
      <c r="F56" s="42">
        <f>SUM(F39:F55)</f>
        <v>11397.5</v>
      </c>
      <c r="G56" s="42">
        <f>SUM(G44:G53)</f>
        <v>850</v>
      </c>
      <c r="H56" s="42"/>
      <c r="I56" s="42">
        <f>SUM(I39:I55)</f>
        <v>29745.420000000002</v>
      </c>
      <c r="J56" s="40">
        <f>SUM(J40:J55)</f>
        <v>34450</v>
      </c>
      <c r="K56" s="42">
        <f t="shared" ref="K56:O56" si="19">SUM(K39:K55)</f>
        <v>2445.9499999999998</v>
      </c>
      <c r="L56" s="42">
        <f t="shared" si="19"/>
        <v>1447.5500000000002</v>
      </c>
      <c r="M56" s="42">
        <f t="shared" si="19"/>
        <v>2753</v>
      </c>
      <c r="N56" s="42">
        <f t="shared" si="19"/>
        <v>7200</v>
      </c>
      <c r="O56" s="42">
        <f t="shared" si="19"/>
        <v>493.75</v>
      </c>
      <c r="P56" s="42"/>
      <c r="Q56" s="42">
        <f t="shared" si="16"/>
        <v>854.66</v>
      </c>
      <c r="R56" s="42">
        <f t="shared" ref="R56:T56" si="20">SUM(R39:R55)</f>
        <v>369.03</v>
      </c>
      <c r="S56" s="42">
        <f t="shared" si="20"/>
        <v>84</v>
      </c>
      <c r="T56" s="40">
        <f t="shared" si="20"/>
        <v>3320.5020000000004</v>
      </c>
      <c r="U56" s="40"/>
      <c r="V56" s="40">
        <f>SUM(V39:V55)</f>
        <v>26850.260000000002</v>
      </c>
    </row>
    <row r="58" spans="1:22">
      <c r="A58" s="457" t="s">
        <v>246</v>
      </c>
      <c r="B58" s="458"/>
      <c r="C58" s="458"/>
      <c r="D58" s="458"/>
      <c r="E58" s="458"/>
      <c r="F58" s="458"/>
      <c r="G58" s="458"/>
      <c r="H58" s="458"/>
      <c r="I58" s="458"/>
      <c r="J58" s="458"/>
      <c r="K58" s="458"/>
      <c r="L58" s="458"/>
      <c r="M58" s="458"/>
      <c r="N58" s="458"/>
      <c r="O58" s="458"/>
      <c r="P58" s="458"/>
      <c r="Q58" s="458"/>
      <c r="R58" s="458"/>
      <c r="S58" s="458"/>
      <c r="T58" s="458"/>
      <c r="U58" s="458"/>
      <c r="V58" s="459"/>
    </row>
    <row r="59" spans="1:22">
      <c r="A59" s="1" t="s">
        <v>0</v>
      </c>
      <c r="B59" s="2" t="s">
        <v>1</v>
      </c>
      <c r="C59" s="2" t="s">
        <v>183</v>
      </c>
      <c r="D59" s="2" t="s">
        <v>3</v>
      </c>
      <c r="E59" s="2" t="s">
        <v>2</v>
      </c>
      <c r="F59" s="2" t="s">
        <v>4</v>
      </c>
      <c r="G59" s="2" t="s">
        <v>6</v>
      </c>
      <c r="H59" s="2"/>
      <c r="I59" s="2" t="s">
        <v>7</v>
      </c>
      <c r="J59" s="2" t="s">
        <v>9</v>
      </c>
      <c r="K59" s="2" t="s">
        <v>106</v>
      </c>
      <c r="L59" s="2" t="s">
        <v>107</v>
      </c>
      <c r="M59" s="2" t="s">
        <v>5</v>
      </c>
      <c r="N59" s="2" t="s">
        <v>12</v>
      </c>
      <c r="O59" s="2" t="s">
        <v>184</v>
      </c>
      <c r="P59" s="2"/>
      <c r="Q59" s="2" t="s">
        <v>108</v>
      </c>
      <c r="R59" s="2" t="s">
        <v>8</v>
      </c>
      <c r="S59" s="12" t="s">
        <v>185</v>
      </c>
      <c r="T59" s="2" t="s">
        <v>13</v>
      </c>
      <c r="U59" s="2"/>
      <c r="V59" s="14" t="s">
        <v>98</v>
      </c>
    </row>
    <row r="60" spans="1:22">
      <c r="A60" s="18" t="s">
        <v>211</v>
      </c>
      <c r="B60" s="19">
        <v>465188</v>
      </c>
      <c r="C60" s="20" t="s">
        <v>186</v>
      </c>
      <c r="D60" s="19">
        <v>7</v>
      </c>
      <c r="E60" s="21">
        <v>11450</v>
      </c>
      <c r="F60" s="21">
        <v>748</v>
      </c>
      <c r="G60" s="21">
        <v>850</v>
      </c>
      <c r="H60" s="21"/>
      <c r="I60" s="21">
        <v>3750.25</v>
      </c>
      <c r="J60" s="19">
        <v>4000</v>
      </c>
      <c r="K60" s="21">
        <f t="shared" ref="K60:K75" si="21">J60*0.071</f>
        <v>284</v>
      </c>
      <c r="L60" s="21">
        <f>J60*0.17</f>
        <v>680</v>
      </c>
      <c r="M60" s="21">
        <v>198.5</v>
      </c>
      <c r="N60" s="21">
        <v>450</v>
      </c>
      <c r="O60" s="21">
        <v>26.25</v>
      </c>
      <c r="P60" s="21"/>
      <c r="Q60" s="21">
        <f t="shared" ref="Q60:Q76" si="22">E60*0.01</f>
        <v>114.5</v>
      </c>
      <c r="R60" s="21">
        <v>22.56</v>
      </c>
      <c r="S60" s="21">
        <v>0</v>
      </c>
      <c r="T60" s="21">
        <f>E60*0.22-K60-F60-N60-M60-Q60</f>
        <v>724</v>
      </c>
      <c r="U60" s="21"/>
      <c r="V60" s="21">
        <f>E60*0.78-G60-I60-L60-O60-R60</f>
        <v>3601.94</v>
      </c>
    </row>
    <row r="61" spans="1:22">
      <c r="A61" s="22" t="s">
        <v>240</v>
      </c>
      <c r="B61" s="23">
        <v>352368</v>
      </c>
      <c r="C61" s="24" t="s">
        <v>197</v>
      </c>
      <c r="D61" s="23">
        <v>6</v>
      </c>
      <c r="E61" s="25">
        <v>4500</v>
      </c>
      <c r="F61" s="25">
        <v>666.5</v>
      </c>
      <c r="G61" s="25">
        <v>0</v>
      </c>
      <c r="H61" s="25"/>
      <c r="I61" s="25">
        <v>2686.73</v>
      </c>
      <c r="J61" s="53">
        <v>2244</v>
      </c>
      <c r="K61" s="25">
        <f t="shared" si="21"/>
        <v>159.32399999999998</v>
      </c>
      <c r="L61" s="25">
        <v>0</v>
      </c>
      <c r="M61" s="25">
        <v>163.25</v>
      </c>
      <c r="N61" s="25">
        <v>450</v>
      </c>
      <c r="O61" s="25">
        <v>32.5</v>
      </c>
      <c r="P61" s="25"/>
      <c r="Q61" s="25">
        <f t="shared" si="22"/>
        <v>45</v>
      </c>
      <c r="R61" s="25">
        <v>5.36</v>
      </c>
      <c r="S61" s="25">
        <v>7</v>
      </c>
      <c r="T61" s="25">
        <f>E61-J61*0.75-K61-M61-N61-O61-Q61-I61-F61</f>
        <v>-1386.3040000000001</v>
      </c>
      <c r="U61" s="25"/>
      <c r="V61" s="25">
        <f>J61*0.75</f>
        <v>1683</v>
      </c>
    </row>
    <row r="62" spans="1:22">
      <c r="A62" s="18" t="s">
        <v>215</v>
      </c>
      <c r="B62" s="19">
        <v>465184</v>
      </c>
      <c r="C62" s="20" t="s">
        <v>186</v>
      </c>
      <c r="D62" s="19">
        <v>6</v>
      </c>
      <c r="E62" s="21">
        <v>7200</v>
      </c>
      <c r="F62" s="21">
        <v>748</v>
      </c>
      <c r="G62" s="21">
        <v>850</v>
      </c>
      <c r="H62" s="21"/>
      <c r="I62" s="21">
        <v>2579</v>
      </c>
      <c r="J62" s="55">
        <v>2341</v>
      </c>
      <c r="K62" s="21">
        <f t="shared" si="21"/>
        <v>166.21099999999998</v>
      </c>
      <c r="L62" s="21">
        <f>J62*0.17</f>
        <v>397.97</v>
      </c>
      <c r="M62" s="21">
        <v>198.5</v>
      </c>
      <c r="N62" s="21">
        <v>450</v>
      </c>
      <c r="O62" s="21">
        <v>40</v>
      </c>
      <c r="P62" s="21"/>
      <c r="Q62" s="21">
        <f t="shared" si="22"/>
        <v>72</v>
      </c>
      <c r="R62" s="21">
        <v>15.6</v>
      </c>
      <c r="S62" s="21">
        <v>0</v>
      </c>
      <c r="T62" s="21">
        <f>E62*0.22-M62-N62-Q62-K62</f>
        <v>697.28899999999999</v>
      </c>
      <c r="U62" s="21"/>
      <c r="V62" s="21">
        <f>E62*0.78-G62-L62-O62-R62-I62</f>
        <v>1733.4299999999994</v>
      </c>
    </row>
    <row r="63" spans="1:22">
      <c r="A63" s="22" t="s">
        <v>200</v>
      </c>
      <c r="B63" s="23">
        <v>352377</v>
      </c>
      <c r="C63" s="24" t="s">
        <v>197</v>
      </c>
      <c r="D63" s="23">
        <v>4</v>
      </c>
      <c r="E63" s="25">
        <v>5600</v>
      </c>
      <c r="F63" s="25">
        <v>666.5</v>
      </c>
      <c r="G63" s="25">
        <v>0</v>
      </c>
      <c r="H63" s="25"/>
      <c r="I63" s="25">
        <v>1587.66</v>
      </c>
      <c r="J63" s="53">
        <v>2404</v>
      </c>
      <c r="K63" s="25">
        <f t="shared" si="21"/>
        <v>170.684</v>
      </c>
      <c r="L63" s="25">
        <v>0</v>
      </c>
      <c r="M63" s="25">
        <v>198.5</v>
      </c>
      <c r="N63" s="25">
        <v>450</v>
      </c>
      <c r="O63" s="25">
        <v>32.5</v>
      </c>
      <c r="P63" s="25"/>
      <c r="Q63" s="25">
        <f t="shared" si="22"/>
        <v>56</v>
      </c>
      <c r="R63" s="25">
        <v>134.28</v>
      </c>
      <c r="S63" s="25">
        <v>7</v>
      </c>
      <c r="T63" s="25">
        <f>E63-J63*0.75-K63-F63-M63-N63-O63-Q63-I63-R63</f>
        <v>500.87599999999975</v>
      </c>
      <c r="U63" s="25"/>
      <c r="V63" s="25">
        <f>J63*0.75</f>
        <v>1803</v>
      </c>
    </row>
    <row r="64" spans="1:22">
      <c r="A64" s="22" t="s">
        <v>247</v>
      </c>
      <c r="B64" s="23">
        <v>465180</v>
      </c>
      <c r="C64" s="24" t="s">
        <v>197</v>
      </c>
      <c r="D64" s="23">
        <v>0</v>
      </c>
      <c r="E64" s="25">
        <v>0</v>
      </c>
      <c r="F64" s="25">
        <v>748</v>
      </c>
      <c r="G64" s="25">
        <v>0</v>
      </c>
      <c r="H64" s="25"/>
      <c r="I64" s="25">
        <v>0</v>
      </c>
      <c r="J64" s="23">
        <v>0</v>
      </c>
      <c r="K64" s="25">
        <f t="shared" si="21"/>
        <v>0</v>
      </c>
      <c r="L64" s="25">
        <f>J64*0.17</f>
        <v>0</v>
      </c>
      <c r="M64" s="25">
        <v>198.5</v>
      </c>
      <c r="N64" s="25">
        <v>450</v>
      </c>
      <c r="O64" s="25">
        <v>26.25</v>
      </c>
      <c r="P64" s="25"/>
      <c r="Q64" s="25">
        <f t="shared" si="22"/>
        <v>0</v>
      </c>
      <c r="R64" s="25">
        <v>5.42</v>
      </c>
      <c r="S64" s="25">
        <v>0</v>
      </c>
      <c r="T64" s="25">
        <f>E64*0.22-M64-N64-Q64-K64</f>
        <v>-648.5</v>
      </c>
      <c r="U64" s="25"/>
      <c r="V64" s="25">
        <f>E64*0.78-I64-G64-L64</f>
        <v>0</v>
      </c>
    </row>
    <row r="65" spans="1:22">
      <c r="A65" s="22" t="s">
        <v>218</v>
      </c>
      <c r="B65" s="23">
        <v>352372</v>
      </c>
      <c r="C65" s="24" t="s">
        <v>197</v>
      </c>
      <c r="D65" s="23">
        <v>0</v>
      </c>
      <c r="E65" s="25">
        <v>0</v>
      </c>
      <c r="F65" s="25">
        <v>666.5</v>
      </c>
      <c r="G65" s="25">
        <v>0</v>
      </c>
      <c r="H65" s="25"/>
      <c r="I65" s="25">
        <v>0</v>
      </c>
      <c r="J65" s="53">
        <v>0</v>
      </c>
      <c r="K65" s="25">
        <f t="shared" si="21"/>
        <v>0</v>
      </c>
      <c r="L65" s="25">
        <v>0</v>
      </c>
      <c r="M65" s="25">
        <v>163.25</v>
      </c>
      <c r="N65" s="25">
        <v>450</v>
      </c>
      <c r="O65" s="25">
        <v>40</v>
      </c>
      <c r="P65" s="25"/>
      <c r="Q65" s="25">
        <f t="shared" si="22"/>
        <v>0</v>
      </c>
      <c r="R65" s="25">
        <v>23.15</v>
      </c>
      <c r="S65" s="25">
        <v>7</v>
      </c>
      <c r="T65" s="25">
        <f>E65-F65-K65-(J65*0.75)-M65-N65-O65-Q65-I65-S65-R65</f>
        <v>-1349.9</v>
      </c>
      <c r="U65" s="25"/>
      <c r="V65" s="25">
        <f t="shared" ref="V65:V75" si="23">J65*0.75</f>
        <v>0</v>
      </c>
    </row>
    <row r="66" spans="1:22">
      <c r="A66" s="22" t="s">
        <v>220</v>
      </c>
      <c r="B66" s="23">
        <v>465185</v>
      </c>
      <c r="C66" s="24" t="s">
        <v>197</v>
      </c>
      <c r="D66" s="23">
        <v>0</v>
      </c>
      <c r="E66" s="25">
        <v>0</v>
      </c>
      <c r="F66" s="25">
        <v>748</v>
      </c>
      <c r="G66" s="25">
        <v>0</v>
      </c>
      <c r="H66" s="25"/>
      <c r="I66" s="25">
        <v>0</v>
      </c>
      <c r="J66" s="23">
        <v>0</v>
      </c>
      <c r="K66" s="25">
        <f t="shared" si="21"/>
        <v>0</v>
      </c>
      <c r="L66" s="25">
        <v>0</v>
      </c>
      <c r="M66" s="25">
        <v>163.25</v>
      </c>
      <c r="N66" s="25">
        <v>450</v>
      </c>
      <c r="O66" s="25">
        <v>40</v>
      </c>
      <c r="P66" s="25"/>
      <c r="Q66" s="25">
        <f t="shared" si="22"/>
        <v>0</v>
      </c>
      <c r="R66" s="25">
        <v>10.16</v>
      </c>
      <c r="S66" s="25">
        <v>7</v>
      </c>
      <c r="T66" s="25">
        <f>E66-F66-I66-K66-M66-N66-O66-Q66-J66*0.75-R66</f>
        <v>-1411.41</v>
      </c>
      <c r="U66" s="25"/>
      <c r="V66" s="25">
        <f t="shared" si="23"/>
        <v>0</v>
      </c>
    </row>
    <row r="67" spans="1:22">
      <c r="A67" s="22" t="s">
        <v>235</v>
      </c>
      <c r="B67" s="23">
        <v>352371</v>
      </c>
      <c r="C67" s="24" t="s">
        <v>197</v>
      </c>
      <c r="D67" s="23">
        <v>7</v>
      </c>
      <c r="E67" s="25">
        <v>8950</v>
      </c>
      <c r="F67" s="25">
        <v>666.5</v>
      </c>
      <c r="G67" s="25">
        <v>0</v>
      </c>
      <c r="H67" s="25"/>
      <c r="I67" s="25">
        <v>2920.33</v>
      </c>
      <c r="J67" s="53">
        <v>3590</v>
      </c>
      <c r="K67" s="25">
        <f t="shared" si="21"/>
        <v>254.89</v>
      </c>
      <c r="L67" s="25">
        <v>0</v>
      </c>
      <c r="M67" s="25">
        <v>163.25</v>
      </c>
      <c r="N67" s="25">
        <v>450</v>
      </c>
      <c r="O67" s="25">
        <v>32.5</v>
      </c>
      <c r="P67" s="25"/>
      <c r="Q67" s="25">
        <f t="shared" si="22"/>
        <v>89.5</v>
      </c>
      <c r="R67" s="25">
        <v>40.54</v>
      </c>
      <c r="S67" s="25">
        <v>0</v>
      </c>
      <c r="T67" s="25">
        <f>E67-(J67*0.75)-K67-F67-M67-N67-O67-Q67-I67</f>
        <v>1680.5299999999997</v>
      </c>
      <c r="U67" s="25"/>
      <c r="V67" s="25">
        <f t="shared" si="23"/>
        <v>2692.5</v>
      </c>
    </row>
    <row r="68" spans="1:22">
      <c r="A68" s="22" t="s">
        <v>223</v>
      </c>
      <c r="B68" s="23">
        <v>465183</v>
      </c>
      <c r="C68" s="24" t="s">
        <v>197</v>
      </c>
      <c r="D68" s="23">
        <v>7</v>
      </c>
      <c r="E68" s="25">
        <v>8726</v>
      </c>
      <c r="F68" s="25">
        <v>748</v>
      </c>
      <c r="G68" s="25">
        <v>0</v>
      </c>
      <c r="H68" s="25"/>
      <c r="I68" s="25">
        <v>3687.53</v>
      </c>
      <c r="J68" s="53">
        <v>3644</v>
      </c>
      <c r="K68" s="25">
        <f t="shared" si="21"/>
        <v>258.72399999999999</v>
      </c>
      <c r="L68" s="25">
        <v>0</v>
      </c>
      <c r="M68" s="25">
        <v>163.25</v>
      </c>
      <c r="N68" s="25">
        <v>450</v>
      </c>
      <c r="O68" s="25">
        <v>26.25</v>
      </c>
      <c r="P68" s="25"/>
      <c r="Q68" s="25">
        <f t="shared" si="22"/>
        <v>87.26</v>
      </c>
      <c r="R68" s="25">
        <v>53.85</v>
      </c>
      <c r="S68" s="25">
        <v>7</v>
      </c>
      <c r="T68" s="25">
        <f>E68-F68-I68-K68-M68-N68-O68-Q68-J68*0.75-R68</f>
        <v>518.13599999999894</v>
      </c>
      <c r="U68" s="25"/>
      <c r="V68" s="25">
        <f t="shared" si="23"/>
        <v>2733</v>
      </c>
    </row>
    <row r="69" spans="1:22">
      <c r="A69" s="22" t="s">
        <v>224</v>
      </c>
      <c r="B69" s="23">
        <v>465187</v>
      </c>
      <c r="C69" s="24" t="s">
        <v>197</v>
      </c>
      <c r="D69" s="23">
        <v>7</v>
      </c>
      <c r="E69" s="25">
        <v>8949</v>
      </c>
      <c r="F69" s="25">
        <v>748</v>
      </c>
      <c r="G69" s="25">
        <v>0</v>
      </c>
      <c r="H69" s="25"/>
      <c r="I69" s="25">
        <v>2714.99</v>
      </c>
      <c r="J69" s="53">
        <v>3649</v>
      </c>
      <c r="K69" s="25">
        <f t="shared" si="21"/>
        <v>259.07899999999995</v>
      </c>
      <c r="L69" s="25">
        <v>0</v>
      </c>
      <c r="M69" s="25">
        <v>163.25</v>
      </c>
      <c r="N69" s="25">
        <v>450</v>
      </c>
      <c r="O69" s="25">
        <v>40</v>
      </c>
      <c r="P69" s="25"/>
      <c r="Q69" s="25">
        <f t="shared" si="22"/>
        <v>89.49</v>
      </c>
      <c r="R69" s="25">
        <v>272.99</v>
      </c>
      <c r="S69" s="25">
        <v>7</v>
      </c>
      <c r="T69" s="25">
        <f>E68-F68-I68-J68*0.75-M68-N68-O68-Q68-R68-S68</f>
        <v>769.85999999999933</v>
      </c>
      <c r="U69" s="25"/>
      <c r="V69" s="25">
        <f t="shared" si="23"/>
        <v>2736.75</v>
      </c>
    </row>
    <row r="70" spans="1:22">
      <c r="A70" s="22" t="s">
        <v>207</v>
      </c>
      <c r="B70" s="23">
        <v>465186</v>
      </c>
      <c r="C70" s="24" t="s">
        <v>197</v>
      </c>
      <c r="D70" s="23">
        <v>7</v>
      </c>
      <c r="E70" s="25">
        <v>6850</v>
      </c>
      <c r="F70" s="25">
        <v>748</v>
      </c>
      <c r="G70" s="25">
        <v>0</v>
      </c>
      <c r="H70" s="25"/>
      <c r="I70" s="25">
        <v>3820.21</v>
      </c>
      <c r="J70" s="53">
        <v>2894</v>
      </c>
      <c r="K70" s="25">
        <f t="shared" si="21"/>
        <v>205.47399999999999</v>
      </c>
      <c r="L70" s="25">
        <v>0</v>
      </c>
      <c r="M70" s="25">
        <v>163.25</v>
      </c>
      <c r="N70" s="25">
        <v>450</v>
      </c>
      <c r="O70" s="25">
        <v>26.25</v>
      </c>
      <c r="P70" s="25"/>
      <c r="Q70" s="25">
        <f t="shared" si="22"/>
        <v>68.5</v>
      </c>
      <c r="R70" s="25">
        <v>48.03</v>
      </c>
      <c r="S70" s="25">
        <v>7</v>
      </c>
      <c r="T70" s="25">
        <f>E70-F70-I70-J70*0.75-K70-M70-N70-O70-Q70-R70-S70</f>
        <v>-857.21399999999994</v>
      </c>
      <c r="U70" s="25"/>
      <c r="V70" s="25">
        <f t="shared" si="23"/>
        <v>2170.5</v>
      </c>
    </row>
    <row r="71" spans="1:22">
      <c r="A71" s="22" t="s">
        <v>208</v>
      </c>
      <c r="B71" s="23">
        <v>465189</v>
      </c>
      <c r="C71" s="24" t="s">
        <v>197</v>
      </c>
      <c r="D71" s="23">
        <v>5</v>
      </c>
      <c r="E71" s="25">
        <v>4002</v>
      </c>
      <c r="F71" s="25">
        <v>748</v>
      </c>
      <c r="G71" s="25">
        <v>0</v>
      </c>
      <c r="H71" s="25"/>
      <c r="I71" s="25">
        <v>1450.57</v>
      </c>
      <c r="J71" s="53">
        <v>1800</v>
      </c>
      <c r="K71" s="25">
        <f t="shared" si="21"/>
        <v>127.79999999999998</v>
      </c>
      <c r="L71" s="25">
        <v>0</v>
      </c>
      <c r="M71" s="25">
        <v>163.25</v>
      </c>
      <c r="N71" s="25">
        <v>450</v>
      </c>
      <c r="O71" s="25">
        <v>26.25</v>
      </c>
      <c r="P71" s="25"/>
      <c r="Q71" s="25">
        <f t="shared" si="22"/>
        <v>40.020000000000003</v>
      </c>
      <c r="R71" s="25">
        <v>0</v>
      </c>
      <c r="S71" s="25">
        <v>7</v>
      </c>
      <c r="T71" s="25">
        <f t="shared" ref="T71:T75" si="24">E71-F71-I71-J71*0.75-M71-N71-O71-Q71-R71-S71</f>
        <v>-233.08999999999995</v>
      </c>
      <c r="U71" s="25"/>
      <c r="V71" s="25">
        <f t="shared" si="23"/>
        <v>1350</v>
      </c>
    </row>
    <row r="72" spans="1:22">
      <c r="A72" s="34" t="s">
        <v>232</v>
      </c>
      <c r="B72" s="23">
        <v>465181</v>
      </c>
      <c r="C72" s="34" t="s">
        <v>197</v>
      </c>
      <c r="D72" s="47">
        <v>0</v>
      </c>
      <c r="E72" s="35">
        <v>0</v>
      </c>
      <c r="F72" s="25">
        <v>748</v>
      </c>
      <c r="G72" s="25">
        <v>0</v>
      </c>
      <c r="H72" s="36"/>
      <c r="I72" s="37">
        <v>0</v>
      </c>
      <c r="J72" s="54">
        <v>0</v>
      </c>
      <c r="K72" s="25">
        <f t="shared" si="21"/>
        <v>0</v>
      </c>
      <c r="L72" s="25">
        <v>0</v>
      </c>
      <c r="M72" s="25">
        <v>163.25</v>
      </c>
      <c r="N72" s="25">
        <v>450</v>
      </c>
      <c r="O72" s="25">
        <v>26.25</v>
      </c>
      <c r="P72" s="25"/>
      <c r="Q72" s="25">
        <f t="shared" si="22"/>
        <v>0</v>
      </c>
      <c r="R72" s="34">
        <v>0</v>
      </c>
      <c r="S72" s="25">
        <v>7</v>
      </c>
      <c r="T72" s="35">
        <f t="shared" si="24"/>
        <v>-1394.5</v>
      </c>
      <c r="U72" s="35"/>
      <c r="V72" s="35">
        <f t="shared" si="23"/>
        <v>0</v>
      </c>
    </row>
    <row r="73" spans="1:22">
      <c r="A73" s="22" t="s">
        <v>241</v>
      </c>
      <c r="B73" s="23">
        <v>352374</v>
      </c>
      <c r="C73" s="24" t="s">
        <v>197</v>
      </c>
      <c r="D73" s="23">
        <v>6</v>
      </c>
      <c r="E73" s="25">
        <v>7173</v>
      </c>
      <c r="F73" s="25">
        <v>666.5</v>
      </c>
      <c r="G73" s="25">
        <v>0</v>
      </c>
      <c r="H73" s="25"/>
      <c r="I73" s="25">
        <v>2735.61</v>
      </c>
      <c r="J73" s="53">
        <v>2917</v>
      </c>
      <c r="K73" s="25">
        <f t="shared" si="21"/>
        <v>207.10699999999997</v>
      </c>
      <c r="L73" s="25">
        <v>0</v>
      </c>
      <c r="M73" s="25">
        <v>163.25</v>
      </c>
      <c r="N73" s="25">
        <v>450</v>
      </c>
      <c r="O73" s="25">
        <v>26.25</v>
      </c>
      <c r="P73" s="25"/>
      <c r="Q73" s="25">
        <f t="shared" si="22"/>
        <v>71.73</v>
      </c>
      <c r="R73" s="25">
        <v>0</v>
      </c>
      <c r="S73" s="25">
        <v>7</v>
      </c>
      <c r="T73" s="25">
        <f t="shared" si="24"/>
        <v>864.90999999999985</v>
      </c>
      <c r="U73" s="25"/>
      <c r="V73" s="25">
        <f t="shared" si="23"/>
        <v>2187.75</v>
      </c>
    </row>
    <row r="74" spans="1:22">
      <c r="A74" s="22" t="s">
        <v>242</v>
      </c>
      <c r="B74" s="23">
        <v>359886</v>
      </c>
      <c r="C74" s="24" t="s">
        <v>197</v>
      </c>
      <c r="D74" s="23">
        <v>3</v>
      </c>
      <c r="E74" s="25">
        <v>3800</v>
      </c>
      <c r="F74" s="25">
        <v>666.5</v>
      </c>
      <c r="G74" s="25">
        <v>0</v>
      </c>
      <c r="H74" s="25"/>
      <c r="I74" s="25">
        <v>1327.31</v>
      </c>
      <c r="J74" s="53">
        <v>1391</v>
      </c>
      <c r="K74" s="25">
        <f t="shared" si="21"/>
        <v>98.760999999999996</v>
      </c>
      <c r="L74" s="25">
        <v>0</v>
      </c>
      <c r="M74" s="25">
        <v>163.25</v>
      </c>
      <c r="N74" s="25">
        <v>450</v>
      </c>
      <c r="O74" s="25">
        <v>26.25</v>
      </c>
      <c r="P74" s="25"/>
      <c r="Q74" s="25">
        <f t="shared" si="22"/>
        <v>38</v>
      </c>
      <c r="R74" s="25">
        <v>40.479999999999997</v>
      </c>
      <c r="S74" s="25">
        <v>7</v>
      </c>
      <c r="T74" s="25">
        <f t="shared" si="24"/>
        <v>37.960000000000058</v>
      </c>
      <c r="U74" s="25"/>
      <c r="V74" s="25">
        <f t="shared" si="23"/>
        <v>1043.25</v>
      </c>
    </row>
    <row r="75" spans="1:22">
      <c r="A75" s="22" t="s">
        <v>245</v>
      </c>
      <c r="B75" s="23">
        <v>352375</v>
      </c>
      <c r="C75" s="24" t="s">
        <v>197</v>
      </c>
      <c r="D75" s="23">
        <v>5</v>
      </c>
      <c r="E75" s="25">
        <v>5075</v>
      </c>
      <c r="F75" s="25">
        <v>666.5</v>
      </c>
      <c r="G75" s="25">
        <v>0</v>
      </c>
      <c r="H75" s="25"/>
      <c r="I75" s="25">
        <v>3282.68</v>
      </c>
      <c r="J75" s="53">
        <v>2382</v>
      </c>
      <c r="K75" s="25">
        <f t="shared" si="21"/>
        <v>169.12199999999999</v>
      </c>
      <c r="L75" s="25">
        <v>0</v>
      </c>
      <c r="M75" s="25">
        <v>163.25</v>
      </c>
      <c r="N75" s="25">
        <v>450</v>
      </c>
      <c r="O75" s="25">
        <v>26.25</v>
      </c>
      <c r="P75" s="25"/>
      <c r="Q75" s="25">
        <f t="shared" si="22"/>
        <v>50.75</v>
      </c>
      <c r="R75" s="25">
        <v>111.9</v>
      </c>
      <c r="S75" s="25">
        <v>7</v>
      </c>
      <c r="T75" s="25">
        <f t="shared" si="24"/>
        <v>-1469.83</v>
      </c>
      <c r="U75" s="25"/>
      <c r="V75" s="25">
        <f t="shared" si="23"/>
        <v>1786.5</v>
      </c>
    </row>
    <row r="76" spans="1:22">
      <c r="A76" s="39" t="s">
        <v>89</v>
      </c>
      <c r="B76" s="40">
        <v>16</v>
      </c>
      <c r="C76" s="41" t="s">
        <v>248</v>
      </c>
      <c r="D76" s="40">
        <f>AVERAGE(D60:D75)</f>
        <v>4.375</v>
      </c>
      <c r="E76" s="42">
        <f>SUM(E60:E75)</f>
        <v>82275</v>
      </c>
      <c r="F76" s="42">
        <f>SUM(F59:F75)</f>
        <v>11397.5</v>
      </c>
      <c r="G76" s="42">
        <f>SUM(G64:G73)</f>
        <v>0</v>
      </c>
      <c r="H76" s="42"/>
      <c r="I76" s="42">
        <f>SUM(I59:I75)</f>
        <v>32542.87</v>
      </c>
      <c r="J76" s="40">
        <f>SUM(J60:J75)</f>
        <v>33256</v>
      </c>
      <c r="K76" s="42">
        <f t="shared" ref="K76:O76" si="25">SUM(K59:K75)</f>
        <v>2361.1759999999995</v>
      </c>
      <c r="L76" s="42">
        <f t="shared" si="25"/>
        <v>1077.97</v>
      </c>
      <c r="M76" s="42">
        <f t="shared" si="25"/>
        <v>2753</v>
      </c>
      <c r="N76" s="42">
        <f t="shared" si="25"/>
        <v>7200</v>
      </c>
      <c r="O76" s="42">
        <f t="shared" si="25"/>
        <v>493.75</v>
      </c>
      <c r="P76" s="42"/>
      <c r="Q76" s="42">
        <f t="shared" si="22"/>
        <v>822.75</v>
      </c>
      <c r="R76" s="42">
        <f t="shared" ref="R76:T76" si="26">SUM(R59:R75)</f>
        <v>784.32</v>
      </c>
      <c r="S76" s="42">
        <f t="shared" si="26"/>
        <v>84</v>
      </c>
      <c r="T76" s="40">
        <f t="shared" si="26"/>
        <v>-2957.1870000000026</v>
      </c>
      <c r="U76" s="40"/>
      <c r="V76" s="40">
        <f>SUM(V59:V75)</f>
        <v>25521.62</v>
      </c>
    </row>
    <row r="77" spans="1:22" ht="15.75" customHeight="1">
      <c r="H77" s="56"/>
      <c r="I77" s="56"/>
    </row>
    <row r="78" spans="1:22">
      <c r="A78" s="457" t="s">
        <v>249</v>
      </c>
      <c r="B78" s="458"/>
      <c r="C78" s="458"/>
      <c r="D78" s="458"/>
      <c r="E78" s="458"/>
      <c r="F78" s="458"/>
      <c r="G78" s="458"/>
      <c r="H78" s="458"/>
      <c r="I78" s="458"/>
      <c r="J78" s="458"/>
      <c r="K78" s="458"/>
      <c r="L78" s="458"/>
      <c r="M78" s="458"/>
      <c r="N78" s="458"/>
      <c r="O78" s="458"/>
      <c r="P78" s="458"/>
      <c r="Q78" s="458"/>
      <c r="R78" s="458"/>
      <c r="S78" s="458"/>
      <c r="T78" s="458"/>
      <c r="U78" s="458"/>
      <c r="V78" s="459"/>
    </row>
    <row r="79" spans="1:22">
      <c r="A79" s="1" t="s">
        <v>0</v>
      </c>
      <c r="B79" s="2" t="s">
        <v>1</v>
      </c>
      <c r="C79" s="2" t="s">
        <v>183</v>
      </c>
      <c r="D79" s="2" t="s">
        <v>3</v>
      </c>
      <c r="E79" s="2" t="s">
        <v>2</v>
      </c>
      <c r="F79" s="2" t="s">
        <v>4</v>
      </c>
      <c r="G79" s="2" t="s">
        <v>6</v>
      </c>
      <c r="H79" s="2"/>
      <c r="I79" s="2" t="s">
        <v>7</v>
      </c>
      <c r="J79" s="2" t="s">
        <v>9</v>
      </c>
      <c r="K79" s="2" t="s">
        <v>106</v>
      </c>
      <c r="L79" s="2" t="s">
        <v>107</v>
      </c>
      <c r="M79" s="2" t="s">
        <v>5</v>
      </c>
      <c r="N79" s="2" t="s">
        <v>12</v>
      </c>
      <c r="O79" s="2" t="s">
        <v>184</v>
      </c>
      <c r="P79" s="2"/>
      <c r="Q79" s="2" t="s">
        <v>108</v>
      </c>
      <c r="R79" s="2" t="s">
        <v>8</v>
      </c>
      <c r="S79" s="12" t="s">
        <v>185</v>
      </c>
      <c r="T79" s="2" t="s">
        <v>13</v>
      </c>
      <c r="U79" s="2"/>
      <c r="V79" s="14" t="s">
        <v>98</v>
      </c>
    </row>
    <row r="80" spans="1:22">
      <c r="A80" s="18" t="s">
        <v>211</v>
      </c>
      <c r="B80" s="19">
        <v>465188</v>
      </c>
      <c r="C80" s="20" t="s">
        <v>186</v>
      </c>
      <c r="D80" s="19">
        <v>7</v>
      </c>
      <c r="E80" s="21">
        <v>8430</v>
      </c>
      <c r="F80" s="21">
        <v>748</v>
      </c>
      <c r="G80" s="21">
        <v>850</v>
      </c>
      <c r="H80" s="21"/>
      <c r="I80" s="21">
        <v>2868.92</v>
      </c>
      <c r="J80" s="55">
        <v>2743</v>
      </c>
      <c r="K80" s="21">
        <f t="shared" ref="K80:K95" si="27">J80*0.071</f>
        <v>194.75299999999999</v>
      </c>
      <c r="L80" s="21">
        <f>J80*0.17</f>
        <v>466.31000000000006</v>
      </c>
      <c r="M80" s="21">
        <v>198.5</v>
      </c>
      <c r="N80" s="21">
        <v>450</v>
      </c>
      <c r="O80" s="21">
        <v>26.25</v>
      </c>
      <c r="P80" s="21"/>
      <c r="Q80" s="21">
        <f t="shared" ref="Q80:Q96" si="28">E80*0.01</f>
        <v>84.3</v>
      </c>
      <c r="R80" s="21">
        <v>285.11</v>
      </c>
      <c r="S80" s="21">
        <v>0</v>
      </c>
      <c r="T80" s="21">
        <f>E80*0.22-K80-F80-N80-M80-Q80</f>
        <v>179.04699999999997</v>
      </c>
      <c r="U80" s="21"/>
      <c r="V80" s="21">
        <f>E80*0.78-G80-I80-L80-O80-R80</f>
        <v>2078.8100000000004</v>
      </c>
    </row>
    <row r="81" spans="1:22">
      <c r="A81" s="22" t="s">
        <v>240</v>
      </c>
      <c r="B81" s="23">
        <v>352368</v>
      </c>
      <c r="C81" s="24" t="s">
        <v>197</v>
      </c>
      <c r="D81" s="23">
        <v>7</v>
      </c>
      <c r="E81" s="25">
        <v>4423</v>
      </c>
      <c r="F81" s="25">
        <v>666.5</v>
      </c>
      <c r="G81" s="25">
        <v>0</v>
      </c>
      <c r="H81" s="25"/>
      <c r="I81" s="25">
        <v>1774.02</v>
      </c>
      <c r="J81" s="53">
        <v>1728</v>
      </c>
      <c r="K81" s="25">
        <f t="shared" si="27"/>
        <v>122.68799999999999</v>
      </c>
      <c r="L81" s="25">
        <v>0</v>
      </c>
      <c r="M81" s="25">
        <v>163.25</v>
      </c>
      <c r="N81" s="25">
        <v>450</v>
      </c>
      <c r="O81" s="25">
        <v>32.5</v>
      </c>
      <c r="P81" s="25"/>
      <c r="Q81" s="25">
        <f t="shared" si="28"/>
        <v>44.230000000000004</v>
      </c>
      <c r="R81" s="25">
        <v>159.72999999999999</v>
      </c>
      <c r="S81" s="25">
        <v>7</v>
      </c>
      <c r="T81" s="25">
        <f>E81-J81*0.75-K81-M81-N81-O81-Q81-I81-F81</f>
        <v>-126.1880000000001</v>
      </c>
      <c r="U81" s="25"/>
      <c r="V81" s="25">
        <f>J81*0.75</f>
        <v>1296</v>
      </c>
    </row>
    <row r="82" spans="1:22">
      <c r="A82" s="18" t="s">
        <v>215</v>
      </c>
      <c r="B82" s="19">
        <v>465184</v>
      </c>
      <c r="C82" s="20" t="s">
        <v>186</v>
      </c>
      <c r="D82" s="19">
        <v>1</v>
      </c>
      <c r="E82" s="21">
        <v>1350</v>
      </c>
      <c r="F82" s="21">
        <v>748</v>
      </c>
      <c r="G82" s="21">
        <v>850</v>
      </c>
      <c r="H82" s="21"/>
      <c r="I82" s="21">
        <v>351.5</v>
      </c>
      <c r="J82" s="55">
        <v>750</v>
      </c>
      <c r="K82" s="21">
        <f t="shared" si="27"/>
        <v>53.249999999999993</v>
      </c>
      <c r="L82" s="21">
        <f>J82*0.17</f>
        <v>127.50000000000001</v>
      </c>
      <c r="M82" s="21">
        <v>198.5</v>
      </c>
      <c r="N82" s="21">
        <v>450</v>
      </c>
      <c r="O82" s="21">
        <v>40</v>
      </c>
      <c r="P82" s="21"/>
      <c r="Q82" s="21">
        <f t="shared" si="28"/>
        <v>13.5</v>
      </c>
      <c r="R82" s="21">
        <v>169.01</v>
      </c>
      <c r="S82" s="21">
        <v>0</v>
      </c>
      <c r="T82" s="21">
        <f>E82*0.22-M82-N82-Q82-K82-F82+G82</f>
        <v>-316.25</v>
      </c>
      <c r="U82" s="21"/>
      <c r="V82" s="21">
        <f>E82*0.78-G82-L82-O82-R82-I82</f>
        <v>-485.01</v>
      </c>
    </row>
    <row r="83" spans="1:22">
      <c r="A83" s="22" t="s">
        <v>200</v>
      </c>
      <c r="B83" s="23">
        <v>352377</v>
      </c>
      <c r="C83" s="24" t="s">
        <v>197</v>
      </c>
      <c r="D83" s="23">
        <v>0</v>
      </c>
      <c r="E83" s="25">
        <v>0</v>
      </c>
      <c r="F83" s="25">
        <v>666.5</v>
      </c>
      <c r="G83" s="25">
        <v>0</v>
      </c>
      <c r="H83" s="25"/>
      <c r="I83" s="25">
        <v>0</v>
      </c>
      <c r="J83" s="53">
        <v>0</v>
      </c>
      <c r="K83" s="25">
        <f t="shared" si="27"/>
        <v>0</v>
      </c>
      <c r="L83" s="25">
        <v>0</v>
      </c>
      <c r="M83" s="25">
        <v>198.5</v>
      </c>
      <c r="N83" s="25">
        <v>450</v>
      </c>
      <c r="O83" s="25">
        <v>32.5</v>
      </c>
      <c r="P83" s="25"/>
      <c r="Q83" s="25">
        <f t="shared" si="28"/>
        <v>0</v>
      </c>
      <c r="R83" s="25">
        <v>8</v>
      </c>
      <c r="S83" s="25">
        <v>7</v>
      </c>
      <c r="T83" s="25">
        <f>E83-J83*0.75-K83-F83-M83-N83-O83-Q83-I83-R83</f>
        <v>-1355.5</v>
      </c>
      <c r="U83" s="25"/>
      <c r="V83" s="25">
        <f t="shared" ref="V83:V95" si="29">J83*0.75</f>
        <v>0</v>
      </c>
    </row>
    <row r="84" spans="1:22">
      <c r="A84" s="22" t="s">
        <v>247</v>
      </c>
      <c r="B84" s="23">
        <v>465180</v>
      </c>
      <c r="C84" s="24" t="s">
        <v>197</v>
      </c>
      <c r="D84" s="23">
        <v>7</v>
      </c>
      <c r="E84" s="25">
        <v>10180</v>
      </c>
      <c r="F84" s="25">
        <v>748</v>
      </c>
      <c r="G84" s="25">
        <v>0</v>
      </c>
      <c r="H84" s="25"/>
      <c r="I84" s="25">
        <v>3396.28</v>
      </c>
      <c r="J84" s="53">
        <v>3885</v>
      </c>
      <c r="K84" s="25">
        <f t="shared" si="27"/>
        <v>275.83499999999998</v>
      </c>
      <c r="L84" s="25">
        <f>J84*0.17</f>
        <v>660.45</v>
      </c>
      <c r="M84" s="25">
        <v>198.5</v>
      </c>
      <c r="N84" s="25">
        <v>450</v>
      </c>
      <c r="O84" s="25">
        <v>26.25</v>
      </c>
      <c r="P84" s="25"/>
      <c r="Q84" s="25">
        <f t="shared" si="28"/>
        <v>101.8</v>
      </c>
      <c r="R84" s="25">
        <v>25.9</v>
      </c>
      <c r="S84" s="25">
        <v>0</v>
      </c>
      <c r="T84" s="25">
        <f>E84*0.22-M84-N84-Q84-K84</f>
        <v>1213.4649999999999</v>
      </c>
      <c r="U84" s="25"/>
      <c r="V84" s="25">
        <f t="shared" si="29"/>
        <v>2913.75</v>
      </c>
    </row>
    <row r="85" spans="1:22">
      <c r="A85" s="22" t="s">
        <v>218</v>
      </c>
      <c r="B85" s="23">
        <v>465182</v>
      </c>
      <c r="C85" s="24" t="s">
        <v>197</v>
      </c>
      <c r="D85" s="23">
        <v>7</v>
      </c>
      <c r="E85" s="25">
        <v>8950</v>
      </c>
      <c r="F85" s="25">
        <v>666.5</v>
      </c>
      <c r="G85" s="25">
        <v>0</v>
      </c>
      <c r="H85" s="25"/>
      <c r="I85" s="25">
        <v>3568.73</v>
      </c>
      <c r="J85" s="53">
        <v>3572</v>
      </c>
      <c r="K85" s="25">
        <f t="shared" si="27"/>
        <v>253.61199999999997</v>
      </c>
      <c r="L85" s="25">
        <v>0</v>
      </c>
      <c r="M85" s="25">
        <v>163.25</v>
      </c>
      <c r="N85" s="25">
        <v>450</v>
      </c>
      <c r="O85" s="25">
        <v>40</v>
      </c>
      <c r="P85" s="25"/>
      <c r="Q85" s="25">
        <f t="shared" si="28"/>
        <v>89.5</v>
      </c>
      <c r="R85" s="25">
        <v>13.91</v>
      </c>
      <c r="S85" s="25">
        <v>7</v>
      </c>
      <c r="T85" s="25">
        <f>E85-F85-I85-K85-M85-N85-O85-Q85-S85-V85</f>
        <v>1032.4080000000004</v>
      </c>
      <c r="U85" s="25"/>
      <c r="V85" s="25">
        <f t="shared" si="29"/>
        <v>2679</v>
      </c>
    </row>
    <row r="86" spans="1:22">
      <c r="A86" s="22" t="s">
        <v>220</v>
      </c>
      <c r="B86" s="23">
        <v>465185</v>
      </c>
      <c r="C86" s="24" t="s">
        <v>197</v>
      </c>
      <c r="D86" s="23">
        <v>6</v>
      </c>
      <c r="E86" s="25">
        <v>7410</v>
      </c>
      <c r="F86" s="25">
        <v>748</v>
      </c>
      <c r="G86" s="25">
        <v>0</v>
      </c>
      <c r="H86" s="25"/>
      <c r="I86" s="25">
        <v>2495.87</v>
      </c>
      <c r="J86" s="53">
        <v>2573</v>
      </c>
      <c r="K86" s="25">
        <f t="shared" si="27"/>
        <v>182.68299999999999</v>
      </c>
      <c r="L86" s="25">
        <v>0</v>
      </c>
      <c r="M86" s="25">
        <v>163.25</v>
      </c>
      <c r="N86" s="25">
        <v>450</v>
      </c>
      <c r="O86" s="25">
        <v>40</v>
      </c>
      <c r="P86" s="25"/>
      <c r="Q86" s="25">
        <f t="shared" si="28"/>
        <v>74.100000000000009</v>
      </c>
      <c r="R86" s="25">
        <v>42.41</v>
      </c>
      <c r="S86" s="25">
        <v>7</v>
      </c>
      <c r="T86" s="25">
        <f>E86-F86-I86-K86-M86-N86-O86-Q86-J86*0.75-R86</f>
        <v>1283.9370000000001</v>
      </c>
      <c r="U86" s="25"/>
      <c r="V86" s="25">
        <f t="shared" si="29"/>
        <v>1929.75</v>
      </c>
    </row>
    <row r="87" spans="1:22">
      <c r="A87" s="22" t="s">
        <v>235</v>
      </c>
      <c r="B87" s="23">
        <v>352371</v>
      </c>
      <c r="C87" s="24" t="s">
        <v>197</v>
      </c>
      <c r="D87" s="23">
        <v>7</v>
      </c>
      <c r="E87" s="25">
        <v>7030</v>
      </c>
      <c r="F87" s="25">
        <v>666.5</v>
      </c>
      <c r="G87" s="25">
        <v>0</v>
      </c>
      <c r="H87" s="25"/>
      <c r="I87" s="25">
        <v>3305.84</v>
      </c>
      <c r="J87" s="53">
        <v>2692</v>
      </c>
      <c r="K87" s="25">
        <f t="shared" si="27"/>
        <v>191.13199999999998</v>
      </c>
      <c r="L87" s="25">
        <v>0</v>
      </c>
      <c r="M87" s="25">
        <v>163.25</v>
      </c>
      <c r="N87" s="25">
        <v>450</v>
      </c>
      <c r="O87" s="25">
        <v>32.5</v>
      </c>
      <c r="P87" s="25"/>
      <c r="Q87" s="25">
        <f t="shared" si="28"/>
        <v>70.3</v>
      </c>
      <c r="R87" s="25">
        <v>143.08000000000001</v>
      </c>
      <c r="S87" s="25">
        <v>0</v>
      </c>
      <c r="T87" s="25">
        <f>E87-(J87*0.75)-K87-F87-M87-N87-O87-Q87-I87</f>
        <v>131.47800000000007</v>
      </c>
      <c r="U87" s="25"/>
      <c r="V87" s="25">
        <f t="shared" si="29"/>
        <v>2019</v>
      </c>
    </row>
    <row r="88" spans="1:22">
      <c r="A88" s="22" t="s">
        <v>223</v>
      </c>
      <c r="B88" s="23">
        <v>465183</v>
      </c>
      <c r="C88" s="24" t="s">
        <v>197</v>
      </c>
      <c r="D88" s="23">
        <v>0</v>
      </c>
      <c r="E88" s="25">
        <v>0</v>
      </c>
      <c r="F88" s="25">
        <v>748</v>
      </c>
      <c r="G88" s="25">
        <v>0</v>
      </c>
      <c r="H88" s="25"/>
      <c r="I88" s="25">
        <v>0</v>
      </c>
      <c r="J88" s="53">
        <v>0</v>
      </c>
      <c r="K88" s="25">
        <f t="shared" si="27"/>
        <v>0</v>
      </c>
      <c r="L88" s="25">
        <v>0</v>
      </c>
      <c r="M88" s="25">
        <v>163.25</v>
      </c>
      <c r="N88" s="25">
        <v>450</v>
      </c>
      <c r="O88" s="25">
        <v>26.25</v>
      </c>
      <c r="P88" s="25"/>
      <c r="Q88" s="25">
        <f t="shared" si="28"/>
        <v>0</v>
      </c>
      <c r="R88" s="25"/>
      <c r="S88" s="25">
        <v>7</v>
      </c>
      <c r="T88" s="25">
        <f>E88-F88-I88-K88-M88-N88-O88-Q88-J88*0.75-R88</f>
        <v>-1387.5</v>
      </c>
      <c r="U88" s="25"/>
      <c r="V88" s="25">
        <f t="shared" si="29"/>
        <v>0</v>
      </c>
    </row>
    <row r="89" spans="1:22">
      <c r="A89" s="22" t="s">
        <v>224</v>
      </c>
      <c r="B89" s="23">
        <v>465187</v>
      </c>
      <c r="C89" s="24" t="s">
        <v>197</v>
      </c>
      <c r="D89" s="23">
        <v>3</v>
      </c>
      <c r="E89" s="25">
        <v>4200</v>
      </c>
      <c r="F89" s="25">
        <v>748</v>
      </c>
      <c r="G89" s="25">
        <v>0</v>
      </c>
      <c r="H89" s="25"/>
      <c r="I89" s="25">
        <v>2542.0300000000002</v>
      </c>
      <c r="J89" s="53">
        <v>3418</v>
      </c>
      <c r="K89" s="25">
        <f t="shared" si="27"/>
        <v>242.67799999999997</v>
      </c>
      <c r="L89" s="25">
        <v>0</v>
      </c>
      <c r="M89" s="25">
        <v>163.25</v>
      </c>
      <c r="N89" s="25">
        <v>450</v>
      </c>
      <c r="O89" s="25">
        <v>40</v>
      </c>
      <c r="P89" s="25"/>
      <c r="Q89" s="25">
        <f t="shared" si="28"/>
        <v>42</v>
      </c>
      <c r="R89" s="25">
        <v>9.7899999999999991</v>
      </c>
      <c r="S89" s="25">
        <v>7</v>
      </c>
      <c r="T89" s="25">
        <f t="shared" ref="T89:T90" si="30">E89-F89-I89-K89-M89-N89-O89-Q89-S89-V89</f>
        <v>-2598.4580000000001</v>
      </c>
      <c r="U89" s="25"/>
      <c r="V89" s="25">
        <f t="shared" si="29"/>
        <v>2563.5</v>
      </c>
    </row>
    <row r="90" spans="1:22">
      <c r="A90" s="22" t="s">
        <v>207</v>
      </c>
      <c r="B90" s="23">
        <v>465186</v>
      </c>
      <c r="C90" s="24" t="s">
        <v>197</v>
      </c>
      <c r="D90" s="23">
        <v>5</v>
      </c>
      <c r="E90" s="25">
        <v>6105</v>
      </c>
      <c r="F90" s="25">
        <v>748</v>
      </c>
      <c r="G90" s="25">
        <v>0</v>
      </c>
      <c r="H90" s="25"/>
      <c r="I90" s="25">
        <v>1860.37</v>
      </c>
      <c r="J90" s="53">
        <v>2894</v>
      </c>
      <c r="K90" s="25">
        <f t="shared" si="27"/>
        <v>205.47399999999999</v>
      </c>
      <c r="L90" s="25">
        <v>0</v>
      </c>
      <c r="M90" s="25">
        <v>163.25</v>
      </c>
      <c r="N90" s="25">
        <v>450</v>
      </c>
      <c r="O90" s="25">
        <v>26.25</v>
      </c>
      <c r="P90" s="25"/>
      <c r="Q90" s="25">
        <f t="shared" si="28"/>
        <v>61.050000000000004</v>
      </c>
      <c r="R90" s="25">
        <v>57.76</v>
      </c>
      <c r="S90" s="25">
        <v>7</v>
      </c>
      <c r="T90" s="25">
        <f t="shared" si="30"/>
        <v>413.10599999999977</v>
      </c>
      <c r="U90" s="25"/>
      <c r="V90" s="25">
        <f t="shared" si="29"/>
        <v>2170.5</v>
      </c>
    </row>
    <row r="91" spans="1:22">
      <c r="A91" s="22" t="s">
        <v>208</v>
      </c>
      <c r="B91" s="23">
        <v>465189</v>
      </c>
      <c r="C91" s="24" t="s">
        <v>197</v>
      </c>
      <c r="D91" s="23">
        <v>0</v>
      </c>
      <c r="E91" s="25">
        <v>0</v>
      </c>
      <c r="F91" s="25">
        <v>748</v>
      </c>
      <c r="G91" s="25">
        <v>0</v>
      </c>
      <c r="H91" s="25"/>
      <c r="I91" s="25">
        <v>500</v>
      </c>
      <c r="J91" s="53">
        <v>0</v>
      </c>
      <c r="K91" s="25">
        <f t="shared" si="27"/>
        <v>0</v>
      </c>
      <c r="L91" s="25">
        <v>0</v>
      </c>
      <c r="M91" s="25">
        <v>163.25</v>
      </c>
      <c r="N91" s="25">
        <v>450</v>
      </c>
      <c r="O91" s="25">
        <v>26.25</v>
      </c>
      <c r="P91" s="25"/>
      <c r="Q91" s="25">
        <f t="shared" si="28"/>
        <v>0</v>
      </c>
      <c r="R91" s="25"/>
      <c r="S91" s="25">
        <v>7</v>
      </c>
      <c r="T91" s="25">
        <f t="shared" ref="T91:T95" si="31">E91-F91-I91-J91*0.75-M91-N91-O91-Q91-R91-S91</f>
        <v>-1894.5</v>
      </c>
      <c r="U91" s="25"/>
      <c r="V91" s="25">
        <f t="shared" si="29"/>
        <v>0</v>
      </c>
    </row>
    <row r="92" spans="1:22">
      <c r="A92" s="34" t="s">
        <v>232</v>
      </c>
      <c r="B92" s="23">
        <v>465181</v>
      </c>
      <c r="C92" s="34" t="s">
        <v>197</v>
      </c>
      <c r="D92" s="47">
        <v>5</v>
      </c>
      <c r="E92" s="35">
        <v>5000</v>
      </c>
      <c r="F92" s="25">
        <v>748</v>
      </c>
      <c r="G92" s="25">
        <v>0</v>
      </c>
      <c r="H92" s="36"/>
      <c r="I92" s="37">
        <v>2029.18</v>
      </c>
      <c r="J92" s="54">
        <v>2128</v>
      </c>
      <c r="K92" s="25">
        <f t="shared" si="27"/>
        <v>151.08799999999999</v>
      </c>
      <c r="L92" s="25">
        <v>0</v>
      </c>
      <c r="M92" s="25">
        <v>163.25</v>
      </c>
      <c r="N92" s="25">
        <v>450</v>
      </c>
      <c r="O92" s="25">
        <v>26.25</v>
      </c>
      <c r="P92" s="25"/>
      <c r="Q92" s="25">
        <f t="shared" si="28"/>
        <v>50</v>
      </c>
      <c r="R92" s="34">
        <v>14.33</v>
      </c>
      <c r="S92" s="25">
        <v>7</v>
      </c>
      <c r="T92" s="35">
        <f t="shared" si="31"/>
        <v>-84.010000000000289</v>
      </c>
      <c r="U92" s="35"/>
      <c r="V92" s="35">
        <f t="shared" si="29"/>
        <v>1596</v>
      </c>
    </row>
    <row r="93" spans="1:22">
      <c r="A93" s="22" t="s">
        <v>241</v>
      </c>
      <c r="B93" s="23">
        <v>352374</v>
      </c>
      <c r="C93" s="24" t="s">
        <v>197</v>
      </c>
      <c r="D93" s="23">
        <v>3</v>
      </c>
      <c r="E93" s="25">
        <v>4200</v>
      </c>
      <c r="F93" s="25">
        <v>666.5</v>
      </c>
      <c r="G93" s="25">
        <v>0</v>
      </c>
      <c r="H93" s="25"/>
      <c r="I93" s="25">
        <v>1822.75</v>
      </c>
      <c r="J93" s="53">
        <v>1915</v>
      </c>
      <c r="K93" s="25">
        <f t="shared" si="27"/>
        <v>135.96499999999997</v>
      </c>
      <c r="L93" s="25">
        <v>0</v>
      </c>
      <c r="M93" s="25">
        <v>163.25</v>
      </c>
      <c r="N93" s="25">
        <v>450</v>
      </c>
      <c r="O93" s="25">
        <v>26.25</v>
      </c>
      <c r="P93" s="25"/>
      <c r="Q93" s="25">
        <f t="shared" si="28"/>
        <v>42</v>
      </c>
      <c r="R93" s="25">
        <v>188.54</v>
      </c>
      <c r="S93" s="25">
        <v>7</v>
      </c>
      <c r="T93" s="25">
        <f t="shared" si="31"/>
        <v>-602.54</v>
      </c>
      <c r="U93" s="25"/>
      <c r="V93" s="25">
        <f t="shared" si="29"/>
        <v>1436.25</v>
      </c>
    </row>
    <row r="94" spans="1:22">
      <c r="A94" s="22" t="s">
        <v>242</v>
      </c>
      <c r="B94" s="23">
        <v>359886</v>
      </c>
      <c r="C94" s="24" t="s">
        <v>197</v>
      </c>
      <c r="D94" s="23">
        <v>5</v>
      </c>
      <c r="E94" s="25">
        <v>5500</v>
      </c>
      <c r="F94" s="25">
        <v>666.5</v>
      </c>
      <c r="G94" s="25">
        <v>0</v>
      </c>
      <c r="H94" s="25"/>
      <c r="I94" s="25">
        <v>2083.6</v>
      </c>
      <c r="J94" s="53">
        <v>2360</v>
      </c>
      <c r="K94" s="25">
        <f t="shared" si="27"/>
        <v>167.55999999999997</v>
      </c>
      <c r="L94" s="25">
        <v>0</v>
      </c>
      <c r="M94" s="25">
        <v>163.25</v>
      </c>
      <c r="N94" s="25">
        <v>450</v>
      </c>
      <c r="O94" s="25">
        <v>26.25</v>
      </c>
      <c r="P94" s="25"/>
      <c r="Q94" s="25">
        <f t="shared" si="28"/>
        <v>55</v>
      </c>
      <c r="R94" s="25">
        <v>93.8</v>
      </c>
      <c r="S94" s="25">
        <v>7</v>
      </c>
      <c r="T94" s="25">
        <f t="shared" si="31"/>
        <v>184.60000000000008</v>
      </c>
      <c r="U94" s="25"/>
      <c r="V94" s="25">
        <f t="shared" si="29"/>
        <v>1770</v>
      </c>
    </row>
    <row r="95" spans="1:22">
      <c r="A95" s="22" t="s">
        <v>245</v>
      </c>
      <c r="B95" s="23">
        <v>352375</v>
      </c>
      <c r="C95" s="24" t="s">
        <v>197</v>
      </c>
      <c r="D95" s="23">
        <v>7</v>
      </c>
      <c r="E95" s="25">
        <v>8450</v>
      </c>
      <c r="F95" s="25">
        <v>666.5</v>
      </c>
      <c r="G95" s="25">
        <v>0</v>
      </c>
      <c r="H95" s="25"/>
      <c r="I95" s="25">
        <v>2906.63</v>
      </c>
      <c r="J95" s="53">
        <v>3118</v>
      </c>
      <c r="K95" s="25">
        <f t="shared" si="27"/>
        <v>221.37799999999999</v>
      </c>
      <c r="L95" s="25">
        <v>0</v>
      </c>
      <c r="M95" s="25">
        <v>163.25</v>
      </c>
      <c r="N95" s="25">
        <v>450</v>
      </c>
      <c r="O95" s="25">
        <v>26.25</v>
      </c>
      <c r="P95" s="25"/>
      <c r="Q95" s="25">
        <f t="shared" si="28"/>
        <v>84.5</v>
      </c>
      <c r="R95" s="25"/>
      <c r="S95" s="25">
        <v>7</v>
      </c>
      <c r="T95" s="25">
        <f t="shared" si="31"/>
        <v>1807.37</v>
      </c>
      <c r="U95" s="25"/>
      <c r="V95" s="25">
        <f t="shared" si="29"/>
        <v>2338.5</v>
      </c>
    </row>
    <row r="96" spans="1:22">
      <c r="A96" s="39" t="s">
        <v>89</v>
      </c>
      <c r="B96" s="40">
        <v>16</v>
      </c>
      <c r="C96" s="41" t="s">
        <v>248</v>
      </c>
      <c r="D96" s="40"/>
      <c r="E96" s="42">
        <f>SUM(E80:E95)</f>
        <v>81228</v>
      </c>
      <c r="F96" s="42">
        <f>SUM(F79:F95)</f>
        <v>11397.5</v>
      </c>
      <c r="G96" s="42">
        <f>SUM(G80:G95)</f>
        <v>1700</v>
      </c>
      <c r="H96" s="42"/>
      <c r="I96" s="42">
        <f t="shared" ref="I96:J96" si="32">SUM(I80:I95)</f>
        <v>31505.719999999998</v>
      </c>
      <c r="J96" s="57">
        <f t="shared" si="32"/>
        <v>33776</v>
      </c>
      <c r="K96" s="42">
        <f t="shared" ref="K96:O96" si="33">SUM(K79:K95)</f>
        <v>2398.096</v>
      </c>
      <c r="L96" s="42">
        <f t="shared" si="33"/>
        <v>1254.2600000000002</v>
      </c>
      <c r="M96" s="42">
        <f t="shared" si="33"/>
        <v>2753</v>
      </c>
      <c r="N96" s="42">
        <f t="shared" si="33"/>
        <v>7200</v>
      </c>
      <c r="O96" s="42">
        <f t="shared" si="33"/>
        <v>493.75</v>
      </c>
      <c r="P96" s="42"/>
      <c r="Q96" s="42">
        <f t="shared" si="28"/>
        <v>812.28</v>
      </c>
      <c r="R96" s="42">
        <f>SUM(R80:R95)</f>
        <v>1211.3699999999999</v>
      </c>
      <c r="S96" s="42">
        <f t="shared" ref="S96:T96" si="34">SUM(S79:S95)</f>
        <v>84</v>
      </c>
      <c r="T96" s="42">
        <f t="shared" si="34"/>
        <v>-2119.5350000000003</v>
      </c>
      <c r="U96" s="40"/>
      <c r="V96" s="40">
        <f>SUM(V79:V95)</f>
        <v>24306.05</v>
      </c>
    </row>
  </sheetData>
  <mergeCells count="5">
    <mergeCell ref="A1:O1"/>
    <mergeCell ref="A19:V19"/>
    <mergeCell ref="A38:V38"/>
    <mergeCell ref="A58:V58"/>
    <mergeCell ref="A78:V7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07"/>
  <sheetViews>
    <sheetView workbookViewId="0"/>
  </sheetViews>
  <sheetFormatPr baseColWidth="10" defaultColWidth="12.6640625" defaultRowHeight="15.75" customHeight="1"/>
  <sheetData>
    <row r="1" spans="1:22">
      <c r="A1" s="457" t="s">
        <v>250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9"/>
    </row>
    <row r="2" spans="1:22">
      <c r="A2" s="1" t="s">
        <v>0</v>
      </c>
      <c r="B2" s="2" t="s">
        <v>1</v>
      </c>
      <c r="C2" s="2" t="s">
        <v>183</v>
      </c>
      <c r="D2" s="2" t="s">
        <v>3</v>
      </c>
      <c r="E2" s="2" t="s">
        <v>2</v>
      </c>
      <c r="F2" s="2" t="s">
        <v>4</v>
      </c>
      <c r="G2" s="2" t="s">
        <v>6</v>
      </c>
      <c r="H2" s="2"/>
      <c r="I2" s="2" t="s">
        <v>7</v>
      </c>
      <c r="J2" s="2" t="s">
        <v>9</v>
      </c>
      <c r="K2" s="2" t="s">
        <v>106</v>
      </c>
      <c r="L2" s="2" t="s">
        <v>107</v>
      </c>
      <c r="M2" s="2" t="s">
        <v>5</v>
      </c>
      <c r="N2" s="2" t="s">
        <v>12</v>
      </c>
      <c r="O2" s="2" t="s">
        <v>184</v>
      </c>
      <c r="P2" s="2"/>
      <c r="Q2" s="2" t="s">
        <v>108</v>
      </c>
      <c r="R2" s="2" t="s">
        <v>8</v>
      </c>
      <c r="S2" s="12" t="s">
        <v>185</v>
      </c>
      <c r="T2" s="2" t="s">
        <v>13</v>
      </c>
      <c r="U2" s="2"/>
      <c r="V2" s="14" t="s">
        <v>98</v>
      </c>
    </row>
    <row r="3" spans="1:22">
      <c r="A3" s="18" t="s">
        <v>211</v>
      </c>
      <c r="B3" s="19">
        <v>465188</v>
      </c>
      <c r="C3" s="20" t="s">
        <v>186</v>
      </c>
      <c r="D3" s="19">
        <v>2</v>
      </c>
      <c r="E3" s="21">
        <v>1800</v>
      </c>
      <c r="F3" s="21">
        <v>748</v>
      </c>
      <c r="G3" s="21">
        <v>850</v>
      </c>
      <c r="H3" s="21"/>
      <c r="I3" s="21">
        <v>471.34</v>
      </c>
      <c r="J3" s="55"/>
      <c r="K3" s="21">
        <f t="shared" ref="K3:K17" si="0">J3*0.071</f>
        <v>0</v>
      </c>
      <c r="L3" s="21">
        <f>J3*0.17</f>
        <v>0</v>
      </c>
      <c r="M3" s="21">
        <v>359.07</v>
      </c>
      <c r="N3" s="21">
        <v>450</v>
      </c>
      <c r="O3" s="21">
        <v>26.25</v>
      </c>
      <c r="P3" s="21"/>
      <c r="Q3" s="21">
        <f t="shared" ref="Q3:Q18" si="1">E3*0.01</f>
        <v>18</v>
      </c>
      <c r="R3" s="21">
        <v>11.95</v>
      </c>
      <c r="S3" s="21">
        <v>0</v>
      </c>
      <c r="T3" s="21">
        <f>E3*0.22-K3-F3-N3-M3-Q3</f>
        <v>-1179.07</v>
      </c>
      <c r="U3" s="21"/>
      <c r="V3" s="21">
        <f>E3*0.78-G3-I3-L3-O3-R3</f>
        <v>44.460000000000022</v>
      </c>
    </row>
    <row r="4" spans="1:22">
      <c r="A4" s="22" t="s">
        <v>240</v>
      </c>
      <c r="B4" s="23">
        <v>352368</v>
      </c>
      <c r="C4" s="24" t="s">
        <v>197</v>
      </c>
      <c r="D4" s="23">
        <v>2</v>
      </c>
      <c r="E4" s="25">
        <v>1600</v>
      </c>
      <c r="F4" s="25">
        <v>666.5</v>
      </c>
      <c r="G4" s="25">
        <v>0</v>
      </c>
      <c r="H4" s="25"/>
      <c r="I4" s="25">
        <v>550.16999999999996</v>
      </c>
      <c r="J4" s="53">
        <v>425</v>
      </c>
      <c r="K4" s="25">
        <f t="shared" si="0"/>
        <v>30.174999999999997</v>
      </c>
      <c r="L4" s="25">
        <v>0</v>
      </c>
      <c r="M4" s="25">
        <v>359.07</v>
      </c>
      <c r="N4" s="25">
        <v>450</v>
      </c>
      <c r="O4" s="25">
        <v>32.5</v>
      </c>
      <c r="P4" s="25"/>
      <c r="Q4" s="25">
        <f t="shared" si="1"/>
        <v>16</v>
      </c>
      <c r="R4" s="25">
        <v>27.68</v>
      </c>
      <c r="S4" s="25">
        <v>7</v>
      </c>
      <c r="T4" s="25">
        <f>E4-J4*0.75-K4-M4-N4-O4-Q4-I4-F4</f>
        <v>-823.16499999999985</v>
      </c>
      <c r="U4" s="25"/>
      <c r="V4" s="25">
        <f>J4*0.75</f>
        <v>318.75</v>
      </c>
    </row>
    <row r="5" spans="1:22">
      <c r="A5" s="18" t="s">
        <v>215</v>
      </c>
      <c r="B5" s="19">
        <v>465184</v>
      </c>
      <c r="C5" s="20" t="s">
        <v>186</v>
      </c>
      <c r="D5" s="19">
        <v>0</v>
      </c>
      <c r="E5" s="21">
        <v>0</v>
      </c>
      <c r="F5" s="21">
        <v>748</v>
      </c>
      <c r="G5" s="21">
        <v>850</v>
      </c>
      <c r="H5" s="21"/>
      <c r="I5" s="21">
        <v>0</v>
      </c>
      <c r="J5" s="55">
        <v>0</v>
      </c>
      <c r="K5" s="21">
        <f t="shared" si="0"/>
        <v>0</v>
      </c>
      <c r="L5" s="21">
        <f>J5*0.17</f>
        <v>0</v>
      </c>
      <c r="M5" s="21">
        <v>359.07</v>
      </c>
      <c r="N5" s="21">
        <v>450</v>
      </c>
      <c r="O5" s="21">
        <v>40</v>
      </c>
      <c r="P5" s="21"/>
      <c r="Q5" s="21">
        <f t="shared" si="1"/>
        <v>0</v>
      </c>
      <c r="R5" s="21"/>
      <c r="S5" s="21">
        <v>0</v>
      </c>
      <c r="T5" s="21">
        <f>E5*0.22-M5-N5-Q5-K5-F5+G5</f>
        <v>-707.06999999999994</v>
      </c>
      <c r="U5" s="21"/>
      <c r="V5" s="21">
        <f>E5*0.78-G5-L5-O5-R5-I5</f>
        <v>-890</v>
      </c>
    </row>
    <row r="6" spans="1:22">
      <c r="A6" s="22" t="s">
        <v>200</v>
      </c>
      <c r="B6" s="23">
        <v>352377</v>
      </c>
      <c r="C6" s="24" t="s">
        <v>197</v>
      </c>
      <c r="D6" s="23">
        <v>6</v>
      </c>
      <c r="E6" s="25">
        <v>6550</v>
      </c>
      <c r="F6" s="25">
        <v>666.5</v>
      </c>
      <c r="G6" s="25">
        <v>0</v>
      </c>
      <c r="H6" s="25"/>
      <c r="I6" s="25">
        <v>2215.79</v>
      </c>
      <c r="J6" s="53">
        <v>2798</v>
      </c>
      <c r="K6" s="25">
        <f t="shared" si="0"/>
        <v>198.65799999999999</v>
      </c>
      <c r="L6" s="25">
        <v>0</v>
      </c>
      <c r="M6" s="25">
        <v>359.07</v>
      </c>
      <c r="N6" s="25">
        <v>450</v>
      </c>
      <c r="O6" s="25">
        <v>32.5</v>
      </c>
      <c r="P6" s="25"/>
      <c r="Q6" s="25">
        <f t="shared" si="1"/>
        <v>65.5</v>
      </c>
      <c r="R6" s="25">
        <v>61.15</v>
      </c>
      <c r="S6" s="25">
        <v>7</v>
      </c>
      <c r="T6" s="25">
        <f>E6-J6*0.75-K6-F6-M6-N6-O6-Q6-I6-R6</f>
        <v>402.33199999999954</v>
      </c>
      <c r="U6" s="25"/>
      <c r="V6" s="25">
        <f t="shared" ref="V6:V17" si="2">J6*0.75</f>
        <v>2098.5</v>
      </c>
    </row>
    <row r="7" spans="1:22">
      <c r="A7" s="22" t="s">
        <v>247</v>
      </c>
      <c r="B7" s="23">
        <v>352376</v>
      </c>
      <c r="C7" s="24" t="s">
        <v>197</v>
      </c>
      <c r="D7" s="23">
        <v>7</v>
      </c>
      <c r="E7" s="25">
        <v>8432</v>
      </c>
      <c r="F7" s="25">
        <v>748</v>
      </c>
      <c r="G7" s="25">
        <v>0</v>
      </c>
      <c r="H7" s="25"/>
      <c r="I7" s="25">
        <v>3574.84</v>
      </c>
      <c r="J7" s="53">
        <v>3404</v>
      </c>
      <c r="K7" s="25">
        <f t="shared" si="0"/>
        <v>241.68399999999997</v>
      </c>
      <c r="L7" s="25">
        <f>J7*0.17</f>
        <v>578.68000000000006</v>
      </c>
      <c r="M7" s="25">
        <v>359.07</v>
      </c>
      <c r="N7" s="25">
        <v>450</v>
      </c>
      <c r="O7" s="25">
        <v>26.25</v>
      </c>
      <c r="P7" s="25"/>
      <c r="Q7" s="25">
        <f t="shared" si="1"/>
        <v>84.320000000000007</v>
      </c>
      <c r="R7" s="25">
        <v>74.53</v>
      </c>
      <c r="S7" s="25">
        <v>0</v>
      </c>
      <c r="T7" s="25">
        <f>E7*0.22-M7-N7-Q7-K7</f>
        <v>719.96600000000001</v>
      </c>
      <c r="U7" s="25"/>
      <c r="V7" s="25">
        <f t="shared" si="2"/>
        <v>2553</v>
      </c>
    </row>
    <row r="8" spans="1:22">
      <c r="A8" s="22" t="s">
        <v>218</v>
      </c>
      <c r="B8" s="23">
        <v>465182</v>
      </c>
      <c r="C8" s="24" t="s">
        <v>197</v>
      </c>
      <c r="D8" s="23">
        <v>7</v>
      </c>
      <c r="E8" s="25">
        <v>9800</v>
      </c>
      <c r="F8" s="25">
        <v>666.5</v>
      </c>
      <c r="G8" s="25">
        <v>0</v>
      </c>
      <c r="H8" s="25"/>
      <c r="I8" s="25">
        <v>3171.02</v>
      </c>
      <c r="J8" s="53">
        <v>3653</v>
      </c>
      <c r="K8" s="25">
        <f t="shared" si="0"/>
        <v>259.363</v>
      </c>
      <c r="L8" s="25">
        <v>0</v>
      </c>
      <c r="M8" s="25">
        <v>359.07</v>
      </c>
      <c r="N8" s="25">
        <v>450</v>
      </c>
      <c r="O8" s="25">
        <v>40</v>
      </c>
      <c r="P8" s="25"/>
      <c r="Q8" s="25">
        <f t="shared" si="1"/>
        <v>98</v>
      </c>
      <c r="R8" s="25">
        <v>226</v>
      </c>
      <c r="S8" s="25">
        <v>7</v>
      </c>
      <c r="T8" s="25">
        <f>E8-F8-I8-K8-M8-N8-O8-Q8-S8-V8</f>
        <v>2009.2969999999996</v>
      </c>
      <c r="U8" s="25"/>
      <c r="V8" s="25">
        <f t="shared" si="2"/>
        <v>2739.75</v>
      </c>
    </row>
    <row r="9" spans="1:22">
      <c r="A9" s="22" t="s">
        <v>220</v>
      </c>
      <c r="B9" s="23">
        <v>465185</v>
      </c>
      <c r="C9" s="24" t="s">
        <v>197</v>
      </c>
      <c r="D9" s="23">
        <v>7</v>
      </c>
      <c r="E9" s="25">
        <v>10950</v>
      </c>
      <c r="F9" s="25">
        <v>748</v>
      </c>
      <c r="G9" s="25">
        <v>0</v>
      </c>
      <c r="H9" s="25"/>
      <c r="I9" s="25">
        <v>3727.18</v>
      </c>
      <c r="J9" s="53">
        <v>4236</v>
      </c>
      <c r="K9" s="25">
        <f t="shared" si="0"/>
        <v>300.75599999999997</v>
      </c>
      <c r="L9" s="25">
        <v>0</v>
      </c>
      <c r="M9" s="25">
        <v>359.07</v>
      </c>
      <c r="N9" s="25">
        <v>450</v>
      </c>
      <c r="O9" s="25">
        <v>40</v>
      </c>
      <c r="P9" s="25"/>
      <c r="Q9" s="25">
        <f t="shared" si="1"/>
        <v>109.5</v>
      </c>
      <c r="R9" s="25">
        <v>570.52</v>
      </c>
      <c r="S9" s="25">
        <v>7</v>
      </c>
      <c r="T9" s="25">
        <f>E9-F9-I9-K9-M9-N9-O9-Q9-J9*0.75-R9</f>
        <v>1467.9739999999997</v>
      </c>
      <c r="U9" s="25"/>
      <c r="V9" s="25">
        <f t="shared" si="2"/>
        <v>3177</v>
      </c>
    </row>
    <row r="10" spans="1:22">
      <c r="A10" s="22" t="s">
        <v>235</v>
      </c>
      <c r="B10" s="23">
        <v>352371</v>
      </c>
      <c r="C10" s="24" t="s">
        <v>197</v>
      </c>
      <c r="D10" s="23">
        <v>7</v>
      </c>
      <c r="E10" s="25">
        <v>9042</v>
      </c>
      <c r="F10" s="25">
        <v>666.5</v>
      </c>
      <c r="G10" s="25">
        <v>0</v>
      </c>
      <c r="H10" s="25"/>
      <c r="I10" s="25">
        <v>3700.32</v>
      </c>
      <c r="J10" s="53">
        <v>3386</v>
      </c>
      <c r="K10" s="25">
        <f t="shared" si="0"/>
        <v>240.40599999999998</v>
      </c>
      <c r="L10" s="25">
        <v>0</v>
      </c>
      <c r="M10" s="25">
        <v>359.07</v>
      </c>
      <c r="N10" s="25">
        <v>450</v>
      </c>
      <c r="O10" s="25">
        <v>32.5</v>
      </c>
      <c r="P10" s="25"/>
      <c r="Q10" s="25">
        <f t="shared" si="1"/>
        <v>90.42</v>
      </c>
      <c r="R10" s="25">
        <v>63.75</v>
      </c>
      <c r="S10" s="25">
        <v>0</v>
      </c>
      <c r="T10" s="25">
        <f>E10-(J10*0.75)-K10-F10-M10-N10-O10-Q10-I10</f>
        <v>963.28400000000011</v>
      </c>
      <c r="U10" s="25"/>
      <c r="V10" s="25">
        <f t="shared" si="2"/>
        <v>2539.5</v>
      </c>
    </row>
    <row r="11" spans="1:22">
      <c r="A11" s="22" t="s">
        <v>223</v>
      </c>
      <c r="B11" s="23">
        <v>465183</v>
      </c>
      <c r="C11" s="24" t="s">
        <v>197</v>
      </c>
      <c r="D11" s="23">
        <v>6</v>
      </c>
      <c r="E11" s="25">
        <v>7500</v>
      </c>
      <c r="F11" s="25">
        <v>748</v>
      </c>
      <c r="G11" s="25">
        <v>0</v>
      </c>
      <c r="H11" s="25"/>
      <c r="I11" s="25">
        <v>3369.28</v>
      </c>
      <c r="J11" s="53">
        <v>3338</v>
      </c>
      <c r="K11" s="25">
        <f t="shared" si="0"/>
        <v>236.99799999999999</v>
      </c>
      <c r="L11" s="25">
        <v>0</v>
      </c>
      <c r="M11" s="25">
        <v>359.07</v>
      </c>
      <c r="N11" s="25">
        <v>450</v>
      </c>
      <c r="O11" s="25">
        <v>26.25</v>
      </c>
      <c r="P11" s="25"/>
      <c r="Q11" s="25">
        <f t="shared" si="1"/>
        <v>75</v>
      </c>
      <c r="R11" s="25">
        <v>51.19</v>
      </c>
      <c r="S11" s="25">
        <v>7</v>
      </c>
      <c r="T11" s="25">
        <f>E11-F11-I11-K11-M11-N11-O11-Q11-J11*0.75-R11</f>
        <v>-319.28800000000041</v>
      </c>
      <c r="U11" s="25"/>
      <c r="V11" s="25">
        <f t="shared" si="2"/>
        <v>2503.5</v>
      </c>
    </row>
    <row r="12" spans="1:22">
      <c r="A12" s="22" t="s">
        <v>224</v>
      </c>
      <c r="B12" s="23">
        <v>465187</v>
      </c>
      <c r="C12" s="24" t="s">
        <v>197</v>
      </c>
      <c r="D12" s="23">
        <v>5</v>
      </c>
      <c r="E12" s="25">
        <v>5950</v>
      </c>
      <c r="F12" s="25">
        <v>748</v>
      </c>
      <c r="G12" s="25">
        <v>0</v>
      </c>
      <c r="H12" s="25"/>
      <c r="I12" s="25">
        <v>2605</v>
      </c>
      <c r="J12" s="53">
        <v>2276</v>
      </c>
      <c r="K12" s="25">
        <f t="shared" si="0"/>
        <v>161.59599999999998</v>
      </c>
      <c r="L12" s="25">
        <v>0</v>
      </c>
      <c r="M12" s="25">
        <v>359.07</v>
      </c>
      <c r="N12" s="25">
        <v>450</v>
      </c>
      <c r="O12" s="25">
        <v>40</v>
      </c>
      <c r="P12" s="25"/>
      <c r="Q12" s="25">
        <f t="shared" si="1"/>
        <v>59.5</v>
      </c>
      <c r="R12" s="25">
        <v>16.690000000000001</v>
      </c>
      <c r="S12" s="25">
        <v>7</v>
      </c>
      <c r="T12" s="25">
        <f t="shared" ref="T12:T13" si="3">E12-F12-I12-K12-M12-N12-O12-Q12-S12-V12</f>
        <v>-187.16600000000017</v>
      </c>
      <c r="U12" s="25"/>
      <c r="V12" s="25">
        <f t="shared" si="2"/>
        <v>1707</v>
      </c>
    </row>
    <row r="13" spans="1:22">
      <c r="A13" s="22" t="s">
        <v>207</v>
      </c>
      <c r="B13" s="23">
        <v>465186</v>
      </c>
      <c r="C13" s="24" t="s">
        <v>197</v>
      </c>
      <c r="D13" s="23">
        <v>0</v>
      </c>
      <c r="E13" s="25">
        <v>0</v>
      </c>
      <c r="F13" s="25">
        <v>748</v>
      </c>
      <c r="G13" s="25">
        <v>0</v>
      </c>
      <c r="H13" s="25"/>
      <c r="I13" s="25">
        <v>0</v>
      </c>
      <c r="J13" s="53">
        <v>0</v>
      </c>
      <c r="K13" s="25">
        <f t="shared" si="0"/>
        <v>0</v>
      </c>
      <c r="L13" s="25">
        <v>0</v>
      </c>
      <c r="M13" s="25">
        <v>359.07</v>
      </c>
      <c r="N13" s="25">
        <v>450</v>
      </c>
      <c r="O13" s="25">
        <v>26.25</v>
      </c>
      <c r="P13" s="25"/>
      <c r="Q13" s="25">
        <f t="shared" si="1"/>
        <v>0</v>
      </c>
      <c r="R13" s="25"/>
      <c r="S13" s="25">
        <v>7</v>
      </c>
      <c r="T13" s="25">
        <f t="shared" si="3"/>
        <v>-1590.32</v>
      </c>
      <c r="U13" s="25"/>
      <c r="V13" s="25">
        <f t="shared" si="2"/>
        <v>0</v>
      </c>
    </row>
    <row r="14" spans="1:22">
      <c r="A14" s="34" t="s">
        <v>232</v>
      </c>
      <c r="B14" s="23">
        <v>465181</v>
      </c>
      <c r="C14" s="34" t="s">
        <v>197</v>
      </c>
      <c r="D14" s="47">
        <v>7</v>
      </c>
      <c r="E14" s="35">
        <v>7100</v>
      </c>
      <c r="F14" s="25">
        <v>748</v>
      </c>
      <c r="G14" s="25">
        <v>0</v>
      </c>
      <c r="H14" s="36"/>
      <c r="I14" s="37">
        <v>1944.92</v>
      </c>
      <c r="J14" s="54">
        <v>2520</v>
      </c>
      <c r="K14" s="25">
        <f t="shared" si="0"/>
        <v>178.92</v>
      </c>
      <c r="L14" s="25">
        <v>0</v>
      </c>
      <c r="M14" s="25">
        <v>359.07</v>
      </c>
      <c r="N14" s="25">
        <v>450</v>
      </c>
      <c r="O14" s="25">
        <v>26.25</v>
      </c>
      <c r="P14" s="25"/>
      <c r="Q14" s="25">
        <f t="shared" si="1"/>
        <v>71</v>
      </c>
      <c r="R14" s="35">
        <v>398.66</v>
      </c>
      <c r="S14" s="25">
        <v>7</v>
      </c>
      <c r="T14" s="35">
        <f t="shared" ref="T14:T17" si="4">E14-F14-I14-J14*0.75-M14-N14-O14-Q14-R14-S14</f>
        <v>1205.0999999999997</v>
      </c>
      <c r="U14" s="35"/>
      <c r="V14" s="35">
        <f t="shared" si="2"/>
        <v>1890</v>
      </c>
    </row>
    <row r="15" spans="1:22">
      <c r="A15" s="22" t="s">
        <v>241</v>
      </c>
      <c r="B15" s="23">
        <v>352374</v>
      </c>
      <c r="C15" s="24" t="s">
        <v>197</v>
      </c>
      <c r="D15" s="23">
        <v>0</v>
      </c>
      <c r="E15" s="25">
        <v>0</v>
      </c>
      <c r="F15" s="25">
        <v>666.5</v>
      </c>
      <c r="G15" s="25">
        <v>0</v>
      </c>
      <c r="H15" s="25"/>
      <c r="I15" s="25">
        <v>0</v>
      </c>
      <c r="J15" s="53">
        <v>0</v>
      </c>
      <c r="K15" s="25">
        <f t="shared" si="0"/>
        <v>0</v>
      </c>
      <c r="L15" s="25">
        <v>0</v>
      </c>
      <c r="M15" s="25">
        <v>359.07</v>
      </c>
      <c r="N15" s="25">
        <v>450</v>
      </c>
      <c r="O15" s="25">
        <v>26.25</v>
      </c>
      <c r="P15" s="25"/>
      <c r="Q15" s="25">
        <f t="shared" si="1"/>
        <v>0</v>
      </c>
      <c r="R15" s="25">
        <v>12.88</v>
      </c>
      <c r="S15" s="25">
        <v>7</v>
      </c>
      <c r="T15" s="25">
        <f t="shared" si="4"/>
        <v>-1521.7</v>
      </c>
      <c r="U15" s="25"/>
      <c r="V15" s="25">
        <f t="shared" si="2"/>
        <v>0</v>
      </c>
    </row>
    <row r="16" spans="1:22">
      <c r="A16" s="22" t="s">
        <v>242</v>
      </c>
      <c r="B16" s="23">
        <v>359886</v>
      </c>
      <c r="C16" s="24" t="s">
        <v>251</v>
      </c>
      <c r="D16" s="23">
        <v>5</v>
      </c>
      <c r="E16" s="58">
        <v>7248</v>
      </c>
      <c r="F16" s="25">
        <v>666.5</v>
      </c>
      <c r="G16" s="25">
        <v>0</v>
      </c>
      <c r="H16" s="25"/>
      <c r="I16" s="25">
        <v>2803.16</v>
      </c>
      <c r="J16" s="53">
        <v>2984</v>
      </c>
      <c r="K16" s="25">
        <f t="shared" si="0"/>
        <v>211.86399999999998</v>
      </c>
      <c r="L16" s="25">
        <v>0</v>
      </c>
      <c r="M16" s="25">
        <v>359.07</v>
      </c>
      <c r="N16" s="25">
        <v>450</v>
      </c>
      <c r="O16" s="25">
        <v>26.25</v>
      </c>
      <c r="P16" s="25"/>
      <c r="Q16" s="25">
        <f t="shared" si="1"/>
        <v>72.48</v>
      </c>
      <c r="R16" s="25">
        <v>209.24</v>
      </c>
      <c r="S16" s="25">
        <v>7</v>
      </c>
      <c r="T16" s="25">
        <f t="shared" si="4"/>
        <v>416.30000000000018</v>
      </c>
      <c r="U16" s="25"/>
      <c r="V16" s="25">
        <f t="shared" si="2"/>
        <v>2238</v>
      </c>
    </row>
    <row r="17" spans="1:22">
      <c r="A17" s="22" t="s">
        <v>245</v>
      </c>
      <c r="B17" s="23">
        <v>352375</v>
      </c>
      <c r="C17" s="24" t="s">
        <v>197</v>
      </c>
      <c r="D17" s="23">
        <v>6</v>
      </c>
      <c r="E17" s="25">
        <v>4250</v>
      </c>
      <c r="F17" s="25">
        <v>666.5</v>
      </c>
      <c r="G17" s="25">
        <v>0</v>
      </c>
      <c r="H17" s="25"/>
      <c r="I17" s="25">
        <v>1595.17</v>
      </c>
      <c r="J17" s="53">
        <v>2216</v>
      </c>
      <c r="K17" s="25">
        <f t="shared" si="0"/>
        <v>157.33599999999998</v>
      </c>
      <c r="L17" s="25">
        <v>0</v>
      </c>
      <c r="M17" s="25">
        <v>359.07</v>
      </c>
      <c r="N17" s="25">
        <v>450</v>
      </c>
      <c r="O17" s="25">
        <v>26.25</v>
      </c>
      <c r="P17" s="25"/>
      <c r="Q17" s="25">
        <f t="shared" si="1"/>
        <v>42.5</v>
      </c>
      <c r="R17" s="25">
        <v>42.29</v>
      </c>
      <c r="S17" s="25">
        <v>7</v>
      </c>
      <c r="T17" s="25">
        <f t="shared" si="4"/>
        <v>-600.78</v>
      </c>
      <c r="U17" s="25"/>
      <c r="V17" s="25">
        <f t="shared" si="2"/>
        <v>1662</v>
      </c>
    </row>
    <row r="18" spans="1:22">
      <c r="A18" s="39" t="s">
        <v>89</v>
      </c>
      <c r="B18" s="40">
        <v>15</v>
      </c>
      <c r="C18" s="41" t="s">
        <v>248</v>
      </c>
      <c r="D18" s="40"/>
      <c r="E18" s="42">
        <f>SUM(E3:E17)</f>
        <v>80222</v>
      </c>
      <c r="F18" s="42">
        <f>SUM(F2:F17)</f>
        <v>10649.5</v>
      </c>
      <c r="G18" s="42">
        <f>SUM(G3:G17)</f>
        <v>1700</v>
      </c>
      <c r="H18" s="42"/>
      <c r="I18" s="42">
        <f t="shared" ref="I18:J18" si="5">SUM(I3:I17)</f>
        <v>29728.190000000002</v>
      </c>
      <c r="J18" s="57">
        <f t="shared" si="5"/>
        <v>31236</v>
      </c>
      <c r="K18" s="42">
        <f t="shared" ref="K18:L18" si="6">SUM(K2:K17)</f>
        <v>2217.7559999999999</v>
      </c>
      <c r="L18" s="42">
        <f t="shared" si="6"/>
        <v>578.68000000000006</v>
      </c>
      <c r="M18" s="42">
        <f>SUM(M3:M17)</f>
        <v>5386.05</v>
      </c>
      <c r="N18" s="42">
        <f t="shared" ref="N18:O18" si="7">SUM(N2:N17)</f>
        <v>6750</v>
      </c>
      <c r="O18" s="42">
        <f t="shared" si="7"/>
        <v>467.5</v>
      </c>
      <c r="P18" s="42"/>
      <c r="Q18" s="42">
        <f t="shared" si="1"/>
        <v>802.22</v>
      </c>
      <c r="R18" s="42">
        <f>SUM(R3:R17)</f>
        <v>1766.5300000000002</v>
      </c>
      <c r="S18" s="42">
        <f>SUM(S2:S17)</f>
        <v>77</v>
      </c>
      <c r="T18" s="42">
        <f>SUM(T3:T17)</f>
        <v>255.6939999999986</v>
      </c>
      <c r="U18" s="40"/>
      <c r="V18" s="40">
        <f>SUM(V2:V17)</f>
        <v>22581.46</v>
      </c>
    </row>
    <row r="20" spans="1:22">
      <c r="A20" s="457" t="s">
        <v>252</v>
      </c>
      <c r="B20" s="458"/>
      <c r="C20" s="458"/>
      <c r="D20" s="458"/>
      <c r="E20" s="458"/>
      <c r="F20" s="458"/>
      <c r="G20" s="458"/>
      <c r="H20" s="458"/>
      <c r="I20" s="458"/>
      <c r="J20" s="458"/>
      <c r="K20" s="458"/>
      <c r="L20" s="458"/>
      <c r="M20" s="458"/>
      <c r="N20" s="458"/>
      <c r="O20" s="458"/>
      <c r="P20" s="458"/>
      <c r="Q20" s="458"/>
      <c r="R20" s="458"/>
      <c r="S20" s="458"/>
      <c r="T20" s="458"/>
      <c r="U20" s="458"/>
      <c r="V20" s="459"/>
    </row>
    <row r="21" spans="1:22">
      <c r="A21" s="1" t="s">
        <v>0</v>
      </c>
      <c r="B21" s="2" t="s">
        <v>1</v>
      </c>
      <c r="C21" s="2" t="s">
        <v>183</v>
      </c>
      <c r="D21" s="2" t="s">
        <v>3</v>
      </c>
      <c r="E21" s="2" t="s">
        <v>2</v>
      </c>
      <c r="F21" s="2" t="s">
        <v>4</v>
      </c>
      <c r="G21" s="2" t="s">
        <v>6</v>
      </c>
      <c r="H21" s="2"/>
      <c r="I21" s="2" t="s">
        <v>7</v>
      </c>
      <c r="J21" s="2" t="s">
        <v>9</v>
      </c>
      <c r="K21" s="2" t="s">
        <v>106</v>
      </c>
      <c r="L21" s="2" t="s">
        <v>107</v>
      </c>
      <c r="M21" s="2" t="s">
        <v>5</v>
      </c>
      <c r="N21" s="2" t="s">
        <v>12</v>
      </c>
      <c r="O21" s="2" t="s">
        <v>184</v>
      </c>
      <c r="P21" s="2"/>
      <c r="Q21" s="2" t="s">
        <v>108</v>
      </c>
      <c r="R21" s="2" t="s">
        <v>8</v>
      </c>
      <c r="S21" s="12" t="s">
        <v>185</v>
      </c>
      <c r="T21" s="2" t="s">
        <v>13</v>
      </c>
      <c r="U21" s="2"/>
      <c r="V21" s="14" t="s">
        <v>98</v>
      </c>
    </row>
    <row r="22" spans="1:22">
      <c r="A22" s="18" t="s">
        <v>211</v>
      </c>
      <c r="B22" s="19">
        <v>465188</v>
      </c>
      <c r="C22" s="20" t="s">
        <v>186</v>
      </c>
      <c r="D22" s="19">
        <v>6</v>
      </c>
      <c r="E22" s="21">
        <v>4500</v>
      </c>
      <c r="F22" s="21">
        <v>748</v>
      </c>
      <c r="G22" s="21">
        <v>850</v>
      </c>
      <c r="H22" s="21"/>
      <c r="I22" s="21">
        <v>1504.25</v>
      </c>
      <c r="J22" s="55">
        <v>1710</v>
      </c>
      <c r="K22" s="21">
        <f t="shared" ref="K22:K38" si="8">J22*0.071</f>
        <v>121.40999999999998</v>
      </c>
      <c r="L22" s="21">
        <f t="shared" ref="L22:L23" si="9">J22*0.17</f>
        <v>290.70000000000005</v>
      </c>
      <c r="M22" s="21">
        <v>359.07</v>
      </c>
      <c r="N22" s="21">
        <v>450</v>
      </c>
      <c r="O22" s="21">
        <v>26.25</v>
      </c>
      <c r="P22" s="21"/>
      <c r="Q22" s="21">
        <f t="shared" ref="Q22:Q39" si="10">E22*0.01</f>
        <v>45</v>
      </c>
      <c r="R22" s="21">
        <v>42.4</v>
      </c>
      <c r="S22" s="21">
        <v>0</v>
      </c>
      <c r="T22" s="21">
        <f>E22*0.22-K22-F22-N22-M22-Q22</f>
        <v>-733.48</v>
      </c>
      <c r="U22" s="21"/>
      <c r="V22" s="21">
        <f>E22*0.78-G22-I22-L22-O22-R22</f>
        <v>796.4</v>
      </c>
    </row>
    <row r="23" spans="1:22">
      <c r="A23" s="18" t="s">
        <v>215</v>
      </c>
      <c r="B23" s="19">
        <v>465184</v>
      </c>
      <c r="C23" s="20" t="s">
        <v>186</v>
      </c>
      <c r="D23" s="19">
        <v>0</v>
      </c>
      <c r="E23" s="21">
        <v>0</v>
      </c>
      <c r="F23" s="21">
        <v>748</v>
      </c>
      <c r="G23" s="21">
        <v>850</v>
      </c>
      <c r="H23" s="21"/>
      <c r="I23" s="21">
        <v>0</v>
      </c>
      <c r="J23" s="55">
        <v>0</v>
      </c>
      <c r="K23" s="21">
        <f t="shared" si="8"/>
        <v>0</v>
      </c>
      <c r="L23" s="21">
        <f t="shared" si="9"/>
        <v>0</v>
      </c>
      <c r="M23" s="21">
        <v>359.07</v>
      </c>
      <c r="N23" s="21">
        <v>450</v>
      </c>
      <c r="O23" s="21">
        <v>40</v>
      </c>
      <c r="P23" s="21"/>
      <c r="Q23" s="21">
        <f t="shared" si="10"/>
        <v>0</v>
      </c>
      <c r="R23" s="21"/>
      <c r="S23" s="21">
        <v>0</v>
      </c>
      <c r="T23" s="21">
        <f>E23*0.22-M23-N23-Q23-K23-F23+G23</f>
        <v>-707.06999999999994</v>
      </c>
      <c r="U23" s="21"/>
      <c r="V23" s="21">
        <f>E23*0.78-G23-L23-O23-R23-I23</f>
        <v>-890</v>
      </c>
    </row>
    <row r="24" spans="1:22">
      <c r="A24" s="22" t="s">
        <v>200</v>
      </c>
      <c r="B24" s="23">
        <v>352377</v>
      </c>
      <c r="C24" s="24" t="s">
        <v>197</v>
      </c>
      <c r="D24" s="23">
        <v>5</v>
      </c>
      <c r="E24" s="25">
        <v>6462</v>
      </c>
      <c r="F24" s="25">
        <v>666.5</v>
      </c>
      <c r="G24" s="25">
        <v>0</v>
      </c>
      <c r="H24" s="25"/>
      <c r="I24" s="25">
        <v>2023.56</v>
      </c>
      <c r="J24" s="53">
        <v>2083</v>
      </c>
      <c r="K24" s="25">
        <f t="shared" si="8"/>
        <v>147.893</v>
      </c>
      <c r="L24" s="25">
        <v>0</v>
      </c>
      <c r="M24" s="25">
        <v>359.07</v>
      </c>
      <c r="N24" s="25">
        <v>450</v>
      </c>
      <c r="O24" s="25">
        <v>32.5</v>
      </c>
      <c r="P24" s="25"/>
      <c r="Q24" s="25">
        <f t="shared" si="10"/>
        <v>64.62</v>
      </c>
      <c r="R24" s="25">
        <v>295.75</v>
      </c>
      <c r="S24" s="25">
        <v>7</v>
      </c>
      <c r="T24" s="25">
        <f t="shared" ref="T24:T35" si="11">E24-J24*0.75-K24-F24-M24-N24-O24-Q24-I24-R24</f>
        <v>859.85699999999997</v>
      </c>
      <c r="U24" s="25"/>
      <c r="V24" s="25">
        <f t="shared" ref="V24:V35" si="12">J24*0.75</f>
        <v>1562.25</v>
      </c>
    </row>
    <row r="25" spans="1:22">
      <c r="A25" s="22" t="s">
        <v>253</v>
      </c>
      <c r="B25" s="23">
        <v>352372</v>
      </c>
      <c r="C25" s="24" t="s">
        <v>197</v>
      </c>
      <c r="D25" s="23">
        <v>0</v>
      </c>
      <c r="E25" s="25">
        <v>0</v>
      </c>
      <c r="F25" s="25">
        <v>666.5</v>
      </c>
      <c r="G25" s="25">
        <v>0</v>
      </c>
      <c r="H25" s="25"/>
      <c r="I25" s="25">
        <v>0</v>
      </c>
      <c r="J25" s="53">
        <v>0</v>
      </c>
      <c r="K25" s="25">
        <f t="shared" si="8"/>
        <v>0</v>
      </c>
      <c r="L25" s="25">
        <v>0</v>
      </c>
      <c r="M25" s="25">
        <v>359.07</v>
      </c>
      <c r="N25" s="25">
        <v>450</v>
      </c>
      <c r="O25" s="25"/>
      <c r="P25" s="25"/>
      <c r="Q25" s="25">
        <f t="shared" si="10"/>
        <v>0</v>
      </c>
      <c r="R25" s="25">
        <v>2.36</v>
      </c>
      <c r="S25" s="25">
        <v>7</v>
      </c>
      <c r="T25" s="25">
        <f t="shared" si="11"/>
        <v>-1477.9299999999998</v>
      </c>
      <c r="U25" s="25"/>
      <c r="V25" s="25">
        <f t="shared" si="12"/>
        <v>0</v>
      </c>
    </row>
    <row r="26" spans="1:22">
      <c r="A26" s="22" t="s">
        <v>254</v>
      </c>
      <c r="B26" s="23">
        <v>465180</v>
      </c>
      <c r="C26" s="24" t="s">
        <v>197</v>
      </c>
      <c r="D26" s="23">
        <v>7</v>
      </c>
      <c r="E26" s="25">
        <v>8850</v>
      </c>
      <c r="F26" s="25">
        <v>748</v>
      </c>
      <c r="G26" s="25">
        <v>0</v>
      </c>
      <c r="H26" s="25"/>
      <c r="I26" s="25">
        <v>2460.29</v>
      </c>
      <c r="J26" s="53">
        <v>3416</v>
      </c>
      <c r="K26" s="25">
        <f t="shared" si="8"/>
        <v>242.53599999999997</v>
      </c>
      <c r="L26" s="25">
        <v>0</v>
      </c>
      <c r="M26" s="25">
        <v>359.07</v>
      </c>
      <c r="N26" s="25">
        <v>450</v>
      </c>
      <c r="O26" s="25"/>
      <c r="P26" s="25"/>
      <c r="Q26" s="25">
        <f t="shared" si="10"/>
        <v>88.5</v>
      </c>
      <c r="R26" s="25">
        <v>28.25</v>
      </c>
      <c r="S26" s="25">
        <v>7</v>
      </c>
      <c r="T26" s="25">
        <f t="shared" si="11"/>
        <v>1911.3540000000003</v>
      </c>
      <c r="U26" s="25"/>
      <c r="V26" s="25">
        <f t="shared" si="12"/>
        <v>2562</v>
      </c>
    </row>
    <row r="27" spans="1:22">
      <c r="A27" s="22" t="s">
        <v>247</v>
      </c>
      <c r="B27" s="23">
        <v>352376</v>
      </c>
      <c r="C27" s="24" t="s">
        <v>197</v>
      </c>
      <c r="D27" s="23">
        <v>4</v>
      </c>
      <c r="E27" s="25">
        <v>5650</v>
      </c>
      <c r="F27" s="25">
        <v>748</v>
      </c>
      <c r="G27" s="25">
        <v>0</v>
      </c>
      <c r="H27" s="25"/>
      <c r="I27" s="25">
        <v>1511</v>
      </c>
      <c r="J27" s="53">
        <v>2331</v>
      </c>
      <c r="K27" s="25">
        <f t="shared" si="8"/>
        <v>165.50099999999998</v>
      </c>
      <c r="L27" s="25">
        <v>0</v>
      </c>
      <c r="M27" s="25">
        <v>359.07</v>
      </c>
      <c r="N27" s="25">
        <v>450</v>
      </c>
      <c r="O27" s="25">
        <v>26.25</v>
      </c>
      <c r="P27" s="25"/>
      <c r="Q27" s="25">
        <f t="shared" si="10"/>
        <v>56.5</v>
      </c>
      <c r="R27" s="25">
        <v>95.09</v>
      </c>
      <c r="S27" s="25">
        <v>7</v>
      </c>
      <c r="T27" s="25">
        <f t="shared" si="11"/>
        <v>490.3389999999996</v>
      </c>
      <c r="U27" s="25"/>
      <c r="V27" s="25">
        <f t="shared" si="12"/>
        <v>1748.25</v>
      </c>
    </row>
    <row r="28" spans="1:22">
      <c r="A28" s="22" t="s">
        <v>218</v>
      </c>
      <c r="B28" s="23">
        <v>465182</v>
      </c>
      <c r="C28" s="24" t="s">
        <v>197</v>
      </c>
      <c r="D28" s="23">
        <v>7</v>
      </c>
      <c r="E28" s="25">
        <v>8350</v>
      </c>
      <c r="F28" s="25">
        <v>666.5</v>
      </c>
      <c r="G28" s="25">
        <v>0</v>
      </c>
      <c r="H28" s="25"/>
      <c r="I28" s="25">
        <v>4084.61</v>
      </c>
      <c r="J28" s="53">
        <v>3252</v>
      </c>
      <c r="K28" s="25">
        <f t="shared" si="8"/>
        <v>230.89199999999997</v>
      </c>
      <c r="L28" s="25">
        <v>0</v>
      </c>
      <c r="M28" s="25">
        <v>359.07</v>
      </c>
      <c r="N28" s="25">
        <v>450</v>
      </c>
      <c r="O28" s="25">
        <v>40</v>
      </c>
      <c r="P28" s="25"/>
      <c r="Q28" s="25">
        <f t="shared" si="10"/>
        <v>83.5</v>
      </c>
      <c r="R28" s="25">
        <v>554.59</v>
      </c>
      <c r="S28" s="25">
        <v>7</v>
      </c>
      <c r="T28" s="25">
        <f t="shared" si="11"/>
        <v>-558.16199999999969</v>
      </c>
      <c r="U28" s="25"/>
      <c r="V28" s="25">
        <f t="shared" si="12"/>
        <v>2439</v>
      </c>
    </row>
    <row r="29" spans="1:22">
      <c r="A29" s="22" t="s">
        <v>220</v>
      </c>
      <c r="B29" s="23">
        <v>465185</v>
      </c>
      <c r="C29" s="24" t="s">
        <v>197</v>
      </c>
      <c r="D29" s="23">
        <v>6</v>
      </c>
      <c r="E29" s="25">
        <v>6650</v>
      </c>
      <c r="F29" s="25">
        <v>748</v>
      </c>
      <c r="G29" s="25">
        <v>0</v>
      </c>
      <c r="H29" s="25"/>
      <c r="I29" s="25">
        <v>1872.47</v>
      </c>
      <c r="J29" s="53">
        <v>2847</v>
      </c>
      <c r="K29" s="25">
        <f t="shared" si="8"/>
        <v>202.13699999999997</v>
      </c>
      <c r="L29" s="25">
        <v>0</v>
      </c>
      <c r="M29" s="25">
        <v>359.07</v>
      </c>
      <c r="N29" s="25">
        <v>450</v>
      </c>
      <c r="O29" s="25">
        <v>40</v>
      </c>
      <c r="P29" s="25"/>
      <c r="Q29" s="25">
        <f t="shared" si="10"/>
        <v>66.5</v>
      </c>
      <c r="R29" s="25">
        <v>483.96</v>
      </c>
      <c r="S29" s="25">
        <v>7</v>
      </c>
      <c r="T29" s="25">
        <f t="shared" si="11"/>
        <v>292.61300000000011</v>
      </c>
      <c r="U29" s="25"/>
      <c r="V29" s="25">
        <f t="shared" si="12"/>
        <v>2135.25</v>
      </c>
    </row>
    <row r="30" spans="1:22">
      <c r="A30" s="22" t="s">
        <v>235</v>
      </c>
      <c r="B30" s="23">
        <v>352371</v>
      </c>
      <c r="C30" s="24" t="s">
        <v>197</v>
      </c>
      <c r="D30" s="23">
        <v>5</v>
      </c>
      <c r="E30" s="25">
        <v>5200</v>
      </c>
      <c r="F30" s="25">
        <v>666.5</v>
      </c>
      <c r="G30" s="25">
        <v>0</v>
      </c>
      <c r="H30" s="25"/>
      <c r="I30" s="25">
        <v>2336.2199999999998</v>
      </c>
      <c r="J30" s="53">
        <v>2226</v>
      </c>
      <c r="K30" s="25">
        <f t="shared" si="8"/>
        <v>158.04599999999999</v>
      </c>
      <c r="L30" s="25">
        <v>0</v>
      </c>
      <c r="M30" s="25">
        <v>359.07</v>
      </c>
      <c r="N30" s="25">
        <v>450</v>
      </c>
      <c r="O30" s="25">
        <v>32.5</v>
      </c>
      <c r="P30" s="25"/>
      <c r="Q30" s="25">
        <f t="shared" si="10"/>
        <v>52</v>
      </c>
      <c r="R30" s="25">
        <v>129.57</v>
      </c>
      <c r="S30" s="25">
        <v>7</v>
      </c>
      <c r="T30" s="25">
        <f t="shared" si="11"/>
        <v>-653.40599999999972</v>
      </c>
      <c r="U30" s="25"/>
      <c r="V30" s="25">
        <f t="shared" si="12"/>
        <v>1669.5</v>
      </c>
    </row>
    <row r="31" spans="1:22">
      <c r="A31" s="22" t="s">
        <v>223</v>
      </c>
      <c r="B31" s="23">
        <v>465183</v>
      </c>
      <c r="C31" s="24" t="s">
        <v>197</v>
      </c>
      <c r="D31" s="23">
        <v>7</v>
      </c>
      <c r="E31" s="25">
        <v>10075</v>
      </c>
      <c r="F31" s="25">
        <v>748</v>
      </c>
      <c r="G31" s="25">
        <v>0</v>
      </c>
      <c r="H31" s="25"/>
      <c r="I31" s="25">
        <v>3198.6</v>
      </c>
      <c r="J31" s="53">
        <v>3847</v>
      </c>
      <c r="K31" s="25">
        <f t="shared" si="8"/>
        <v>273.137</v>
      </c>
      <c r="L31" s="25">
        <v>0</v>
      </c>
      <c r="M31" s="25">
        <v>359.07</v>
      </c>
      <c r="N31" s="25">
        <v>450</v>
      </c>
      <c r="O31" s="25">
        <v>26.25</v>
      </c>
      <c r="P31" s="25"/>
      <c r="Q31" s="25">
        <f t="shared" si="10"/>
        <v>100.75</v>
      </c>
      <c r="R31" s="25"/>
      <c r="S31" s="25">
        <v>7</v>
      </c>
      <c r="T31" s="25">
        <f t="shared" si="11"/>
        <v>2033.9430000000007</v>
      </c>
      <c r="U31" s="25"/>
      <c r="V31" s="25">
        <f t="shared" si="12"/>
        <v>2885.25</v>
      </c>
    </row>
    <row r="32" spans="1:22">
      <c r="A32" s="22" t="s">
        <v>224</v>
      </c>
      <c r="B32" s="23">
        <v>465187</v>
      </c>
      <c r="C32" s="24" t="s">
        <v>197</v>
      </c>
      <c r="D32" s="23">
        <v>7</v>
      </c>
      <c r="E32" s="25">
        <v>8125</v>
      </c>
      <c r="F32" s="25">
        <v>748</v>
      </c>
      <c r="G32" s="25">
        <v>0</v>
      </c>
      <c r="H32" s="25"/>
      <c r="I32" s="25">
        <v>2163.4699999999998</v>
      </c>
      <c r="J32" s="53">
        <v>3276</v>
      </c>
      <c r="K32" s="25">
        <f t="shared" si="8"/>
        <v>232.59599999999998</v>
      </c>
      <c r="L32" s="25">
        <v>0</v>
      </c>
      <c r="M32" s="25">
        <v>359.07</v>
      </c>
      <c r="N32" s="25">
        <v>450</v>
      </c>
      <c r="O32" s="25">
        <v>40</v>
      </c>
      <c r="P32" s="25"/>
      <c r="Q32" s="25">
        <f t="shared" si="10"/>
        <v>81.25</v>
      </c>
      <c r="R32" s="25">
        <v>107.5</v>
      </c>
      <c r="S32" s="25">
        <v>7</v>
      </c>
      <c r="T32" s="25">
        <f t="shared" si="11"/>
        <v>1486.1140000000009</v>
      </c>
      <c r="U32" s="25"/>
      <c r="V32" s="25">
        <f t="shared" si="12"/>
        <v>2457</v>
      </c>
    </row>
    <row r="33" spans="1:23">
      <c r="A33" s="22" t="s">
        <v>207</v>
      </c>
      <c r="B33" s="23">
        <v>465186</v>
      </c>
      <c r="C33" s="24" t="s">
        <v>197</v>
      </c>
      <c r="D33" s="23">
        <v>7</v>
      </c>
      <c r="E33" s="25">
        <v>6780</v>
      </c>
      <c r="F33" s="25">
        <v>748</v>
      </c>
      <c r="G33" s="25">
        <v>0</v>
      </c>
      <c r="H33" s="25"/>
      <c r="I33" s="25">
        <v>3309.55</v>
      </c>
      <c r="J33" s="53">
        <v>2961</v>
      </c>
      <c r="K33" s="25">
        <f t="shared" si="8"/>
        <v>210.23099999999999</v>
      </c>
      <c r="L33" s="25">
        <v>0</v>
      </c>
      <c r="M33" s="25">
        <v>359.07</v>
      </c>
      <c r="N33" s="25">
        <v>450</v>
      </c>
      <c r="O33" s="25">
        <v>26.25</v>
      </c>
      <c r="P33" s="25"/>
      <c r="Q33" s="25">
        <f t="shared" si="10"/>
        <v>67.8</v>
      </c>
      <c r="R33" s="25">
        <v>3.21</v>
      </c>
      <c r="S33" s="25">
        <v>7</v>
      </c>
      <c r="T33" s="25">
        <f t="shared" si="11"/>
        <v>-614.86100000000033</v>
      </c>
      <c r="U33" s="25"/>
      <c r="V33" s="25">
        <f t="shared" si="12"/>
        <v>2220.75</v>
      </c>
    </row>
    <row r="34" spans="1:23">
      <c r="A34" s="34" t="s">
        <v>232</v>
      </c>
      <c r="B34" s="23">
        <v>465181</v>
      </c>
      <c r="C34" s="47" t="s">
        <v>197</v>
      </c>
      <c r="D34" s="47">
        <v>7</v>
      </c>
      <c r="E34" s="35">
        <v>8650</v>
      </c>
      <c r="F34" s="25">
        <v>748</v>
      </c>
      <c r="G34" s="25">
        <v>0</v>
      </c>
      <c r="H34" s="36"/>
      <c r="I34" s="37">
        <v>2842.74</v>
      </c>
      <c r="J34" s="54">
        <v>2820</v>
      </c>
      <c r="K34" s="25">
        <f t="shared" si="8"/>
        <v>200.21999999999997</v>
      </c>
      <c r="L34" s="25">
        <v>0</v>
      </c>
      <c r="M34" s="25">
        <v>359.07</v>
      </c>
      <c r="N34" s="25">
        <v>450</v>
      </c>
      <c r="O34" s="25">
        <v>26.25</v>
      </c>
      <c r="P34" s="25"/>
      <c r="Q34" s="25">
        <f t="shared" si="10"/>
        <v>86.5</v>
      </c>
      <c r="R34" s="35">
        <v>148.36000000000001</v>
      </c>
      <c r="S34" s="25">
        <v>7</v>
      </c>
      <c r="T34" s="25">
        <f t="shared" si="11"/>
        <v>1673.8600000000001</v>
      </c>
      <c r="U34" s="25"/>
      <c r="V34" s="25">
        <f t="shared" si="12"/>
        <v>2115</v>
      </c>
    </row>
    <row r="35" spans="1:23">
      <c r="A35" s="22" t="s">
        <v>241</v>
      </c>
      <c r="B35" s="23">
        <v>352374</v>
      </c>
      <c r="C35" s="24" t="s">
        <v>197</v>
      </c>
      <c r="D35" s="23">
        <v>5</v>
      </c>
      <c r="E35" s="25">
        <v>4425</v>
      </c>
      <c r="F35" s="25">
        <v>666.5</v>
      </c>
      <c r="G35" s="25">
        <v>0</v>
      </c>
      <c r="H35" s="25"/>
      <c r="I35" s="25">
        <v>2322.9</v>
      </c>
      <c r="J35" s="53">
        <v>2222</v>
      </c>
      <c r="K35" s="25">
        <f t="shared" si="8"/>
        <v>157.76199999999997</v>
      </c>
      <c r="L35" s="25">
        <v>0</v>
      </c>
      <c r="M35" s="25">
        <v>359.07</v>
      </c>
      <c r="N35" s="25">
        <v>450</v>
      </c>
      <c r="O35" s="25">
        <v>26.25</v>
      </c>
      <c r="P35" s="25"/>
      <c r="Q35" s="25">
        <f t="shared" si="10"/>
        <v>44.25</v>
      </c>
      <c r="R35" s="25">
        <v>8.14</v>
      </c>
      <c r="S35" s="25">
        <v>7</v>
      </c>
      <c r="T35" s="25">
        <f t="shared" si="11"/>
        <v>-1276.3720000000003</v>
      </c>
      <c r="U35" s="25"/>
      <c r="V35" s="25">
        <f t="shared" si="12"/>
        <v>1666.5</v>
      </c>
    </row>
    <row r="36" spans="1:23">
      <c r="A36" s="22" t="s">
        <v>242</v>
      </c>
      <c r="B36" s="23">
        <v>359886</v>
      </c>
      <c r="C36" s="24" t="s">
        <v>251</v>
      </c>
      <c r="D36" s="23">
        <v>5</v>
      </c>
      <c r="E36" s="58">
        <v>5466</v>
      </c>
      <c r="F36" s="25">
        <v>666.5</v>
      </c>
      <c r="G36" s="25">
        <v>0</v>
      </c>
      <c r="H36" s="25"/>
      <c r="I36" s="25">
        <v>1744.41</v>
      </c>
      <c r="J36" s="53">
        <v>2324</v>
      </c>
      <c r="K36" s="25">
        <f t="shared" si="8"/>
        <v>165.00399999999999</v>
      </c>
      <c r="L36" s="25">
        <v>0</v>
      </c>
      <c r="M36" s="25">
        <v>359.07</v>
      </c>
      <c r="N36" s="25">
        <v>450</v>
      </c>
      <c r="O36" s="25">
        <v>26.25</v>
      </c>
      <c r="P36" s="25"/>
      <c r="Q36" s="25">
        <f t="shared" si="10"/>
        <v>54.660000000000004</v>
      </c>
      <c r="R36" s="25">
        <v>65.34</v>
      </c>
      <c r="S36" s="25">
        <v>7</v>
      </c>
      <c r="T36" s="25">
        <f>E36-J36*0.8-K36-F36-M36-N36-O36-Q36-I36-R36</f>
        <v>75.565999999999946</v>
      </c>
      <c r="U36" s="25"/>
      <c r="V36" s="25">
        <f>J36*0.8</f>
        <v>1859.2</v>
      </c>
    </row>
    <row r="37" spans="1:23">
      <c r="A37" s="22" t="s">
        <v>245</v>
      </c>
      <c r="B37" s="23">
        <v>352375</v>
      </c>
      <c r="C37" s="24" t="s">
        <v>197</v>
      </c>
      <c r="D37" s="23">
        <v>2</v>
      </c>
      <c r="E37" s="25">
        <v>2100</v>
      </c>
      <c r="F37" s="25">
        <v>666.5</v>
      </c>
      <c r="G37" s="25">
        <v>0</v>
      </c>
      <c r="H37" s="25"/>
      <c r="I37" s="25">
        <v>1384.63</v>
      </c>
      <c r="J37" s="53">
        <v>1018</v>
      </c>
      <c r="K37" s="25">
        <f t="shared" si="8"/>
        <v>72.277999999999992</v>
      </c>
      <c r="L37" s="25">
        <v>0</v>
      </c>
      <c r="M37" s="25">
        <v>359.07</v>
      </c>
      <c r="N37" s="25">
        <v>450</v>
      </c>
      <c r="O37" s="25">
        <v>26.25</v>
      </c>
      <c r="P37" s="25"/>
      <c r="Q37" s="25">
        <f t="shared" si="10"/>
        <v>21</v>
      </c>
      <c r="R37" s="25"/>
      <c r="S37" s="25">
        <v>7</v>
      </c>
      <c r="T37" s="25">
        <f>E37-J37*0.75-K37-F37-M37-N37-O37-Q37-I37-R37</f>
        <v>-1643.2280000000001</v>
      </c>
      <c r="U37" s="25"/>
      <c r="V37" s="25">
        <f>J37*0.75</f>
        <v>763.5</v>
      </c>
    </row>
    <row r="38" spans="1:23">
      <c r="A38" s="18" t="s">
        <v>255</v>
      </c>
      <c r="B38" s="19">
        <v>359885</v>
      </c>
      <c r="C38" s="20" t="s">
        <v>186</v>
      </c>
      <c r="D38" s="19">
        <v>5</v>
      </c>
      <c r="E38" s="21">
        <v>6900</v>
      </c>
      <c r="F38" s="21">
        <v>748</v>
      </c>
      <c r="G38" s="21">
        <v>1200</v>
      </c>
      <c r="H38" s="21"/>
      <c r="I38" s="21">
        <v>2094.59</v>
      </c>
      <c r="J38" s="55">
        <v>3126</v>
      </c>
      <c r="K38" s="21">
        <f t="shared" si="8"/>
        <v>221.94599999999997</v>
      </c>
      <c r="L38" s="21">
        <v>0</v>
      </c>
      <c r="M38" s="21">
        <v>359.07</v>
      </c>
      <c r="N38" s="21">
        <v>450</v>
      </c>
      <c r="O38" s="21">
        <v>40</v>
      </c>
      <c r="P38" s="21"/>
      <c r="Q38" s="21">
        <f t="shared" si="10"/>
        <v>69</v>
      </c>
      <c r="R38" s="21"/>
      <c r="S38" s="21">
        <v>0</v>
      </c>
      <c r="T38" s="21">
        <f>E38*0.22-M38-N38-Q38-K38-F38+G38</f>
        <v>869.98400000000015</v>
      </c>
      <c r="U38" s="21"/>
      <c r="V38" s="21">
        <f>E38*0.78-G38-L38-O38-R38-I38</f>
        <v>2047.4099999999999</v>
      </c>
    </row>
    <row r="39" spans="1:23">
      <c r="A39" s="39" t="s">
        <v>89</v>
      </c>
      <c r="B39" s="40">
        <v>17</v>
      </c>
      <c r="C39" s="41" t="s">
        <v>243</v>
      </c>
      <c r="D39" s="40">
        <f>AVERAGE(D22:D38)</f>
        <v>5</v>
      </c>
      <c r="E39" s="42">
        <f>SUM(E22:E38)</f>
        <v>98183</v>
      </c>
      <c r="F39" s="42">
        <f>SUM(F21:F37)</f>
        <v>11397.5</v>
      </c>
      <c r="G39" s="42">
        <f>SUM(G22:G37)</f>
        <v>1700</v>
      </c>
      <c r="H39" s="42"/>
      <c r="I39" s="42">
        <f t="shared" ref="I39:J39" si="13">SUM(I22:I38)</f>
        <v>34853.290000000008</v>
      </c>
      <c r="J39" s="57">
        <f t="shared" si="13"/>
        <v>39459</v>
      </c>
      <c r="K39" s="42">
        <f t="shared" ref="K39:L39" si="14">SUM(K21:K37)</f>
        <v>2579.6429999999996</v>
      </c>
      <c r="L39" s="42">
        <f t="shared" si="14"/>
        <v>290.70000000000005</v>
      </c>
      <c r="M39" s="42">
        <f>SUM(M22:M37)</f>
        <v>5745.12</v>
      </c>
      <c r="N39" s="42">
        <f t="shared" ref="N39:O39" si="15">SUM(N21:N37)</f>
        <v>7200</v>
      </c>
      <c r="O39" s="42">
        <f t="shared" si="15"/>
        <v>435</v>
      </c>
      <c r="P39" s="42"/>
      <c r="Q39" s="42">
        <f t="shared" si="10"/>
        <v>981.83</v>
      </c>
      <c r="R39" s="42">
        <f>SUM(R22:R37)</f>
        <v>1964.52</v>
      </c>
      <c r="S39" s="42">
        <f>SUM(S21:S37)</f>
        <v>98</v>
      </c>
      <c r="T39" s="42">
        <f>SUM(T22:T38)</f>
        <v>2029.1210000000017</v>
      </c>
      <c r="U39" s="40"/>
      <c r="V39" s="40">
        <f>SUM(V21:V37)</f>
        <v>25989.850000000002</v>
      </c>
    </row>
    <row r="42" spans="1:23">
      <c r="A42" s="457" t="s">
        <v>256</v>
      </c>
      <c r="B42" s="458"/>
      <c r="C42" s="458"/>
      <c r="D42" s="458"/>
      <c r="E42" s="458"/>
      <c r="F42" s="458"/>
      <c r="G42" s="458"/>
      <c r="H42" s="458"/>
      <c r="I42" s="458"/>
      <c r="J42" s="458"/>
      <c r="K42" s="458"/>
      <c r="L42" s="458"/>
      <c r="M42" s="458"/>
      <c r="N42" s="458"/>
      <c r="O42" s="458"/>
      <c r="P42" s="458"/>
      <c r="Q42" s="458"/>
      <c r="R42" s="458"/>
      <c r="S42" s="458"/>
      <c r="T42" s="458"/>
      <c r="U42" s="458"/>
      <c r="V42" s="458"/>
      <c r="W42" s="459"/>
    </row>
    <row r="43" spans="1:23">
      <c r="A43" s="1" t="s">
        <v>0</v>
      </c>
      <c r="B43" s="2" t="s">
        <v>1</v>
      </c>
      <c r="C43" s="2" t="s">
        <v>183</v>
      </c>
      <c r="D43" s="2" t="s">
        <v>3</v>
      </c>
      <c r="E43" s="2" t="s">
        <v>2</v>
      </c>
      <c r="F43" s="2" t="s">
        <v>4</v>
      </c>
      <c r="G43" s="2" t="s">
        <v>6</v>
      </c>
      <c r="H43" s="2"/>
      <c r="I43" s="2" t="s">
        <v>7</v>
      </c>
      <c r="J43" s="2" t="s">
        <v>9</v>
      </c>
      <c r="K43" s="2" t="s">
        <v>106</v>
      </c>
      <c r="L43" s="2" t="s">
        <v>107</v>
      </c>
      <c r="M43" s="2" t="s">
        <v>5</v>
      </c>
      <c r="N43" s="2" t="s">
        <v>12</v>
      </c>
      <c r="O43" s="2" t="s">
        <v>184</v>
      </c>
      <c r="P43" s="2"/>
      <c r="Q43" s="2" t="s">
        <v>108</v>
      </c>
      <c r="R43" s="2" t="s">
        <v>8</v>
      </c>
      <c r="S43" s="12" t="s">
        <v>185</v>
      </c>
      <c r="T43" s="2" t="s">
        <v>13</v>
      </c>
      <c r="U43" s="2"/>
      <c r="V43" s="14" t="s">
        <v>98</v>
      </c>
      <c r="W43" s="14" t="s">
        <v>257</v>
      </c>
    </row>
    <row r="44" spans="1:23">
      <c r="A44" s="22" t="s">
        <v>258</v>
      </c>
      <c r="B44" s="23">
        <v>465188</v>
      </c>
      <c r="C44" s="24" t="s">
        <v>251</v>
      </c>
      <c r="D44" s="23">
        <v>6</v>
      </c>
      <c r="E44" s="25">
        <v>7997</v>
      </c>
      <c r="F44" s="25">
        <v>748</v>
      </c>
      <c r="G44" s="25">
        <v>0</v>
      </c>
      <c r="H44" s="25"/>
      <c r="I44" s="25">
        <v>3226.56</v>
      </c>
      <c r="J44" s="53">
        <v>3079</v>
      </c>
      <c r="K44" s="25">
        <f t="shared" ref="K44:K60" si="16">J44*0.071</f>
        <v>218.60899999999998</v>
      </c>
      <c r="L44" s="25">
        <v>0</v>
      </c>
      <c r="M44" s="25">
        <v>359.07</v>
      </c>
      <c r="N44" s="25">
        <v>450</v>
      </c>
      <c r="O44" s="25">
        <v>26.25</v>
      </c>
      <c r="P44" s="25"/>
      <c r="Q44" s="25">
        <f t="shared" ref="Q44:Q61" si="17">E44*0.01</f>
        <v>79.97</v>
      </c>
      <c r="R44" s="25"/>
      <c r="S44" s="25">
        <v>7</v>
      </c>
      <c r="T44" s="25">
        <f>E44-J44*0.75-K44-F44-M44-N44-O44-Q44-I44-R44</f>
        <v>579.29100000000017</v>
      </c>
      <c r="U44" s="25"/>
      <c r="V44" s="25">
        <f>J44*0.75</f>
        <v>2309.25</v>
      </c>
      <c r="W44" s="25">
        <v>175.18</v>
      </c>
    </row>
    <row r="45" spans="1:23">
      <c r="A45" s="18" t="s">
        <v>215</v>
      </c>
      <c r="B45" s="19">
        <v>465184</v>
      </c>
      <c r="C45" s="20" t="s">
        <v>186</v>
      </c>
      <c r="D45" s="19">
        <v>7</v>
      </c>
      <c r="E45" s="21">
        <v>9000</v>
      </c>
      <c r="F45" s="21">
        <v>748</v>
      </c>
      <c r="G45" s="21">
        <v>850</v>
      </c>
      <c r="H45" s="21"/>
      <c r="I45" s="21">
        <v>2524.9</v>
      </c>
      <c r="J45" s="55">
        <v>3372</v>
      </c>
      <c r="K45" s="21">
        <f t="shared" si="16"/>
        <v>239.41199999999998</v>
      </c>
      <c r="L45" s="21">
        <f>J45*0.17</f>
        <v>573.24</v>
      </c>
      <c r="M45" s="21">
        <v>359.07</v>
      </c>
      <c r="N45" s="21">
        <v>450</v>
      </c>
      <c r="O45" s="21">
        <v>40</v>
      </c>
      <c r="P45" s="21"/>
      <c r="Q45" s="21">
        <f t="shared" si="17"/>
        <v>90</v>
      </c>
      <c r="R45" s="21"/>
      <c r="S45" s="21">
        <v>0</v>
      </c>
      <c r="T45" s="21">
        <f>E45*0.22-M45-N45-Q45-K45-F45+G45</f>
        <v>943.51800000000003</v>
      </c>
      <c r="U45" s="21"/>
      <c r="V45" s="21">
        <f>E45*0.78-G45-L45-O45-R45-I45</f>
        <v>3031.86</v>
      </c>
      <c r="W45" s="21">
        <v>33.369999999999997</v>
      </c>
    </row>
    <row r="46" spans="1:23">
      <c r="A46" s="22" t="s">
        <v>200</v>
      </c>
      <c r="B46" s="23">
        <v>352377</v>
      </c>
      <c r="C46" s="24" t="s">
        <v>197</v>
      </c>
      <c r="D46" s="23">
        <v>4</v>
      </c>
      <c r="E46" s="25">
        <v>3900</v>
      </c>
      <c r="F46" s="25">
        <v>666.5</v>
      </c>
      <c r="G46" s="25">
        <v>0</v>
      </c>
      <c r="H46" s="25"/>
      <c r="I46" s="25">
        <v>1775.94</v>
      </c>
      <c r="J46" s="53">
        <v>1709</v>
      </c>
      <c r="K46" s="25">
        <f t="shared" si="16"/>
        <v>121.33899999999998</v>
      </c>
      <c r="L46" s="25">
        <v>0</v>
      </c>
      <c r="M46" s="25">
        <v>359.07</v>
      </c>
      <c r="N46" s="25">
        <v>450</v>
      </c>
      <c r="O46" s="25">
        <v>32.5</v>
      </c>
      <c r="P46" s="25"/>
      <c r="Q46" s="25">
        <f t="shared" si="17"/>
        <v>39</v>
      </c>
      <c r="R46" s="25"/>
      <c r="S46" s="25">
        <v>7</v>
      </c>
      <c r="T46" s="25">
        <f t="shared" ref="T46:T57" si="18">E46-J46*0.75-K46-F46-M46-N46-O46-Q46-I46-R46</f>
        <v>-826.09899999999993</v>
      </c>
      <c r="U46" s="25"/>
      <c r="V46" s="25">
        <f t="shared" ref="V46:V57" si="19">J46*0.75</f>
        <v>1281.75</v>
      </c>
      <c r="W46" s="25">
        <v>166.91</v>
      </c>
    </row>
    <row r="47" spans="1:23">
      <c r="A47" s="22" t="s">
        <v>253</v>
      </c>
      <c r="B47" s="23">
        <v>352372</v>
      </c>
      <c r="C47" s="24" t="s">
        <v>197</v>
      </c>
      <c r="D47" s="23">
        <v>5</v>
      </c>
      <c r="E47" s="25">
        <v>4550</v>
      </c>
      <c r="F47" s="25">
        <v>666.5</v>
      </c>
      <c r="G47" s="25">
        <v>0</v>
      </c>
      <c r="H47" s="25"/>
      <c r="I47" s="25">
        <v>1888.56</v>
      </c>
      <c r="J47" s="53">
        <v>1874</v>
      </c>
      <c r="K47" s="25">
        <f t="shared" si="16"/>
        <v>133.054</v>
      </c>
      <c r="L47" s="25">
        <v>0</v>
      </c>
      <c r="M47" s="25">
        <v>359.07</v>
      </c>
      <c r="N47" s="25">
        <v>450</v>
      </c>
      <c r="O47" s="25"/>
      <c r="P47" s="25"/>
      <c r="Q47" s="25">
        <f t="shared" si="17"/>
        <v>45.5</v>
      </c>
      <c r="R47" s="25"/>
      <c r="S47" s="25">
        <v>7</v>
      </c>
      <c r="T47" s="25">
        <f t="shared" si="18"/>
        <v>-398.18399999999997</v>
      </c>
      <c r="U47" s="25"/>
      <c r="V47" s="25">
        <f t="shared" si="19"/>
        <v>1405.5</v>
      </c>
      <c r="W47" s="25">
        <v>35.130000000000003</v>
      </c>
    </row>
    <row r="48" spans="1:23">
      <c r="A48" s="22" t="s">
        <v>254</v>
      </c>
      <c r="B48" s="23">
        <v>465180</v>
      </c>
      <c r="C48" s="24" t="s">
        <v>197</v>
      </c>
      <c r="D48" s="23">
        <v>7</v>
      </c>
      <c r="E48" s="25">
        <v>6660</v>
      </c>
      <c r="F48" s="25">
        <v>748</v>
      </c>
      <c r="G48" s="25">
        <v>0</v>
      </c>
      <c r="H48" s="25"/>
      <c r="I48" s="25">
        <v>2404.38</v>
      </c>
      <c r="J48" s="53">
        <v>2851</v>
      </c>
      <c r="K48" s="25">
        <f t="shared" si="16"/>
        <v>202.42099999999999</v>
      </c>
      <c r="L48" s="25">
        <v>0</v>
      </c>
      <c r="M48" s="25">
        <v>359.07</v>
      </c>
      <c r="N48" s="25">
        <v>450</v>
      </c>
      <c r="O48" s="25"/>
      <c r="P48" s="25"/>
      <c r="Q48" s="25">
        <f t="shared" si="17"/>
        <v>66.599999999999994</v>
      </c>
      <c r="R48" s="25"/>
      <c r="S48" s="25">
        <v>7</v>
      </c>
      <c r="T48" s="25">
        <f t="shared" si="18"/>
        <v>291.27899999999954</v>
      </c>
      <c r="U48" s="25"/>
      <c r="V48" s="25">
        <f t="shared" si="19"/>
        <v>2138.25</v>
      </c>
      <c r="W48" s="25">
        <v>118.71</v>
      </c>
    </row>
    <row r="49" spans="1:23">
      <c r="A49" s="22" t="s">
        <v>247</v>
      </c>
      <c r="B49" s="23">
        <v>352376</v>
      </c>
      <c r="C49" s="24" t="s">
        <v>197</v>
      </c>
      <c r="D49" s="23">
        <v>1</v>
      </c>
      <c r="E49" s="25">
        <v>1100</v>
      </c>
      <c r="F49" s="25">
        <v>748</v>
      </c>
      <c r="G49" s="25">
        <v>0</v>
      </c>
      <c r="H49" s="25"/>
      <c r="I49" s="25">
        <v>0</v>
      </c>
      <c r="J49" s="53">
        <v>579</v>
      </c>
      <c r="K49" s="25">
        <f t="shared" si="16"/>
        <v>41.108999999999995</v>
      </c>
      <c r="L49" s="25">
        <v>0</v>
      </c>
      <c r="M49" s="25">
        <v>359.07</v>
      </c>
      <c r="N49" s="25">
        <v>450</v>
      </c>
      <c r="O49" s="25">
        <v>26.25</v>
      </c>
      <c r="P49" s="25"/>
      <c r="Q49" s="25">
        <f t="shared" si="17"/>
        <v>11</v>
      </c>
      <c r="R49" s="25"/>
      <c r="S49" s="25">
        <v>7</v>
      </c>
      <c r="T49" s="25">
        <f t="shared" si="18"/>
        <v>-969.67900000000009</v>
      </c>
      <c r="U49" s="25"/>
      <c r="V49" s="25">
        <f t="shared" si="19"/>
        <v>434.25</v>
      </c>
      <c r="W49" s="25"/>
    </row>
    <row r="50" spans="1:23">
      <c r="A50" s="22" t="s">
        <v>218</v>
      </c>
      <c r="B50" s="23">
        <v>465182</v>
      </c>
      <c r="C50" s="24" t="s">
        <v>197</v>
      </c>
      <c r="D50" s="23">
        <v>1</v>
      </c>
      <c r="E50" s="25">
        <v>2500</v>
      </c>
      <c r="F50" s="25">
        <v>666.5</v>
      </c>
      <c r="G50" s="25">
        <v>0</v>
      </c>
      <c r="H50" s="25"/>
      <c r="I50" s="25">
        <v>856.71</v>
      </c>
      <c r="J50" s="53">
        <v>752</v>
      </c>
      <c r="K50" s="25">
        <f t="shared" si="16"/>
        <v>53.391999999999996</v>
      </c>
      <c r="L50" s="25">
        <v>0</v>
      </c>
      <c r="M50" s="25">
        <v>359.07</v>
      </c>
      <c r="N50" s="25">
        <v>450</v>
      </c>
      <c r="O50" s="25">
        <v>40</v>
      </c>
      <c r="P50" s="25"/>
      <c r="Q50" s="25">
        <f t="shared" si="17"/>
        <v>25</v>
      </c>
      <c r="R50" s="25"/>
      <c r="S50" s="25">
        <v>7</v>
      </c>
      <c r="T50" s="25">
        <f t="shared" si="18"/>
        <v>-514.67200000000003</v>
      </c>
      <c r="U50" s="25"/>
      <c r="V50" s="25">
        <f t="shared" si="19"/>
        <v>564</v>
      </c>
      <c r="W50" s="25">
        <v>50.06</v>
      </c>
    </row>
    <row r="51" spans="1:23">
      <c r="A51" s="22" t="s">
        <v>220</v>
      </c>
      <c r="B51" s="23">
        <v>465185</v>
      </c>
      <c r="C51" s="24" t="s">
        <v>197</v>
      </c>
      <c r="D51" s="23">
        <v>4</v>
      </c>
      <c r="E51" s="25">
        <v>2250</v>
      </c>
      <c r="F51" s="25">
        <v>748</v>
      </c>
      <c r="G51" s="25">
        <v>0</v>
      </c>
      <c r="H51" s="25"/>
      <c r="I51" s="25">
        <v>2589.84</v>
      </c>
      <c r="J51" s="53">
        <v>1134</v>
      </c>
      <c r="K51" s="25">
        <f t="shared" si="16"/>
        <v>80.513999999999996</v>
      </c>
      <c r="L51" s="25">
        <v>0</v>
      </c>
      <c r="M51" s="25">
        <v>359.07</v>
      </c>
      <c r="N51" s="25">
        <v>450</v>
      </c>
      <c r="O51" s="25">
        <v>40</v>
      </c>
      <c r="P51" s="25"/>
      <c r="Q51" s="25">
        <f t="shared" si="17"/>
        <v>22.5</v>
      </c>
      <c r="R51" s="25"/>
      <c r="S51" s="25">
        <v>7</v>
      </c>
      <c r="T51" s="25">
        <f t="shared" si="18"/>
        <v>-2890.424</v>
      </c>
      <c r="U51" s="25"/>
      <c r="V51" s="25">
        <f t="shared" si="19"/>
        <v>850.5</v>
      </c>
      <c r="W51" s="25">
        <v>35.159999999999997</v>
      </c>
    </row>
    <row r="52" spans="1:23">
      <c r="A52" s="22" t="s">
        <v>235</v>
      </c>
      <c r="B52" s="23">
        <v>352371</v>
      </c>
      <c r="C52" s="24" t="s">
        <v>197</v>
      </c>
      <c r="D52" s="23">
        <v>7</v>
      </c>
      <c r="E52" s="25">
        <v>8100</v>
      </c>
      <c r="F52" s="25">
        <v>666.5</v>
      </c>
      <c r="G52" s="25">
        <v>0</v>
      </c>
      <c r="H52" s="25"/>
      <c r="I52" s="25">
        <v>2685.4</v>
      </c>
      <c r="J52" s="53">
        <v>3121</v>
      </c>
      <c r="K52" s="25">
        <f t="shared" si="16"/>
        <v>221.59099999999998</v>
      </c>
      <c r="L52" s="25">
        <v>0</v>
      </c>
      <c r="M52" s="25">
        <v>359.07</v>
      </c>
      <c r="N52" s="25">
        <v>450</v>
      </c>
      <c r="O52" s="25">
        <v>32.5</v>
      </c>
      <c r="P52" s="25"/>
      <c r="Q52" s="25">
        <f t="shared" si="17"/>
        <v>81</v>
      </c>
      <c r="R52" s="25"/>
      <c r="S52" s="25">
        <v>7</v>
      </c>
      <c r="T52" s="25">
        <f t="shared" si="18"/>
        <v>1263.1889999999999</v>
      </c>
      <c r="U52" s="25"/>
      <c r="V52" s="25">
        <f t="shared" si="19"/>
        <v>2340.75</v>
      </c>
      <c r="W52" s="25">
        <v>602.94000000000005</v>
      </c>
    </row>
    <row r="53" spans="1:23">
      <c r="A53" s="22" t="s">
        <v>223</v>
      </c>
      <c r="B53" s="23">
        <v>465183</v>
      </c>
      <c r="C53" s="24" t="s">
        <v>197</v>
      </c>
      <c r="D53" s="23">
        <v>7</v>
      </c>
      <c r="E53" s="25">
        <v>9225</v>
      </c>
      <c r="F53" s="25">
        <v>748</v>
      </c>
      <c r="G53" s="25">
        <v>0</v>
      </c>
      <c r="H53" s="25"/>
      <c r="I53" s="25">
        <v>2681.2</v>
      </c>
      <c r="J53" s="53">
        <v>3312</v>
      </c>
      <c r="K53" s="25">
        <f t="shared" si="16"/>
        <v>235.15199999999999</v>
      </c>
      <c r="L53" s="25">
        <v>0</v>
      </c>
      <c r="M53" s="25">
        <v>359.07</v>
      </c>
      <c r="N53" s="25">
        <v>450</v>
      </c>
      <c r="O53" s="25">
        <v>26.25</v>
      </c>
      <c r="P53" s="25"/>
      <c r="Q53" s="25">
        <f t="shared" si="17"/>
        <v>92.25</v>
      </c>
      <c r="R53" s="25"/>
      <c r="S53" s="25">
        <v>7</v>
      </c>
      <c r="T53" s="25">
        <f t="shared" si="18"/>
        <v>2149.0780000000004</v>
      </c>
      <c r="U53" s="25"/>
      <c r="V53" s="25">
        <f t="shared" si="19"/>
        <v>2484</v>
      </c>
      <c r="W53" s="25">
        <v>70.42</v>
      </c>
    </row>
    <row r="54" spans="1:23">
      <c r="A54" s="22" t="s">
        <v>224</v>
      </c>
      <c r="B54" s="23">
        <v>465187</v>
      </c>
      <c r="C54" s="24" t="s">
        <v>197</v>
      </c>
      <c r="D54" s="23">
        <v>7</v>
      </c>
      <c r="E54" s="25">
        <v>8400</v>
      </c>
      <c r="F54" s="25">
        <v>748</v>
      </c>
      <c r="G54" s="25">
        <v>0</v>
      </c>
      <c r="H54" s="25"/>
      <c r="I54" s="25">
        <v>2421.7399999999998</v>
      </c>
      <c r="J54" s="53">
        <v>2772</v>
      </c>
      <c r="K54" s="25">
        <f t="shared" si="16"/>
        <v>196.81199999999998</v>
      </c>
      <c r="L54" s="25">
        <v>0</v>
      </c>
      <c r="M54" s="25">
        <v>359.07</v>
      </c>
      <c r="N54" s="25">
        <v>450</v>
      </c>
      <c r="O54" s="25">
        <v>40</v>
      </c>
      <c r="P54" s="25"/>
      <c r="Q54" s="25">
        <f t="shared" si="17"/>
        <v>84</v>
      </c>
      <c r="R54" s="25"/>
      <c r="S54" s="25">
        <v>7</v>
      </c>
      <c r="T54" s="25">
        <f t="shared" si="18"/>
        <v>2021.3780000000006</v>
      </c>
      <c r="U54" s="25"/>
      <c r="V54" s="25">
        <f t="shared" si="19"/>
        <v>2079</v>
      </c>
      <c r="W54" s="25">
        <v>197.92</v>
      </c>
    </row>
    <row r="55" spans="1:23">
      <c r="A55" s="22" t="s">
        <v>207</v>
      </c>
      <c r="B55" s="23">
        <v>465186</v>
      </c>
      <c r="C55" s="24" t="s">
        <v>197</v>
      </c>
      <c r="D55" s="23">
        <v>6</v>
      </c>
      <c r="E55" s="25">
        <v>6050</v>
      </c>
      <c r="F55" s="25">
        <v>748</v>
      </c>
      <c r="G55" s="25">
        <v>0</v>
      </c>
      <c r="H55" s="25"/>
      <c r="I55" s="25">
        <v>1785.43</v>
      </c>
      <c r="J55" s="53">
        <v>2208</v>
      </c>
      <c r="K55" s="25">
        <f t="shared" si="16"/>
        <v>156.76799999999997</v>
      </c>
      <c r="L55" s="25">
        <v>0</v>
      </c>
      <c r="M55" s="25">
        <v>359.07</v>
      </c>
      <c r="N55" s="25">
        <v>450</v>
      </c>
      <c r="O55" s="25">
        <v>26.25</v>
      </c>
      <c r="P55" s="25"/>
      <c r="Q55" s="25">
        <f t="shared" si="17"/>
        <v>60.5</v>
      </c>
      <c r="R55" s="25"/>
      <c r="S55" s="25">
        <v>7</v>
      </c>
      <c r="T55" s="25">
        <f t="shared" si="18"/>
        <v>807.98199999999974</v>
      </c>
      <c r="U55" s="25"/>
      <c r="V55" s="25">
        <f t="shared" si="19"/>
        <v>1656</v>
      </c>
      <c r="W55" s="25">
        <v>32.25</v>
      </c>
    </row>
    <row r="56" spans="1:23">
      <c r="A56" s="34" t="s">
        <v>232</v>
      </c>
      <c r="B56" s="23">
        <v>465181</v>
      </c>
      <c r="C56" s="47" t="s">
        <v>197</v>
      </c>
      <c r="D56" s="47">
        <v>6</v>
      </c>
      <c r="E56" s="35">
        <v>5300</v>
      </c>
      <c r="F56" s="25">
        <v>748</v>
      </c>
      <c r="G56" s="25">
        <v>0</v>
      </c>
      <c r="H56" s="36"/>
      <c r="I56" s="37">
        <v>2339.71</v>
      </c>
      <c r="J56" s="54">
        <v>2108</v>
      </c>
      <c r="K56" s="25">
        <f t="shared" si="16"/>
        <v>149.66799999999998</v>
      </c>
      <c r="L56" s="25">
        <v>0</v>
      </c>
      <c r="M56" s="25">
        <v>359.07</v>
      </c>
      <c r="N56" s="25">
        <v>450</v>
      </c>
      <c r="O56" s="25">
        <v>26.25</v>
      </c>
      <c r="P56" s="25"/>
      <c r="Q56" s="25">
        <f t="shared" si="17"/>
        <v>53</v>
      </c>
      <c r="R56" s="35"/>
      <c r="S56" s="25">
        <v>7</v>
      </c>
      <c r="T56" s="25">
        <f t="shared" si="18"/>
        <v>-406.69800000000032</v>
      </c>
      <c r="U56" s="25"/>
      <c r="V56" s="25">
        <f t="shared" si="19"/>
        <v>1581</v>
      </c>
      <c r="W56" s="35">
        <v>114.38</v>
      </c>
    </row>
    <row r="57" spans="1:23">
      <c r="A57" s="22" t="s">
        <v>241</v>
      </c>
      <c r="B57" s="23">
        <v>352374</v>
      </c>
      <c r="C57" s="24" t="s">
        <v>197</v>
      </c>
      <c r="D57" s="23">
        <v>7</v>
      </c>
      <c r="E57" s="25">
        <v>7005</v>
      </c>
      <c r="F57" s="25">
        <v>666.5</v>
      </c>
      <c r="G57" s="25">
        <v>0</v>
      </c>
      <c r="H57" s="25"/>
      <c r="I57" s="25">
        <v>3122.92</v>
      </c>
      <c r="J57" s="53">
        <v>2747</v>
      </c>
      <c r="K57" s="25">
        <f t="shared" si="16"/>
        <v>195.03699999999998</v>
      </c>
      <c r="L57" s="25">
        <v>0</v>
      </c>
      <c r="M57" s="25">
        <v>359.07</v>
      </c>
      <c r="N57" s="25">
        <v>450</v>
      </c>
      <c r="O57" s="25">
        <v>26.25</v>
      </c>
      <c r="P57" s="25"/>
      <c r="Q57" s="25">
        <f t="shared" si="17"/>
        <v>70.05</v>
      </c>
      <c r="R57" s="25"/>
      <c r="S57" s="25">
        <v>7</v>
      </c>
      <c r="T57" s="25">
        <f t="shared" si="18"/>
        <v>54.92299999999932</v>
      </c>
      <c r="U57" s="25"/>
      <c r="V57" s="25">
        <f t="shared" si="19"/>
        <v>2060.25</v>
      </c>
      <c r="W57" s="25">
        <v>135.47999999999999</v>
      </c>
    </row>
    <row r="58" spans="1:23">
      <c r="A58" s="22" t="s">
        <v>242</v>
      </c>
      <c r="B58" s="23">
        <v>359886</v>
      </c>
      <c r="C58" s="24" t="s">
        <v>251</v>
      </c>
      <c r="D58" s="23">
        <v>6</v>
      </c>
      <c r="E58" s="58">
        <v>5816</v>
      </c>
      <c r="F58" s="25">
        <v>666.5</v>
      </c>
      <c r="G58" s="25">
        <v>0</v>
      </c>
      <c r="H58" s="25"/>
      <c r="I58" s="25">
        <v>2027.15</v>
      </c>
      <c r="J58" s="53">
        <v>2372</v>
      </c>
      <c r="K58" s="25">
        <f t="shared" si="16"/>
        <v>168.41199999999998</v>
      </c>
      <c r="L58" s="25">
        <v>0</v>
      </c>
      <c r="M58" s="25">
        <v>359.07</v>
      </c>
      <c r="N58" s="25">
        <v>450</v>
      </c>
      <c r="O58" s="25">
        <v>26.25</v>
      </c>
      <c r="P58" s="25"/>
      <c r="Q58" s="25">
        <f t="shared" si="17"/>
        <v>58.160000000000004</v>
      </c>
      <c r="R58" s="25"/>
      <c r="S58" s="25">
        <v>7</v>
      </c>
      <c r="T58" s="25">
        <f>E58-J58*0.8-K58-F58-M58-N58-O58-Q58-I58-R58</f>
        <v>162.85799999999972</v>
      </c>
      <c r="U58" s="25"/>
      <c r="V58" s="25">
        <f>J58*0.8</f>
        <v>1897.6000000000001</v>
      </c>
      <c r="W58" s="25">
        <v>87.82</v>
      </c>
    </row>
    <row r="59" spans="1:23">
      <c r="A59" s="22" t="s">
        <v>245</v>
      </c>
      <c r="B59" s="23">
        <v>352375</v>
      </c>
      <c r="C59" s="24" t="s">
        <v>197</v>
      </c>
      <c r="D59" s="23">
        <v>6</v>
      </c>
      <c r="E59" s="25">
        <v>3906</v>
      </c>
      <c r="F59" s="25">
        <v>666.5</v>
      </c>
      <c r="G59" s="25">
        <v>0</v>
      </c>
      <c r="H59" s="25"/>
      <c r="I59" s="25">
        <v>1927.37</v>
      </c>
      <c r="J59" s="53">
        <v>1912</v>
      </c>
      <c r="K59" s="25">
        <f t="shared" si="16"/>
        <v>135.75199999999998</v>
      </c>
      <c r="L59" s="25">
        <v>0</v>
      </c>
      <c r="M59" s="25">
        <v>359.07</v>
      </c>
      <c r="N59" s="25">
        <v>450</v>
      </c>
      <c r="O59" s="25">
        <v>26.25</v>
      </c>
      <c r="P59" s="25"/>
      <c r="Q59" s="25">
        <f t="shared" si="17"/>
        <v>39.06</v>
      </c>
      <c r="R59" s="25"/>
      <c r="S59" s="25">
        <v>7</v>
      </c>
      <c r="T59" s="25">
        <f>E59-J59*0.75-K59-F59-M59-N59-O59-Q59-I59-R59</f>
        <v>-1132.0019999999997</v>
      </c>
      <c r="U59" s="25"/>
      <c r="V59" s="25">
        <f>J59*0.75</f>
        <v>1434</v>
      </c>
      <c r="W59" s="25">
        <v>36.369999999999997</v>
      </c>
    </row>
    <row r="60" spans="1:23">
      <c r="A60" s="18" t="s">
        <v>255</v>
      </c>
      <c r="B60" s="19">
        <v>359885</v>
      </c>
      <c r="C60" s="20" t="s">
        <v>186</v>
      </c>
      <c r="D60" s="19">
        <v>5</v>
      </c>
      <c r="E60" s="21">
        <v>4500</v>
      </c>
      <c r="F60" s="21">
        <v>748</v>
      </c>
      <c r="G60" s="21">
        <v>1200</v>
      </c>
      <c r="H60" s="21"/>
      <c r="I60" s="21">
        <v>860.02</v>
      </c>
      <c r="J60" s="55">
        <v>2348</v>
      </c>
      <c r="K60" s="21">
        <f t="shared" si="16"/>
        <v>166.708</v>
      </c>
      <c r="L60" s="21">
        <v>0</v>
      </c>
      <c r="M60" s="21">
        <v>359.07</v>
      </c>
      <c r="N60" s="21">
        <v>450</v>
      </c>
      <c r="O60" s="21">
        <v>40</v>
      </c>
      <c r="P60" s="21"/>
      <c r="Q60" s="21">
        <f t="shared" si="17"/>
        <v>45</v>
      </c>
      <c r="R60" s="21"/>
      <c r="S60" s="21">
        <v>0</v>
      </c>
      <c r="T60" s="21">
        <f>E60*0.22-M60-N60-Q60-K60-F60+G60</f>
        <v>421.22200000000009</v>
      </c>
      <c r="U60" s="21"/>
      <c r="V60" s="21">
        <f>E60*0.78-G60-L60-O60-R60-I60</f>
        <v>1409.98</v>
      </c>
      <c r="W60" s="21">
        <v>54.17</v>
      </c>
    </row>
    <row r="61" spans="1:23">
      <c r="A61" s="39" t="s">
        <v>89</v>
      </c>
      <c r="B61" s="40">
        <v>17</v>
      </c>
      <c r="C61" s="41" t="s">
        <v>243</v>
      </c>
      <c r="D61" s="40">
        <f>AVERAGE(D44:D60)</f>
        <v>5.4117647058823533</v>
      </c>
      <c r="E61" s="42">
        <f>SUM(E44:E60)</f>
        <v>96259</v>
      </c>
      <c r="F61" s="42">
        <f>SUM(F43:F59)</f>
        <v>11397.5</v>
      </c>
      <c r="G61" s="42">
        <f>SUM(G44:G60)</f>
        <v>2050</v>
      </c>
      <c r="H61" s="42"/>
      <c r="I61" s="42">
        <f t="shared" ref="I61:J61" si="20">SUM(I43:I60)</f>
        <v>35117.83</v>
      </c>
      <c r="J61" s="40">
        <f t="shared" si="20"/>
        <v>38250</v>
      </c>
      <c r="K61" s="42">
        <f t="shared" ref="K61:L61" si="21">SUM(K43:K59)</f>
        <v>2549.041999999999</v>
      </c>
      <c r="L61" s="42">
        <f t="shared" si="21"/>
        <v>573.24</v>
      </c>
      <c r="M61" s="42">
        <f>SUM(M44:M59)</f>
        <v>5745.12</v>
      </c>
      <c r="N61" s="42">
        <f t="shared" ref="N61:O61" si="22">SUM(N43:N59)</f>
        <v>7200</v>
      </c>
      <c r="O61" s="42">
        <f t="shared" si="22"/>
        <v>435</v>
      </c>
      <c r="P61" s="42"/>
      <c r="Q61" s="42">
        <f t="shared" si="17"/>
        <v>962.59</v>
      </c>
      <c r="R61" s="42">
        <f>SUM(R44:R59)</f>
        <v>0</v>
      </c>
      <c r="S61" s="42">
        <f>SUM(S43:S59)</f>
        <v>105</v>
      </c>
      <c r="T61" s="42">
        <f>SUM(T44:T60)</f>
        <v>1556.9599999999991</v>
      </c>
      <c r="U61" s="40"/>
      <c r="V61" s="42">
        <f>SUM(V44:V60)</f>
        <v>28957.94</v>
      </c>
      <c r="W61" s="42">
        <f>SUM(W44:W60)</f>
        <v>1946.2700000000002</v>
      </c>
    </row>
    <row r="63" spans="1:23">
      <c r="A63" s="457" t="s">
        <v>259</v>
      </c>
      <c r="B63" s="458"/>
      <c r="C63" s="458"/>
      <c r="D63" s="458"/>
      <c r="E63" s="458"/>
      <c r="F63" s="458"/>
      <c r="G63" s="458"/>
      <c r="H63" s="458"/>
      <c r="I63" s="458"/>
      <c r="J63" s="458"/>
      <c r="K63" s="458"/>
      <c r="L63" s="458"/>
      <c r="M63" s="458"/>
      <c r="N63" s="458"/>
      <c r="O63" s="458"/>
      <c r="P63" s="458"/>
      <c r="Q63" s="458"/>
      <c r="R63" s="458"/>
      <c r="S63" s="458"/>
      <c r="T63" s="458"/>
      <c r="U63" s="458"/>
      <c r="V63" s="458"/>
      <c r="W63" s="459"/>
    </row>
    <row r="64" spans="1:23">
      <c r="A64" s="1" t="s">
        <v>0</v>
      </c>
      <c r="B64" s="2" t="s">
        <v>1</v>
      </c>
      <c r="C64" s="2" t="s">
        <v>183</v>
      </c>
      <c r="D64" s="2" t="s">
        <v>3</v>
      </c>
      <c r="E64" s="2" t="s">
        <v>2</v>
      </c>
      <c r="F64" s="2" t="s">
        <v>4</v>
      </c>
      <c r="G64" s="2" t="s">
        <v>6</v>
      </c>
      <c r="H64" s="2"/>
      <c r="I64" s="2" t="s">
        <v>7</v>
      </c>
      <c r="J64" s="2" t="s">
        <v>9</v>
      </c>
      <c r="K64" s="2" t="s">
        <v>106</v>
      </c>
      <c r="L64" s="2" t="s">
        <v>107</v>
      </c>
      <c r="M64" s="2" t="s">
        <v>5</v>
      </c>
      <c r="N64" s="2" t="s">
        <v>12</v>
      </c>
      <c r="O64" s="2" t="s">
        <v>184</v>
      </c>
      <c r="P64" s="2"/>
      <c r="Q64" s="2" t="s">
        <v>108</v>
      </c>
      <c r="R64" s="2" t="s">
        <v>8</v>
      </c>
      <c r="S64" s="12" t="s">
        <v>185</v>
      </c>
      <c r="T64" s="2" t="s">
        <v>13</v>
      </c>
      <c r="U64" s="2"/>
      <c r="V64" s="14" t="s">
        <v>98</v>
      </c>
      <c r="W64" s="14" t="s">
        <v>257</v>
      </c>
    </row>
    <row r="65" spans="1:23">
      <c r="A65" s="22" t="s">
        <v>258</v>
      </c>
      <c r="B65" s="23">
        <v>465188</v>
      </c>
      <c r="C65" s="24" t="s">
        <v>251</v>
      </c>
      <c r="D65" s="23">
        <v>7</v>
      </c>
      <c r="E65" s="25">
        <v>7800</v>
      </c>
      <c r="F65" s="25">
        <v>748</v>
      </c>
      <c r="G65" s="25">
        <v>0</v>
      </c>
      <c r="H65" s="25"/>
      <c r="I65" s="25">
        <v>2466.29</v>
      </c>
      <c r="J65" s="53">
        <v>2583</v>
      </c>
      <c r="K65" s="25">
        <f t="shared" ref="K65:K83" si="23">J65*0.071</f>
        <v>183.39299999999997</v>
      </c>
      <c r="L65" s="25">
        <v>0</v>
      </c>
      <c r="M65" s="25">
        <v>359.07</v>
      </c>
      <c r="N65" s="25">
        <v>450</v>
      </c>
      <c r="O65" s="25">
        <v>26.25</v>
      </c>
      <c r="P65" s="25"/>
      <c r="Q65" s="25">
        <f t="shared" ref="Q65:Q83" si="24">E65*0.01</f>
        <v>78</v>
      </c>
      <c r="R65" s="25"/>
      <c r="S65" s="25">
        <v>7</v>
      </c>
      <c r="T65" s="25">
        <f>E65-J65*0.75-K65-F65-M65-N65-O65-Q65-I65-R65</f>
        <v>1551.7470000000003</v>
      </c>
      <c r="U65" s="25"/>
      <c r="V65" s="25">
        <f>J65*0.8</f>
        <v>2066.4</v>
      </c>
      <c r="W65" s="25"/>
    </row>
    <row r="66" spans="1:23">
      <c r="A66" s="18" t="s">
        <v>215</v>
      </c>
      <c r="B66" s="19">
        <v>465184</v>
      </c>
      <c r="C66" s="20" t="s">
        <v>186</v>
      </c>
      <c r="D66" s="19">
        <v>6</v>
      </c>
      <c r="E66" s="21">
        <v>5050</v>
      </c>
      <c r="F66" s="21">
        <v>748</v>
      </c>
      <c r="G66" s="21">
        <v>850</v>
      </c>
      <c r="H66" s="21"/>
      <c r="I66" s="21">
        <v>2245.2800000000002</v>
      </c>
      <c r="J66" s="55">
        <v>1750</v>
      </c>
      <c r="K66" s="21">
        <f t="shared" si="23"/>
        <v>124.24999999999999</v>
      </c>
      <c r="L66" s="21">
        <f>J66*0.17</f>
        <v>297.5</v>
      </c>
      <c r="M66" s="21">
        <v>359.07</v>
      </c>
      <c r="N66" s="21">
        <v>450</v>
      </c>
      <c r="O66" s="21">
        <v>40</v>
      </c>
      <c r="P66" s="21"/>
      <c r="Q66" s="21">
        <f t="shared" si="24"/>
        <v>50.5</v>
      </c>
      <c r="R66" s="21"/>
      <c r="S66" s="21">
        <v>0</v>
      </c>
      <c r="T66" s="21">
        <f>E66*0.22-M66-N66-Q66-K66-F66+G66</f>
        <v>229.18000000000006</v>
      </c>
      <c r="U66" s="21"/>
      <c r="V66" s="21">
        <f>E66*0.78-G66-L66-O66-R66-I66</f>
        <v>506.2199999999998</v>
      </c>
      <c r="W66" s="21"/>
    </row>
    <row r="67" spans="1:23">
      <c r="A67" s="22" t="s">
        <v>200</v>
      </c>
      <c r="B67" s="23">
        <v>352377</v>
      </c>
      <c r="C67" s="24" t="s">
        <v>197</v>
      </c>
      <c r="D67" s="23">
        <v>3</v>
      </c>
      <c r="E67" s="25">
        <v>3300</v>
      </c>
      <c r="F67" s="25">
        <v>666.5</v>
      </c>
      <c r="G67" s="25">
        <v>0</v>
      </c>
      <c r="H67" s="25"/>
      <c r="I67" s="25">
        <v>1309.17</v>
      </c>
      <c r="J67" s="53">
        <v>1475</v>
      </c>
      <c r="K67" s="25">
        <f t="shared" si="23"/>
        <v>104.72499999999999</v>
      </c>
      <c r="L67" s="25">
        <v>0</v>
      </c>
      <c r="M67" s="25">
        <v>359.07</v>
      </c>
      <c r="N67" s="25">
        <v>450</v>
      </c>
      <c r="O67" s="25">
        <v>32.5</v>
      </c>
      <c r="P67" s="25"/>
      <c r="Q67" s="25">
        <f t="shared" si="24"/>
        <v>33</v>
      </c>
      <c r="R67" s="25"/>
      <c r="S67" s="25">
        <v>7</v>
      </c>
      <c r="T67" s="25">
        <f t="shared" ref="T67:T78" si="25">E67-J67*0.75-K67-F67-M67-N67-O67-Q67-I67-R67</f>
        <v>-761.21499999999992</v>
      </c>
      <c r="U67" s="25"/>
      <c r="V67" s="25">
        <f t="shared" ref="V67:V78" si="26">J67*0.75</f>
        <v>1106.25</v>
      </c>
      <c r="W67" s="25"/>
    </row>
    <row r="68" spans="1:23">
      <c r="A68" s="22" t="s">
        <v>253</v>
      </c>
      <c r="B68" s="23">
        <v>352372</v>
      </c>
      <c r="C68" s="24" t="s">
        <v>197</v>
      </c>
      <c r="D68" s="23">
        <v>7</v>
      </c>
      <c r="E68" s="25">
        <v>8050</v>
      </c>
      <c r="F68" s="25">
        <v>666.5</v>
      </c>
      <c r="G68" s="25">
        <v>0</v>
      </c>
      <c r="H68" s="25"/>
      <c r="I68" s="25">
        <v>2845.92</v>
      </c>
      <c r="J68" s="53">
        <v>3298</v>
      </c>
      <c r="K68" s="25">
        <f t="shared" si="23"/>
        <v>234.15799999999999</v>
      </c>
      <c r="L68" s="25">
        <v>0</v>
      </c>
      <c r="M68" s="25">
        <v>359.07</v>
      </c>
      <c r="N68" s="25">
        <v>450</v>
      </c>
      <c r="O68" s="25">
        <v>32.5</v>
      </c>
      <c r="P68" s="25"/>
      <c r="Q68" s="25">
        <f t="shared" si="24"/>
        <v>80.5</v>
      </c>
      <c r="R68" s="25"/>
      <c r="S68" s="25">
        <v>7</v>
      </c>
      <c r="T68" s="25">
        <f t="shared" si="25"/>
        <v>907.85199999999986</v>
      </c>
      <c r="U68" s="25"/>
      <c r="V68" s="25">
        <f t="shared" si="26"/>
        <v>2473.5</v>
      </c>
      <c r="W68" s="25"/>
    </row>
    <row r="69" spans="1:23">
      <c r="A69" s="22" t="s">
        <v>254</v>
      </c>
      <c r="B69" s="23">
        <v>465180</v>
      </c>
      <c r="C69" s="24" t="s">
        <v>197</v>
      </c>
      <c r="D69" s="23">
        <v>7</v>
      </c>
      <c r="E69" s="25">
        <v>7000</v>
      </c>
      <c r="F69" s="25">
        <v>748</v>
      </c>
      <c r="G69" s="25">
        <v>0</v>
      </c>
      <c r="H69" s="25"/>
      <c r="I69" s="25">
        <v>2703.93</v>
      </c>
      <c r="J69" s="53">
        <v>2958</v>
      </c>
      <c r="K69" s="25">
        <f t="shared" si="23"/>
        <v>210.01799999999997</v>
      </c>
      <c r="L69" s="25">
        <v>0</v>
      </c>
      <c r="M69" s="25">
        <v>359.07</v>
      </c>
      <c r="N69" s="25">
        <v>450</v>
      </c>
      <c r="O69" s="25">
        <v>32.5</v>
      </c>
      <c r="P69" s="25"/>
      <c r="Q69" s="25">
        <f t="shared" si="24"/>
        <v>70</v>
      </c>
      <c r="R69" s="25"/>
      <c r="S69" s="25">
        <v>7</v>
      </c>
      <c r="T69" s="25">
        <f t="shared" si="25"/>
        <v>207.98199999999997</v>
      </c>
      <c r="U69" s="25"/>
      <c r="V69" s="25">
        <f t="shared" si="26"/>
        <v>2218.5</v>
      </c>
      <c r="W69" s="25"/>
    </row>
    <row r="70" spans="1:23">
      <c r="A70" s="22" t="s">
        <v>247</v>
      </c>
      <c r="B70" s="23">
        <v>352376</v>
      </c>
      <c r="C70" s="24" t="s">
        <v>197</v>
      </c>
      <c r="D70" s="23">
        <v>6</v>
      </c>
      <c r="E70" s="25">
        <v>8299</v>
      </c>
      <c r="F70" s="25">
        <v>748</v>
      </c>
      <c r="G70" s="25">
        <v>0</v>
      </c>
      <c r="H70" s="25"/>
      <c r="I70" s="25">
        <v>2951.94</v>
      </c>
      <c r="J70" s="53">
        <v>3254</v>
      </c>
      <c r="K70" s="25">
        <f t="shared" si="23"/>
        <v>231.03399999999999</v>
      </c>
      <c r="L70" s="25">
        <v>0</v>
      </c>
      <c r="M70" s="25">
        <v>359.07</v>
      </c>
      <c r="N70" s="25">
        <v>450</v>
      </c>
      <c r="O70" s="25">
        <v>26.25</v>
      </c>
      <c r="P70" s="25"/>
      <c r="Q70" s="25">
        <f t="shared" si="24"/>
        <v>82.99</v>
      </c>
      <c r="R70" s="25"/>
      <c r="S70" s="25">
        <v>7</v>
      </c>
      <c r="T70" s="25">
        <f t="shared" si="25"/>
        <v>1009.2160000000008</v>
      </c>
      <c r="U70" s="25"/>
      <c r="V70" s="25">
        <f t="shared" si="26"/>
        <v>2440.5</v>
      </c>
      <c r="W70" s="25"/>
    </row>
    <row r="71" spans="1:23">
      <c r="A71" s="22" t="s">
        <v>218</v>
      </c>
      <c r="B71" s="23">
        <v>465182</v>
      </c>
      <c r="C71" s="24" t="s">
        <v>197</v>
      </c>
      <c r="D71" s="23">
        <v>5</v>
      </c>
      <c r="E71" s="25">
        <v>7050</v>
      </c>
      <c r="F71" s="25">
        <v>666.5</v>
      </c>
      <c r="G71" s="25">
        <v>0</v>
      </c>
      <c r="H71" s="25"/>
      <c r="I71" s="25">
        <v>1535.08</v>
      </c>
      <c r="J71" s="53">
        <v>2746</v>
      </c>
      <c r="K71" s="25">
        <f t="shared" si="23"/>
        <v>194.96599999999998</v>
      </c>
      <c r="L71" s="25">
        <v>0</v>
      </c>
      <c r="M71" s="25">
        <v>359.07</v>
      </c>
      <c r="N71" s="25">
        <v>450</v>
      </c>
      <c r="O71" s="25">
        <v>40</v>
      </c>
      <c r="P71" s="25"/>
      <c r="Q71" s="25">
        <f t="shared" si="24"/>
        <v>70.5</v>
      </c>
      <c r="R71" s="25"/>
      <c r="S71" s="25">
        <v>7</v>
      </c>
      <c r="T71" s="25">
        <f t="shared" si="25"/>
        <v>1674.3839999999996</v>
      </c>
      <c r="U71" s="25"/>
      <c r="V71" s="25">
        <f t="shared" si="26"/>
        <v>2059.5</v>
      </c>
      <c r="W71" s="25"/>
    </row>
    <row r="72" spans="1:23">
      <c r="A72" s="22" t="s">
        <v>220</v>
      </c>
      <c r="B72" s="23">
        <v>465185</v>
      </c>
      <c r="C72" s="24" t="s">
        <v>197</v>
      </c>
      <c r="D72" s="23">
        <v>7</v>
      </c>
      <c r="E72" s="25">
        <v>9261</v>
      </c>
      <c r="F72" s="25">
        <v>748</v>
      </c>
      <c r="G72" s="25">
        <v>0</v>
      </c>
      <c r="H72" s="25"/>
      <c r="I72" s="25">
        <v>3387.65</v>
      </c>
      <c r="J72" s="53">
        <v>3209</v>
      </c>
      <c r="K72" s="25">
        <f t="shared" si="23"/>
        <v>227.83899999999997</v>
      </c>
      <c r="L72" s="25">
        <v>0</v>
      </c>
      <c r="M72" s="25">
        <v>359.07</v>
      </c>
      <c r="N72" s="25">
        <v>450</v>
      </c>
      <c r="O72" s="25">
        <v>40</v>
      </c>
      <c r="P72" s="25"/>
      <c r="Q72" s="25">
        <f t="shared" si="24"/>
        <v>92.61</v>
      </c>
      <c r="R72" s="25"/>
      <c r="S72" s="25">
        <v>7</v>
      </c>
      <c r="T72" s="25">
        <f t="shared" si="25"/>
        <v>1549.0810000000006</v>
      </c>
      <c r="U72" s="25"/>
      <c r="V72" s="25">
        <f t="shared" si="26"/>
        <v>2406.75</v>
      </c>
      <c r="W72" s="25"/>
    </row>
    <row r="73" spans="1:23">
      <c r="A73" s="22" t="s">
        <v>235</v>
      </c>
      <c r="B73" s="23">
        <v>352371</v>
      </c>
      <c r="C73" s="24" t="s">
        <v>197</v>
      </c>
      <c r="D73" s="23">
        <v>4</v>
      </c>
      <c r="E73" s="25">
        <v>7150</v>
      </c>
      <c r="F73" s="25">
        <v>666.5</v>
      </c>
      <c r="G73" s="25">
        <v>0</v>
      </c>
      <c r="H73" s="25"/>
      <c r="I73" s="25">
        <v>2096.9899999999998</v>
      </c>
      <c r="J73" s="53">
        <v>2504</v>
      </c>
      <c r="K73" s="25">
        <f t="shared" si="23"/>
        <v>177.78399999999999</v>
      </c>
      <c r="L73" s="25">
        <v>0</v>
      </c>
      <c r="M73" s="25">
        <v>359.07</v>
      </c>
      <c r="N73" s="25">
        <v>450</v>
      </c>
      <c r="O73" s="25">
        <v>32.5</v>
      </c>
      <c r="P73" s="25"/>
      <c r="Q73" s="25">
        <f t="shared" si="24"/>
        <v>71.5</v>
      </c>
      <c r="R73" s="25"/>
      <c r="S73" s="25">
        <v>7</v>
      </c>
      <c r="T73" s="25">
        <f t="shared" si="25"/>
        <v>1417.6560000000004</v>
      </c>
      <c r="U73" s="25"/>
      <c r="V73" s="25">
        <f t="shared" si="26"/>
        <v>1878</v>
      </c>
      <c r="W73" s="25"/>
    </row>
    <row r="74" spans="1:23">
      <c r="A74" s="22" t="s">
        <v>223</v>
      </c>
      <c r="B74" s="23">
        <v>465183</v>
      </c>
      <c r="C74" s="24" t="s">
        <v>197</v>
      </c>
      <c r="D74" s="23">
        <v>7</v>
      </c>
      <c r="E74" s="25">
        <v>9000</v>
      </c>
      <c r="F74" s="25">
        <v>748</v>
      </c>
      <c r="G74" s="25">
        <v>0</v>
      </c>
      <c r="H74" s="25"/>
      <c r="I74" s="25">
        <v>2906.38</v>
      </c>
      <c r="J74" s="53">
        <v>3332</v>
      </c>
      <c r="K74" s="25">
        <f t="shared" si="23"/>
        <v>236.57199999999997</v>
      </c>
      <c r="L74" s="25">
        <v>0</v>
      </c>
      <c r="M74" s="25">
        <v>359.07</v>
      </c>
      <c r="N74" s="25">
        <v>450</v>
      </c>
      <c r="O74" s="25">
        <v>26.25</v>
      </c>
      <c r="P74" s="25"/>
      <c r="Q74" s="25">
        <f t="shared" si="24"/>
        <v>90</v>
      </c>
      <c r="R74" s="25"/>
      <c r="S74" s="25">
        <v>7</v>
      </c>
      <c r="T74" s="25">
        <f t="shared" si="25"/>
        <v>1684.7280000000001</v>
      </c>
      <c r="U74" s="25"/>
      <c r="V74" s="25">
        <f t="shared" si="26"/>
        <v>2499</v>
      </c>
      <c r="W74" s="25"/>
    </row>
    <row r="75" spans="1:23">
      <c r="A75" s="22" t="s">
        <v>224</v>
      </c>
      <c r="B75" s="23">
        <v>465187</v>
      </c>
      <c r="C75" s="24" t="s">
        <v>197</v>
      </c>
      <c r="D75" s="23">
        <v>4</v>
      </c>
      <c r="E75" s="25">
        <v>6000</v>
      </c>
      <c r="F75" s="25">
        <v>748</v>
      </c>
      <c r="G75" s="25">
        <v>0</v>
      </c>
      <c r="H75" s="25"/>
      <c r="I75" s="25">
        <v>1405.79</v>
      </c>
      <c r="J75" s="53">
        <v>2340</v>
      </c>
      <c r="K75" s="25">
        <f t="shared" si="23"/>
        <v>166.14</v>
      </c>
      <c r="L75" s="25">
        <v>0</v>
      </c>
      <c r="M75" s="25">
        <v>359.07</v>
      </c>
      <c r="N75" s="25">
        <v>450</v>
      </c>
      <c r="O75" s="25">
        <v>40</v>
      </c>
      <c r="P75" s="25"/>
      <c r="Q75" s="25">
        <f t="shared" si="24"/>
        <v>60</v>
      </c>
      <c r="R75" s="25"/>
      <c r="S75" s="25">
        <v>7</v>
      </c>
      <c r="T75" s="25">
        <f t="shared" si="25"/>
        <v>1016</v>
      </c>
      <c r="U75" s="25"/>
      <c r="V75" s="25">
        <f t="shared" si="26"/>
        <v>1755</v>
      </c>
      <c r="W75" s="25"/>
    </row>
    <row r="76" spans="1:23">
      <c r="A76" s="22" t="s">
        <v>207</v>
      </c>
      <c r="B76" s="23">
        <v>465186</v>
      </c>
      <c r="C76" s="24" t="s">
        <v>197</v>
      </c>
      <c r="D76" s="23">
        <v>6</v>
      </c>
      <c r="E76" s="25">
        <v>6950</v>
      </c>
      <c r="F76" s="25">
        <v>748</v>
      </c>
      <c r="G76" s="25">
        <v>0</v>
      </c>
      <c r="H76" s="25"/>
      <c r="I76" s="25">
        <v>2692.84</v>
      </c>
      <c r="J76" s="53">
        <v>2723</v>
      </c>
      <c r="K76" s="25">
        <f t="shared" si="23"/>
        <v>193.33299999999997</v>
      </c>
      <c r="L76" s="25">
        <v>0</v>
      </c>
      <c r="M76" s="25">
        <v>359.07</v>
      </c>
      <c r="N76" s="25">
        <v>450</v>
      </c>
      <c r="O76" s="25">
        <v>26.25</v>
      </c>
      <c r="P76" s="25"/>
      <c r="Q76" s="25">
        <f t="shared" si="24"/>
        <v>69.5</v>
      </c>
      <c r="R76" s="25"/>
      <c r="S76" s="25">
        <v>7</v>
      </c>
      <c r="T76" s="25">
        <f t="shared" si="25"/>
        <v>368.75700000000006</v>
      </c>
      <c r="U76" s="25"/>
      <c r="V76" s="25">
        <f t="shared" si="26"/>
        <v>2042.25</v>
      </c>
      <c r="W76" s="25"/>
    </row>
    <row r="77" spans="1:23">
      <c r="A77" s="34" t="s">
        <v>232</v>
      </c>
      <c r="B77" s="23">
        <v>465181</v>
      </c>
      <c r="C77" s="47" t="s">
        <v>197</v>
      </c>
      <c r="D77" s="47">
        <v>3</v>
      </c>
      <c r="E77" s="35">
        <v>3050</v>
      </c>
      <c r="F77" s="25">
        <v>748</v>
      </c>
      <c r="G77" s="25">
        <v>0</v>
      </c>
      <c r="H77" s="36"/>
      <c r="I77" s="37">
        <v>1373.08</v>
      </c>
      <c r="J77" s="54">
        <v>1055</v>
      </c>
      <c r="K77" s="25">
        <f t="shared" si="23"/>
        <v>74.904999999999987</v>
      </c>
      <c r="L77" s="25">
        <v>0</v>
      </c>
      <c r="M77" s="25">
        <v>359.07</v>
      </c>
      <c r="N77" s="25">
        <v>450</v>
      </c>
      <c r="O77" s="25">
        <v>26.25</v>
      </c>
      <c r="P77" s="25"/>
      <c r="Q77" s="25">
        <f t="shared" si="24"/>
        <v>30.5</v>
      </c>
      <c r="R77" s="35"/>
      <c r="S77" s="25">
        <v>7</v>
      </c>
      <c r="T77" s="25">
        <f t="shared" si="25"/>
        <v>-803.05500000000006</v>
      </c>
      <c r="U77" s="25"/>
      <c r="V77" s="25">
        <f t="shared" si="26"/>
        <v>791.25</v>
      </c>
      <c r="W77" s="35"/>
    </row>
    <row r="78" spans="1:23">
      <c r="A78" s="22" t="s">
        <v>241</v>
      </c>
      <c r="B78" s="23">
        <v>352374</v>
      </c>
      <c r="C78" s="24" t="s">
        <v>197</v>
      </c>
      <c r="D78" s="23">
        <v>4</v>
      </c>
      <c r="E78" s="25">
        <v>5300</v>
      </c>
      <c r="F78" s="25">
        <v>666.5</v>
      </c>
      <c r="G78" s="25">
        <v>0</v>
      </c>
      <c r="H78" s="25"/>
      <c r="I78" s="25">
        <v>1584.02</v>
      </c>
      <c r="J78" s="53">
        <v>1942</v>
      </c>
      <c r="K78" s="25">
        <f t="shared" si="23"/>
        <v>137.88199999999998</v>
      </c>
      <c r="L78" s="25">
        <v>0</v>
      </c>
      <c r="M78" s="25">
        <v>359.07</v>
      </c>
      <c r="N78" s="25">
        <v>450</v>
      </c>
      <c r="O78" s="25">
        <v>26.25</v>
      </c>
      <c r="P78" s="25"/>
      <c r="Q78" s="25">
        <f t="shared" si="24"/>
        <v>53</v>
      </c>
      <c r="R78" s="25"/>
      <c r="S78" s="25">
        <v>7</v>
      </c>
      <c r="T78" s="25">
        <f t="shared" si="25"/>
        <v>566.77799999999979</v>
      </c>
      <c r="U78" s="25"/>
      <c r="V78" s="25">
        <f t="shared" si="26"/>
        <v>1456.5</v>
      </c>
      <c r="W78" s="25"/>
    </row>
    <row r="79" spans="1:23">
      <c r="A79" s="22" t="s">
        <v>242</v>
      </c>
      <c r="B79" s="23">
        <v>359886</v>
      </c>
      <c r="C79" s="24" t="s">
        <v>251</v>
      </c>
      <c r="D79" s="23">
        <v>6</v>
      </c>
      <c r="E79" s="58">
        <v>4150</v>
      </c>
      <c r="F79" s="25">
        <v>666.5</v>
      </c>
      <c r="G79" s="25">
        <v>0</v>
      </c>
      <c r="H79" s="25"/>
      <c r="I79" s="25">
        <v>1392.71</v>
      </c>
      <c r="J79" s="53">
        <v>2053</v>
      </c>
      <c r="K79" s="25">
        <f t="shared" si="23"/>
        <v>145.76299999999998</v>
      </c>
      <c r="L79" s="25">
        <v>0</v>
      </c>
      <c r="M79" s="25">
        <v>359.07</v>
      </c>
      <c r="N79" s="25">
        <v>450</v>
      </c>
      <c r="O79" s="25">
        <v>26.25</v>
      </c>
      <c r="P79" s="25"/>
      <c r="Q79" s="25">
        <f t="shared" si="24"/>
        <v>41.5</v>
      </c>
      <c r="R79" s="25"/>
      <c r="S79" s="25">
        <v>7</v>
      </c>
      <c r="T79" s="25">
        <f>E79-J79*0.8-K79-F79-M79-N79-O79-Q79-I79-R79</f>
        <v>-574.19299999999998</v>
      </c>
      <c r="U79" s="25"/>
      <c r="V79" s="25">
        <f>J79*0.8</f>
        <v>1642.4</v>
      </c>
      <c r="W79" s="25"/>
    </row>
    <row r="80" spans="1:23">
      <c r="A80" s="22" t="s">
        <v>245</v>
      </c>
      <c r="B80" s="23">
        <v>352375</v>
      </c>
      <c r="C80" s="24" t="s">
        <v>197</v>
      </c>
      <c r="D80" s="23">
        <v>7</v>
      </c>
      <c r="E80" s="25">
        <v>8012</v>
      </c>
      <c r="F80" s="25">
        <v>666.5</v>
      </c>
      <c r="G80" s="25">
        <v>0</v>
      </c>
      <c r="H80" s="25"/>
      <c r="I80" s="25">
        <v>2596.3000000000002</v>
      </c>
      <c r="J80" s="53">
        <v>3025</v>
      </c>
      <c r="K80" s="25">
        <f t="shared" si="23"/>
        <v>214.77499999999998</v>
      </c>
      <c r="L80" s="25">
        <v>0</v>
      </c>
      <c r="M80" s="25">
        <v>359.07</v>
      </c>
      <c r="N80" s="25">
        <v>450</v>
      </c>
      <c r="O80" s="25">
        <v>26.25</v>
      </c>
      <c r="P80" s="25"/>
      <c r="Q80" s="25">
        <f t="shared" si="24"/>
        <v>80.12</v>
      </c>
      <c r="R80" s="25"/>
      <c r="S80" s="25">
        <v>7</v>
      </c>
      <c r="T80" s="25">
        <f>E80-J80*0.75-K80-F80-M80-N80-O80-Q80-I80-R80</f>
        <v>1350.2350000000006</v>
      </c>
      <c r="U80" s="25"/>
      <c r="V80" s="25">
        <f>J80*0.75</f>
        <v>2268.75</v>
      </c>
      <c r="W80" s="25"/>
    </row>
    <row r="81" spans="1:23">
      <c r="A81" s="18" t="s">
        <v>255</v>
      </c>
      <c r="B81" s="19">
        <v>359885</v>
      </c>
      <c r="C81" s="20" t="s">
        <v>237</v>
      </c>
      <c r="D81" s="19">
        <v>7</v>
      </c>
      <c r="E81" s="21">
        <v>4431.18</v>
      </c>
      <c r="F81" s="21">
        <v>748</v>
      </c>
      <c r="G81" s="21">
        <v>1200</v>
      </c>
      <c r="H81" s="21"/>
      <c r="I81" s="21">
        <v>1605.32</v>
      </c>
      <c r="J81" s="55">
        <v>1674</v>
      </c>
      <c r="K81" s="21">
        <f t="shared" si="23"/>
        <v>118.85399999999998</v>
      </c>
      <c r="L81" s="21">
        <v>0</v>
      </c>
      <c r="M81" s="21">
        <v>359.07</v>
      </c>
      <c r="N81" s="21">
        <v>450</v>
      </c>
      <c r="O81" s="21">
        <v>40</v>
      </c>
      <c r="P81" s="21"/>
      <c r="Q81" s="21">
        <f t="shared" si="24"/>
        <v>44.311800000000005</v>
      </c>
      <c r="R81" s="21"/>
      <c r="S81" s="21">
        <v>0</v>
      </c>
      <c r="T81" s="21">
        <f>E81*0.25-M81-N81-Q81-K81-F81+G81</f>
        <v>587.55920000000015</v>
      </c>
      <c r="U81" s="21"/>
      <c r="V81" s="21">
        <f>E81*0.75-G81-O81-R81-I81</f>
        <v>478.06500000000028</v>
      </c>
      <c r="W81" s="21"/>
    </row>
    <row r="82" spans="1:23">
      <c r="A82" s="22" t="s">
        <v>260</v>
      </c>
      <c r="B82" s="23">
        <v>465189</v>
      </c>
      <c r="C82" s="24" t="s">
        <v>197</v>
      </c>
      <c r="D82" s="23">
        <v>7</v>
      </c>
      <c r="E82" s="25">
        <v>8200</v>
      </c>
      <c r="F82" s="25">
        <v>666.5</v>
      </c>
      <c r="G82" s="25">
        <v>0</v>
      </c>
      <c r="H82" s="25"/>
      <c r="I82" s="25">
        <v>2005.82</v>
      </c>
      <c r="J82" s="53">
        <v>3638</v>
      </c>
      <c r="K82" s="25">
        <f t="shared" si="23"/>
        <v>258.298</v>
      </c>
      <c r="L82" s="25">
        <v>0</v>
      </c>
      <c r="M82" s="25">
        <v>359.07</v>
      </c>
      <c r="N82" s="25">
        <v>450</v>
      </c>
      <c r="O82" s="25">
        <v>26.25</v>
      </c>
      <c r="P82" s="25"/>
      <c r="Q82" s="25">
        <f t="shared" si="24"/>
        <v>82</v>
      </c>
      <c r="R82" s="25"/>
      <c r="S82" s="25">
        <v>7</v>
      </c>
      <c r="T82" s="25">
        <f>E82-J82*0.75-K82-F82-M82-N82-O82-Q82-I82-R82</f>
        <v>1623.5620000000006</v>
      </c>
      <c r="U82" s="25"/>
      <c r="V82" s="25">
        <f>J82*0.75</f>
        <v>2728.5</v>
      </c>
      <c r="W82" s="42">
        <f>SUM(W65:W81)</f>
        <v>0</v>
      </c>
    </row>
    <row r="83" spans="1:23">
      <c r="A83" s="59" t="s">
        <v>261</v>
      </c>
      <c r="B83" s="60">
        <v>1650</v>
      </c>
      <c r="C83" s="61" t="s">
        <v>262</v>
      </c>
      <c r="D83" s="60">
        <v>1</v>
      </c>
      <c r="E83" s="62">
        <v>1600</v>
      </c>
      <c r="F83" s="62">
        <v>0</v>
      </c>
      <c r="G83" s="62">
        <v>0</v>
      </c>
      <c r="H83" s="62"/>
      <c r="I83" s="62">
        <v>1002.56</v>
      </c>
      <c r="J83" s="63">
        <v>434</v>
      </c>
      <c r="K83" s="62">
        <f t="shared" si="23"/>
        <v>30.813999999999997</v>
      </c>
      <c r="L83" s="62">
        <f>J83*0.17</f>
        <v>73.78</v>
      </c>
      <c r="M83" s="62">
        <v>0</v>
      </c>
      <c r="N83" s="62">
        <v>450</v>
      </c>
      <c r="O83" s="62">
        <v>0</v>
      </c>
      <c r="P83" s="62"/>
      <c r="Q83" s="62">
        <f t="shared" si="24"/>
        <v>16</v>
      </c>
      <c r="R83" s="62"/>
      <c r="S83" s="62">
        <v>0</v>
      </c>
      <c r="T83" s="62">
        <f>E83*0.18-N83</f>
        <v>-162</v>
      </c>
      <c r="U83" s="62"/>
      <c r="V83" s="62">
        <f>E83*0.82-I83</f>
        <v>309.44000000000005</v>
      </c>
      <c r="W83" s="25"/>
    </row>
    <row r="84" spans="1:23">
      <c r="A84" s="39" t="s">
        <v>89</v>
      </c>
      <c r="B84" s="40">
        <v>19</v>
      </c>
      <c r="C84" s="41" t="s">
        <v>248</v>
      </c>
      <c r="D84" s="40">
        <f>AVERAGE(D65:D81)</f>
        <v>5.6470588235294121</v>
      </c>
      <c r="E84" s="42">
        <f t="shared" ref="E84:G84" si="27">SUM(E65:E83)</f>
        <v>119653.18</v>
      </c>
      <c r="F84" s="42">
        <f t="shared" si="27"/>
        <v>12812</v>
      </c>
      <c r="G84" s="42">
        <f t="shared" si="27"/>
        <v>2050</v>
      </c>
      <c r="H84" s="42"/>
      <c r="I84" s="42">
        <f t="shared" ref="I84:O84" si="28">SUM(I65:I83)</f>
        <v>40107.070000000007</v>
      </c>
      <c r="J84" s="42">
        <f t="shared" si="28"/>
        <v>45993</v>
      </c>
      <c r="K84" s="42">
        <f t="shared" si="28"/>
        <v>3265.5030000000002</v>
      </c>
      <c r="L84" s="42">
        <f t="shared" si="28"/>
        <v>371.28</v>
      </c>
      <c r="M84" s="42">
        <f t="shared" si="28"/>
        <v>6463.2599999999993</v>
      </c>
      <c r="N84" s="42">
        <f t="shared" si="28"/>
        <v>8550</v>
      </c>
      <c r="O84" s="42">
        <f t="shared" si="28"/>
        <v>566.25</v>
      </c>
      <c r="P84" s="42"/>
      <c r="Q84" s="42">
        <f t="shared" ref="Q84:T84" si="29">SUM(Q65:Q83)</f>
        <v>1196.5318</v>
      </c>
      <c r="R84" s="42">
        <f t="shared" si="29"/>
        <v>0</v>
      </c>
      <c r="S84" s="42">
        <f t="shared" si="29"/>
        <v>112</v>
      </c>
      <c r="T84" s="42">
        <f t="shared" si="29"/>
        <v>13444.254200000001</v>
      </c>
      <c r="U84" s="42"/>
      <c r="V84" s="42">
        <f>SUM(V65:V83)</f>
        <v>33126.775000000001</v>
      </c>
      <c r="W84" s="25"/>
    </row>
    <row r="86" spans="1:23" ht="15.75" customHeight="1">
      <c r="A86" s="460" t="s">
        <v>263</v>
      </c>
      <c r="B86" s="458"/>
      <c r="C86" s="458"/>
      <c r="D86" s="458"/>
      <c r="E86" s="458"/>
      <c r="F86" s="458"/>
      <c r="G86" s="458"/>
      <c r="H86" s="458"/>
      <c r="I86" s="458"/>
      <c r="J86" s="458"/>
      <c r="K86" s="458"/>
      <c r="L86" s="458"/>
      <c r="M86" s="458"/>
      <c r="N86" s="458"/>
      <c r="O86" s="458"/>
      <c r="P86" s="458"/>
      <c r="Q86" s="458"/>
      <c r="R86" s="458"/>
      <c r="S86" s="458"/>
      <c r="T86" s="458"/>
      <c r="U86" s="458"/>
      <c r="V86" s="459"/>
    </row>
    <row r="87" spans="1:23">
      <c r="A87" s="1" t="s">
        <v>0</v>
      </c>
      <c r="B87" s="2" t="s">
        <v>1</v>
      </c>
      <c r="C87" s="2" t="s">
        <v>183</v>
      </c>
      <c r="D87" s="2" t="s">
        <v>3</v>
      </c>
      <c r="E87" s="2" t="s">
        <v>2</v>
      </c>
      <c r="F87" s="2" t="s">
        <v>4</v>
      </c>
      <c r="G87" s="2" t="s">
        <v>6</v>
      </c>
      <c r="H87" s="2"/>
      <c r="I87" s="2" t="s">
        <v>7</v>
      </c>
      <c r="J87" s="2" t="s">
        <v>9</v>
      </c>
      <c r="K87" s="2" t="s">
        <v>106</v>
      </c>
      <c r="L87" s="2" t="s">
        <v>107</v>
      </c>
      <c r="M87" s="2" t="s">
        <v>5</v>
      </c>
      <c r="N87" s="2" t="s">
        <v>12</v>
      </c>
      <c r="O87" s="2" t="s">
        <v>184</v>
      </c>
      <c r="P87" s="2"/>
      <c r="Q87" s="2" t="s">
        <v>108</v>
      </c>
      <c r="R87" s="2" t="s">
        <v>8</v>
      </c>
      <c r="S87" s="12" t="s">
        <v>185</v>
      </c>
      <c r="T87" s="2" t="s">
        <v>13</v>
      </c>
      <c r="U87" s="2"/>
      <c r="V87" s="14" t="s">
        <v>98</v>
      </c>
    </row>
    <row r="88" spans="1:23">
      <c r="A88" s="18" t="s">
        <v>211</v>
      </c>
      <c r="B88" s="19">
        <v>465188</v>
      </c>
      <c r="C88" s="20" t="s">
        <v>264</v>
      </c>
      <c r="D88" s="19">
        <f>'June 2022'!D80+D3+D22+D44+D65</f>
        <v>28</v>
      </c>
      <c r="E88" s="21">
        <f>'June 2022'!E80+E3+E22+E44+E65</f>
        <v>30527</v>
      </c>
      <c r="F88" s="21">
        <v>2992</v>
      </c>
      <c r="G88" s="21">
        <v>3400</v>
      </c>
      <c r="H88" s="21"/>
      <c r="I88" s="21">
        <f>'June 2022'!I80+I3+I22+I44+I65</f>
        <v>10537.36</v>
      </c>
      <c r="J88" s="55">
        <f>'June 2022'!J80+J22+J44+J65</f>
        <v>10115</v>
      </c>
      <c r="K88" s="21">
        <f t="shared" ref="K88:K103" si="30">J88*0.071</f>
        <v>718.16499999999996</v>
      </c>
      <c r="L88" s="21">
        <f t="shared" ref="L88:L89" si="31">J88*0.17</f>
        <v>1719.5500000000002</v>
      </c>
      <c r="M88" s="21">
        <v>1436</v>
      </c>
      <c r="N88" s="21">
        <f t="shared" ref="N88:N106" si="32">J88*0.1</f>
        <v>1011.5</v>
      </c>
      <c r="O88" s="21">
        <v>105</v>
      </c>
      <c r="P88" s="21"/>
      <c r="Q88" s="21">
        <f t="shared" ref="Q88:Q106" si="33">E88*0.01</f>
        <v>305.27</v>
      </c>
      <c r="R88" s="21">
        <f>'June 2022'!R80+R3+R22</f>
        <v>339.46</v>
      </c>
      <c r="S88" s="21">
        <v>0</v>
      </c>
      <c r="T88" s="21">
        <f>E88*0.22-K88-F88-N88-M88-Q88</f>
        <v>253.00499999999965</v>
      </c>
      <c r="U88" s="21"/>
      <c r="V88" s="21">
        <f>E88*0.78-G88-I88-L88-O88-R88</f>
        <v>7709.6900000000005</v>
      </c>
    </row>
    <row r="89" spans="1:23">
      <c r="A89" s="18" t="s">
        <v>215</v>
      </c>
      <c r="B89" s="19">
        <v>465184</v>
      </c>
      <c r="C89" s="20" t="s">
        <v>186</v>
      </c>
      <c r="D89" s="19">
        <f>'June 2022'!D82+D5+D23+D45+D66</f>
        <v>14</v>
      </c>
      <c r="E89" s="21">
        <f>'June 2022'!E82+E5+E23+E45+E66</f>
        <v>15400</v>
      </c>
      <c r="F89" s="21">
        <v>2992</v>
      </c>
      <c r="G89" s="21">
        <v>1750</v>
      </c>
      <c r="H89" s="21"/>
      <c r="I89" s="21">
        <f>'June 2022'!I82+I5+I23+I45+I66</f>
        <v>5121.68</v>
      </c>
      <c r="J89" s="55">
        <f>'June 2022'!J82+J5+J23+J45+J66</f>
        <v>5872</v>
      </c>
      <c r="K89" s="21">
        <f t="shared" si="30"/>
        <v>416.91199999999998</v>
      </c>
      <c r="L89" s="21">
        <f t="shared" si="31"/>
        <v>998.24000000000012</v>
      </c>
      <c r="M89" s="21">
        <v>1436</v>
      </c>
      <c r="N89" s="21">
        <f t="shared" si="32"/>
        <v>587.20000000000005</v>
      </c>
      <c r="O89" s="21">
        <v>160</v>
      </c>
      <c r="P89" s="21"/>
      <c r="Q89" s="21">
        <f t="shared" si="33"/>
        <v>154</v>
      </c>
      <c r="R89" s="21">
        <f>'June 2022'!R82</f>
        <v>169.01</v>
      </c>
      <c r="S89" s="21">
        <v>0</v>
      </c>
      <c r="T89" s="21">
        <f>E89*0.22-M89-N89-Q89-K89-F89+G89</f>
        <v>-448.11200000000008</v>
      </c>
      <c r="U89" s="21"/>
      <c r="V89" s="21">
        <f>E89*0.78-G89-L89-O89-R89-I89</f>
        <v>3813.0699999999997</v>
      </c>
    </row>
    <row r="90" spans="1:23">
      <c r="A90" s="22" t="s">
        <v>200</v>
      </c>
      <c r="B90" s="23">
        <v>352377</v>
      </c>
      <c r="C90" s="24" t="s">
        <v>197</v>
      </c>
      <c r="D90" s="23">
        <f>'June 2022'!D83+D6+D24+D46+D67</f>
        <v>18</v>
      </c>
      <c r="E90" s="25">
        <f>E6+E24+E46+E67</f>
        <v>20212</v>
      </c>
      <c r="F90" s="25">
        <v>2665</v>
      </c>
      <c r="G90" s="25">
        <v>0</v>
      </c>
      <c r="H90" s="25"/>
      <c r="I90" s="25">
        <f>'June 2022'!I83+I6+I24+I46+I67</f>
        <v>7324.4600000000009</v>
      </c>
      <c r="J90" s="53">
        <f>J6+J24+J46+J67</f>
        <v>8065</v>
      </c>
      <c r="K90" s="25">
        <f t="shared" si="30"/>
        <v>572.6149999999999</v>
      </c>
      <c r="L90" s="25">
        <v>0</v>
      </c>
      <c r="M90" s="25">
        <v>1436</v>
      </c>
      <c r="N90" s="25">
        <f t="shared" si="32"/>
        <v>806.5</v>
      </c>
      <c r="O90" s="25">
        <v>130</v>
      </c>
      <c r="P90" s="25"/>
      <c r="Q90" s="25">
        <f t="shared" si="33"/>
        <v>202.12</v>
      </c>
      <c r="R90" s="25">
        <f>'June 2022'!R83+R6+R24</f>
        <v>364.9</v>
      </c>
      <c r="S90" s="25">
        <v>28</v>
      </c>
      <c r="T90" s="25">
        <f t="shared" ref="T90:T91" si="34">E90-F90-I90-M90-N90-O90-Q90-R90-S90-V90-K90</f>
        <v>633.65499999999963</v>
      </c>
      <c r="U90" s="25"/>
      <c r="V90" s="25">
        <f t="shared" ref="V90:V99" si="35">J90*0.75</f>
        <v>6048.75</v>
      </c>
    </row>
    <row r="91" spans="1:23">
      <c r="A91" s="22" t="s">
        <v>247</v>
      </c>
      <c r="B91" s="23">
        <v>465180</v>
      </c>
      <c r="C91" s="24" t="s">
        <v>197</v>
      </c>
      <c r="D91" s="23">
        <f>'June 2022'!D84+D7+D27+D49+D70</f>
        <v>25</v>
      </c>
      <c r="E91" s="25">
        <f>'June 2022'!E84+E7+E27+E49+E70</f>
        <v>33661</v>
      </c>
      <c r="F91" s="25">
        <v>2992</v>
      </c>
      <c r="G91" s="25">
        <v>0</v>
      </c>
      <c r="H91" s="25"/>
      <c r="I91" s="25">
        <f>'June 2022'!I84+I7+I27+I49+I70</f>
        <v>11434.060000000001</v>
      </c>
      <c r="J91" s="53">
        <f>'June 2022'!J84+J7+J27+J49+J70</f>
        <v>13453</v>
      </c>
      <c r="K91" s="25">
        <f t="shared" si="30"/>
        <v>955.1629999999999</v>
      </c>
      <c r="L91" s="25">
        <f>J91*0.17</f>
        <v>2287.0100000000002</v>
      </c>
      <c r="M91" s="25">
        <v>1436</v>
      </c>
      <c r="N91" s="25">
        <f t="shared" si="32"/>
        <v>1345.3000000000002</v>
      </c>
      <c r="O91" s="25">
        <v>105</v>
      </c>
      <c r="P91" s="25"/>
      <c r="Q91" s="25">
        <f t="shared" si="33"/>
        <v>336.61</v>
      </c>
      <c r="R91" s="25">
        <f>'June 2022'!R84+R27</f>
        <v>120.99000000000001</v>
      </c>
      <c r="S91" s="25">
        <v>28</v>
      </c>
      <c r="T91" s="25">
        <f t="shared" si="34"/>
        <v>4818.1269999999995</v>
      </c>
      <c r="U91" s="25"/>
      <c r="V91" s="25">
        <f t="shared" si="35"/>
        <v>10089.75</v>
      </c>
    </row>
    <row r="92" spans="1:23">
      <c r="A92" s="22" t="s">
        <v>218</v>
      </c>
      <c r="B92" s="23">
        <v>465182</v>
      </c>
      <c r="C92" s="24" t="s">
        <v>197</v>
      </c>
      <c r="D92" s="23">
        <f>'June 2022'!D85+D8+D28+D50+D71</f>
        <v>27</v>
      </c>
      <c r="E92" s="25">
        <f>'June 2022'!E85+E8+E28+E50+E71</f>
        <v>36650</v>
      </c>
      <c r="F92" s="25">
        <v>2992</v>
      </c>
      <c r="G92" s="25">
        <v>0</v>
      </c>
      <c r="H92" s="25"/>
      <c r="I92" s="25">
        <f>'June 2022'!I85+I8+I28+I50+I71</f>
        <v>13216.15</v>
      </c>
      <c r="J92" s="53">
        <f>'June 2022'!J85+J8+J28+J50+J71</f>
        <v>13975</v>
      </c>
      <c r="K92" s="25">
        <f t="shared" si="30"/>
        <v>992.22499999999991</v>
      </c>
      <c r="L92" s="25">
        <v>0</v>
      </c>
      <c r="M92" s="25">
        <v>1436</v>
      </c>
      <c r="N92" s="25">
        <f t="shared" si="32"/>
        <v>1397.5</v>
      </c>
      <c r="O92" s="25">
        <v>160</v>
      </c>
      <c r="P92" s="25"/>
      <c r="Q92" s="25">
        <f t="shared" si="33"/>
        <v>366.5</v>
      </c>
      <c r="R92" s="25">
        <f>'June 2022'!R85+R8+R28</f>
        <v>794.5</v>
      </c>
      <c r="S92" s="25">
        <v>28</v>
      </c>
      <c r="T92" s="25">
        <f>E92-F92-I92-M92-N92-O92-Q92-R92-V92-K92</f>
        <v>4813.8749999999982</v>
      </c>
      <c r="U92" s="25"/>
      <c r="V92" s="25">
        <f t="shared" si="35"/>
        <v>10481.25</v>
      </c>
    </row>
    <row r="93" spans="1:23">
      <c r="A93" s="22" t="s">
        <v>220</v>
      </c>
      <c r="B93" s="23">
        <v>465185</v>
      </c>
      <c r="C93" s="24" t="s">
        <v>197</v>
      </c>
      <c r="D93" s="23">
        <f>'June 2022'!D86+D9+D29+D51+D72</f>
        <v>30</v>
      </c>
      <c r="E93" s="25">
        <f>'June 2022'!E86+E9+E29+E51+E72</f>
        <v>36521</v>
      </c>
      <c r="F93" s="25">
        <v>2992</v>
      </c>
      <c r="G93" s="25">
        <v>0</v>
      </c>
      <c r="H93" s="25"/>
      <c r="I93" s="25">
        <f>'June 2022'!I86+I9+I29+I51+I72</f>
        <v>14073.01</v>
      </c>
      <c r="J93" s="53">
        <f>'June 2022'!J87+J9+J29+J51+J72</f>
        <v>14118</v>
      </c>
      <c r="K93" s="25">
        <f t="shared" si="30"/>
        <v>1002.3779999999999</v>
      </c>
      <c r="L93" s="25">
        <v>0</v>
      </c>
      <c r="M93" s="25">
        <v>1436</v>
      </c>
      <c r="N93" s="25">
        <f t="shared" si="32"/>
        <v>1411.8000000000002</v>
      </c>
      <c r="O93" s="25">
        <v>160</v>
      </c>
      <c r="P93" s="25"/>
      <c r="Q93" s="25">
        <f t="shared" si="33"/>
        <v>365.21</v>
      </c>
      <c r="R93" s="25">
        <f>'June 2022'!R86+R9+R29</f>
        <v>1096.8899999999999</v>
      </c>
      <c r="S93" s="25">
        <v>28</v>
      </c>
      <c r="T93" s="25">
        <f t="shared" ref="T93:T95" si="36">E93-F93-I93-M93-N93-O93-Q93-R93-S93-V93-K93</f>
        <v>3367.2120000000004</v>
      </c>
      <c r="U93" s="25"/>
      <c r="V93" s="25">
        <f t="shared" si="35"/>
        <v>10588.5</v>
      </c>
    </row>
    <row r="94" spans="1:23">
      <c r="A94" s="22" t="s">
        <v>235</v>
      </c>
      <c r="B94" s="23">
        <v>352371</v>
      </c>
      <c r="C94" s="24" t="s">
        <v>197</v>
      </c>
      <c r="D94" s="23">
        <f>'June 2022'!D87+D10+D30+D73</f>
        <v>23</v>
      </c>
      <c r="E94" s="25">
        <f>'June 2022'!E87+E10+E30+E52+E73</f>
        <v>36522</v>
      </c>
      <c r="F94" s="25">
        <v>2665</v>
      </c>
      <c r="G94" s="25">
        <v>0</v>
      </c>
      <c r="H94" s="25"/>
      <c r="I94" s="25">
        <f>'June 2022'!I87+I10+I30+I52+I73</f>
        <v>14124.769999999999</v>
      </c>
      <c r="J94" s="53">
        <f>'June 2022'!J87+J10+J30+J52+J73</f>
        <v>13929</v>
      </c>
      <c r="K94" s="25">
        <f t="shared" si="30"/>
        <v>988.95899999999995</v>
      </c>
      <c r="L94" s="25">
        <v>0</v>
      </c>
      <c r="M94" s="25">
        <v>1436</v>
      </c>
      <c r="N94" s="25">
        <f t="shared" si="32"/>
        <v>1392.9</v>
      </c>
      <c r="O94" s="25">
        <v>130</v>
      </c>
      <c r="P94" s="25"/>
      <c r="Q94" s="25">
        <f t="shared" si="33"/>
        <v>365.22</v>
      </c>
      <c r="R94" s="25">
        <f>'June 2022'!R87+R10+R30</f>
        <v>336.4</v>
      </c>
      <c r="S94" s="25">
        <v>28</v>
      </c>
      <c r="T94" s="25">
        <f t="shared" si="36"/>
        <v>4608.0010000000011</v>
      </c>
      <c r="U94" s="25"/>
      <c r="V94" s="25">
        <f t="shared" si="35"/>
        <v>10446.75</v>
      </c>
    </row>
    <row r="95" spans="1:23">
      <c r="A95" s="22" t="s">
        <v>223</v>
      </c>
      <c r="B95" s="23">
        <v>465183</v>
      </c>
      <c r="C95" s="24" t="s">
        <v>197</v>
      </c>
      <c r="D95" s="23">
        <f>'June 2022'!D88+D11+D31+D53+D74</f>
        <v>27</v>
      </c>
      <c r="E95" s="25">
        <f>'June 2022'!E88+E11+E31+E53+E74</f>
        <v>35800</v>
      </c>
      <c r="F95" s="25">
        <v>2992</v>
      </c>
      <c r="G95" s="25">
        <v>0</v>
      </c>
      <c r="H95" s="25"/>
      <c r="I95" s="25">
        <f>'June 2022'!I88+I11+I31+I53+I74</f>
        <v>12155.46</v>
      </c>
      <c r="J95" s="53">
        <f>'June 2022'!J88+J11+J31+J53+J74</f>
        <v>13829</v>
      </c>
      <c r="K95" s="25">
        <f t="shared" si="30"/>
        <v>981.85899999999992</v>
      </c>
      <c r="L95" s="25">
        <v>0</v>
      </c>
      <c r="M95" s="25">
        <v>1436</v>
      </c>
      <c r="N95" s="25">
        <f t="shared" si="32"/>
        <v>1382.9</v>
      </c>
      <c r="O95" s="25">
        <v>105</v>
      </c>
      <c r="P95" s="25"/>
      <c r="Q95" s="25">
        <f t="shared" si="33"/>
        <v>358</v>
      </c>
      <c r="R95" s="25">
        <f>R11</f>
        <v>51.19</v>
      </c>
      <c r="S95" s="25">
        <v>28</v>
      </c>
      <c r="T95" s="25">
        <f t="shared" si="36"/>
        <v>5937.8410000000003</v>
      </c>
      <c r="U95" s="25"/>
      <c r="V95" s="25">
        <f t="shared" si="35"/>
        <v>10371.75</v>
      </c>
    </row>
    <row r="96" spans="1:23">
      <c r="A96" s="22" t="s">
        <v>224</v>
      </c>
      <c r="B96" s="23">
        <v>465187</v>
      </c>
      <c r="C96" s="24" t="s">
        <v>197</v>
      </c>
      <c r="D96" s="23">
        <f>'June 2022'!D89+D12+D31+D53+D74</f>
        <v>29</v>
      </c>
      <c r="E96" s="25">
        <f>'June 2022'!E89+E12+E32+E54+E75</f>
        <v>32675</v>
      </c>
      <c r="F96" s="25">
        <v>2992</v>
      </c>
      <c r="G96" s="25">
        <v>0</v>
      </c>
      <c r="H96" s="25"/>
      <c r="I96" s="25">
        <f>'June 2022'!I89+I12+I32+I54+I75</f>
        <v>11138.029999999999</v>
      </c>
      <c r="J96" s="53">
        <f>'June 2022'!J89+J12+J32+J54+J75</f>
        <v>14082</v>
      </c>
      <c r="K96" s="25">
        <f t="shared" si="30"/>
        <v>999.82199999999989</v>
      </c>
      <c r="L96" s="25">
        <v>0</v>
      </c>
      <c r="M96" s="25">
        <v>1436</v>
      </c>
      <c r="N96" s="25">
        <f t="shared" si="32"/>
        <v>1408.2</v>
      </c>
      <c r="O96" s="25">
        <v>40</v>
      </c>
      <c r="P96" s="25"/>
      <c r="Q96" s="25">
        <f t="shared" si="33"/>
        <v>326.75</v>
      </c>
      <c r="R96" s="25">
        <f>'June 2022'!R89+R12+R32</f>
        <v>133.97999999999999</v>
      </c>
      <c r="S96" s="25">
        <v>28</v>
      </c>
      <c r="T96" s="25">
        <f>E96-F96-I96-K96-M96-N96-O96-Q96-S96-V96-K96</f>
        <v>2744.8760000000002</v>
      </c>
      <c r="U96" s="25"/>
      <c r="V96" s="25">
        <f t="shared" si="35"/>
        <v>10561.5</v>
      </c>
    </row>
    <row r="97" spans="1:22">
      <c r="A97" s="22" t="s">
        <v>207</v>
      </c>
      <c r="B97" s="23">
        <v>465186</v>
      </c>
      <c r="C97" s="24" t="s">
        <v>197</v>
      </c>
      <c r="D97" s="23">
        <f>'June 2022'!D90+D13+D33+D76+D55</f>
        <v>24</v>
      </c>
      <c r="E97" s="25">
        <f>E13+E33+E55+E76</f>
        <v>19780</v>
      </c>
      <c r="F97" s="25">
        <v>2992</v>
      </c>
      <c r="G97" s="25">
        <v>0</v>
      </c>
      <c r="H97" s="25"/>
      <c r="I97" s="25">
        <f>'June 2022'!I90+I13+I33+I55+I76</f>
        <v>9648.19</v>
      </c>
      <c r="J97" s="53">
        <f>'June 2022'!J90+J13+J33+J55+J76</f>
        <v>10786</v>
      </c>
      <c r="K97" s="25">
        <f t="shared" si="30"/>
        <v>765.80599999999993</v>
      </c>
      <c r="L97" s="25">
        <v>0</v>
      </c>
      <c r="M97" s="25">
        <v>1436</v>
      </c>
      <c r="N97" s="25">
        <f t="shared" si="32"/>
        <v>1078.6000000000001</v>
      </c>
      <c r="O97" s="25">
        <v>130</v>
      </c>
      <c r="P97" s="25"/>
      <c r="Q97" s="25">
        <f t="shared" si="33"/>
        <v>197.8</v>
      </c>
      <c r="R97" s="25">
        <f>'June 2022'!R90+R33</f>
        <v>60.97</v>
      </c>
      <c r="S97" s="25">
        <v>28</v>
      </c>
      <c r="T97" s="25">
        <f>E97-F97-I97-M97-N97-O97-Q97-R97-S97-V97-K97</f>
        <v>-4646.8660000000009</v>
      </c>
      <c r="U97" s="25"/>
      <c r="V97" s="25">
        <f t="shared" si="35"/>
        <v>8089.5</v>
      </c>
    </row>
    <row r="98" spans="1:22">
      <c r="A98" s="34" t="s">
        <v>232</v>
      </c>
      <c r="B98" s="23">
        <v>465181</v>
      </c>
      <c r="C98" s="47" t="s">
        <v>197</v>
      </c>
      <c r="D98" s="23">
        <f>'June 2022'!D92+D14+D34+D56+D77</f>
        <v>28</v>
      </c>
      <c r="E98" s="35">
        <f>'June 2022'!E92+E14+E34+E56+E77</f>
        <v>29100</v>
      </c>
      <c r="F98" s="25">
        <v>2992</v>
      </c>
      <c r="G98" s="25">
        <v>0</v>
      </c>
      <c r="H98" s="36"/>
      <c r="I98" s="37">
        <f>'June 2022'!I92+I14+I34+I56+I77</f>
        <v>10529.63</v>
      </c>
      <c r="J98" s="54">
        <f>'June 2022'!J92+J14+J34+J56+J77</f>
        <v>10631</v>
      </c>
      <c r="K98" s="25">
        <f t="shared" si="30"/>
        <v>754.80099999999993</v>
      </c>
      <c r="L98" s="25">
        <v>0</v>
      </c>
      <c r="M98" s="25">
        <v>1436</v>
      </c>
      <c r="N98" s="25">
        <f t="shared" si="32"/>
        <v>1063.1000000000001</v>
      </c>
      <c r="O98" s="25">
        <v>130</v>
      </c>
      <c r="P98" s="25"/>
      <c r="Q98" s="25">
        <f t="shared" si="33"/>
        <v>291</v>
      </c>
      <c r="R98" s="37">
        <f>'June 2022'!R92+R14+R34</f>
        <v>561.35</v>
      </c>
      <c r="S98" s="25">
        <v>28</v>
      </c>
      <c r="T98" s="35">
        <f t="shared" ref="T98:T99" si="37">E98-F98-I98-M98-N98-O98-Q98-R98-V98-S98-K98</f>
        <v>3340.8690000000001</v>
      </c>
      <c r="U98" s="35"/>
      <c r="V98" s="35">
        <f t="shared" si="35"/>
        <v>7973.25</v>
      </c>
    </row>
    <row r="99" spans="1:22">
      <c r="A99" s="22" t="s">
        <v>241</v>
      </c>
      <c r="B99" s="23">
        <v>352374</v>
      </c>
      <c r="C99" s="24" t="s">
        <v>197</v>
      </c>
      <c r="D99" s="23">
        <f>'June 2022'!D93+D16+D35+D57+D78</f>
        <v>24</v>
      </c>
      <c r="E99" s="25">
        <f>'June 2022'!E93+E15+E35+E57+E78</f>
        <v>20930</v>
      </c>
      <c r="F99" s="25">
        <v>2665</v>
      </c>
      <c r="G99" s="25">
        <v>0</v>
      </c>
      <c r="H99" s="25"/>
      <c r="I99" s="25">
        <f>'June 2022'!I93+I15+I35+I57+I78</f>
        <v>8852.59</v>
      </c>
      <c r="J99" s="53">
        <f>'June 2022'!J93+J15+J35+J57+J78</f>
        <v>8826</v>
      </c>
      <c r="K99" s="25">
        <f t="shared" si="30"/>
        <v>626.64599999999996</v>
      </c>
      <c r="L99" s="25">
        <v>0</v>
      </c>
      <c r="M99" s="25">
        <v>1436</v>
      </c>
      <c r="N99" s="25">
        <f t="shared" si="32"/>
        <v>882.6</v>
      </c>
      <c r="O99" s="25">
        <v>130</v>
      </c>
      <c r="P99" s="25"/>
      <c r="Q99" s="25">
        <f t="shared" si="33"/>
        <v>209.3</v>
      </c>
      <c r="R99" s="25">
        <f>'June 2022'!R93+R15+R35</f>
        <v>209.56</v>
      </c>
      <c r="S99" s="25">
        <v>28</v>
      </c>
      <c r="T99" s="25">
        <f t="shared" si="37"/>
        <v>-729.19600000000105</v>
      </c>
      <c r="U99" s="25"/>
      <c r="V99" s="25">
        <f t="shared" si="35"/>
        <v>6619.5</v>
      </c>
    </row>
    <row r="100" spans="1:22">
      <c r="A100" s="22" t="s">
        <v>242</v>
      </c>
      <c r="B100" s="23">
        <v>359886</v>
      </c>
      <c r="C100" s="24" t="s">
        <v>251</v>
      </c>
      <c r="D100" s="23">
        <f>'June 2022'!D94+D16+D36+D58+D79</f>
        <v>27</v>
      </c>
      <c r="E100" s="25">
        <f>'June 2022'!E94+E16+E36+E58+E79</f>
        <v>28180</v>
      </c>
      <c r="F100" s="25">
        <v>2665</v>
      </c>
      <c r="G100" s="25">
        <v>0</v>
      </c>
      <c r="H100" s="25"/>
      <c r="I100" s="25">
        <f>'June 2022'!I94+I36+I58+I79</f>
        <v>7247.87</v>
      </c>
      <c r="J100" s="53">
        <f>'June 2022'!J94+J16+J36+J58+J79</f>
        <v>12093</v>
      </c>
      <c r="K100" s="25">
        <f t="shared" si="30"/>
        <v>858.60299999999995</v>
      </c>
      <c r="L100" s="25">
        <v>0</v>
      </c>
      <c r="M100" s="25">
        <v>1436</v>
      </c>
      <c r="N100" s="25">
        <f t="shared" si="32"/>
        <v>1209.3</v>
      </c>
      <c r="O100" s="25">
        <v>130</v>
      </c>
      <c r="P100" s="25"/>
      <c r="Q100" s="25">
        <f t="shared" si="33"/>
        <v>281.8</v>
      </c>
      <c r="R100" s="25">
        <f>'June 2022'!R94+R16</f>
        <v>303.04000000000002</v>
      </c>
      <c r="S100" s="25">
        <v>28</v>
      </c>
      <c r="T100" s="25">
        <f t="shared" ref="T100:T101" si="38">E100-F100-I100-M100-N100-O100-Q100-R100-S100-V100-K100</f>
        <v>4345.9870000000019</v>
      </c>
      <c r="U100" s="25"/>
      <c r="V100" s="25">
        <f>J100*0.8</f>
        <v>9674.4</v>
      </c>
    </row>
    <row r="101" spans="1:22">
      <c r="A101" s="22" t="s">
        <v>245</v>
      </c>
      <c r="B101" s="23">
        <v>352375</v>
      </c>
      <c r="C101" s="24" t="s">
        <v>197</v>
      </c>
      <c r="D101" s="23">
        <f>'June 2022'!D95+D17+D37+D59+D80</f>
        <v>28</v>
      </c>
      <c r="E101" s="25">
        <f>'June 2022'!E95+E17+E37+E59+E80</f>
        <v>26718</v>
      </c>
      <c r="F101" s="25">
        <v>2665</v>
      </c>
      <c r="G101" s="25">
        <v>0</v>
      </c>
      <c r="H101" s="25"/>
      <c r="I101" s="25">
        <f>I17+I37+I59+I80</f>
        <v>7503.47</v>
      </c>
      <c r="J101" s="53">
        <f>'June 2022'!J95+J17+J37+J59+J80</f>
        <v>11289</v>
      </c>
      <c r="K101" s="25">
        <f t="shared" si="30"/>
        <v>801.51899999999989</v>
      </c>
      <c r="L101" s="25">
        <v>0</v>
      </c>
      <c r="M101" s="25">
        <v>1436</v>
      </c>
      <c r="N101" s="25">
        <f t="shared" si="32"/>
        <v>1128.9000000000001</v>
      </c>
      <c r="O101" s="25">
        <v>130</v>
      </c>
      <c r="P101" s="25"/>
      <c r="Q101" s="25">
        <f t="shared" si="33"/>
        <v>267.18</v>
      </c>
      <c r="R101" s="25">
        <f>R17</f>
        <v>42.29</v>
      </c>
      <c r="S101" s="25">
        <v>28</v>
      </c>
      <c r="T101" s="25">
        <f t="shared" si="38"/>
        <v>4248.8909999999978</v>
      </c>
      <c r="U101" s="25"/>
      <c r="V101" s="25">
        <f>J101*0.75</f>
        <v>8466.75</v>
      </c>
    </row>
    <row r="102" spans="1:22">
      <c r="A102" s="18" t="s">
        <v>255</v>
      </c>
      <c r="B102" s="19">
        <v>359885</v>
      </c>
      <c r="C102" s="20" t="s">
        <v>237</v>
      </c>
      <c r="D102" s="19">
        <f t="shared" ref="D102:E102" si="39">D38+D60+D81</f>
        <v>17</v>
      </c>
      <c r="E102" s="21">
        <f t="shared" si="39"/>
        <v>15831.18</v>
      </c>
      <c r="F102" s="21">
        <v>2665</v>
      </c>
      <c r="G102" s="21">
        <v>2400</v>
      </c>
      <c r="H102" s="21"/>
      <c r="I102" s="21">
        <f t="shared" ref="I102:J102" si="40">I38+I60+I81</f>
        <v>4559.93</v>
      </c>
      <c r="J102" s="55">
        <f t="shared" si="40"/>
        <v>7148</v>
      </c>
      <c r="K102" s="21">
        <f t="shared" si="30"/>
        <v>507.50799999999998</v>
      </c>
      <c r="L102" s="21">
        <v>0</v>
      </c>
      <c r="M102" s="21">
        <v>1436</v>
      </c>
      <c r="N102" s="21">
        <f t="shared" si="32"/>
        <v>714.80000000000007</v>
      </c>
      <c r="O102" s="21">
        <v>0</v>
      </c>
      <c r="P102" s="21"/>
      <c r="Q102" s="21">
        <f t="shared" si="33"/>
        <v>158.31180000000001</v>
      </c>
      <c r="R102" s="21">
        <v>0</v>
      </c>
      <c r="S102" s="21">
        <v>0</v>
      </c>
      <c r="T102" s="21">
        <f>E102*0.25-M102-N102-Q102-K102-F102+G102</f>
        <v>876.1751999999999</v>
      </c>
      <c r="U102" s="21"/>
      <c r="V102" s="21">
        <f>E102*0.75-G102-O102-R102-I102</f>
        <v>4913.4549999999999</v>
      </c>
    </row>
    <row r="103" spans="1:22">
      <c r="A103" s="22" t="s">
        <v>260</v>
      </c>
      <c r="B103" s="23">
        <v>465189</v>
      </c>
      <c r="C103" s="24" t="s">
        <v>197</v>
      </c>
      <c r="D103" s="23">
        <f t="shared" ref="D103:E103" si="41">D82</f>
        <v>7</v>
      </c>
      <c r="E103" s="25">
        <f t="shared" si="41"/>
        <v>8200</v>
      </c>
      <c r="F103" s="25">
        <v>2992</v>
      </c>
      <c r="G103" s="25">
        <v>0</v>
      </c>
      <c r="H103" s="25"/>
      <c r="I103" s="25">
        <f t="shared" ref="I103:J103" si="42">I82</f>
        <v>2005.82</v>
      </c>
      <c r="J103" s="53">
        <f t="shared" si="42"/>
        <v>3638</v>
      </c>
      <c r="K103" s="25">
        <f t="shared" si="30"/>
        <v>258.298</v>
      </c>
      <c r="L103" s="25">
        <v>0</v>
      </c>
      <c r="M103" s="25">
        <v>1436</v>
      </c>
      <c r="N103" s="25">
        <f t="shared" si="32"/>
        <v>363.8</v>
      </c>
      <c r="O103" s="25">
        <v>0</v>
      </c>
      <c r="P103" s="25"/>
      <c r="Q103" s="25">
        <f t="shared" si="33"/>
        <v>82</v>
      </c>
      <c r="R103" s="25">
        <v>0</v>
      </c>
      <c r="S103" s="25">
        <v>28</v>
      </c>
      <c r="T103" s="25">
        <f>E103-J103*0.75-K103-F103-M103-N103-O103-Q103-I103-R103</f>
        <v>-1666.4179999999997</v>
      </c>
      <c r="U103" s="25"/>
      <c r="V103" s="25">
        <f>J103*0.75</f>
        <v>2728.5</v>
      </c>
    </row>
    <row r="104" spans="1:22">
      <c r="A104" s="59" t="s">
        <v>261</v>
      </c>
      <c r="B104" s="60">
        <v>1650</v>
      </c>
      <c r="C104" s="61" t="s">
        <v>262</v>
      </c>
      <c r="D104" s="60">
        <f t="shared" ref="D104:E104" si="43">D83</f>
        <v>1</v>
      </c>
      <c r="E104" s="62">
        <f t="shared" si="43"/>
        <v>1600</v>
      </c>
      <c r="F104" s="62">
        <v>0</v>
      </c>
      <c r="G104" s="62">
        <v>0</v>
      </c>
      <c r="H104" s="62"/>
      <c r="I104" s="62">
        <f t="shared" ref="I104:J104" si="44">I83</f>
        <v>1002.56</v>
      </c>
      <c r="J104" s="63">
        <f t="shared" si="44"/>
        <v>434</v>
      </c>
      <c r="K104" s="63">
        <v>0</v>
      </c>
      <c r="L104" s="62">
        <f>J104*0.17</f>
        <v>73.78</v>
      </c>
      <c r="M104" s="62">
        <v>1436</v>
      </c>
      <c r="N104" s="62">
        <f t="shared" si="32"/>
        <v>43.400000000000006</v>
      </c>
      <c r="O104" s="62">
        <v>0</v>
      </c>
      <c r="P104" s="62"/>
      <c r="Q104" s="62">
        <f t="shared" si="33"/>
        <v>16</v>
      </c>
      <c r="R104" s="62">
        <v>0</v>
      </c>
      <c r="S104" s="62">
        <v>0</v>
      </c>
      <c r="T104" s="62">
        <f>E104*0.18-N104</f>
        <v>244.6</v>
      </c>
      <c r="U104" s="62"/>
      <c r="V104" s="62">
        <f>E104*0.82-I104</f>
        <v>309.44000000000005</v>
      </c>
    </row>
    <row r="105" spans="1:22">
      <c r="A105" s="22" t="s">
        <v>254</v>
      </c>
      <c r="B105" s="23">
        <v>465180</v>
      </c>
      <c r="C105" s="24" t="s">
        <v>197</v>
      </c>
      <c r="D105" s="23">
        <f t="shared" ref="D105:E105" si="45">D26+D48+D69</f>
        <v>21</v>
      </c>
      <c r="E105" s="25">
        <f t="shared" si="45"/>
        <v>22510</v>
      </c>
      <c r="F105" s="25">
        <v>2992</v>
      </c>
      <c r="G105" s="25">
        <v>0</v>
      </c>
      <c r="H105" s="25"/>
      <c r="I105" s="25">
        <f t="shared" ref="I105:J105" si="46">I26+I48+I69</f>
        <v>7568.6</v>
      </c>
      <c r="J105" s="53">
        <f t="shared" si="46"/>
        <v>9225</v>
      </c>
      <c r="K105" s="25">
        <f t="shared" ref="K105:K106" si="47">J105*0.071</f>
        <v>654.97499999999991</v>
      </c>
      <c r="L105" s="25">
        <v>0</v>
      </c>
      <c r="M105" s="25">
        <v>1436</v>
      </c>
      <c r="N105" s="25">
        <f t="shared" si="32"/>
        <v>922.5</v>
      </c>
      <c r="O105" s="25">
        <v>0</v>
      </c>
      <c r="P105" s="25"/>
      <c r="Q105" s="25">
        <f t="shared" si="33"/>
        <v>225.1</v>
      </c>
      <c r="R105" s="25">
        <f>R26</f>
        <v>28.25</v>
      </c>
      <c r="S105" s="25">
        <v>28</v>
      </c>
      <c r="T105" s="25">
        <f t="shared" ref="T105:T106" si="48">E105-J105*0.75-K105-F105-M105-N105-O105-Q105-I105-R105</f>
        <v>1763.8249999999989</v>
      </c>
      <c r="U105" s="25"/>
      <c r="V105" s="25">
        <f t="shared" ref="V105:V106" si="49">J105*0.75</f>
        <v>6918.75</v>
      </c>
    </row>
    <row r="106" spans="1:22">
      <c r="A106" s="22" t="s">
        <v>253</v>
      </c>
      <c r="B106" s="23">
        <v>352372</v>
      </c>
      <c r="C106" s="24" t="s">
        <v>197</v>
      </c>
      <c r="D106" s="23">
        <f t="shared" ref="D106:E106" si="50">D47+D68</f>
        <v>12</v>
      </c>
      <c r="E106" s="25">
        <f t="shared" si="50"/>
        <v>12600</v>
      </c>
      <c r="F106" s="25">
        <v>2665</v>
      </c>
      <c r="G106" s="25">
        <v>0</v>
      </c>
      <c r="H106" s="25"/>
      <c r="I106" s="25">
        <f>I47+I68</f>
        <v>4734.4799999999996</v>
      </c>
      <c r="J106" s="53">
        <f>J25+J47+J68</f>
        <v>5172</v>
      </c>
      <c r="K106" s="25">
        <f t="shared" si="47"/>
        <v>367.21199999999999</v>
      </c>
      <c r="L106" s="25">
        <v>0</v>
      </c>
      <c r="M106" s="25">
        <v>1436</v>
      </c>
      <c r="N106" s="25">
        <f t="shared" si="32"/>
        <v>517.20000000000005</v>
      </c>
      <c r="O106" s="25">
        <v>130</v>
      </c>
      <c r="P106" s="25"/>
      <c r="Q106" s="25">
        <f t="shared" si="33"/>
        <v>126</v>
      </c>
      <c r="R106" s="25">
        <f>R25</f>
        <v>2.36</v>
      </c>
      <c r="S106" s="25">
        <v>28</v>
      </c>
      <c r="T106" s="25">
        <f t="shared" si="48"/>
        <v>-1257.2519999999988</v>
      </c>
      <c r="U106" s="25"/>
      <c r="V106" s="25">
        <f t="shared" si="49"/>
        <v>3879</v>
      </c>
    </row>
    <row r="107" spans="1:22">
      <c r="A107" s="64" t="s">
        <v>89</v>
      </c>
      <c r="B107" s="65">
        <v>20</v>
      </c>
      <c r="C107" s="66" t="s">
        <v>243</v>
      </c>
      <c r="D107" s="65">
        <f>AVERAGE(D88:D106)</f>
        <v>21.578947368421051</v>
      </c>
      <c r="E107" s="67">
        <f t="shared" ref="E107:G107" si="51">SUM(E88:E106)</f>
        <v>463417.18</v>
      </c>
      <c r="F107" s="67">
        <f t="shared" si="51"/>
        <v>51567</v>
      </c>
      <c r="G107" s="67">
        <f t="shared" si="51"/>
        <v>7550</v>
      </c>
      <c r="H107" s="67"/>
      <c r="I107" s="67">
        <f t="shared" ref="I107:O107" si="52">SUM(I88:I106)</f>
        <v>162778.12000000002</v>
      </c>
      <c r="J107" s="68">
        <f t="shared" si="52"/>
        <v>186680</v>
      </c>
      <c r="K107" s="67">
        <f t="shared" si="52"/>
        <v>13223.466</v>
      </c>
      <c r="L107" s="67">
        <f t="shared" si="52"/>
        <v>5078.5800000000008</v>
      </c>
      <c r="M107" s="67">
        <f t="shared" si="52"/>
        <v>27284</v>
      </c>
      <c r="N107" s="67">
        <f t="shared" si="52"/>
        <v>18668.000000000004</v>
      </c>
      <c r="O107" s="67">
        <f t="shared" si="52"/>
        <v>1875</v>
      </c>
      <c r="P107" s="67"/>
      <c r="Q107" s="67">
        <f t="shared" ref="Q107:T107" si="53">SUM(Q88:Q106)</f>
        <v>4634.171800000001</v>
      </c>
      <c r="R107" s="67">
        <f t="shared" si="53"/>
        <v>4615.1399999999994</v>
      </c>
      <c r="S107" s="67">
        <f t="shared" si="53"/>
        <v>420</v>
      </c>
      <c r="T107" s="67">
        <f t="shared" si="53"/>
        <v>33249.095199999989</v>
      </c>
      <c r="U107" s="67"/>
      <c r="V107" s="67">
        <f>SUM(V88:V106)</f>
        <v>139683.55499999999</v>
      </c>
    </row>
  </sheetData>
  <mergeCells count="5">
    <mergeCell ref="A1:V1"/>
    <mergeCell ref="A20:V20"/>
    <mergeCell ref="A42:W42"/>
    <mergeCell ref="A63:W63"/>
    <mergeCell ref="A86:V8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106"/>
  <sheetViews>
    <sheetView workbookViewId="0"/>
  </sheetViews>
  <sheetFormatPr baseColWidth="10" defaultColWidth="12.6640625" defaultRowHeight="15.75" customHeight="1"/>
  <sheetData>
    <row r="1" spans="1:23">
      <c r="A1" s="457" t="s">
        <v>265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9"/>
    </row>
    <row r="2" spans="1:23">
      <c r="A2" s="1" t="s">
        <v>0</v>
      </c>
      <c r="B2" s="2" t="s">
        <v>1</v>
      </c>
      <c r="C2" s="2" t="s">
        <v>183</v>
      </c>
      <c r="D2" s="2" t="s">
        <v>3</v>
      </c>
      <c r="E2" s="2" t="s">
        <v>2</v>
      </c>
      <c r="F2" s="2" t="s">
        <v>4</v>
      </c>
      <c r="G2" s="2" t="s">
        <v>6</v>
      </c>
      <c r="H2" s="2"/>
      <c r="I2" s="2" t="s">
        <v>7</v>
      </c>
      <c r="J2" s="2" t="s">
        <v>9</v>
      </c>
      <c r="K2" s="2" t="s">
        <v>106</v>
      </c>
      <c r="L2" s="2" t="s">
        <v>107</v>
      </c>
      <c r="M2" s="2" t="s">
        <v>5</v>
      </c>
      <c r="N2" s="2" t="s">
        <v>12</v>
      </c>
      <c r="O2" s="2" t="s">
        <v>184</v>
      </c>
      <c r="P2" s="2"/>
      <c r="Q2" s="2" t="s">
        <v>108</v>
      </c>
      <c r="R2" s="2" t="s">
        <v>8</v>
      </c>
      <c r="S2" s="12" t="s">
        <v>185</v>
      </c>
      <c r="T2" s="2" t="s">
        <v>13</v>
      </c>
      <c r="U2" s="2"/>
      <c r="V2" s="14" t="s">
        <v>98</v>
      </c>
      <c r="W2" s="14" t="s">
        <v>257</v>
      </c>
    </row>
    <row r="3" spans="1:23">
      <c r="A3" s="22" t="s">
        <v>258</v>
      </c>
      <c r="B3" s="23">
        <v>465188</v>
      </c>
      <c r="C3" s="24" t="s">
        <v>251</v>
      </c>
      <c r="D3" s="23">
        <v>7</v>
      </c>
      <c r="E3" s="25">
        <v>13015</v>
      </c>
      <c r="F3" s="25">
        <v>789.51</v>
      </c>
      <c r="G3" s="25">
        <v>0</v>
      </c>
      <c r="H3" s="25"/>
      <c r="I3" s="25">
        <v>3790.01</v>
      </c>
      <c r="J3" s="53">
        <v>4881</v>
      </c>
      <c r="K3" s="25">
        <f t="shared" ref="K3:K21" si="0">J3*0.071</f>
        <v>346.55099999999999</v>
      </c>
      <c r="L3" s="25">
        <v>0</v>
      </c>
      <c r="M3" s="25">
        <v>359.07</v>
      </c>
      <c r="N3" s="25">
        <f t="shared" ref="N3:N21" si="1">J3*0.1</f>
        <v>488.1</v>
      </c>
      <c r="O3" s="25">
        <v>26.25</v>
      </c>
      <c r="P3" s="25"/>
      <c r="Q3" s="25">
        <f t="shared" ref="Q3:Q21" si="2">E3*0.01</f>
        <v>130.15</v>
      </c>
      <c r="R3" s="25">
        <v>230.38</v>
      </c>
      <c r="S3" s="25">
        <v>7</v>
      </c>
      <c r="T3" s="25">
        <f>E3-J3*0.75-K3-F3-M3-N3-O3-Q3-I3-R3</f>
        <v>3194.2290000000003</v>
      </c>
      <c r="U3" s="25"/>
      <c r="V3" s="25">
        <f>J3*0.8</f>
        <v>3904.8</v>
      </c>
      <c r="W3" s="25">
        <v>233.57</v>
      </c>
    </row>
    <row r="4" spans="1:23">
      <c r="A4" s="18" t="s">
        <v>215</v>
      </c>
      <c r="B4" s="19">
        <v>465184</v>
      </c>
      <c r="C4" s="20" t="s">
        <v>186</v>
      </c>
      <c r="D4" s="19">
        <v>7</v>
      </c>
      <c r="E4" s="21">
        <v>10750</v>
      </c>
      <c r="F4" s="21">
        <v>789.51</v>
      </c>
      <c r="G4" s="21">
        <v>850</v>
      </c>
      <c r="H4" s="21"/>
      <c r="I4" s="21">
        <v>2860.49</v>
      </c>
      <c r="J4" s="55">
        <v>3968</v>
      </c>
      <c r="K4" s="21">
        <f t="shared" si="0"/>
        <v>281.72799999999995</v>
      </c>
      <c r="L4" s="21">
        <f>J4*0.17</f>
        <v>674.56000000000006</v>
      </c>
      <c r="M4" s="21">
        <v>359.07</v>
      </c>
      <c r="N4" s="21">
        <f t="shared" si="1"/>
        <v>396.8</v>
      </c>
      <c r="O4" s="21">
        <v>40</v>
      </c>
      <c r="P4" s="21"/>
      <c r="Q4" s="21">
        <f t="shared" si="2"/>
        <v>107.5</v>
      </c>
      <c r="R4" s="21">
        <v>27.75</v>
      </c>
      <c r="S4" s="21">
        <v>0</v>
      </c>
      <c r="T4" s="21">
        <f>E4*0.22-M4-N4-Q4-K4-F4+G4</f>
        <v>1280.3920000000001</v>
      </c>
      <c r="U4" s="21"/>
      <c r="V4" s="21">
        <f>E4*0.78-G4-L4-O4-R4-I4</f>
        <v>3932.2</v>
      </c>
      <c r="W4" s="21">
        <v>55.64</v>
      </c>
    </row>
    <row r="5" spans="1:23">
      <c r="A5" s="22" t="s">
        <v>266</v>
      </c>
      <c r="B5" s="23">
        <v>352377</v>
      </c>
      <c r="C5" s="24" t="s">
        <v>197</v>
      </c>
      <c r="D5" s="23">
        <v>3</v>
      </c>
      <c r="E5" s="25">
        <v>5500</v>
      </c>
      <c r="F5" s="25">
        <v>689.44</v>
      </c>
      <c r="G5" s="25">
        <v>0</v>
      </c>
      <c r="H5" s="25"/>
      <c r="I5" s="25">
        <v>1787.01</v>
      </c>
      <c r="J5" s="53">
        <v>2022</v>
      </c>
      <c r="K5" s="25">
        <f t="shared" si="0"/>
        <v>143.56199999999998</v>
      </c>
      <c r="L5" s="25">
        <v>0</v>
      </c>
      <c r="M5" s="25">
        <v>359.07</v>
      </c>
      <c r="N5" s="25">
        <f t="shared" si="1"/>
        <v>202.20000000000002</v>
      </c>
      <c r="O5" s="25">
        <v>32.5</v>
      </c>
      <c r="P5" s="25"/>
      <c r="Q5" s="25">
        <f t="shared" si="2"/>
        <v>55</v>
      </c>
      <c r="R5" s="25">
        <v>66.95</v>
      </c>
      <c r="S5" s="25">
        <v>7</v>
      </c>
      <c r="T5" s="25">
        <f t="shared" ref="T5:T16" si="3">E5-J5*0.75-K5-F5-M5-N5-O5-Q5-I5-R5</f>
        <v>647.76800000000003</v>
      </c>
      <c r="U5" s="25"/>
      <c r="V5" s="25">
        <f t="shared" ref="V5:V16" si="4">J5*0.75</f>
        <v>1516.5</v>
      </c>
      <c r="W5" s="25"/>
    </row>
    <row r="6" spans="1:23">
      <c r="A6" s="22" t="s">
        <v>253</v>
      </c>
      <c r="B6" s="23">
        <v>352372</v>
      </c>
      <c r="C6" s="24" t="s">
        <v>197</v>
      </c>
      <c r="D6" s="23">
        <v>2</v>
      </c>
      <c r="E6" s="25">
        <v>2250</v>
      </c>
      <c r="F6" s="25">
        <v>689.44</v>
      </c>
      <c r="G6" s="25">
        <v>0</v>
      </c>
      <c r="H6" s="25"/>
      <c r="I6" s="25">
        <v>726.34</v>
      </c>
      <c r="J6" s="53">
        <v>1052</v>
      </c>
      <c r="K6" s="25">
        <f t="shared" si="0"/>
        <v>74.691999999999993</v>
      </c>
      <c r="L6" s="25">
        <v>0</v>
      </c>
      <c r="M6" s="25">
        <v>359.07</v>
      </c>
      <c r="N6" s="25">
        <f t="shared" si="1"/>
        <v>105.2</v>
      </c>
      <c r="O6" s="25">
        <v>32.5</v>
      </c>
      <c r="P6" s="25"/>
      <c r="Q6" s="25">
        <f t="shared" si="2"/>
        <v>22.5</v>
      </c>
      <c r="R6" s="25">
        <v>34.520000000000003</v>
      </c>
      <c r="S6" s="25">
        <v>7</v>
      </c>
      <c r="T6" s="25">
        <f t="shared" si="3"/>
        <v>-583.26200000000006</v>
      </c>
      <c r="U6" s="25"/>
      <c r="V6" s="25">
        <f t="shared" si="4"/>
        <v>789</v>
      </c>
      <c r="W6" s="25">
        <v>14.7</v>
      </c>
    </row>
    <row r="7" spans="1:23">
      <c r="A7" s="22" t="s">
        <v>254</v>
      </c>
      <c r="B7" s="23">
        <v>465180</v>
      </c>
      <c r="C7" s="24" t="s">
        <v>197</v>
      </c>
      <c r="D7" s="23">
        <v>4</v>
      </c>
      <c r="E7" s="25">
        <v>4945</v>
      </c>
      <c r="F7" s="25">
        <v>789.51</v>
      </c>
      <c r="G7" s="25">
        <v>0</v>
      </c>
      <c r="H7" s="25"/>
      <c r="I7" s="25">
        <v>1829.23</v>
      </c>
      <c r="J7" s="53">
        <v>1881</v>
      </c>
      <c r="K7" s="25">
        <f t="shared" si="0"/>
        <v>133.55099999999999</v>
      </c>
      <c r="L7" s="25">
        <v>0</v>
      </c>
      <c r="M7" s="25">
        <v>359.07</v>
      </c>
      <c r="N7" s="25">
        <f t="shared" si="1"/>
        <v>188.10000000000002</v>
      </c>
      <c r="O7" s="25">
        <v>32.5</v>
      </c>
      <c r="P7" s="25"/>
      <c r="Q7" s="25">
        <f t="shared" si="2"/>
        <v>49.45</v>
      </c>
      <c r="R7" s="25">
        <v>0</v>
      </c>
      <c r="S7" s="25">
        <v>7</v>
      </c>
      <c r="T7" s="25">
        <f t="shared" si="3"/>
        <v>152.83900000000017</v>
      </c>
      <c r="U7" s="25"/>
      <c r="V7" s="25">
        <f t="shared" si="4"/>
        <v>1410.75</v>
      </c>
      <c r="W7" s="25">
        <v>105.12</v>
      </c>
    </row>
    <row r="8" spans="1:23">
      <c r="A8" s="22" t="s">
        <v>247</v>
      </c>
      <c r="B8" s="23">
        <v>352376</v>
      </c>
      <c r="C8" s="24" t="s">
        <v>197</v>
      </c>
      <c r="D8" s="23">
        <v>7</v>
      </c>
      <c r="E8" s="25">
        <v>8550</v>
      </c>
      <c r="F8" s="25">
        <v>689.44</v>
      </c>
      <c r="G8" s="25">
        <v>0</v>
      </c>
      <c r="H8" s="25"/>
      <c r="I8" s="25">
        <v>2918.48</v>
      </c>
      <c r="J8" s="53">
        <v>3544</v>
      </c>
      <c r="K8" s="25">
        <f t="shared" si="0"/>
        <v>251.62399999999997</v>
      </c>
      <c r="L8" s="25">
        <v>0</v>
      </c>
      <c r="M8" s="25">
        <v>359.07</v>
      </c>
      <c r="N8" s="25">
        <f t="shared" si="1"/>
        <v>354.40000000000003</v>
      </c>
      <c r="O8" s="25">
        <v>26.25</v>
      </c>
      <c r="P8" s="25"/>
      <c r="Q8" s="25">
        <f t="shared" si="2"/>
        <v>85.5</v>
      </c>
      <c r="R8" s="25">
        <v>152.88999999999999</v>
      </c>
      <c r="S8" s="25">
        <v>7</v>
      </c>
      <c r="T8" s="25">
        <f t="shared" si="3"/>
        <v>1054.3460000000005</v>
      </c>
      <c r="U8" s="25"/>
      <c r="V8" s="25">
        <f t="shared" si="4"/>
        <v>2658</v>
      </c>
      <c r="W8" s="25">
        <v>154.71</v>
      </c>
    </row>
    <row r="9" spans="1:23">
      <c r="A9" s="22" t="s">
        <v>218</v>
      </c>
      <c r="B9" s="23">
        <v>465182</v>
      </c>
      <c r="C9" s="24" t="s">
        <v>197</v>
      </c>
      <c r="D9" s="23">
        <v>5</v>
      </c>
      <c r="E9" s="25">
        <v>4700</v>
      </c>
      <c r="F9" s="25">
        <v>666.5</v>
      </c>
      <c r="G9" s="25">
        <v>0</v>
      </c>
      <c r="H9" s="25"/>
      <c r="I9" s="25">
        <v>1517.69</v>
      </c>
      <c r="J9" s="53">
        <v>1826</v>
      </c>
      <c r="K9" s="25">
        <f t="shared" si="0"/>
        <v>129.64599999999999</v>
      </c>
      <c r="L9" s="25">
        <v>0</v>
      </c>
      <c r="M9" s="25">
        <v>359.07</v>
      </c>
      <c r="N9" s="25">
        <f t="shared" si="1"/>
        <v>182.60000000000002</v>
      </c>
      <c r="O9" s="25">
        <v>40</v>
      </c>
      <c r="P9" s="25"/>
      <c r="Q9" s="25">
        <f t="shared" si="2"/>
        <v>47</v>
      </c>
      <c r="R9" s="25">
        <v>23.96</v>
      </c>
      <c r="S9" s="25">
        <v>7</v>
      </c>
      <c r="T9" s="25">
        <f t="shared" si="3"/>
        <v>364.03399999999971</v>
      </c>
      <c r="U9" s="25"/>
      <c r="V9" s="25">
        <f t="shared" si="4"/>
        <v>1369.5</v>
      </c>
      <c r="W9" s="25">
        <v>58.18</v>
      </c>
    </row>
    <row r="10" spans="1:23">
      <c r="A10" s="22" t="s">
        <v>220</v>
      </c>
      <c r="B10" s="23">
        <v>465185</v>
      </c>
      <c r="C10" s="24" t="s">
        <v>197</v>
      </c>
      <c r="D10" s="23">
        <v>7</v>
      </c>
      <c r="E10" s="25">
        <v>7610</v>
      </c>
      <c r="F10" s="25">
        <v>789.51</v>
      </c>
      <c r="G10" s="25">
        <v>0</v>
      </c>
      <c r="H10" s="25"/>
      <c r="I10" s="25">
        <v>2176.17</v>
      </c>
      <c r="J10" s="53">
        <v>3202</v>
      </c>
      <c r="K10" s="25">
        <f t="shared" si="0"/>
        <v>227.34199999999998</v>
      </c>
      <c r="L10" s="25">
        <v>0</v>
      </c>
      <c r="M10" s="25">
        <v>359.07</v>
      </c>
      <c r="N10" s="25">
        <f t="shared" si="1"/>
        <v>320.20000000000005</v>
      </c>
      <c r="O10" s="25">
        <v>40</v>
      </c>
      <c r="P10" s="25"/>
      <c r="Q10" s="25">
        <f t="shared" si="2"/>
        <v>76.100000000000009</v>
      </c>
      <c r="R10" s="25">
        <v>187.71</v>
      </c>
      <c r="S10" s="25">
        <v>7</v>
      </c>
      <c r="T10" s="25">
        <f t="shared" si="3"/>
        <v>1032.3979999999997</v>
      </c>
      <c r="U10" s="25"/>
      <c r="V10" s="25">
        <f t="shared" si="4"/>
        <v>2401.5</v>
      </c>
      <c r="W10" s="25">
        <v>142.9</v>
      </c>
    </row>
    <row r="11" spans="1:23">
      <c r="A11" s="22" t="s">
        <v>235</v>
      </c>
      <c r="B11" s="23">
        <v>352371</v>
      </c>
      <c r="C11" s="24" t="s">
        <v>197</v>
      </c>
      <c r="D11" s="23">
        <v>6</v>
      </c>
      <c r="E11" s="25">
        <v>7050</v>
      </c>
      <c r="F11" s="25">
        <v>689.44</v>
      </c>
      <c r="G11" s="25">
        <v>0</v>
      </c>
      <c r="H11" s="25"/>
      <c r="I11" s="25">
        <v>2468.19</v>
      </c>
      <c r="J11" s="53">
        <v>2832</v>
      </c>
      <c r="K11" s="25">
        <f t="shared" si="0"/>
        <v>201.07199999999997</v>
      </c>
      <c r="L11" s="25">
        <v>0</v>
      </c>
      <c r="M11" s="25">
        <v>359.07</v>
      </c>
      <c r="N11" s="25">
        <f t="shared" si="1"/>
        <v>283.2</v>
      </c>
      <c r="O11" s="25">
        <v>32.5</v>
      </c>
      <c r="P11" s="25"/>
      <c r="Q11" s="25">
        <f t="shared" si="2"/>
        <v>70.5</v>
      </c>
      <c r="R11" s="25">
        <v>81.180000000000007</v>
      </c>
      <c r="S11" s="25">
        <v>7</v>
      </c>
      <c r="T11" s="25">
        <f t="shared" si="3"/>
        <v>740.84799999999973</v>
      </c>
      <c r="U11" s="25"/>
      <c r="V11" s="25">
        <f t="shared" si="4"/>
        <v>2124</v>
      </c>
      <c r="W11" s="25">
        <v>281.33999999999997</v>
      </c>
    </row>
    <row r="12" spans="1:23">
      <c r="A12" s="22" t="s">
        <v>223</v>
      </c>
      <c r="B12" s="23">
        <v>465183</v>
      </c>
      <c r="C12" s="24" t="s">
        <v>197</v>
      </c>
      <c r="D12" s="23">
        <v>2</v>
      </c>
      <c r="E12" s="25">
        <v>2700</v>
      </c>
      <c r="F12" s="25">
        <v>789.51</v>
      </c>
      <c r="G12" s="25">
        <v>0</v>
      </c>
      <c r="H12" s="25"/>
      <c r="I12" s="25">
        <v>1331.68</v>
      </c>
      <c r="J12" s="53">
        <v>989</v>
      </c>
      <c r="K12" s="25">
        <f t="shared" si="0"/>
        <v>70.218999999999994</v>
      </c>
      <c r="L12" s="25">
        <v>0</v>
      </c>
      <c r="M12" s="25">
        <v>359.07</v>
      </c>
      <c r="N12" s="25">
        <f t="shared" si="1"/>
        <v>98.9</v>
      </c>
      <c r="O12" s="25">
        <v>26.25</v>
      </c>
      <c r="P12" s="25"/>
      <c r="Q12" s="25">
        <f t="shared" si="2"/>
        <v>27</v>
      </c>
      <c r="R12" s="25">
        <v>0</v>
      </c>
      <c r="S12" s="25">
        <v>7</v>
      </c>
      <c r="T12" s="25">
        <f t="shared" si="3"/>
        <v>-744.37900000000002</v>
      </c>
      <c r="U12" s="25"/>
      <c r="V12" s="25">
        <f t="shared" si="4"/>
        <v>741.75</v>
      </c>
      <c r="W12" s="25">
        <v>57.15</v>
      </c>
    </row>
    <row r="13" spans="1:23">
      <c r="A13" s="22" t="s">
        <v>224</v>
      </c>
      <c r="B13" s="23">
        <v>465187</v>
      </c>
      <c r="C13" s="24" t="s">
        <v>197</v>
      </c>
      <c r="D13" s="23">
        <v>0</v>
      </c>
      <c r="E13" s="25">
        <v>0</v>
      </c>
      <c r="F13" s="25">
        <v>789.51</v>
      </c>
      <c r="G13" s="25">
        <v>0</v>
      </c>
      <c r="H13" s="25"/>
      <c r="I13" s="25">
        <v>0</v>
      </c>
      <c r="J13" s="53">
        <v>0</v>
      </c>
      <c r="K13" s="25">
        <f t="shared" si="0"/>
        <v>0</v>
      </c>
      <c r="L13" s="25">
        <v>0</v>
      </c>
      <c r="M13" s="25">
        <v>359.07</v>
      </c>
      <c r="N13" s="25">
        <f t="shared" si="1"/>
        <v>0</v>
      </c>
      <c r="O13" s="25">
        <v>40</v>
      </c>
      <c r="P13" s="25"/>
      <c r="Q13" s="25">
        <f t="shared" si="2"/>
        <v>0</v>
      </c>
      <c r="R13" s="25">
        <v>0</v>
      </c>
      <c r="S13" s="25">
        <v>7</v>
      </c>
      <c r="T13" s="25">
        <f t="shared" si="3"/>
        <v>-1188.58</v>
      </c>
      <c r="U13" s="25"/>
      <c r="V13" s="25">
        <f t="shared" si="4"/>
        <v>0</v>
      </c>
      <c r="W13" s="25"/>
    </row>
    <row r="14" spans="1:23">
      <c r="A14" s="22" t="s">
        <v>207</v>
      </c>
      <c r="B14" s="23">
        <v>465186</v>
      </c>
      <c r="C14" s="24" t="s">
        <v>197</v>
      </c>
      <c r="D14" s="23">
        <v>0</v>
      </c>
      <c r="E14" s="25">
        <v>0</v>
      </c>
      <c r="F14" s="25">
        <v>789.51</v>
      </c>
      <c r="G14" s="25">
        <v>0</v>
      </c>
      <c r="H14" s="25"/>
      <c r="I14" s="25">
        <v>770.76</v>
      </c>
      <c r="J14" s="53">
        <v>0</v>
      </c>
      <c r="K14" s="25">
        <f t="shared" si="0"/>
        <v>0</v>
      </c>
      <c r="L14" s="25">
        <v>0</v>
      </c>
      <c r="M14" s="25">
        <v>359.07</v>
      </c>
      <c r="N14" s="25">
        <f t="shared" si="1"/>
        <v>0</v>
      </c>
      <c r="O14" s="25">
        <v>26.25</v>
      </c>
      <c r="P14" s="25"/>
      <c r="Q14" s="25">
        <f t="shared" si="2"/>
        <v>0</v>
      </c>
      <c r="R14" s="25">
        <v>0</v>
      </c>
      <c r="S14" s="25">
        <v>7</v>
      </c>
      <c r="T14" s="25">
        <f t="shared" si="3"/>
        <v>-1945.59</v>
      </c>
      <c r="U14" s="25"/>
      <c r="V14" s="25">
        <f t="shared" si="4"/>
        <v>0</v>
      </c>
      <c r="W14" s="25">
        <v>14.93</v>
      </c>
    </row>
    <row r="15" spans="1:23">
      <c r="A15" s="34" t="s">
        <v>232</v>
      </c>
      <c r="B15" s="23">
        <v>465181</v>
      </c>
      <c r="C15" s="47" t="s">
        <v>197</v>
      </c>
      <c r="D15" s="47">
        <v>0</v>
      </c>
      <c r="E15" s="35">
        <v>0</v>
      </c>
      <c r="F15" s="25">
        <v>789.51</v>
      </c>
      <c r="G15" s="25">
        <v>0</v>
      </c>
      <c r="H15" s="69"/>
      <c r="I15" s="35">
        <v>0</v>
      </c>
      <c r="J15" s="54">
        <v>0</v>
      </c>
      <c r="K15" s="25">
        <f t="shared" si="0"/>
        <v>0</v>
      </c>
      <c r="L15" s="25">
        <v>0</v>
      </c>
      <c r="M15" s="25">
        <v>359.07</v>
      </c>
      <c r="N15" s="25">
        <f t="shared" si="1"/>
        <v>0</v>
      </c>
      <c r="O15" s="25">
        <v>26.25</v>
      </c>
      <c r="P15" s="25"/>
      <c r="Q15" s="25">
        <f t="shared" si="2"/>
        <v>0</v>
      </c>
      <c r="R15" s="35">
        <v>5</v>
      </c>
      <c r="S15" s="25">
        <v>7</v>
      </c>
      <c r="T15" s="25">
        <f t="shared" si="3"/>
        <v>-1179.83</v>
      </c>
      <c r="U15" s="25"/>
      <c r="V15" s="25">
        <f t="shared" si="4"/>
        <v>0</v>
      </c>
      <c r="W15" s="35"/>
    </row>
    <row r="16" spans="1:23">
      <c r="A16" s="22" t="s">
        <v>241</v>
      </c>
      <c r="B16" s="23">
        <v>352374</v>
      </c>
      <c r="C16" s="24" t="s">
        <v>197</v>
      </c>
      <c r="D16" s="23">
        <v>0</v>
      </c>
      <c r="E16" s="25">
        <v>0</v>
      </c>
      <c r="F16" s="25">
        <v>689.44</v>
      </c>
      <c r="G16" s="25">
        <v>0</v>
      </c>
      <c r="H16" s="25"/>
      <c r="I16" s="25">
        <v>0</v>
      </c>
      <c r="J16" s="53">
        <v>0</v>
      </c>
      <c r="K16" s="25">
        <f t="shared" si="0"/>
        <v>0</v>
      </c>
      <c r="L16" s="25">
        <v>0</v>
      </c>
      <c r="M16" s="25">
        <v>359.07</v>
      </c>
      <c r="N16" s="25">
        <f t="shared" si="1"/>
        <v>0</v>
      </c>
      <c r="O16" s="25">
        <v>26.25</v>
      </c>
      <c r="P16" s="25"/>
      <c r="Q16" s="25">
        <f t="shared" si="2"/>
        <v>0</v>
      </c>
      <c r="R16" s="25">
        <v>0</v>
      </c>
      <c r="S16" s="25">
        <v>7</v>
      </c>
      <c r="T16" s="25">
        <f t="shared" si="3"/>
        <v>-1074.76</v>
      </c>
      <c r="U16" s="25"/>
      <c r="V16" s="25">
        <f t="shared" si="4"/>
        <v>0</v>
      </c>
      <c r="W16" s="25"/>
    </row>
    <row r="17" spans="1:24">
      <c r="A17" s="22" t="s">
        <v>242</v>
      </c>
      <c r="B17" s="23">
        <v>359886</v>
      </c>
      <c r="C17" s="24" t="s">
        <v>251</v>
      </c>
      <c r="D17" s="23">
        <v>0</v>
      </c>
      <c r="E17" s="58">
        <v>0</v>
      </c>
      <c r="F17" s="25">
        <v>689.44</v>
      </c>
      <c r="G17" s="25">
        <v>0</v>
      </c>
      <c r="H17" s="25"/>
      <c r="I17" s="25">
        <v>0</v>
      </c>
      <c r="J17" s="53">
        <v>0</v>
      </c>
      <c r="K17" s="25">
        <f t="shared" si="0"/>
        <v>0</v>
      </c>
      <c r="L17" s="25">
        <v>0</v>
      </c>
      <c r="M17" s="25">
        <v>359.07</v>
      </c>
      <c r="N17" s="25">
        <f t="shared" si="1"/>
        <v>0</v>
      </c>
      <c r="O17" s="25">
        <v>26.25</v>
      </c>
      <c r="P17" s="25"/>
      <c r="Q17" s="25">
        <f t="shared" si="2"/>
        <v>0</v>
      </c>
      <c r="R17" s="25">
        <v>139.28</v>
      </c>
      <c r="S17" s="25">
        <v>7</v>
      </c>
      <c r="T17" s="25">
        <f>E17-J17*0.8-K17-F17-M17-N17-O17-Q17-I17-R17</f>
        <v>-1214.04</v>
      </c>
      <c r="U17" s="25"/>
      <c r="V17" s="25">
        <f>J17*0.8</f>
        <v>0</v>
      </c>
      <c r="W17" s="25"/>
    </row>
    <row r="18" spans="1:24">
      <c r="A18" s="18" t="s">
        <v>255</v>
      </c>
      <c r="B18" s="19">
        <v>359885</v>
      </c>
      <c r="C18" s="20" t="s">
        <v>237</v>
      </c>
      <c r="D18" s="19">
        <v>3</v>
      </c>
      <c r="E18" s="21">
        <v>4400</v>
      </c>
      <c r="F18" s="21">
        <v>689.44</v>
      </c>
      <c r="G18" s="21">
        <v>1200</v>
      </c>
      <c r="H18" s="21"/>
      <c r="I18" s="21">
        <v>1139.6400000000001</v>
      </c>
      <c r="J18" s="55">
        <v>1784</v>
      </c>
      <c r="K18" s="21">
        <f t="shared" si="0"/>
        <v>126.66399999999999</v>
      </c>
      <c r="L18" s="21">
        <v>0</v>
      </c>
      <c r="M18" s="21">
        <v>359.07</v>
      </c>
      <c r="N18" s="21">
        <f t="shared" si="1"/>
        <v>178.4</v>
      </c>
      <c r="O18" s="21">
        <v>40</v>
      </c>
      <c r="P18" s="21"/>
      <c r="Q18" s="21">
        <f t="shared" si="2"/>
        <v>44</v>
      </c>
      <c r="R18" s="21">
        <v>0</v>
      </c>
      <c r="S18" s="21">
        <v>0</v>
      </c>
      <c r="T18" s="21">
        <f>E18*0.25-M18-N18-Q18-K18-F18+G18</f>
        <v>902.42600000000004</v>
      </c>
      <c r="U18" s="21"/>
      <c r="V18" s="21">
        <f>E18*0.75-G18-O18-R18-I18</f>
        <v>920.3599999999999</v>
      </c>
      <c r="W18" s="21">
        <v>30.03</v>
      </c>
    </row>
    <row r="19" spans="1:24">
      <c r="A19" s="22" t="s">
        <v>260</v>
      </c>
      <c r="B19" s="23">
        <v>465189</v>
      </c>
      <c r="C19" s="24" t="s">
        <v>197</v>
      </c>
      <c r="D19" s="23">
        <v>7</v>
      </c>
      <c r="E19" s="25">
        <v>9100</v>
      </c>
      <c r="F19" s="25">
        <v>789.51</v>
      </c>
      <c r="G19" s="25">
        <v>0</v>
      </c>
      <c r="H19" s="25"/>
      <c r="I19" s="25">
        <v>2619.46</v>
      </c>
      <c r="J19" s="53">
        <v>4074</v>
      </c>
      <c r="K19" s="25">
        <f t="shared" si="0"/>
        <v>289.25399999999996</v>
      </c>
      <c r="L19" s="25">
        <v>0</v>
      </c>
      <c r="M19" s="25">
        <v>359.07</v>
      </c>
      <c r="N19" s="25">
        <f t="shared" si="1"/>
        <v>407.40000000000003</v>
      </c>
      <c r="O19" s="25">
        <v>26.25</v>
      </c>
      <c r="P19" s="25"/>
      <c r="Q19" s="25">
        <f t="shared" si="2"/>
        <v>91</v>
      </c>
      <c r="R19" s="25">
        <v>5.4</v>
      </c>
      <c r="S19" s="25">
        <v>7</v>
      </c>
      <c r="T19" s="25">
        <f>E19-J19*0.75-K19-F19-M19-N19-O19-Q19-I19-R19</f>
        <v>1457.1560000000004</v>
      </c>
      <c r="U19" s="25"/>
      <c r="V19" s="25">
        <f>J19*0.75</f>
        <v>3055.5</v>
      </c>
      <c r="W19" s="25">
        <v>77.849999999999994</v>
      </c>
    </row>
    <row r="20" spans="1:24">
      <c r="A20" s="59" t="s">
        <v>261</v>
      </c>
      <c r="B20" s="60">
        <v>1650</v>
      </c>
      <c r="C20" s="61" t="s">
        <v>262</v>
      </c>
      <c r="D20" s="60">
        <v>6</v>
      </c>
      <c r="E20" s="62">
        <v>5950</v>
      </c>
      <c r="F20" s="62">
        <v>0</v>
      </c>
      <c r="G20" s="62">
        <v>0</v>
      </c>
      <c r="H20" s="62"/>
      <c r="I20" s="62">
        <v>1413.66</v>
      </c>
      <c r="J20" s="63">
        <v>2392</v>
      </c>
      <c r="K20" s="62">
        <f t="shared" si="0"/>
        <v>169.83199999999999</v>
      </c>
      <c r="L20" s="62">
        <f>J20*0.17</f>
        <v>406.64000000000004</v>
      </c>
      <c r="M20" s="62">
        <v>0</v>
      </c>
      <c r="N20" s="62">
        <f t="shared" si="1"/>
        <v>239.20000000000002</v>
      </c>
      <c r="O20" s="62">
        <v>0</v>
      </c>
      <c r="P20" s="62"/>
      <c r="Q20" s="62">
        <f t="shared" si="2"/>
        <v>59.5</v>
      </c>
      <c r="R20" s="62">
        <v>0</v>
      </c>
      <c r="S20" s="62">
        <v>0</v>
      </c>
      <c r="T20" s="62">
        <f>E20*0.18-N20</f>
        <v>831.8</v>
      </c>
      <c r="U20" s="62"/>
      <c r="V20" s="62">
        <f>E20*0.82-I20</f>
        <v>3465.34</v>
      </c>
      <c r="W20" s="25">
        <v>73.08</v>
      </c>
    </row>
    <row r="21" spans="1:24">
      <c r="A21" s="22" t="s">
        <v>245</v>
      </c>
      <c r="B21" s="23">
        <v>352375</v>
      </c>
      <c r="C21" s="24" t="s">
        <v>197</v>
      </c>
      <c r="D21" s="23">
        <v>0</v>
      </c>
      <c r="E21" s="25">
        <v>0</v>
      </c>
      <c r="F21" s="25">
        <v>689.44</v>
      </c>
      <c r="G21" s="25">
        <v>0</v>
      </c>
      <c r="H21" s="25"/>
      <c r="I21" s="25">
        <v>516.46</v>
      </c>
      <c r="J21" s="53">
        <v>0</v>
      </c>
      <c r="K21" s="25">
        <f t="shared" si="0"/>
        <v>0</v>
      </c>
      <c r="L21" s="25">
        <v>0</v>
      </c>
      <c r="M21" s="25">
        <v>359.07</v>
      </c>
      <c r="N21" s="25">
        <f t="shared" si="1"/>
        <v>0</v>
      </c>
      <c r="O21" s="25">
        <v>26.25</v>
      </c>
      <c r="P21" s="25"/>
      <c r="Q21" s="25">
        <f t="shared" si="2"/>
        <v>0</v>
      </c>
      <c r="R21" s="25">
        <v>24.66</v>
      </c>
      <c r="S21" s="25">
        <v>7</v>
      </c>
      <c r="T21" s="25">
        <f>E21-J21*0.75-K21-F21-M21-N21-O21-Q21-I21-R21</f>
        <v>-1615.88</v>
      </c>
      <c r="U21" s="25"/>
      <c r="V21" s="25">
        <f>J21*0.75</f>
        <v>0</v>
      </c>
      <c r="W21" s="25">
        <v>10.119999999999999</v>
      </c>
    </row>
    <row r="22" spans="1:24">
      <c r="A22" s="39" t="s">
        <v>89</v>
      </c>
      <c r="B22" s="40">
        <v>19</v>
      </c>
      <c r="C22" s="41" t="s">
        <v>248</v>
      </c>
      <c r="D22" s="40">
        <f>AVERAGE(D3:D20)</f>
        <v>3.6666666666666665</v>
      </c>
      <c r="E22" s="42">
        <f>SUM(E3:E21)</f>
        <v>86520</v>
      </c>
      <c r="F22" s="42">
        <f t="shared" ref="F22:G22" si="5">SUM(F3:F20)</f>
        <v>12598.170000000004</v>
      </c>
      <c r="G22" s="42">
        <f t="shared" si="5"/>
        <v>2050</v>
      </c>
      <c r="H22" s="42"/>
      <c r="I22" s="42">
        <f t="shared" ref="I22:J22" si="6">SUM(I3:I21)</f>
        <v>27865.269999999993</v>
      </c>
      <c r="J22" s="42">
        <f t="shared" si="6"/>
        <v>34447</v>
      </c>
      <c r="K22" s="42">
        <f t="shared" ref="K22:O22" si="7">SUM(K3:K20)</f>
        <v>2445.7369999999996</v>
      </c>
      <c r="L22" s="42">
        <f t="shared" si="7"/>
        <v>1081.2</v>
      </c>
      <c r="M22" s="42">
        <f t="shared" si="7"/>
        <v>6104.19</v>
      </c>
      <c r="N22" s="42">
        <f t="shared" si="7"/>
        <v>3444.7000000000003</v>
      </c>
      <c r="O22" s="42">
        <f t="shared" si="7"/>
        <v>540</v>
      </c>
      <c r="P22" s="42"/>
      <c r="Q22" s="42">
        <f t="shared" ref="Q22:T22" si="8">SUM(Q3:Q20)</f>
        <v>865.19999999999993</v>
      </c>
      <c r="R22" s="42">
        <f t="shared" si="8"/>
        <v>955.0200000000001</v>
      </c>
      <c r="S22" s="42">
        <f t="shared" si="8"/>
        <v>105</v>
      </c>
      <c r="T22" s="42">
        <f t="shared" si="8"/>
        <v>3727.795000000001</v>
      </c>
      <c r="U22" s="42"/>
      <c r="V22" s="42">
        <f>SUM(V3:V20)</f>
        <v>28289.200000000001</v>
      </c>
      <c r="W22" s="42">
        <f>SUM(W3:W21)</f>
        <v>1309.3199999999997</v>
      </c>
    </row>
    <row r="24" spans="1:24">
      <c r="A24" s="457" t="s">
        <v>267</v>
      </c>
      <c r="B24" s="458"/>
      <c r="C24" s="458"/>
      <c r="D24" s="458"/>
      <c r="E24" s="458"/>
      <c r="F24" s="458"/>
      <c r="G24" s="458"/>
      <c r="H24" s="458"/>
      <c r="I24" s="458"/>
      <c r="J24" s="458"/>
      <c r="K24" s="458"/>
      <c r="L24" s="458"/>
      <c r="M24" s="458"/>
      <c r="N24" s="458"/>
      <c r="O24" s="458"/>
      <c r="P24" s="458"/>
      <c r="Q24" s="458"/>
      <c r="R24" s="458"/>
      <c r="S24" s="458"/>
      <c r="T24" s="458"/>
      <c r="U24" s="458"/>
      <c r="V24" s="458"/>
      <c r="W24" s="459"/>
    </row>
    <row r="25" spans="1:24">
      <c r="A25" s="1" t="s">
        <v>0</v>
      </c>
      <c r="B25" s="2" t="s">
        <v>1</v>
      </c>
      <c r="C25" s="2" t="s">
        <v>183</v>
      </c>
      <c r="D25" s="2" t="s">
        <v>3</v>
      </c>
      <c r="E25" s="2" t="s">
        <v>2</v>
      </c>
      <c r="F25" s="2" t="s">
        <v>4</v>
      </c>
      <c r="G25" s="2" t="s">
        <v>6</v>
      </c>
      <c r="H25" s="2"/>
      <c r="I25" s="2" t="s">
        <v>7</v>
      </c>
      <c r="J25" s="2" t="s">
        <v>9</v>
      </c>
      <c r="K25" s="2" t="s">
        <v>106</v>
      </c>
      <c r="L25" s="2" t="s">
        <v>107</v>
      </c>
      <c r="M25" s="2" t="s">
        <v>5</v>
      </c>
      <c r="N25" s="2" t="s">
        <v>12</v>
      </c>
      <c r="O25" s="2" t="s">
        <v>184</v>
      </c>
      <c r="P25" s="2"/>
      <c r="Q25" s="2" t="s">
        <v>108</v>
      </c>
      <c r="R25" s="2" t="s">
        <v>8</v>
      </c>
      <c r="S25" s="12" t="s">
        <v>185</v>
      </c>
      <c r="T25" s="2" t="s">
        <v>13</v>
      </c>
      <c r="U25" s="2"/>
      <c r="V25" s="14" t="s">
        <v>98</v>
      </c>
      <c r="W25" s="14" t="s">
        <v>257</v>
      </c>
    </row>
    <row r="26" spans="1:24">
      <c r="A26" s="22" t="s">
        <v>258</v>
      </c>
      <c r="B26" s="23">
        <v>465188</v>
      </c>
      <c r="C26" s="24" t="s">
        <v>251</v>
      </c>
      <c r="D26" s="23">
        <v>5</v>
      </c>
      <c r="E26" s="25">
        <v>7450</v>
      </c>
      <c r="F26" s="25">
        <v>789.51</v>
      </c>
      <c r="G26" s="25">
        <v>0</v>
      </c>
      <c r="H26" s="25"/>
      <c r="I26" s="25">
        <v>2612.15</v>
      </c>
      <c r="J26" s="53">
        <v>3366</v>
      </c>
      <c r="K26" s="25">
        <f t="shared" ref="K26:K43" si="9">J26*0.071</f>
        <v>238.98599999999999</v>
      </c>
      <c r="L26" s="25">
        <v>0</v>
      </c>
      <c r="M26" s="25">
        <v>359.07</v>
      </c>
      <c r="N26" s="25">
        <f t="shared" ref="N26:N43" si="10">J26*0.1</f>
        <v>336.6</v>
      </c>
      <c r="O26" s="25">
        <v>26.25</v>
      </c>
      <c r="P26" s="25"/>
      <c r="Q26" s="25">
        <f t="shared" ref="Q26:Q43" si="11">E26*0.01</f>
        <v>74.5</v>
      </c>
      <c r="R26" s="25">
        <v>155.82</v>
      </c>
      <c r="S26" s="25">
        <v>7</v>
      </c>
      <c r="T26" s="25">
        <f t="shared" ref="T26:T39" si="12">E26-J26*0.75-K26-F26-M26-N26-O26-Q26-I26-R26</f>
        <v>332.61399999999975</v>
      </c>
      <c r="U26" s="25"/>
      <c r="V26" s="25">
        <f t="shared" ref="V26:V27" si="13">J26*0.8</f>
        <v>2692.8</v>
      </c>
      <c r="W26" s="25">
        <v>170.76</v>
      </c>
      <c r="X26" s="22" t="s">
        <v>258</v>
      </c>
    </row>
    <row r="27" spans="1:24">
      <c r="A27" s="22" t="s">
        <v>268</v>
      </c>
      <c r="B27" s="23">
        <v>465184</v>
      </c>
      <c r="C27" s="24" t="s">
        <v>251</v>
      </c>
      <c r="D27" s="23">
        <v>7</v>
      </c>
      <c r="E27" s="25">
        <v>8500</v>
      </c>
      <c r="F27" s="25">
        <v>789.51</v>
      </c>
      <c r="G27" s="25">
        <v>0</v>
      </c>
      <c r="H27" s="25"/>
      <c r="I27" s="25">
        <v>3516.43</v>
      </c>
      <c r="J27" s="53">
        <v>4435</v>
      </c>
      <c r="K27" s="25">
        <f t="shared" si="9"/>
        <v>314.88499999999999</v>
      </c>
      <c r="L27" s="25">
        <v>0</v>
      </c>
      <c r="M27" s="25">
        <v>359.07</v>
      </c>
      <c r="N27" s="25">
        <f t="shared" si="10"/>
        <v>443.5</v>
      </c>
      <c r="O27" s="25">
        <v>40</v>
      </c>
      <c r="P27" s="25"/>
      <c r="Q27" s="25">
        <f t="shared" si="11"/>
        <v>85</v>
      </c>
      <c r="R27" s="25"/>
      <c r="S27" s="25">
        <v>7</v>
      </c>
      <c r="T27" s="25">
        <f t="shared" si="12"/>
        <v>-374.64500000000044</v>
      </c>
      <c r="U27" s="25"/>
      <c r="V27" s="25">
        <f t="shared" si="13"/>
        <v>3548</v>
      </c>
      <c r="W27" s="25">
        <v>119.12</v>
      </c>
      <c r="X27" s="22" t="s">
        <v>268</v>
      </c>
    </row>
    <row r="28" spans="1:24">
      <c r="A28" s="22" t="s">
        <v>269</v>
      </c>
      <c r="B28" s="23">
        <v>352377</v>
      </c>
      <c r="C28" s="24" t="s">
        <v>197</v>
      </c>
      <c r="D28" s="23">
        <v>5</v>
      </c>
      <c r="E28" s="25">
        <v>5718</v>
      </c>
      <c r="F28" s="25">
        <v>689.44</v>
      </c>
      <c r="G28" s="25">
        <v>0</v>
      </c>
      <c r="H28" s="25"/>
      <c r="I28" s="25">
        <v>2017.14</v>
      </c>
      <c r="J28" s="53">
        <v>2002</v>
      </c>
      <c r="K28" s="25">
        <f t="shared" si="9"/>
        <v>142.142</v>
      </c>
      <c r="L28" s="25">
        <v>0</v>
      </c>
      <c r="M28" s="25">
        <v>359.07</v>
      </c>
      <c r="N28" s="25">
        <f t="shared" si="10"/>
        <v>200.20000000000002</v>
      </c>
      <c r="O28" s="25">
        <v>32.5</v>
      </c>
      <c r="P28" s="25"/>
      <c r="Q28" s="25">
        <f t="shared" si="11"/>
        <v>57.18</v>
      </c>
      <c r="R28" s="25">
        <v>264.39999999999998</v>
      </c>
      <c r="S28" s="25">
        <v>7</v>
      </c>
      <c r="T28" s="25">
        <f t="shared" si="12"/>
        <v>454.42800000000022</v>
      </c>
      <c r="U28" s="25"/>
      <c r="V28" s="25">
        <f t="shared" ref="V28:V39" si="14">J28*0.75</f>
        <v>1501.5</v>
      </c>
      <c r="W28" s="25">
        <v>126.79</v>
      </c>
      <c r="X28" s="22" t="s">
        <v>269</v>
      </c>
    </row>
    <row r="29" spans="1:24">
      <c r="A29" s="22" t="s">
        <v>253</v>
      </c>
      <c r="B29" s="23">
        <v>352372</v>
      </c>
      <c r="C29" s="24" t="s">
        <v>197</v>
      </c>
      <c r="D29" s="23">
        <v>7</v>
      </c>
      <c r="E29" s="25">
        <v>8000</v>
      </c>
      <c r="F29" s="25">
        <v>689.44</v>
      </c>
      <c r="G29" s="25">
        <v>0</v>
      </c>
      <c r="H29" s="25"/>
      <c r="I29" s="25">
        <v>2570.11</v>
      </c>
      <c r="J29" s="53">
        <v>3444</v>
      </c>
      <c r="K29" s="25">
        <f t="shared" si="9"/>
        <v>244.52399999999997</v>
      </c>
      <c r="L29" s="25">
        <v>0</v>
      </c>
      <c r="M29" s="25">
        <v>359.07</v>
      </c>
      <c r="N29" s="25">
        <f t="shared" si="10"/>
        <v>344.40000000000003</v>
      </c>
      <c r="O29" s="25">
        <v>32.5</v>
      </c>
      <c r="P29" s="25"/>
      <c r="Q29" s="25">
        <f t="shared" si="11"/>
        <v>80</v>
      </c>
      <c r="R29" s="25">
        <v>28.52</v>
      </c>
      <c r="S29" s="25">
        <v>7</v>
      </c>
      <c r="T29" s="25">
        <f t="shared" si="12"/>
        <v>1068.4360000000001</v>
      </c>
      <c r="U29" s="25"/>
      <c r="V29" s="25">
        <f t="shared" si="14"/>
        <v>2583</v>
      </c>
      <c r="W29" s="25">
        <v>73.87</v>
      </c>
      <c r="X29" s="22" t="s">
        <v>253</v>
      </c>
    </row>
    <row r="30" spans="1:24">
      <c r="A30" s="22" t="s">
        <v>254</v>
      </c>
      <c r="B30" s="23">
        <v>465180</v>
      </c>
      <c r="C30" s="24" t="s">
        <v>197</v>
      </c>
      <c r="D30" s="23">
        <v>0</v>
      </c>
      <c r="E30" s="25">
        <v>0</v>
      </c>
      <c r="F30" s="25">
        <v>789.51</v>
      </c>
      <c r="G30" s="25">
        <v>0</v>
      </c>
      <c r="H30" s="25"/>
      <c r="I30" s="25">
        <v>0</v>
      </c>
      <c r="J30" s="53">
        <v>0</v>
      </c>
      <c r="K30" s="25">
        <f t="shared" si="9"/>
        <v>0</v>
      </c>
      <c r="L30" s="25">
        <v>0</v>
      </c>
      <c r="M30" s="25">
        <v>359.07</v>
      </c>
      <c r="N30" s="25">
        <f t="shared" si="10"/>
        <v>0</v>
      </c>
      <c r="O30" s="25">
        <v>32.5</v>
      </c>
      <c r="P30" s="25"/>
      <c r="Q30" s="25">
        <f t="shared" si="11"/>
        <v>0</v>
      </c>
      <c r="R30" s="25">
        <v>7</v>
      </c>
      <c r="S30" s="25">
        <v>7</v>
      </c>
      <c r="T30" s="25">
        <f t="shared" si="12"/>
        <v>-1188.08</v>
      </c>
      <c r="U30" s="25"/>
      <c r="V30" s="25">
        <f t="shared" si="14"/>
        <v>0</v>
      </c>
      <c r="W30" s="25"/>
      <c r="X30" s="22" t="s">
        <v>254</v>
      </c>
    </row>
    <row r="31" spans="1:24">
      <c r="A31" s="22" t="s">
        <v>247</v>
      </c>
      <c r="B31" s="23">
        <v>352376</v>
      </c>
      <c r="C31" s="24" t="s">
        <v>197</v>
      </c>
      <c r="D31" s="23">
        <v>7</v>
      </c>
      <c r="E31" s="25">
        <v>9250</v>
      </c>
      <c r="F31" s="25">
        <v>689.44</v>
      </c>
      <c r="G31" s="25">
        <v>0</v>
      </c>
      <c r="H31" s="25"/>
      <c r="I31" s="25">
        <v>2761.84</v>
      </c>
      <c r="J31" s="53">
        <v>4046</v>
      </c>
      <c r="K31" s="25">
        <f t="shared" si="9"/>
        <v>287.26599999999996</v>
      </c>
      <c r="L31" s="25">
        <v>0</v>
      </c>
      <c r="M31" s="25">
        <v>359.07</v>
      </c>
      <c r="N31" s="25">
        <f t="shared" si="10"/>
        <v>404.6</v>
      </c>
      <c r="O31" s="25">
        <v>26.25</v>
      </c>
      <c r="P31" s="25"/>
      <c r="Q31" s="25">
        <f t="shared" si="11"/>
        <v>92.5</v>
      </c>
      <c r="R31" s="25">
        <v>4.59</v>
      </c>
      <c r="S31" s="25">
        <v>7</v>
      </c>
      <c r="T31" s="25">
        <f t="shared" si="12"/>
        <v>1589.9439999999997</v>
      </c>
      <c r="U31" s="25"/>
      <c r="V31" s="25">
        <f t="shared" si="14"/>
        <v>3034.5</v>
      </c>
      <c r="W31" s="25">
        <v>186.3</v>
      </c>
      <c r="X31" s="22" t="s">
        <v>247</v>
      </c>
    </row>
    <row r="32" spans="1:24">
      <c r="A32" s="22" t="s">
        <v>218</v>
      </c>
      <c r="B32" s="23">
        <v>465182</v>
      </c>
      <c r="C32" s="24" t="s">
        <v>197</v>
      </c>
      <c r="D32" s="23">
        <v>7</v>
      </c>
      <c r="E32" s="25">
        <v>8425</v>
      </c>
      <c r="F32" s="25">
        <v>666.5</v>
      </c>
      <c r="G32" s="25">
        <v>0</v>
      </c>
      <c r="H32" s="25"/>
      <c r="I32" s="25">
        <v>3214.42</v>
      </c>
      <c r="J32" s="53">
        <v>3898</v>
      </c>
      <c r="K32" s="25">
        <f t="shared" si="9"/>
        <v>276.75799999999998</v>
      </c>
      <c r="L32" s="25">
        <v>0</v>
      </c>
      <c r="M32" s="25">
        <v>359.07</v>
      </c>
      <c r="N32" s="25">
        <f t="shared" si="10"/>
        <v>389.8</v>
      </c>
      <c r="O32" s="25">
        <v>40</v>
      </c>
      <c r="P32" s="25"/>
      <c r="Q32" s="25">
        <f t="shared" si="11"/>
        <v>84.25</v>
      </c>
      <c r="R32" s="25">
        <v>153.57</v>
      </c>
      <c r="S32" s="25">
        <v>7</v>
      </c>
      <c r="T32" s="25">
        <f t="shared" si="12"/>
        <v>317.13200000000023</v>
      </c>
      <c r="U32" s="25"/>
      <c r="V32" s="25">
        <f t="shared" si="14"/>
        <v>2923.5</v>
      </c>
      <c r="W32" s="25">
        <v>198.64</v>
      </c>
      <c r="X32" s="22" t="s">
        <v>218</v>
      </c>
    </row>
    <row r="33" spans="1:24">
      <c r="A33" s="22" t="s">
        <v>220</v>
      </c>
      <c r="B33" s="23">
        <v>465185</v>
      </c>
      <c r="C33" s="24" t="s">
        <v>197</v>
      </c>
      <c r="D33" s="23">
        <v>3</v>
      </c>
      <c r="E33" s="25">
        <v>2900</v>
      </c>
      <c r="F33" s="25">
        <v>789.51</v>
      </c>
      <c r="G33" s="25">
        <v>0</v>
      </c>
      <c r="H33" s="25"/>
      <c r="I33" s="25">
        <v>812.73</v>
      </c>
      <c r="J33" s="53">
        <v>1248</v>
      </c>
      <c r="K33" s="25">
        <f t="shared" si="9"/>
        <v>88.60799999999999</v>
      </c>
      <c r="L33" s="25">
        <v>0</v>
      </c>
      <c r="M33" s="25">
        <v>359.07</v>
      </c>
      <c r="N33" s="25">
        <f t="shared" si="10"/>
        <v>124.80000000000001</v>
      </c>
      <c r="O33" s="25">
        <v>40</v>
      </c>
      <c r="P33" s="25"/>
      <c r="Q33" s="25">
        <f t="shared" si="11"/>
        <v>29</v>
      </c>
      <c r="R33" s="25">
        <v>72</v>
      </c>
      <c r="S33" s="25">
        <v>7</v>
      </c>
      <c r="T33" s="25">
        <f t="shared" si="12"/>
        <v>-351.71799999999985</v>
      </c>
      <c r="U33" s="25"/>
      <c r="V33" s="25">
        <f t="shared" si="14"/>
        <v>936</v>
      </c>
      <c r="W33" s="25">
        <v>54.06</v>
      </c>
      <c r="X33" s="22" t="s">
        <v>220</v>
      </c>
    </row>
    <row r="34" spans="1:24">
      <c r="A34" s="22" t="s">
        <v>235</v>
      </c>
      <c r="B34" s="23">
        <v>352371</v>
      </c>
      <c r="C34" s="24" t="s">
        <v>197</v>
      </c>
      <c r="D34" s="23">
        <v>7</v>
      </c>
      <c r="E34" s="25">
        <v>8525</v>
      </c>
      <c r="F34" s="25">
        <v>689.44</v>
      </c>
      <c r="G34" s="25">
        <v>0</v>
      </c>
      <c r="H34" s="25"/>
      <c r="I34" s="25">
        <v>2636.77</v>
      </c>
      <c r="J34" s="53">
        <v>3527</v>
      </c>
      <c r="K34" s="25">
        <f t="shared" si="9"/>
        <v>250.41699999999997</v>
      </c>
      <c r="L34" s="25">
        <v>0</v>
      </c>
      <c r="M34" s="25">
        <v>359.07</v>
      </c>
      <c r="N34" s="25">
        <f t="shared" si="10"/>
        <v>352.70000000000005</v>
      </c>
      <c r="O34" s="25">
        <v>32.5</v>
      </c>
      <c r="P34" s="25"/>
      <c r="Q34" s="25">
        <f t="shared" si="11"/>
        <v>85.25</v>
      </c>
      <c r="R34" s="25">
        <v>161.93</v>
      </c>
      <c r="S34" s="25">
        <v>7</v>
      </c>
      <c r="T34" s="25">
        <f t="shared" si="12"/>
        <v>1311.6730000000005</v>
      </c>
      <c r="U34" s="25"/>
      <c r="V34" s="25">
        <f t="shared" si="14"/>
        <v>2645.25</v>
      </c>
      <c r="W34" s="25"/>
      <c r="X34" s="22" t="s">
        <v>235</v>
      </c>
    </row>
    <row r="35" spans="1:24">
      <c r="A35" s="22" t="s">
        <v>223</v>
      </c>
      <c r="B35" s="23">
        <v>465183</v>
      </c>
      <c r="C35" s="24" t="s">
        <v>197</v>
      </c>
      <c r="D35" s="23">
        <v>2</v>
      </c>
      <c r="E35" s="25">
        <v>3179</v>
      </c>
      <c r="F35" s="25">
        <v>789.51</v>
      </c>
      <c r="G35" s="25">
        <v>0</v>
      </c>
      <c r="H35" s="25"/>
      <c r="I35" s="25">
        <v>418.94</v>
      </c>
      <c r="J35" s="53">
        <v>1625</v>
      </c>
      <c r="K35" s="25">
        <f t="shared" si="9"/>
        <v>115.37499999999999</v>
      </c>
      <c r="L35" s="25">
        <v>0</v>
      </c>
      <c r="M35" s="25">
        <v>359.07</v>
      </c>
      <c r="N35" s="25">
        <f t="shared" si="10"/>
        <v>162.5</v>
      </c>
      <c r="O35" s="25">
        <v>26.25</v>
      </c>
      <c r="P35" s="25"/>
      <c r="Q35" s="25">
        <f t="shared" si="11"/>
        <v>31.79</v>
      </c>
      <c r="R35" s="25"/>
      <c r="S35" s="25">
        <v>7</v>
      </c>
      <c r="T35" s="25">
        <f t="shared" si="12"/>
        <v>56.815000000000055</v>
      </c>
      <c r="U35" s="25"/>
      <c r="V35" s="25">
        <f t="shared" si="14"/>
        <v>1218.75</v>
      </c>
      <c r="W35" s="25">
        <v>9.18</v>
      </c>
      <c r="X35" s="22" t="s">
        <v>223</v>
      </c>
    </row>
    <row r="36" spans="1:24">
      <c r="A36" s="22" t="s">
        <v>224</v>
      </c>
      <c r="B36" s="23">
        <v>465187</v>
      </c>
      <c r="C36" s="24" t="s">
        <v>197</v>
      </c>
      <c r="D36" s="23">
        <v>0</v>
      </c>
      <c r="E36" s="25">
        <v>0</v>
      </c>
      <c r="F36" s="25">
        <v>789.51</v>
      </c>
      <c r="G36" s="25">
        <v>0</v>
      </c>
      <c r="H36" s="25"/>
      <c r="I36" s="25">
        <v>0</v>
      </c>
      <c r="J36" s="53">
        <v>0</v>
      </c>
      <c r="K36" s="25">
        <f t="shared" si="9"/>
        <v>0</v>
      </c>
      <c r="L36" s="25">
        <v>0</v>
      </c>
      <c r="M36" s="25">
        <v>359.07</v>
      </c>
      <c r="N36" s="25">
        <f t="shared" si="10"/>
        <v>0</v>
      </c>
      <c r="O36" s="25">
        <v>40</v>
      </c>
      <c r="P36" s="25"/>
      <c r="Q36" s="25">
        <f t="shared" si="11"/>
        <v>0</v>
      </c>
      <c r="R36" s="25"/>
      <c r="S36" s="25">
        <v>7</v>
      </c>
      <c r="T36" s="25">
        <f t="shared" si="12"/>
        <v>-1188.58</v>
      </c>
      <c r="U36" s="25"/>
      <c r="V36" s="25">
        <f t="shared" si="14"/>
        <v>0</v>
      </c>
      <c r="W36" s="25"/>
      <c r="X36" s="22" t="s">
        <v>224</v>
      </c>
    </row>
    <row r="37" spans="1:24">
      <c r="A37" s="22" t="s">
        <v>207</v>
      </c>
      <c r="B37" s="23">
        <v>465186</v>
      </c>
      <c r="C37" s="24" t="s">
        <v>197</v>
      </c>
      <c r="D37" s="23">
        <v>3</v>
      </c>
      <c r="E37" s="25">
        <v>3300</v>
      </c>
      <c r="F37" s="25">
        <v>789.51</v>
      </c>
      <c r="G37" s="25">
        <v>0</v>
      </c>
      <c r="H37" s="25"/>
      <c r="I37" s="25">
        <v>748.18</v>
      </c>
      <c r="J37" s="53">
        <v>1237</v>
      </c>
      <c r="K37" s="25">
        <f t="shared" si="9"/>
        <v>87.826999999999998</v>
      </c>
      <c r="L37" s="25">
        <v>0</v>
      </c>
      <c r="M37" s="25">
        <v>359.07</v>
      </c>
      <c r="N37" s="25">
        <f t="shared" si="10"/>
        <v>123.7</v>
      </c>
      <c r="O37" s="25">
        <v>26.25</v>
      </c>
      <c r="P37" s="25"/>
      <c r="Q37" s="25">
        <f t="shared" si="11"/>
        <v>33</v>
      </c>
      <c r="R37" s="25"/>
      <c r="S37" s="25">
        <v>7</v>
      </c>
      <c r="T37" s="25">
        <f t="shared" si="12"/>
        <v>204.71299999999985</v>
      </c>
      <c r="U37" s="25"/>
      <c r="V37" s="25">
        <f t="shared" si="14"/>
        <v>927.75</v>
      </c>
      <c r="W37" s="25">
        <v>14.46</v>
      </c>
      <c r="X37" s="22" t="s">
        <v>207</v>
      </c>
    </row>
    <row r="38" spans="1:24">
      <c r="A38" s="34" t="s">
        <v>232</v>
      </c>
      <c r="B38" s="23">
        <v>465181</v>
      </c>
      <c r="C38" s="47" t="s">
        <v>197</v>
      </c>
      <c r="D38" s="47">
        <v>3</v>
      </c>
      <c r="E38" s="35">
        <v>2408</v>
      </c>
      <c r="F38" s="25">
        <v>789.51</v>
      </c>
      <c r="G38" s="25">
        <v>0</v>
      </c>
      <c r="H38" s="69"/>
      <c r="I38" s="35">
        <v>1142.29</v>
      </c>
      <c r="J38" s="54">
        <v>994</v>
      </c>
      <c r="K38" s="25">
        <f t="shared" si="9"/>
        <v>70.573999999999998</v>
      </c>
      <c r="L38" s="25">
        <v>0</v>
      </c>
      <c r="M38" s="25">
        <v>359.07</v>
      </c>
      <c r="N38" s="25">
        <f t="shared" si="10"/>
        <v>99.4</v>
      </c>
      <c r="O38" s="25">
        <v>26.25</v>
      </c>
      <c r="P38" s="25"/>
      <c r="Q38" s="25">
        <f t="shared" si="11"/>
        <v>24.080000000000002</v>
      </c>
      <c r="R38" s="35">
        <v>43.45</v>
      </c>
      <c r="S38" s="25">
        <v>7</v>
      </c>
      <c r="T38" s="25">
        <f t="shared" si="12"/>
        <v>-892.12400000000002</v>
      </c>
      <c r="U38" s="25"/>
      <c r="V38" s="25">
        <f t="shared" si="14"/>
        <v>745.5</v>
      </c>
      <c r="W38" s="35">
        <v>47.81</v>
      </c>
      <c r="X38" s="34" t="s">
        <v>232</v>
      </c>
    </row>
    <row r="39" spans="1:24">
      <c r="A39" s="22" t="s">
        <v>241</v>
      </c>
      <c r="B39" s="23">
        <v>352374</v>
      </c>
      <c r="C39" s="24" t="s">
        <v>197</v>
      </c>
      <c r="D39" s="23">
        <v>2</v>
      </c>
      <c r="E39" s="25">
        <v>2050</v>
      </c>
      <c r="F39" s="25">
        <v>689.44</v>
      </c>
      <c r="G39" s="25">
        <v>0</v>
      </c>
      <c r="H39" s="25"/>
      <c r="I39" s="25">
        <v>1822.94</v>
      </c>
      <c r="J39" s="53">
        <v>1122</v>
      </c>
      <c r="K39" s="25">
        <f t="shared" si="9"/>
        <v>79.661999999999992</v>
      </c>
      <c r="L39" s="25">
        <v>0</v>
      </c>
      <c r="M39" s="25">
        <v>359.07</v>
      </c>
      <c r="N39" s="25">
        <f t="shared" si="10"/>
        <v>112.2</v>
      </c>
      <c r="O39" s="25">
        <v>26.25</v>
      </c>
      <c r="P39" s="25"/>
      <c r="Q39" s="25">
        <f t="shared" si="11"/>
        <v>20.5</v>
      </c>
      <c r="R39" s="25">
        <v>53.27</v>
      </c>
      <c r="S39" s="25">
        <v>7</v>
      </c>
      <c r="T39" s="25">
        <f t="shared" si="12"/>
        <v>-1954.8320000000001</v>
      </c>
      <c r="U39" s="25"/>
      <c r="V39" s="25">
        <f t="shared" si="14"/>
        <v>841.5</v>
      </c>
      <c r="W39" s="25">
        <v>19.100000000000001</v>
      </c>
      <c r="X39" s="22" t="s">
        <v>241</v>
      </c>
    </row>
    <row r="40" spans="1:24">
      <c r="A40" s="22" t="s">
        <v>242</v>
      </c>
      <c r="B40" s="23">
        <v>359886</v>
      </c>
      <c r="C40" s="24" t="s">
        <v>251</v>
      </c>
      <c r="D40" s="23">
        <v>2</v>
      </c>
      <c r="E40" s="58">
        <v>1893</v>
      </c>
      <c r="F40" s="25">
        <v>689.44</v>
      </c>
      <c r="G40" s="25">
        <v>0</v>
      </c>
      <c r="H40" s="25"/>
      <c r="I40" s="25">
        <v>948.61</v>
      </c>
      <c r="J40" s="53">
        <v>937</v>
      </c>
      <c r="K40" s="25">
        <f t="shared" si="9"/>
        <v>66.527000000000001</v>
      </c>
      <c r="L40" s="25">
        <v>0</v>
      </c>
      <c r="M40" s="25">
        <v>359.07</v>
      </c>
      <c r="N40" s="25">
        <f t="shared" si="10"/>
        <v>93.7</v>
      </c>
      <c r="O40" s="25">
        <v>26.25</v>
      </c>
      <c r="P40" s="25"/>
      <c r="Q40" s="25">
        <f t="shared" si="11"/>
        <v>18.93</v>
      </c>
      <c r="R40" s="25">
        <v>105.65</v>
      </c>
      <c r="S40" s="25">
        <v>7</v>
      </c>
      <c r="T40" s="25">
        <f>E40-J40*0.8-K40-F40-M40-N40-O40-Q40-I40-R40</f>
        <v>-1164.777</v>
      </c>
      <c r="U40" s="25"/>
      <c r="V40" s="25">
        <f>J40*0.8</f>
        <v>749.6</v>
      </c>
      <c r="W40" s="25">
        <v>35.15</v>
      </c>
      <c r="X40" s="22" t="s">
        <v>242</v>
      </c>
    </row>
    <row r="41" spans="1:24">
      <c r="A41" s="22" t="s">
        <v>260</v>
      </c>
      <c r="B41" s="23">
        <v>465189</v>
      </c>
      <c r="C41" s="24" t="s">
        <v>197</v>
      </c>
      <c r="D41" s="23">
        <v>4</v>
      </c>
      <c r="E41" s="25">
        <v>4300</v>
      </c>
      <c r="F41" s="25">
        <v>789.51</v>
      </c>
      <c r="G41" s="25">
        <v>0</v>
      </c>
      <c r="H41" s="25"/>
      <c r="I41" s="25">
        <v>1518.05</v>
      </c>
      <c r="J41" s="53">
        <v>1754</v>
      </c>
      <c r="K41" s="25">
        <f t="shared" si="9"/>
        <v>124.53399999999999</v>
      </c>
      <c r="L41" s="25">
        <v>0</v>
      </c>
      <c r="M41" s="25">
        <v>359.07</v>
      </c>
      <c r="N41" s="25">
        <f t="shared" si="10"/>
        <v>175.4</v>
      </c>
      <c r="O41" s="25">
        <v>26.25</v>
      </c>
      <c r="P41" s="25"/>
      <c r="Q41" s="25">
        <f t="shared" si="11"/>
        <v>43</v>
      </c>
      <c r="R41" s="25">
        <v>3.64</v>
      </c>
      <c r="S41" s="25">
        <v>7</v>
      </c>
      <c r="T41" s="25">
        <f>E41-J41*0.75-K41-F41-M41-N41-O41-Q41-I41-R41</f>
        <v>-54.953999999999851</v>
      </c>
      <c r="U41" s="25"/>
      <c r="V41" s="25">
        <f>J41*0.75</f>
        <v>1315.5</v>
      </c>
      <c r="W41" s="25">
        <v>65.239999999999995</v>
      </c>
      <c r="X41" s="22" t="s">
        <v>260</v>
      </c>
    </row>
    <row r="42" spans="1:24">
      <c r="A42" s="59" t="s">
        <v>261</v>
      </c>
      <c r="B42" s="60">
        <v>1650</v>
      </c>
      <c r="C42" s="61" t="s">
        <v>262</v>
      </c>
      <c r="D42" s="60">
        <v>7</v>
      </c>
      <c r="E42" s="62">
        <v>10785</v>
      </c>
      <c r="F42" s="62">
        <v>0</v>
      </c>
      <c r="G42" s="62">
        <v>0</v>
      </c>
      <c r="H42" s="62"/>
      <c r="I42" s="62">
        <v>3875.69</v>
      </c>
      <c r="J42" s="63">
        <v>4423</v>
      </c>
      <c r="K42" s="62">
        <f t="shared" si="9"/>
        <v>314.03299999999996</v>
      </c>
      <c r="L42" s="62">
        <f>J42*0.17</f>
        <v>751.91000000000008</v>
      </c>
      <c r="M42" s="62">
        <v>0</v>
      </c>
      <c r="N42" s="62">
        <f t="shared" si="10"/>
        <v>442.3</v>
      </c>
      <c r="O42" s="62">
        <v>0</v>
      </c>
      <c r="P42" s="62"/>
      <c r="Q42" s="62">
        <f t="shared" si="11"/>
        <v>107.85000000000001</v>
      </c>
      <c r="R42" s="62"/>
      <c r="S42" s="62">
        <v>0</v>
      </c>
      <c r="T42" s="62">
        <f>E42*0.18-N42-Q42</f>
        <v>1391.15</v>
      </c>
      <c r="U42" s="62"/>
      <c r="V42" s="62">
        <f>E42*0.82-I42</f>
        <v>4968.0099999999984</v>
      </c>
      <c r="W42" s="59">
        <v>183.75</v>
      </c>
      <c r="X42" s="59" t="s">
        <v>261</v>
      </c>
    </row>
    <row r="43" spans="1:24">
      <c r="A43" s="22" t="s">
        <v>270</v>
      </c>
      <c r="B43" s="23">
        <v>352368</v>
      </c>
      <c r="C43" s="24" t="s">
        <v>197</v>
      </c>
      <c r="D43" s="23">
        <v>4</v>
      </c>
      <c r="E43" s="25">
        <v>3869</v>
      </c>
      <c r="F43" s="25">
        <v>689.44</v>
      </c>
      <c r="G43" s="25">
        <v>0</v>
      </c>
      <c r="H43" s="25"/>
      <c r="I43" s="25">
        <v>1511.55</v>
      </c>
      <c r="J43" s="53">
        <v>1780</v>
      </c>
      <c r="K43" s="25">
        <f t="shared" si="9"/>
        <v>126.38</v>
      </c>
      <c r="L43" s="25">
        <v>0</v>
      </c>
      <c r="M43" s="25">
        <v>359.07</v>
      </c>
      <c r="N43" s="25">
        <f t="shared" si="10"/>
        <v>178</v>
      </c>
      <c r="O43" s="25">
        <v>26.25</v>
      </c>
      <c r="P43" s="25"/>
      <c r="Q43" s="25">
        <f t="shared" si="11"/>
        <v>38.69</v>
      </c>
      <c r="R43" s="25">
        <v>14.54</v>
      </c>
      <c r="S43" s="25">
        <v>7</v>
      </c>
      <c r="T43" s="25">
        <f>E43-J43*0.75-K43-F43-M43-N43-O43-Q43-I43-R43</f>
        <v>-409.92000000000013</v>
      </c>
      <c r="U43" s="25"/>
      <c r="V43" s="25">
        <f>J43*0.75</f>
        <v>1335</v>
      </c>
      <c r="W43" s="25"/>
      <c r="X43" s="22" t="s">
        <v>270</v>
      </c>
    </row>
    <row r="44" spans="1:24">
      <c r="A44" s="39" t="s">
        <v>89</v>
      </c>
      <c r="B44" s="40">
        <v>19</v>
      </c>
      <c r="C44" s="41" t="s">
        <v>271</v>
      </c>
      <c r="D44" s="40">
        <f>AVERAGE(D26:D43)</f>
        <v>4.166666666666667</v>
      </c>
      <c r="E44" s="42">
        <f>SUM(E26:E43)</f>
        <v>90552</v>
      </c>
      <c r="F44" s="42">
        <f t="shared" ref="F44:G44" si="15">SUM(F26:F42)</f>
        <v>11908.730000000003</v>
      </c>
      <c r="G44" s="42">
        <f t="shared" si="15"/>
        <v>0</v>
      </c>
      <c r="H44" s="42"/>
      <c r="I44" s="42">
        <f t="shared" ref="I44:J44" si="16">SUM(I26:I43)</f>
        <v>32127.839999999997</v>
      </c>
      <c r="J44" s="41">
        <f t="shared" si="16"/>
        <v>39838</v>
      </c>
      <c r="K44" s="42">
        <f t="shared" ref="K44:O44" si="17">SUM(K26:K42)</f>
        <v>2702.1179999999995</v>
      </c>
      <c r="L44" s="42">
        <f t="shared" si="17"/>
        <v>751.91000000000008</v>
      </c>
      <c r="M44" s="42">
        <f t="shared" si="17"/>
        <v>5745.12</v>
      </c>
      <c r="N44" s="42">
        <f t="shared" si="17"/>
        <v>3805.8</v>
      </c>
      <c r="O44" s="42">
        <f t="shared" si="17"/>
        <v>500</v>
      </c>
      <c r="P44" s="42"/>
      <c r="Q44" s="42">
        <f>SUM(Q26:Q42)</f>
        <v>866.83</v>
      </c>
      <c r="R44" s="42">
        <f>SUM(R26:R43)</f>
        <v>1068.3800000000001</v>
      </c>
      <c r="S44" s="42">
        <f>SUM(S26:S42)</f>
        <v>112</v>
      </c>
      <c r="T44" s="42">
        <f>SUM(T26:T43)</f>
        <v>-852.72499999999968</v>
      </c>
      <c r="U44" s="42"/>
      <c r="V44" s="42">
        <f t="shared" ref="V44:W44" si="18">SUM(V26:V43)</f>
        <v>31966.159999999996</v>
      </c>
      <c r="W44" s="25">
        <f t="shared" si="18"/>
        <v>1304.23</v>
      </c>
    </row>
    <row r="45" spans="1:24">
      <c r="W45" s="70"/>
    </row>
    <row r="46" spans="1:24">
      <c r="A46" s="457" t="s">
        <v>272</v>
      </c>
      <c r="B46" s="458"/>
      <c r="C46" s="458"/>
      <c r="D46" s="458"/>
      <c r="E46" s="458"/>
      <c r="F46" s="458"/>
      <c r="G46" s="458"/>
      <c r="H46" s="458"/>
      <c r="I46" s="458"/>
      <c r="J46" s="458"/>
      <c r="K46" s="458"/>
      <c r="L46" s="458"/>
      <c r="M46" s="458"/>
      <c r="N46" s="458"/>
      <c r="O46" s="458"/>
      <c r="P46" s="458"/>
      <c r="Q46" s="458"/>
      <c r="R46" s="458"/>
      <c r="S46" s="458"/>
      <c r="T46" s="458"/>
      <c r="U46" s="458"/>
      <c r="V46" s="458"/>
      <c r="W46" s="459"/>
      <c r="X46" s="14"/>
    </row>
    <row r="47" spans="1:24">
      <c r="A47" s="1" t="s">
        <v>0</v>
      </c>
      <c r="B47" s="2" t="s">
        <v>1</v>
      </c>
      <c r="C47" s="2" t="s">
        <v>183</v>
      </c>
      <c r="D47" s="2" t="s">
        <v>3</v>
      </c>
      <c r="E47" s="2" t="s">
        <v>2</v>
      </c>
      <c r="F47" s="2" t="s">
        <v>4</v>
      </c>
      <c r="G47" s="2" t="s">
        <v>6</v>
      </c>
      <c r="H47" s="2"/>
      <c r="I47" s="2" t="s">
        <v>7</v>
      </c>
      <c r="J47" s="2" t="s">
        <v>9</v>
      </c>
      <c r="K47" s="2" t="s">
        <v>106</v>
      </c>
      <c r="L47" s="2" t="s">
        <v>107</v>
      </c>
      <c r="M47" s="2" t="s">
        <v>5</v>
      </c>
      <c r="N47" s="2" t="s">
        <v>12</v>
      </c>
      <c r="O47" s="2" t="s">
        <v>184</v>
      </c>
      <c r="P47" s="2"/>
      <c r="Q47" s="2" t="s">
        <v>108</v>
      </c>
      <c r="R47" s="2" t="s">
        <v>8</v>
      </c>
      <c r="S47" s="12" t="s">
        <v>185</v>
      </c>
      <c r="T47" s="2" t="s">
        <v>13</v>
      </c>
      <c r="U47" s="2"/>
      <c r="V47" s="14" t="s">
        <v>98</v>
      </c>
      <c r="W47" s="14" t="s">
        <v>257</v>
      </c>
      <c r="X47" s="14" t="s">
        <v>273</v>
      </c>
    </row>
    <row r="48" spans="1:24">
      <c r="A48" s="22" t="s">
        <v>258</v>
      </c>
      <c r="B48" s="23">
        <v>352374</v>
      </c>
      <c r="C48" s="24" t="s">
        <v>251</v>
      </c>
      <c r="D48" s="23">
        <v>4</v>
      </c>
      <c r="E48" s="25">
        <v>4500</v>
      </c>
      <c r="F48" s="25">
        <v>789.51</v>
      </c>
      <c r="G48" s="25">
        <v>0</v>
      </c>
      <c r="H48" s="25"/>
      <c r="I48" s="25">
        <v>2002.37</v>
      </c>
      <c r="J48" s="53">
        <v>2769</v>
      </c>
      <c r="K48" s="25">
        <f t="shared" ref="K48:K64" si="19">J48*0.071</f>
        <v>196.59899999999999</v>
      </c>
      <c r="L48" s="25">
        <v>0</v>
      </c>
      <c r="M48" s="25">
        <v>359.07</v>
      </c>
      <c r="N48" s="25">
        <f t="shared" ref="N48:N64" si="20">J48*0.1</f>
        <v>276.90000000000003</v>
      </c>
      <c r="O48" s="25">
        <v>26.25</v>
      </c>
      <c r="P48" s="25"/>
      <c r="Q48" s="25">
        <f t="shared" ref="Q48:Q64" si="21">E48*0.01</f>
        <v>45</v>
      </c>
      <c r="R48" s="25">
        <v>198.96</v>
      </c>
      <c r="S48" s="25">
        <v>7</v>
      </c>
      <c r="T48" s="25">
        <f t="shared" ref="T48:T62" si="22">E48-J48*0.75-K48-F48-M48-N48-O48-Q48-I48-R48</f>
        <v>-1471.4090000000001</v>
      </c>
      <c r="U48" s="25"/>
      <c r="V48" s="25">
        <f t="shared" ref="V48:V49" si="23">J48*0.8</f>
        <v>2215.2000000000003</v>
      </c>
      <c r="W48" s="25">
        <v>170.76</v>
      </c>
      <c r="X48" s="25">
        <v>0</v>
      </c>
    </row>
    <row r="49" spans="1:24">
      <c r="A49" s="22" t="s">
        <v>268</v>
      </c>
      <c r="B49" s="23" t="s">
        <v>274</v>
      </c>
      <c r="C49" s="24" t="s">
        <v>251</v>
      </c>
      <c r="D49" s="23">
        <v>7</v>
      </c>
      <c r="E49" s="25">
        <v>4887</v>
      </c>
      <c r="F49" s="25">
        <v>789.51</v>
      </c>
      <c r="G49" s="25">
        <v>0</v>
      </c>
      <c r="H49" s="25"/>
      <c r="I49" s="25">
        <v>1514.53</v>
      </c>
      <c r="J49" s="53">
        <v>1780</v>
      </c>
      <c r="K49" s="25">
        <f t="shared" si="19"/>
        <v>126.38</v>
      </c>
      <c r="L49" s="25">
        <v>0</v>
      </c>
      <c r="M49" s="25">
        <v>359.07</v>
      </c>
      <c r="N49" s="25">
        <f t="shared" si="20"/>
        <v>178</v>
      </c>
      <c r="O49" s="25">
        <v>40</v>
      </c>
      <c r="P49" s="25"/>
      <c r="Q49" s="25">
        <f t="shared" si="21"/>
        <v>48.870000000000005</v>
      </c>
      <c r="R49" s="25">
        <v>66.7</v>
      </c>
      <c r="S49" s="25">
        <v>7</v>
      </c>
      <c r="T49" s="25">
        <f t="shared" si="22"/>
        <v>428.93999999999966</v>
      </c>
      <c r="U49" s="25"/>
      <c r="V49" s="25">
        <f t="shared" si="23"/>
        <v>1424</v>
      </c>
      <c r="W49" s="25">
        <v>119.12</v>
      </c>
      <c r="X49" s="25">
        <v>0</v>
      </c>
    </row>
    <row r="50" spans="1:24">
      <c r="A50" s="22" t="s">
        <v>269</v>
      </c>
      <c r="B50" s="23">
        <v>352377</v>
      </c>
      <c r="C50" s="24" t="s">
        <v>197</v>
      </c>
      <c r="D50" s="23">
        <v>7</v>
      </c>
      <c r="E50" s="25">
        <v>7450</v>
      </c>
      <c r="F50" s="25">
        <v>689.44</v>
      </c>
      <c r="G50" s="25">
        <v>0</v>
      </c>
      <c r="H50" s="25"/>
      <c r="I50" s="25">
        <v>2257.79</v>
      </c>
      <c r="J50" s="53">
        <v>3366</v>
      </c>
      <c r="K50" s="25">
        <f t="shared" si="19"/>
        <v>238.98599999999999</v>
      </c>
      <c r="L50" s="25">
        <v>0</v>
      </c>
      <c r="M50" s="25">
        <v>359.07</v>
      </c>
      <c r="N50" s="25">
        <f t="shared" si="20"/>
        <v>336.6</v>
      </c>
      <c r="O50" s="25">
        <v>32.5</v>
      </c>
      <c r="P50" s="25"/>
      <c r="Q50" s="25">
        <f t="shared" si="21"/>
        <v>74.5</v>
      </c>
      <c r="R50" s="25">
        <v>183.7</v>
      </c>
      <c r="S50" s="25">
        <v>7</v>
      </c>
      <c r="T50" s="25">
        <f t="shared" si="22"/>
        <v>752.91399999999999</v>
      </c>
      <c r="U50" s="25"/>
      <c r="V50" s="25">
        <f t="shared" ref="V50:V62" si="24">J50*0.75</f>
        <v>2524.5</v>
      </c>
      <c r="W50" s="25">
        <v>126.79</v>
      </c>
      <c r="X50" s="25">
        <v>0</v>
      </c>
    </row>
    <row r="51" spans="1:24">
      <c r="A51" s="22" t="s">
        <v>253</v>
      </c>
      <c r="B51" s="23">
        <v>352372</v>
      </c>
      <c r="C51" s="24" t="s">
        <v>197</v>
      </c>
      <c r="D51" s="23">
        <v>7</v>
      </c>
      <c r="E51" s="25">
        <v>9100</v>
      </c>
      <c r="F51" s="25">
        <v>689.44</v>
      </c>
      <c r="G51" s="25">
        <v>0</v>
      </c>
      <c r="H51" s="25"/>
      <c r="I51" s="25">
        <v>3029.45</v>
      </c>
      <c r="J51" s="53">
        <v>3926</v>
      </c>
      <c r="K51" s="25">
        <f t="shared" si="19"/>
        <v>278.74599999999998</v>
      </c>
      <c r="L51" s="25">
        <v>0</v>
      </c>
      <c r="M51" s="25">
        <v>359.07</v>
      </c>
      <c r="N51" s="25">
        <f t="shared" si="20"/>
        <v>392.6</v>
      </c>
      <c r="O51" s="25">
        <v>32.5</v>
      </c>
      <c r="P51" s="25"/>
      <c r="Q51" s="25">
        <f t="shared" si="21"/>
        <v>91</v>
      </c>
      <c r="R51" s="25">
        <v>95.73</v>
      </c>
      <c r="S51" s="25">
        <v>7</v>
      </c>
      <c r="T51" s="25">
        <f t="shared" si="22"/>
        <v>1186.9640000000004</v>
      </c>
      <c r="U51" s="25"/>
      <c r="V51" s="25">
        <f t="shared" si="24"/>
        <v>2944.5</v>
      </c>
      <c r="W51" s="25">
        <v>73.87</v>
      </c>
      <c r="X51" s="25">
        <v>0</v>
      </c>
    </row>
    <row r="52" spans="1:24">
      <c r="A52" s="22" t="s">
        <v>254</v>
      </c>
      <c r="B52" s="23">
        <v>465180</v>
      </c>
      <c r="C52" s="24" t="s">
        <v>197</v>
      </c>
      <c r="D52" s="23">
        <v>7</v>
      </c>
      <c r="E52" s="25">
        <v>7646</v>
      </c>
      <c r="F52" s="25">
        <v>789.51</v>
      </c>
      <c r="G52" s="25">
        <v>0</v>
      </c>
      <c r="H52" s="25"/>
      <c r="I52" s="25">
        <v>2012.06</v>
      </c>
      <c r="J52" s="53">
        <v>3178</v>
      </c>
      <c r="K52" s="25">
        <f t="shared" si="19"/>
        <v>225.63799999999998</v>
      </c>
      <c r="L52" s="25">
        <v>0</v>
      </c>
      <c r="M52" s="25">
        <v>359.07</v>
      </c>
      <c r="N52" s="25">
        <f t="shared" si="20"/>
        <v>317.8</v>
      </c>
      <c r="O52" s="25">
        <v>32.5</v>
      </c>
      <c r="P52" s="25"/>
      <c r="Q52" s="25">
        <f t="shared" si="21"/>
        <v>76.460000000000008</v>
      </c>
      <c r="R52" s="25">
        <v>8.85</v>
      </c>
      <c r="S52" s="25">
        <v>7</v>
      </c>
      <c r="T52" s="25">
        <f t="shared" si="22"/>
        <v>1440.6119999999996</v>
      </c>
      <c r="U52" s="25"/>
      <c r="V52" s="25">
        <f t="shared" si="24"/>
        <v>2383.5</v>
      </c>
      <c r="W52" s="25"/>
      <c r="X52" s="25">
        <v>0</v>
      </c>
    </row>
    <row r="53" spans="1:24">
      <c r="A53" s="22" t="s">
        <v>247</v>
      </c>
      <c r="B53" s="23">
        <v>352376</v>
      </c>
      <c r="C53" s="24" t="s">
        <v>197</v>
      </c>
      <c r="D53" s="23">
        <v>6</v>
      </c>
      <c r="E53" s="25">
        <v>7358</v>
      </c>
      <c r="F53" s="25">
        <v>689.44</v>
      </c>
      <c r="G53" s="25">
        <v>0</v>
      </c>
      <c r="H53" s="25"/>
      <c r="I53" s="25">
        <v>2480.17</v>
      </c>
      <c r="J53" s="53">
        <v>3161</v>
      </c>
      <c r="K53" s="25">
        <f t="shared" si="19"/>
        <v>224.43099999999998</v>
      </c>
      <c r="L53" s="25">
        <v>0</v>
      </c>
      <c r="M53" s="25">
        <v>359.07</v>
      </c>
      <c r="N53" s="25">
        <f t="shared" si="20"/>
        <v>316.10000000000002</v>
      </c>
      <c r="O53" s="25">
        <v>26.25</v>
      </c>
      <c r="P53" s="25"/>
      <c r="Q53" s="25">
        <f t="shared" si="21"/>
        <v>73.58</v>
      </c>
      <c r="R53" s="25">
        <v>76.489999999999995</v>
      </c>
      <c r="S53" s="25">
        <v>7</v>
      </c>
      <c r="T53" s="25">
        <f t="shared" si="22"/>
        <v>741.71900000000028</v>
      </c>
      <c r="U53" s="25"/>
      <c r="V53" s="25">
        <f t="shared" si="24"/>
        <v>2370.75</v>
      </c>
      <c r="W53" s="25">
        <v>186.3</v>
      </c>
      <c r="X53" s="25">
        <v>0</v>
      </c>
    </row>
    <row r="54" spans="1:24">
      <c r="A54" s="22" t="s">
        <v>218</v>
      </c>
      <c r="B54" s="23">
        <v>465182</v>
      </c>
      <c r="C54" s="24" t="s">
        <v>197</v>
      </c>
      <c r="D54" s="23">
        <v>7</v>
      </c>
      <c r="E54" s="25">
        <v>8798</v>
      </c>
      <c r="F54" s="25">
        <v>666.5</v>
      </c>
      <c r="G54" s="25">
        <v>0</v>
      </c>
      <c r="H54" s="25"/>
      <c r="I54" s="25">
        <v>2893.95</v>
      </c>
      <c r="J54" s="53">
        <v>3431</v>
      </c>
      <c r="K54" s="25">
        <f t="shared" si="19"/>
        <v>243.60099999999997</v>
      </c>
      <c r="L54" s="25">
        <v>0</v>
      </c>
      <c r="M54" s="25">
        <v>359.07</v>
      </c>
      <c r="N54" s="25">
        <f t="shared" si="20"/>
        <v>343.1</v>
      </c>
      <c r="O54" s="25">
        <v>40</v>
      </c>
      <c r="P54" s="25"/>
      <c r="Q54" s="25">
        <f t="shared" si="21"/>
        <v>87.98</v>
      </c>
      <c r="R54" s="25">
        <v>284.45999999999998</v>
      </c>
      <c r="S54" s="25">
        <v>7</v>
      </c>
      <c r="T54" s="25">
        <f t="shared" si="22"/>
        <v>1306.0890000000009</v>
      </c>
      <c r="U54" s="25"/>
      <c r="V54" s="25">
        <f t="shared" si="24"/>
        <v>2573.25</v>
      </c>
      <c r="W54" s="25">
        <v>198.64</v>
      </c>
      <c r="X54" s="25">
        <v>0</v>
      </c>
    </row>
    <row r="55" spans="1:24">
      <c r="A55" s="22" t="s">
        <v>220</v>
      </c>
      <c r="B55" s="23">
        <v>465185</v>
      </c>
      <c r="C55" s="24" t="s">
        <v>197</v>
      </c>
      <c r="D55" s="23">
        <v>7</v>
      </c>
      <c r="E55" s="25">
        <v>9300</v>
      </c>
      <c r="F55" s="25">
        <v>789.51</v>
      </c>
      <c r="G55" s="25">
        <v>0</v>
      </c>
      <c r="H55" s="25"/>
      <c r="I55" s="25">
        <v>2958.11</v>
      </c>
      <c r="J55" s="53">
        <v>3563</v>
      </c>
      <c r="K55" s="25">
        <f t="shared" si="19"/>
        <v>252.97299999999998</v>
      </c>
      <c r="L55" s="25">
        <v>0</v>
      </c>
      <c r="M55" s="25">
        <v>359.07</v>
      </c>
      <c r="N55" s="25">
        <f t="shared" si="20"/>
        <v>356.3</v>
      </c>
      <c r="O55" s="25">
        <v>40</v>
      </c>
      <c r="P55" s="25"/>
      <c r="Q55" s="25">
        <f t="shared" si="21"/>
        <v>93</v>
      </c>
      <c r="R55" s="25">
        <v>340.58</v>
      </c>
      <c r="S55" s="25">
        <v>7</v>
      </c>
      <c r="T55" s="25">
        <f t="shared" si="22"/>
        <v>1438.2069999999999</v>
      </c>
      <c r="U55" s="25"/>
      <c r="V55" s="25">
        <f t="shared" si="24"/>
        <v>2672.25</v>
      </c>
      <c r="W55" s="25">
        <v>54.06</v>
      </c>
      <c r="X55" s="25">
        <v>0</v>
      </c>
    </row>
    <row r="56" spans="1:24">
      <c r="A56" s="22" t="s">
        <v>235</v>
      </c>
      <c r="B56" s="23">
        <v>352371</v>
      </c>
      <c r="C56" s="24" t="s">
        <v>197</v>
      </c>
      <c r="D56" s="23">
        <v>7</v>
      </c>
      <c r="E56" s="25">
        <v>6275</v>
      </c>
      <c r="F56" s="25">
        <v>689.44</v>
      </c>
      <c r="G56" s="25">
        <v>0</v>
      </c>
      <c r="H56" s="25"/>
      <c r="I56" s="25">
        <v>2774.91</v>
      </c>
      <c r="J56" s="53">
        <v>2643</v>
      </c>
      <c r="K56" s="25">
        <f t="shared" si="19"/>
        <v>187.65299999999999</v>
      </c>
      <c r="L56" s="25">
        <v>0</v>
      </c>
      <c r="M56" s="25">
        <v>359.07</v>
      </c>
      <c r="N56" s="25">
        <f t="shared" si="20"/>
        <v>264.3</v>
      </c>
      <c r="O56" s="25">
        <v>32.5</v>
      </c>
      <c r="P56" s="25"/>
      <c r="Q56" s="25">
        <f t="shared" si="21"/>
        <v>62.75</v>
      </c>
      <c r="R56" s="25">
        <v>347.47</v>
      </c>
      <c r="S56" s="25">
        <v>7</v>
      </c>
      <c r="T56" s="25">
        <f t="shared" si="22"/>
        <v>-425.34300000000053</v>
      </c>
      <c r="U56" s="25"/>
      <c r="V56" s="25">
        <f t="shared" si="24"/>
        <v>1982.25</v>
      </c>
      <c r="W56" s="25"/>
      <c r="X56" s="25">
        <v>0</v>
      </c>
    </row>
    <row r="57" spans="1:24">
      <c r="A57" s="22" t="s">
        <v>275</v>
      </c>
      <c r="B57" s="23">
        <v>465183</v>
      </c>
      <c r="C57" s="24" t="s">
        <v>197</v>
      </c>
      <c r="D57" s="23">
        <v>6</v>
      </c>
      <c r="E57" s="25">
        <v>7550</v>
      </c>
      <c r="F57" s="25">
        <v>789.51</v>
      </c>
      <c r="G57" s="25">
        <v>0</v>
      </c>
      <c r="H57" s="25"/>
      <c r="I57" s="25">
        <v>2643.29</v>
      </c>
      <c r="J57" s="53">
        <v>2807</v>
      </c>
      <c r="K57" s="25">
        <f t="shared" si="19"/>
        <v>199.29699999999997</v>
      </c>
      <c r="L57" s="25">
        <v>0</v>
      </c>
      <c r="M57" s="25">
        <v>359.07</v>
      </c>
      <c r="N57" s="25">
        <f t="shared" si="20"/>
        <v>280.7</v>
      </c>
      <c r="O57" s="25">
        <v>26.25</v>
      </c>
      <c r="P57" s="25"/>
      <c r="Q57" s="25">
        <f t="shared" si="21"/>
        <v>75.5</v>
      </c>
      <c r="R57" s="25">
        <v>77.38</v>
      </c>
      <c r="S57" s="25">
        <v>7</v>
      </c>
      <c r="T57" s="25">
        <f t="shared" si="22"/>
        <v>993.75300000000072</v>
      </c>
      <c r="U57" s="25"/>
      <c r="V57" s="25">
        <f t="shared" si="24"/>
        <v>2105.25</v>
      </c>
      <c r="W57" s="25">
        <v>9.18</v>
      </c>
      <c r="X57" s="25">
        <v>0</v>
      </c>
    </row>
    <row r="58" spans="1:24">
      <c r="A58" s="22" t="s">
        <v>207</v>
      </c>
      <c r="B58" s="23">
        <v>465186</v>
      </c>
      <c r="C58" s="24" t="s">
        <v>197</v>
      </c>
      <c r="D58" s="23">
        <v>1</v>
      </c>
      <c r="E58" s="25">
        <v>1650</v>
      </c>
      <c r="F58" s="25">
        <v>789.51</v>
      </c>
      <c r="G58" s="25">
        <v>0</v>
      </c>
      <c r="H58" s="25"/>
      <c r="I58" s="25">
        <v>525.25</v>
      </c>
      <c r="J58" s="53">
        <v>1225</v>
      </c>
      <c r="K58" s="25">
        <f t="shared" si="19"/>
        <v>86.974999999999994</v>
      </c>
      <c r="L58" s="25">
        <v>0</v>
      </c>
      <c r="M58" s="25">
        <v>359.07</v>
      </c>
      <c r="N58" s="25">
        <f t="shared" si="20"/>
        <v>122.5</v>
      </c>
      <c r="O58" s="25">
        <v>26.25</v>
      </c>
      <c r="P58" s="25"/>
      <c r="Q58" s="25">
        <f t="shared" si="21"/>
        <v>16.5</v>
      </c>
      <c r="R58" s="25">
        <v>13.95</v>
      </c>
      <c r="S58" s="25">
        <v>7</v>
      </c>
      <c r="T58" s="25">
        <f t="shared" si="22"/>
        <v>-1208.7550000000001</v>
      </c>
      <c r="U58" s="25"/>
      <c r="V58" s="25">
        <f t="shared" si="24"/>
        <v>918.75</v>
      </c>
      <c r="W58" s="25">
        <v>14.46</v>
      </c>
      <c r="X58" s="25">
        <v>0</v>
      </c>
    </row>
    <row r="59" spans="1:24">
      <c r="A59" s="22" t="s">
        <v>224</v>
      </c>
      <c r="B59" s="23">
        <v>465187</v>
      </c>
      <c r="C59" s="24" t="s">
        <v>197</v>
      </c>
      <c r="D59" s="23">
        <v>3</v>
      </c>
      <c r="E59" s="25">
        <v>2700</v>
      </c>
      <c r="F59" s="25">
        <v>789.51</v>
      </c>
      <c r="G59" s="25">
        <v>0</v>
      </c>
      <c r="H59" s="25"/>
      <c r="I59" s="25">
        <v>1657.73</v>
      </c>
      <c r="J59" s="53">
        <v>1369</v>
      </c>
      <c r="K59" s="25">
        <f t="shared" si="19"/>
        <v>97.198999999999998</v>
      </c>
      <c r="L59" s="25">
        <v>0</v>
      </c>
      <c r="M59" s="25">
        <v>359.07</v>
      </c>
      <c r="N59" s="25">
        <f t="shared" si="20"/>
        <v>136.9</v>
      </c>
      <c r="O59" s="25">
        <v>40</v>
      </c>
      <c r="P59" s="25"/>
      <c r="Q59" s="25">
        <f t="shared" si="21"/>
        <v>27</v>
      </c>
      <c r="R59" s="25">
        <v>191.82</v>
      </c>
      <c r="S59" s="25">
        <v>7</v>
      </c>
      <c r="T59" s="25">
        <f t="shared" si="22"/>
        <v>-1625.979</v>
      </c>
      <c r="U59" s="25"/>
      <c r="V59" s="25">
        <f t="shared" si="24"/>
        <v>1026.75</v>
      </c>
      <c r="W59" s="25"/>
      <c r="X59" s="25">
        <v>0</v>
      </c>
    </row>
    <row r="60" spans="1:24">
      <c r="A60" s="34" t="s">
        <v>232</v>
      </c>
      <c r="B60" s="23">
        <v>465181</v>
      </c>
      <c r="C60" s="47" t="s">
        <v>197</v>
      </c>
      <c r="D60" s="47">
        <v>7</v>
      </c>
      <c r="E60" s="35">
        <v>8550</v>
      </c>
      <c r="F60" s="25">
        <v>789.51</v>
      </c>
      <c r="G60" s="25">
        <v>0</v>
      </c>
      <c r="H60" s="69"/>
      <c r="I60" s="35">
        <v>2614.1</v>
      </c>
      <c r="J60" s="54">
        <v>3432</v>
      </c>
      <c r="K60" s="25">
        <f t="shared" si="19"/>
        <v>243.67199999999997</v>
      </c>
      <c r="L60" s="25">
        <v>0</v>
      </c>
      <c r="M60" s="25">
        <v>359.07</v>
      </c>
      <c r="N60" s="25">
        <f t="shared" si="20"/>
        <v>343.20000000000005</v>
      </c>
      <c r="O60" s="25">
        <v>26.25</v>
      </c>
      <c r="P60" s="25"/>
      <c r="Q60" s="25">
        <f t="shared" si="21"/>
        <v>85.5</v>
      </c>
      <c r="R60" s="35">
        <v>134.80000000000001</v>
      </c>
      <c r="S60" s="25">
        <v>7</v>
      </c>
      <c r="T60" s="25">
        <f t="shared" si="22"/>
        <v>1379.8980000000008</v>
      </c>
      <c r="U60" s="25"/>
      <c r="V60" s="25">
        <f t="shared" si="24"/>
        <v>2574</v>
      </c>
      <c r="W60" s="35">
        <v>47.81</v>
      </c>
      <c r="X60" s="25">
        <v>0</v>
      </c>
    </row>
    <row r="61" spans="1:24">
      <c r="A61" s="22" t="s">
        <v>276</v>
      </c>
      <c r="B61" s="23">
        <v>359885</v>
      </c>
      <c r="C61" s="24" t="s">
        <v>197</v>
      </c>
      <c r="D61" s="23">
        <v>6</v>
      </c>
      <c r="E61" s="25">
        <v>6725</v>
      </c>
      <c r="F61" s="25">
        <v>689.44</v>
      </c>
      <c r="G61" s="25">
        <v>0</v>
      </c>
      <c r="H61" s="25"/>
      <c r="I61" s="25">
        <v>3309.09</v>
      </c>
      <c r="J61" s="53">
        <v>2955</v>
      </c>
      <c r="K61" s="25">
        <f t="shared" si="19"/>
        <v>209.80499999999998</v>
      </c>
      <c r="L61" s="25">
        <v>0</v>
      </c>
      <c r="M61" s="25">
        <v>359.07</v>
      </c>
      <c r="N61" s="25">
        <f t="shared" si="20"/>
        <v>295.5</v>
      </c>
      <c r="O61" s="25">
        <v>26.25</v>
      </c>
      <c r="P61" s="25"/>
      <c r="Q61" s="25">
        <f t="shared" si="21"/>
        <v>67.25</v>
      </c>
      <c r="R61" s="25">
        <v>139.99</v>
      </c>
      <c r="S61" s="25">
        <v>7</v>
      </c>
      <c r="T61" s="25">
        <f t="shared" si="22"/>
        <v>-587.64500000000066</v>
      </c>
      <c r="U61" s="25"/>
      <c r="V61" s="25">
        <f t="shared" si="24"/>
        <v>2216.25</v>
      </c>
      <c r="W61" s="25">
        <v>19.100000000000001</v>
      </c>
      <c r="X61" s="25">
        <v>0</v>
      </c>
    </row>
    <row r="62" spans="1:24">
      <c r="A62" s="22" t="s">
        <v>260</v>
      </c>
      <c r="B62" s="23">
        <v>465189</v>
      </c>
      <c r="C62" s="24" t="s">
        <v>251</v>
      </c>
      <c r="D62" s="23">
        <v>7</v>
      </c>
      <c r="E62" s="25">
        <v>9850</v>
      </c>
      <c r="F62" s="25">
        <v>789.51</v>
      </c>
      <c r="G62" s="25">
        <v>0</v>
      </c>
      <c r="H62" s="25"/>
      <c r="I62" s="25">
        <v>2921.93</v>
      </c>
      <c r="J62" s="53">
        <v>4490</v>
      </c>
      <c r="K62" s="25">
        <f t="shared" si="19"/>
        <v>318.78999999999996</v>
      </c>
      <c r="L62" s="25">
        <v>0</v>
      </c>
      <c r="M62" s="25">
        <v>359.07</v>
      </c>
      <c r="N62" s="25">
        <f t="shared" si="20"/>
        <v>449</v>
      </c>
      <c r="O62" s="25">
        <v>26.25</v>
      </c>
      <c r="P62" s="25"/>
      <c r="Q62" s="25">
        <f t="shared" si="21"/>
        <v>98.5</v>
      </c>
      <c r="R62" s="25">
        <v>6.9</v>
      </c>
      <c r="S62" s="25">
        <v>7</v>
      </c>
      <c r="T62" s="25">
        <f t="shared" si="22"/>
        <v>1512.5500000000002</v>
      </c>
      <c r="U62" s="25"/>
      <c r="V62" s="25">
        <f t="shared" si="24"/>
        <v>3367.5</v>
      </c>
      <c r="W62" s="25">
        <v>65.239999999999995</v>
      </c>
      <c r="X62" s="25">
        <v>0</v>
      </c>
    </row>
    <row r="63" spans="1:24">
      <c r="A63" s="59" t="s">
        <v>261</v>
      </c>
      <c r="B63" s="60">
        <v>1650</v>
      </c>
      <c r="C63" s="61" t="s">
        <v>262</v>
      </c>
      <c r="D63" s="60">
        <v>1</v>
      </c>
      <c r="E63" s="62">
        <v>1750</v>
      </c>
      <c r="F63" s="62">
        <v>0</v>
      </c>
      <c r="G63" s="62">
        <v>0</v>
      </c>
      <c r="H63" s="62"/>
      <c r="I63" s="62">
        <v>576.16999999999996</v>
      </c>
      <c r="J63" s="63">
        <v>714</v>
      </c>
      <c r="K63" s="62">
        <f t="shared" si="19"/>
        <v>50.693999999999996</v>
      </c>
      <c r="L63" s="62">
        <v>0</v>
      </c>
      <c r="M63" s="62">
        <v>0</v>
      </c>
      <c r="N63" s="62">
        <f t="shared" si="20"/>
        <v>71.400000000000006</v>
      </c>
      <c r="O63" s="62">
        <v>0</v>
      </c>
      <c r="P63" s="62"/>
      <c r="Q63" s="62">
        <f t="shared" si="21"/>
        <v>17.5</v>
      </c>
      <c r="R63" s="62"/>
      <c r="S63" s="62">
        <v>0</v>
      </c>
      <c r="T63" s="62">
        <f>E63*0.18-N63-Q63</f>
        <v>226.1</v>
      </c>
      <c r="U63" s="62"/>
      <c r="V63" s="62">
        <f>E63*0.82-I63</f>
        <v>858.83</v>
      </c>
      <c r="W63" s="59">
        <v>183.75</v>
      </c>
      <c r="X63" s="25">
        <v>0</v>
      </c>
    </row>
    <row r="64" spans="1:24">
      <c r="A64" s="22" t="s">
        <v>270</v>
      </c>
      <c r="B64" s="23">
        <v>352368</v>
      </c>
      <c r="C64" s="24" t="s">
        <v>197</v>
      </c>
      <c r="D64" s="23">
        <v>7</v>
      </c>
      <c r="E64" s="25">
        <v>5248</v>
      </c>
      <c r="F64" s="25">
        <v>689.44</v>
      </c>
      <c r="G64" s="25">
        <v>0</v>
      </c>
      <c r="H64" s="25"/>
      <c r="I64" s="25">
        <v>2064.67</v>
      </c>
      <c r="J64" s="53">
        <v>2031</v>
      </c>
      <c r="K64" s="25">
        <f t="shared" si="19"/>
        <v>144.20099999999999</v>
      </c>
      <c r="L64" s="25">
        <v>0</v>
      </c>
      <c r="M64" s="25">
        <v>359.07</v>
      </c>
      <c r="N64" s="25">
        <f t="shared" si="20"/>
        <v>203.10000000000002</v>
      </c>
      <c r="O64" s="25">
        <v>26.25</v>
      </c>
      <c r="P64" s="25"/>
      <c r="Q64" s="25">
        <f t="shared" si="21"/>
        <v>52.480000000000004</v>
      </c>
      <c r="R64" s="25">
        <v>98.7</v>
      </c>
      <c r="S64" s="25">
        <v>7</v>
      </c>
      <c r="T64" s="25">
        <f>E64-J64*0.75-K64-F64-M64-N64-O64-Q64-I64-R64</f>
        <v>86.838999999999757</v>
      </c>
      <c r="U64" s="25"/>
      <c r="V64" s="25">
        <f>J64*0.75</f>
        <v>1523.25</v>
      </c>
      <c r="W64" s="25"/>
      <c r="X64" s="25">
        <f t="shared" ref="X64:X65" si="25">SUM(X48:X63)</f>
        <v>0</v>
      </c>
    </row>
    <row r="65" spans="1:24">
      <c r="A65" s="39" t="s">
        <v>89</v>
      </c>
      <c r="B65" s="40">
        <v>17</v>
      </c>
      <c r="C65" s="41" t="s">
        <v>271</v>
      </c>
      <c r="D65" s="40">
        <f>AVERAGE(D48:D64)</f>
        <v>5.7058823529411766</v>
      </c>
      <c r="E65" s="42">
        <f t="shared" ref="E65:F65" si="26">SUM(E48:E64)</f>
        <v>109337</v>
      </c>
      <c r="F65" s="42">
        <f t="shared" si="26"/>
        <v>11908.730000000003</v>
      </c>
      <c r="G65" s="42">
        <f>SUM(G48:G63)</f>
        <v>0</v>
      </c>
      <c r="H65" s="42"/>
      <c r="I65" s="42">
        <f t="shared" ref="I65:J65" si="27">SUM(I48:I64)</f>
        <v>38235.569999999992</v>
      </c>
      <c r="J65" s="41">
        <f t="shared" si="27"/>
        <v>46840</v>
      </c>
      <c r="K65" s="42">
        <f t="shared" ref="K65:O65" si="28">SUM(K48:K63)</f>
        <v>3181.4389999999994</v>
      </c>
      <c r="L65" s="42">
        <f t="shared" si="28"/>
        <v>0</v>
      </c>
      <c r="M65" s="42">
        <f t="shared" si="28"/>
        <v>5386.05</v>
      </c>
      <c r="N65" s="42">
        <f t="shared" si="28"/>
        <v>4480.8999999999996</v>
      </c>
      <c r="O65" s="42">
        <f t="shared" si="28"/>
        <v>473.75</v>
      </c>
      <c r="P65" s="42"/>
      <c r="Q65" s="42">
        <f>SUM(Q48:Q63)</f>
        <v>1040.8900000000001</v>
      </c>
      <c r="R65" s="42">
        <f>SUM(R48:R64)</f>
        <v>2266.48</v>
      </c>
      <c r="S65" s="42">
        <f>SUM(S48:S63)</f>
        <v>105</v>
      </c>
      <c r="T65" s="42">
        <f>SUM(T48:T64)</f>
        <v>6175.4540000000006</v>
      </c>
      <c r="U65" s="42"/>
      <c r="V65" s="42">
        <f t="shared" ref="V65:W65" si="29">SUM(V48:V64)</f>
        <v>35680.78</v>
      </c>
      <c r="W65" s="25">
        <f t="shared" si="29"/>
        <v>1269.08</v>
      </c>
      <c r="X65" s="25">
        <f t="shared" si="25"/>
        <v>0</v>
      </c>
    </row>
    <row r="67" spans="1:24">
      <c r="A67" s="457" t="s">
        <v>277</v>
      </c>
      <c r="B67" s="458"/>
      <c r="C67" s="458"/>
      <c r="D67" s="458"/>
      <c r="E67" s="458"/>
      <c r="F67" s="458"/>
      <c r="G67" s="458"/>
      <c r="H67" s="458"/>
      <c r="I67" s="458"/>
      <c r="J67" s="458"/>
      <c r="K67" s="458"/>
      <c r="L67" s="458"/>
      <c r="M67" s="458"/>
      <c r="N67" s="458"/>
      <c r="O67" s="458"/>
      <c r="P67" s="458"/>
      <c r="Q67" s="458"/>
      <c r="R67" s="458"/>
      <c r="S67" s="458"/>
      <c r="T67" s="458"/>
      <c r="U67" s="458"/>
      <c r="V67" s="458"/>
      <c r="W67" s="459"/>
      <c r="X67" s="14"/>
    </row>
    <row r="68" spans="1:24">
      <c r="A68" s="1" t="s">
        <v>0</v>
      </c>
      <c r="B68" s="2" t="s">
        <v>1</v>
      </c>
      <c r="C68" s="2" t="s">
        <v>183</v>
      </c>
      <c r="D68" s="2" t="s">
        <v>3</v>
      </c>
      <c r="E68" s="2" t="s">
        <v>2</v>
      </c>
      <c r="F68" s="2" t="s">
        <v>4</v>
      </c>
      <c r="G68" s="2" t="s">
        <v>6</v>
      </c>
      <c r="H68" s="2"/>
      <c r="I68" s="2" t="s">
        <v>7</v>
      </c>
      <c r="J68" s="2" t="s">
        <v>9</v>
      </c>
      <c r="K68" s="2" t="s">
        <v>106</v>
      </c>
      <c r="L68" s="2" t="s">
        <v>107</v>
      </c>
      <c r="M68" s="2" t="s">
        <v>5</v>
      </c>
      <c r="N68" s="2" t="s">
        <v>12</v>
      </c>
      <c r="O68" s="2" t="s">
        <v>184</v>
      </c>
      <c r="P68" s="2"/>
      <c r="Q68" s="2" t="s">
        <v>108</v>
      </c>
      <c r="R68" s="2" t="s">
        <v>8</v>
      </c>
      <c r="S68" s="12" t="s">
        <v>185</v>
      </c>
      <c r="T68" s="2" t="s">
        <v>13</v>
      </c>
      <c r="U68" s="2"/>
      <c r="V68" s="14" t="s">
        <v>98</v>
      </c>
      <c r="W68" s="14" t="s">
        <v>257</v>
      </c>
      <c r="X68" s="14" t="s">
        <v>273</v>
      </c>
    </row>
    <row r="69" spans="1:24">
      <c r="A69" s="22" t="s">
        <v>258</v>
      </c>
      <c r="B69" s="23">
        <v>352374</v>
      </c>
      <c r="C69" s="24" t="s">
        <v>251</v>
      </c>
      <c r="D69" s="23">
        <v>3</v>
      </c>
      <c r="E69" s="25">
        <v>4305</v>
      </c>
      <c r="F69" s="25">
        <v>789.51</v>
      </c>
      <c r="G69" s="25">
        <v>0</v>
      </c>
      <c r="H69" s="25"/>
      <c r="I69" s="25">
        <v>1183.5999999999999</v>
      </c>
      <c r="J69" s="53">
        <v>1657</v>
      </c>
      <c r="K69" s="25">
        <f t="shared" ref="K69:K84" si="30">J69*0.071</f>
        <v>117.64699999999999</v>
      </c>
      <c r="L69" s="25">
        <v>0</v>
      </c>
      <c r="M69" s="25">
        <v>359.07</v>
      </c>
      <c r="N69" s="25">
        <f t="shared" ref="N69:N84" si="31">J69*0.1</f>
        <v>165.70000000000002</v>
      </c>
      <c r="O69" s="25">
        <v>26.25</v>
      </c>
      <c r="P69" s="25"/>
      <c r="Q69" s="25">
        <f t="shared" ref="Q69:Q84" si="32">E69*0.01</f>
        <v>43.050000000000004</v>
      </c>
      <c r="R69" s="25">
        <v>153.49</v>
      </c>
      <c r="S69" s="25">
        <v>7</v>
      </c>
      <c r="T69" s="25">
        <f>E69-J69*0.75-K69-F69-M69-N69-O69-Q69-I69-R69</f>
        <v>223.93299999999999</v>
      </c>
      <c r="U69" s="25"/>
      <c r="V69" s="25">
        <f t="shared" ref="V69:V70" si="33">J69*0.8</f>
        <v>1325.6000000000001</v>
      </c>
      <c r="W69" s="25">
        <v>74.13</v>
      </c>
      <c r="X69" s="25">
        <v>0</v>
      </c>
    </row>
    <row r="70" spans="1:24">
      <c r="A70" s="22" t="s">
        <v>268</v>
      </c>
      <c r="B70" s="23">
        <v>352368</v>
      </c>
      <c r="C70" s="24" t="s">
        <v>251</v>
      </c>
      <c r="D70" s="23">
        <v>5</v>
      </c>
      <c r="E70" s="25">
        <v>5500</v>
      </c>
      <c r="F70" s="25">
        <v>789.51</v>
      </c>
      <c r="G70" s="25">
        <v>0</v>
      </c>
      <c r="H70" s="25"/>
      <c r="I70" s="25">
        <v>1832.87</v>
      </c>
      <c r="J70" s="53">
        <v>499</v>
      </c>
      <c r="K70" s="25">
        <f t="shared" si="30"/>
        <v>35.428999999999995</v>
      </c>
      <c r="L70" s="25">
        <v>0</v>
      </c>
      <c r="M70" s="25">
        <v>359.07</v>
      </c>
      <c r="N70" s="25">
        <f t="shared" si="31"/>
        <v>49.900000000000006</v>
      </c>
      <c r="O70" s="25">
        <v>40</v>
      </c>
      <c r="P70" s="25"/>
      <c r="Q70" s="25">
        <f t="shared" si="32"/>
        <v>55</v>
      </c>
      <c r="R70" s="25">
        <v>89.28</v>
      </c>
      <c r="S70" s="25">
        <v>7</v>
      </c>
      <c r="T70" s="25">
        <f>E70-J70*0.8-K70-F70-M70-N70-O70-Q70-I70-R70</f>
        <v>1849.7409999999998</v>
      </c>
      <c r="U70" s="25"/>
      <c r="V70" s="25">
        <f t="shared" si="33"/>
        <v>399.20000000000005</v>
      </c>
      <c r="W70" s="25">
        <v>69.87</v>
      </c>
      <c r="X70" s="25">
        <v>600</v>
      </c>
    </row>
    <row r="71" spans="1:24">
      <c r="A71" s="22" t="s">
        <v>269</v>
      </c>
      <c r="B71" s="23">
        <v>352377</v>
      </c>
      <c r="C71" s="24" t="s">
        <v>197</v>
      </c>
      <c r="D71" s="23">
        <v>6</v>
      </c>
      <c r="E71" s="25">
        <v>6650</v>
      </c>
      <c r="F71" s="25">
        <v>689.44</v>
      </c>
      <c r="G71" s="25">
        <v>0</v>
      </c>
      <c r="H71" s="25"/>
      <c r="I71" s="25">
        <v>1922.93</v>
      </c>
      <c r="J71" s="53">
        <v>2985</v>
      </c>
      <c r="K71" s="25">
        <f t="shared" si="30"/>
        <v>211.93499999999997</v>
      </c>
      <c r="L71" s="25">
        <v>0</v>
      </c>
      <c r="M71" s="25">
        <v>359.07</v>
      </c>
      <c r="N71" s="25">
        <f t="shared" si="31"/>
        <v>298.5</v>
      </c>
      <c r="O71" s="25">
        <v>32.5</v>
      </c>
      <c r="P71" s="25"/>
      <c r="Q71" s="25">
        <f t="shared" si="32"/>
        <v>66.5</v>
      </c>
      <c r="R71" s="25">
        <v>389.57</v>
      </c>
      <c r="S71" s="25">
        <v>7</v>
      </c>
      <c r="T71" s="25">
        <f t="shared" ref="T71:T81" si="34">E71-J71*0.75-K71-F71-M71-N71-O71-Q71-I71-R71</f>
        <v>440.80499999999932</v>
      </c>
      <c r="U71" s="25"/>
      <c r="V71" s="25">
        <f t="shared" ref="V71:V82" si="35">J71*0.75</f>
        <v>2238.75</v>
      </c>
      <c r="W71" s="25">
        <v>117.57</v>
      </c>
      <c r="X71" s="25">
        <v>0</v>
      </c>
    </row>
    <row r="72" spans="1:24">
      <c r="A72" s="22" t="s">
        <v>253</v>
      </c>
      <c r="B72" s="23">
        <v>352372</v>
      </c>
      <c r="C72" s="24" t="s">
        <v>197</v>
      </c>
      <c r="D72" s="23">
        <v>7</v>
      </c>
      <c r="E72" s="25">
        <v>7600</v>
      </c>
      <c r="F72" s="25">
        <v>689.44</v>
      </c>
      <c r="G72" s="25">
        <v>0</v>
      </c>
      <c r="H72" s="25"/>
      <c r="I72" s="25">
        <v>1889.25</v>
      </c>
      <c r="J72" s="53">
        <v>3104</v>
      </c>
      <c r="K72" s="25">
        <f t="shared" si="30"/>
        <v>220.38399999999999</v>
      </c>
      <c r="L72" s="25">
        <v>0</v>
      </c>
      <c r="M72" s="25">
        <v>359.07</v>
      </c>
      <c r="N72" s="25">
        <f t="shared" si="31"/>
        <v>310.40000000000003</v>
      </c>
      <c r="O72" s="25">
        <v>32.5</v>
      </c>
      <c r="P72" s="25"/>
      <c r="Q72" s="25">
        <f t="shared" si="32"/>
        <v>76</v>
      </c>
      <c r="R72" s="25">
        <v>134.75</v>
      </c>
      <c r="S72" s="25">
        <v>7</v>
      </c>
      <c r="T72" s="25">
        <f t="shared" si="34"/>
        <v>1560.2059999999992</v>
      </c>
      <c r="U72" s="25"/>
      <c r="V72" s="25">
        <f t="shared" si="35"/>
        <v>2328</v>
      </c>
      <c r="W72" s="25">
        <v>102.64</v>
      </c>
      <c r="X72" s="25">
        <v>0</v>
      </c>
    </row>
    <row r="73" spans="1:24">
      <c r="A73" s="22" t="s">
        <v>254</v>
      </c>
      <c r="B73" s="23">
        <v>465180</v>
      </c>
      <c r="C73" s="24" t="s">
        <v>197</v>
      </c>
      <c r="D73" s="23">
        <v>7</v>
      </c>
      <c r="E73" s="25">
        <v>7180</v>
      </c>
      <c r="F73" s="25">
        <v>789.51</v>
      </c>
      <c r="G73" s="25">
        <v>0</v>
      </c>
      <c r="H73" s="25"/>
      <c r="I73" s="25">
        <v>2630.37</v>
      </c>
      <c r="J73" s="53">
        <v>3026</v>
      </c>
      <c r="K73" s="25">
        <f t="shared" si="30"/>
        <v>214.84599999999998</v>
      </c>
      <c r="L73" s="25">
        <v>0</v>
      </c>
      <c r="M73" s="25">
        <v>359.07</v>
      </c>
      <c r="N73" s="25">
        <f t="shared" si="31"/>
        <v>302.60000000000002</v>
      </c>
      <c r="O73" s="25">
        <v>32.5</v>
      </c>
      <c r="P73" s="25"/>
      <c r="Q73" s="25">
        <f t="shared" si="32"/>
        <v>71.8</v>
      </c>
      <c r="R73" s="25">
        <v>137.44999999999999</v>
      </c>
      <c r="S73" s="25">
        <v>7</v>
      </c>
      <c r="T73" s="25">
        <f t="shared" si="34"/>
        <v>372.3540000000001</v>
      </c>
      <c r="U73" s="25"/>
      <c r="V73" s="25">
        <f t="shared" si="35"/>
        <v>2269.5</v>
      </c>
      <c r="W73" s="25">
        <v>128.66999999999999</v>
      </c>
      <c r="X73" s="25">
        <v>0</v>
      </c>
    </row>
    <row r="74" spans="1:24">
      <c r="A74" s="22" t="s">
        <v>247</v>
      </c>
      <c r="B74" s="23">
        <v>352376</v>
      </c>
      <c r="C74" s="24" t="s">
        <v>197</v>
      </c>
      <c r="D74" s="23">
        <v>1</v>
      </c>
      <c r="E74" s="25">
        <v>1300</v>
      </c>
      <c r="F74" s="25">
        <v>689.44</v>
      </c>
      <c r="G74" s="25">
        <v>0</v>
      </c>
      <c r="H74" s="25"/>
      <c r="I74" s="25">
        <v>0</v>
      </c>
      <c r="J74" s="53">
        <v>0</v>
      </c>
      <c r="K74" s="25">
        <f t="shared" si="30"/>
        <v>0</v>
      </c>
      <c r="L74" s="25">
        <v>0</v>
      </c>
      <c r="M74" s="25">
        <v>359.07</v>
      </c>
      <c r="N74" s="25">
        <f t="shared" si="31"/>
        <v>0</v>
      </c>
      <c r="O74" s="25">
        <v>26.25</v>
      </c>
      <c r="P74" s="25"/>
      <c r="Q74" s="25">
        <f t="shared" si="32"/>
        <v>13</v>
      </c>
      <c r="R74" s="25">
        <v>26.33</v>
      </c>
      <c r="S74" s="25">
        <v>7</v>
      </c>
      <c r="T74" s="25">
        <f t="shared" si="34"/>
        <v>185.90999999999997</v>
      </c>
      <c r="U74" s="25"/>
      <c r="V74" s="25">
        <f t="shared" si="35"/>
        <v>0</v>
      </c>
      <c r="W74" s="25"/>
      <c r="X74" s="25">
        <v>0</v>
      </c>
    </row>
    <row r="75" spans="1:24">
      <c r="A75" s="22" t="s">
        <v>218</v>
      </c>
      <c r="B75" s="23">
        <v>465182</v>
      </c>
      <c r="C75" s="24" t="s">
        <v>197</v>
      </c>
      <c r="D75" s="23">
        <v>3</v>
      </c>
      <c r="E75" s="25">
        <v>4250</v>
      </c>
      <c r="F75" s="25">
        <v>666.5</v>
      </c>
      <c r="G75" s="25">
        <v>0</v>
      </c>
      <c r="H75" s="25"/>
      <c r="I75" s="25">
        <v>2115.9699999999998</v>
      </c>
      <c r="J75" s="53">
        <v>1702</v>
      </c>
      <c r="K75" s="25">
        <f t="shared" si="30"/>
        <v>120.84199999999998</v>
      </c>
      <c r="L75" s="25">
        <v>0</v>
      </c>
      <c r="M75" s="25">
        <v>359.07</v>
      </c>
      <c r="N75" s="25">
        <f t="shared" si="31"/>
        <v>170.20000000000002</v>
      </c>
      <c r="O75" s="25">
        <v>40</v>
      </c>
      <c r="P75" s="25"/>
      <c r="Q75" s="25">
        <f t="shared" si="32"/>
        <v>42.5</v>
      </c>
      <c r="R75" s="25">
        <v>208.36</v>
      </c>
      <c r="S75" s="25">
        <v>7</v>
      </c>
      <c r="T75" s="25">
        <f t="shared" si="34"/>
        <v>-749.94199999999989</v>
      </c>
      <c r="U75" s="25"/>
      <c r="V75" s="25">
        <f t="shared" si="35"/>
        <v>1276.5</v>
      </c>
      <c r="W75" s="25">
        <v>91.53</v>
      </c>
      <c r="X75" s="25">
        <v>100</v>
      </c>
    </row>
    <row r="76" spans="1:24">
      <c r="A76" s="22" t="s">
        <v>220</v>
      </c>
      <c r="B76" s="23">
        <v>465185</v>
      </c>
      <c r="C76" s="24" t="s">
        <v>197</v>
      </c>
      <c r="D76" s="23">
        <v>5</v>
      </c>
      <c r="E76" s="25">
        <v>5780</v>
      </c>
      <c r="F76" s="25">
        <v>789.51</v>
      </c>
      <c r="G76" s="25">
        <v>0</v>
      </c>
      <c r="H76" s="25"/>
      <c r="I76" s="25">
        <v>1713.3</v>
      </c>
      <c r="J76" s="53">
        <v>2329</v>
      </c>
      <c r="K76" s="25">
        <f t="shared" si="30"/>
        <v>165.35899999999998</v>
      </c>
      <c r="L76" s="25">
        <v>0</v>
      </c>
      <c r="M76" s="25">
        <v>359.07</v>
      </c>
      <c r="N76" s="25">
        <f t="shared" si="31"/>
        <v>232.9</v>
      </c>
      <c r="O76" s="25">
        <v>40</v>
      </c>
      <c r="P76" s="25"/>
      <c r="Q76" s="25">
        <f t="shared" si="32"/>
        <v>57.800000000000004</v>
      </c>
      <c r="R76" s="25">
        <v>347.95</v>
      </c>
      <c r="S76" s="25">
        <v>7</v>
      </c>
      <c r="T76" s="25">
        <f t="shared" si="34"/>
        <v>327.36099999999993</v>
      </c>
      <c r="U76" s="25"/>
      <c r="V76" s="25">
        <f t="shared" si="35"/>
        <v>1746.75</v>
      </c>
      <c r="W76" s="25">
        <v>85.3</v>
      </c>
      <c r="X76" s="25">
        <v>200</v>
      </c>
    </row>
    <row r="77" spans="1:24">
      <c r="A77" s="22" t="s">
        <v>235</v>
      </c>
      <c r="B77" s="23">
        <v>352371</v>
      </c>
      <c r="C77" s="24" t="s">
        <v>197</v>
      </c>
      <c r="D77" s="23">
        <v>7</v>
      </c>
      <c r="E77" s="25">
        <v>9799</v>
      </c>
      <c r="F77" s="25">
        <v>689.44</v>
      </c>
      <c r="G77" s="25">
        <v>0</v>
      </c>
      <c r="H77" s="25"/>
      <c r="I77" s="25">
        <v>2654.29</v>
      </c>
      <c r="J77" s="53">
        <v>4244</v>
      </c>
      <c r="K77" s="25">
        <f t="shared" si="30"/>
        <v>301.32399999999996</v>
      </c>
      <c r="L77" s="25">
        <v>0</v>
      </c>
      <c r="M77" s="25">
        <v>359.07</v>
      </c>
      <c r="N77" s="25">
        <f t="shared" si="31"/>
        <v>424.40000000000003</v>
      </c>
      <c r="O77" s="25">
        <v>32.5</v>
      </c>
      <c r="P77" s="25"/>
      <c r="Q77" s="25">
        <f t="shared" si="32"/>
        <v>97.990000000000009</v>
      </c>
      <c r="R77" s="25">
        <v>311.13</v>
      </c>
      <c r="S77" s="25">
        <v>7</v>
      </c>
      <c r="T77" s="25">
        <f t="shared" si="34"/>
        <v>1745.8560000000016</v>
      </c>
      <c r="U77" s="25"/>
      <c r="V77" s="25">
        <f t="shared" si="35"/>
        <v>3183</v>
      </c>
      <c r="W77" s="25">
        <v>167.99</v>
      </c>
      <c r="X77" s="25">
        <v>0</v>
      </c>
    </row>
    <row r="78" spans="1:24">
      <c r="A78" s="22" t="s">
        <v>223</v>
      </c>
      <c r="B78" s="23">
        <v>465183</v>
      </c>
      <c r="C78" s="24" t="s">
        <v>197</v>
      </c>
      <c r="D78" s="23">
        <v>7</v>
      </c>
      <c r="E78" s="25">
        <v>7450</v>
      </c>
      <c r="F78" s="25">
        <v>789.51</v>
      </c>
      <c r="G78" s="25">
        <v>0</v>
      </c>
      <c r="H78" s="25"/>
      <c r="I78" s="25">
        <v>2587.63</v>
      </c>
      <c r="J78" s="53">
        <v>3125</v>
      </c>
      <c r="K78" s="25">
        <f t="shared" si="30"/>
        <v>221.87499999999997</v>
      </c>
      <c r="L78" s="25">
        <v>0</v>
      </c>
      <c r="M78" s="25">
        <v>359.07</v>
      </c>
      <c r="N78" s="25">
        <f t="shared" si="31"/>
        <v>312.5</v>
      </c>
      <c r="O78" s="25">
        <v>26.25</v>
      </c>
      <c r="P78" s="25"/>
      <c r="Q78" s="25">
        <f t="shared" si="32"/>
        <v>74.5</v>
      </c>
      <c r="R78" s="25">
        <v>24.66</v>
      </c>
      <c r="S78" s="25">
        <v>7</v>
      </c>
      <c r="T78" s="25">
        <f t="shared" si="34"/>
        <v>710.25499999999954</v>
      </c>
      <c r="U78" s="25"/>
      <c r="V78" s="25">
        <f t="shared" si="35"/>
        <v>2343.75</v>
      </c>
      <c r="W78" s="25">
        <v>154.88</v>
      </c>
      <c r="X78" s="25">
        <v>100</v>
      </c>
    </row>
    <row r="79" spans="1:24">
      <c r="A79" s="22" t="s">
        <v>224</v>
      </c>
      <c r="B79" s="23">
        <v>465187</v>
      </c>
      <c r="C79" s="24" t="s">
        <v>197</v>
      </c>
      <c r="D79" s="23">
        <v>7</v>
      </c>
      <c r="E79" s="25">
        <v>8690</v>
      </c>
      <c r="F79" s="25">
        <v>789.51</v>
      </c>
      <c r="G79" s="25">
        <v>0</v>
      </c>
      <c r="H79" s="25"/>
      <c r="I79" s="25">
        <v>2948.21</v>
      </c>
      <c r="J79" s="53">
        <v>3958</v>
      </c>
      <c r="K79" s="25">
        <f t="shared" si="30"/>
        <v>281.01799999999997</v>
      </c>
      <c r="L79" s="25">
        <v>0</v>
      </c>
      <c r="M79" s="25">
        <v>359.07</v>
      </c>
      <c r="N79" s="25">
        <f t="shared" si="31"/>
        <v>395.8</v>
      </c>
      <c r="O79" s="25">
        <v>40</v>
      </c>
      <c r="P79" s="25"/>
      <c r="Q79" s="25">
        <f t="shared" si="32"/>
        <v>86.9</v>
      </c>
      <c r="R79" s="25">
        <v>76.59</v>
      </c>
      <c r="S79" s="25">
        <v>7</v>
      </c>
      <c r="T79" s="25">
        <f t="shared" si="34"/>
        <v>744.4019999999997</v>
      </c>
      <c r="U79" s="25"/>
      <c r="V79" s="25">
        <f t="shared" si="35"/>
        <v>2968.5</v>
      </c>
      <c r="W79" s="25">
        <v>147.68</v>
      </c>
      <c r="X79" s="25">
        <v>0</v>
      </c>
    </row>
    <row r="80" spans="1:24">
      <c r="A80" s="34" t="s">
        <v>232</v>
      </c>
      <c r="B80" s="23">
        <v>465181</v>
      </c>
      <c r="C80" s="47" t="s">
        <v>197</v>
      </c>
      <c r="D80" s="47">
        <v>7</v>
      </c>
      <c r="E80" s="35">
        <v>7900</v>
      </c>
      <c r="F80" s="25">
        <v>789.51</v>
      </c>
      <c r="G80" s="25">
        <v>0</v>
      </c>
      <c r="H80" s="69"/>
      <c r="I80" s="35">
        <v>2986.58</v>
      </c>
      <c r="J80" s="54">
        <v>2626</v>
      </c>
      <c r="K80" s="25">
        <f t="shared" si="30"/>
        <v>186.44599999999997</v>
      </c>
      <c r="L80" s="25">
        <v>0</v>
      </c>
      <c r="M80" s="25">
        <v>359.07</v>
      </c>
      <c r="N80" s="25">
        <f t="shared" si="31"/>
        <v>262.60000000000002</v>
      </c>
      <c r="O80" s="25">
        <v>26.25</v>
      </c>
      <c r="P80" s="25"/>
      <c r="Q80" s="25">
        <f t="shared" si="32"/>
        <v>79</v>
      </c>
      <c r="R80" s="35">
        <v>74.349999999999994</v>
      </c>
      <c r="S80" s="25">
        <v>7</v>
      </c>
      <c r="T80" s="25">
        <f t="shared" si="34"/>
        <v>1166.694</v>
      </c>
      <c r="U80" s="25"/>
      <c r="V80" s="25">
        <f t="shared" si="35"/>
        <v>1969.5</v>
      </c>
      <c r="W80" s="35">
        <v>123.49</v>
      </c>
      <c r="X80" s="25">
        <v>0</v>
      </c>
    </row>
    <row r="81" spans="1:24">
      <c r="A81" s="22" t="s">
        <v>276</v>
      </c>
      <c r="B81" s="23">
        <v>359885</v>
      </c>
      <c r="C81" s="24" t="s">
        <v>197</v>
      </c>
      <c r="D81" s="23">
        <v>5</v>
      </c>
      <c r="E81" s="25">
        <v>6850</v>
      </c>
      <c r="F81" s="25">
        <v>689.44</v>
      </c>
      <c r="G81" s="25">
        <v>0</v>
      </c>
      <c r="H81" s="25"/>
      <c r="I81" s="25">
        <v>1832.94</v>
      </c>
      <c r="J81" s="53">
        <v>2990</v>
      </c>
      <c r="K81" s="25">
        <f t="shared" si="30"/>
        <v>212.29</v>
      </c>
      <c r="L81" s="25">
        <v>0</v>
      </c>
      <c r="M81" s="25">
        <v>359.07</v>
      </c>
      <c r="N81" s="25">
        <f t="shared" si="31"/>
        <v>299</v>
      </c>
      <c r="O81" s="25">
        <v>26.25</v>
      </c>
      <c r="P81" s="25"/>
      <c r="Q81" s="25">
        <f t="shared" si="32"/>
        <v>68.5</v>
      </c>
      <c r="R81" s="25">
        <v>293.19</v>
      </c>
      <c r="S81" s="25">
        <v>7</v>
      </c>
      <c r="T81" s="25">
        <f t="shared" si="34"/>
        <v>826.81999999999971</v>
      </c>
      <c r="U81" s="25"/>
      <c r="V81" s="25">
        <f t="shared" si="35"/>
        <v>2242.5</v>
      </c>
      <c r="W81" s="25">
        <v>25.55</v>
      </c>
      <c r="X81" s="25">
        <v>0</v>
      </c>
    </row>
    <row r="82" spans="1:24">
      <c r="A82" s="22" t="s">
        <v>260</v>
      </c>
      <c r="B82" s="23">
        <v>465189</v>
      </c>
      <c r="C82" s="24" t="s">
        <v>251</v>
      </c>
      <c r="D82" s="23">
        <v>7</v>
      </c>
      <c r="E82" s="25">
        <v>8725</v>
      </c>
      <c r="F82" s="25">
        <v>789.51</v>
      </c>
      <c r="G82" s="25">
        <v>0</v>
      </c>
      <c r="H82" s="25"/>
      <c r="I82" s="25">
        <v>2214.06</v>
      </c>
      <c r="J82" s="53">
        <v>3860</v>
      </c>
      <c r="K82" s="25">
        <f t="shared" si="30"/>
        <v>274.06</v>
      </c>
      <c r="L82" s="25">
        <v>0</v>
      </c>
      <c r="M82" s="25">
        <v>359.07</v>
      </c>
      <c r="N82" s="25">
        <f t="shared" si="31"/>
        <v>386</v>
      </c>
      <c r="O82" s="25">
        <v>26.25</v>
      </c>
      <c r="P82" s="25"/>
      <c r="Q82" s="25">
        <f t="shared" si="32"/>
        <v>87.25</v>
      </c>
      <c r="R82" s="25"/>
      <c r="S82" s="25">
        <v>7</v>
      </c>
      <c r="T82" s="25">
        <f>E82-J82*0.8-K82-F82-M82-N82-O82-Q82-I82-R82</f>
        <v>1500.7999999999997</v>
      </c>
      <c r="U82" s="25"/>
      <c r="V82" s="25">
        <f t="shared" si="35"/>
        <v>2895</v>
      </c>
      <c r="W82" s="25">
        <v>122.36</v>
      </c>
      <c r="X82" s="25">
        <v>0</v>
      </c>
    </row>
    <row r="83" spans="1:24">
      <c r="A83" s="59" t="s">
        <v>261</v>
      </c>
      <c r="B83" s="60">
        <v>1650</v>
      </c>
      <c r="C83" s="61" t="s">
        <v>262</v>
      </c>
      <c r="D83" s="60">
        <v>0</v>
      </c>
      <c r="E83" s="62">
        <v>0</v>
      </c>
      <c r="F83" s="62">
        <v>0</v>
      </c>
      <c r="G83" s="62">
        <v>0</v>
      </c>
      <c r="H83" s="62"/>
      <c r="I83" s="62">
        <v>0</v>
      </c>
      <c r="J83" s="63">
        <v>0</v>
      </c>
      <c r="K83" s="62">
        <f t="shared" si="30"/>
        <v>0</v>
      </c>
      <c r="L83" s="62">
        <v>0</v>
      </c>
      <c r="M83" s="62">
        <v>0</v>
      </c>
      <c r="N83" s="25">
        <f t="shared" si="31"/>
        <v>0</v>
      </c>
      <c r="O83" s="62">
        <v>0</v>
      </c>
      <c r="P83" s="62"/>
      <c r="Q83" s="62">
        <f t="shared" si="32"/>
        <v>0</v>
      </c>
      <c r="R83" s="62"/>
      <c r="S83" s="62">
        <v>0</v>
      </c>
      <c r="T83" s="62">
        <f>E83*0.18-N83-Q83</f>
        <v>0</v>
      </c>
      <c r="U83" s="62"/>
      <c r="V83" s="62">
        <f>E83*0.82-I83</f>
        <v>0</v>
      </c>
      <c r="W83" s="59"/>
      <c r="X83" s="25">
        <v>0</v>
      </c>
    </row>
    <row r="84" spans="1:24">
      <c r="A84" s="22" t="s">
        <v>270</v>
      </c>
      <c r="B84" s="23">
        <v>352368</v>
      </c>
      <c r="C84" s="24" t="s">
        <v>197</v>
      </c>
      <c r="D84" s="23">
        <v>7</v>
      </c>
      <c r="E84" s="25">
        <v>6330</v>
      </c>
      <c r="F84" s="25">
        <v>689.44</v>
      </c>
      <c r="G84" s="25">
        <v>0</v>
      </c>
      <c r="H84" s="25"/>
      <c r="I84" s="25">
        <v>2375.94</v>
      </c>
      <c r="J84" s="53">
        <v>2969</v>
      </c>
      <c r="K84" s="25">
        <f t="shared" si="30"/>
        <v>210.79899999999998</v>
      </c>
      <c r="L84" s="25">
        <v>0</v>
      </c>
      <c r="M84" s="25">
        <v>359.07</v>
      </c>
      <c r="N84" s="25">
        <f t="shared" si="31"/>
        <v>296.90000000000003</v>
      </c>
      <c r="O84" s="25">
        <v>26.25</v>
      </c>
      <c r="P84" s="25"/>
      <c r="Q84" s="25">
        <f t="shared" si="32"/>
        <v>63.300000000000004</v>
      </c>
      <c r="R84" s="25">
        <v>161.13999999999999</v>
      </c>
      <c r="S84" s="25">
        <v>7</v>
      </c>
      <c r="T84" s="25">
        <f>E84-J84*0.75-K84-F84-M84-N84-O84-Q84-I84-R84</f>
        <v>-79.58900000000051</v>
      </c>
      <c r="U84" s="25"/>
      <c r="V84" s="25">
        <f>J84*0.75</f>
        <v>2226.75</v>
      </c>
      <c r="W84" s="25">
        <v>44.47</v>
      </c>
      <c r="X84" s="25">
        <v>0</v>
      </c>
    </row>
    <row r="85" spans="1:24">
      <c r="A85" s="39" t="s">
        <v>89</v>
      </c>
      <c r="B85" s="40">
        <v>16</v>
      </c>
      <c r="C85" s="41" t="s">
        <v>271</v>
      </c>
      <c r="D85" s="40">
        <f>AVERAGE(D69:D84)</f>
        <v>5.25</v>
      </c>
      <c r="E85" s="42">
        <f t="shared" ref="E85:F85" si="36">SUM(E69:E84)</f>
        <v>98309</v>
      </c>
      <c r="F85" s="42">
        <f t="shared" si="36"/>
        <v>11119.220000000003</v>
      </c>
      <c r="G85" s="42">
        <f>SUM(G69:G83)</f>
        <v>0</v>
      </c>
      <c r="H85" s="42"/>
      <c r="I85" s="42">
        <f t="shared" ref="I85:J85" si="37">SUM(I69:I84)</f>
        <v>30887.94</v>
      </c>
      <c r="J85" s="41">
        <f t="shared" si="37"/>
        <v>39074</v>
      </c>
      <c r="K85" s="42">
        <f t="shared" ref="K85:O85" si="38">SUM(K69:K83)</f>
        <v>2563.4549999999999</v>
      </c>
      <c r="L85" s="42">
        <f t="shared" si="38"/>
        <v>0</v>
      </c>
      <c r="M85" s="42">
        <f t="shared" si="38"/>
        <v>5026.9800000000005</v>
      </c>
      <c r="N85" s="42">
        <f t="shared" si="38"/>
        <v>3610.5000000000005</v>
      </c>
      <c r="O85" s="42">
        <f t="shared" si="38"/>
        <v>447.5</v>
      </c>
      <c r="P85" s="42"/>
      <c r="Q85" s="42">
        <f>SUM(Q69:Q83)</f>
        <v>919.79000000000008</v>
      </c>
      <c r="R85" s="42">
        <f>SUM(R69:R84)</f>
        <v>2428.2399999999998</v>
      </c>
      <c r="S85" s="42">
        <f>SUM(S69:S83)</f>
        <v>98</v>
      </c>
      <c r="T85" s="42">
        <f>SUM(T69:T84)</f>
        <v>10825.605999999998</v>
      </c>
      <c r="U85" s="42"/>
      <c r="V85" s="42">
        <f t="shared" ref="V85:X85" si="39">SUM(V69:V84)</f>
        <v>29413.3</v>
      </c>
      <c r="W85" s="25">
        <f t="shared" si="39"/>
        <v>1456.1299999999999</v>
      </c>
      <c r="X85" s="25">
        <f t="shared" si="39"/>
        <v>1000</v>
      </c>
    </row>
    <row r="87" spans="1:24" ht="15.75" customHeight="1">
      <c r="A87" s="460" t="s">
        <v>278</v>
      </c>
      <c r="B87" s="458"/>
      <c r="C87" s="458"/>
      <c r="D87" s="458"/>
      <c r="E87" s="458"/>
      <c r="F87" s="458"/>
      <c r="G87" s="458"/>
      <c r="H87" s="458"/>
      <c r="I87" s="458"/>
      <c r="J87" s="458"/>
      <c r="K87" s="458"/>
      <c r="L87" s="458"/>
      <c r="M87" s="458"/>
      <c r="N87" s="458"/>
      <c r="O87" s="458"/>
      <c r="P87" s="458"/>
      <c r="Q87" s="458"/>
      <c r="R87" s="458"/>
      <c r="S87" s="458"/>
      <c r="T87" s="458"/>
      <c r="U87" s="458"/>
      <c r="V87" s="458"/>
      <c r="W87" s="459"/>
    </row>
    <row r="88" spans="1:24">
      <c r="A88" s="1" t="s">
        <v>0</v>
      </c>
      <c r="B88" s="2" t="s">
        <v>1</v>
      </c>
      <c r="C88" s="2" t="s">
        <v>183</v>
      </c>
      <c r="D88" s="2" t="s">
        <v>3</v>
      </c>
      <c r="E88" s="2" t="s">
        <v>2</v>
      </c>
      <c r="F88" s="2" t="s">
        <v>4</v>
      </c>
      <c r="G88" s="2" t="s">
        <v>6</v>
      </c>
      <c r="H88" s="2"/>
      <c r="I88" s="2" t="s">
        <v>7</v>
      </c>
      <c r="J88" s="2" t="s">
        <v>9</v>
      </c>
      <c r="K88" s="2" t="s">
        <v>106</v>
      </c>
      <c r="L88" s="2" t="s">
        <v>107</v>
      </c>
      <c r="M88" s="2" t="s">
        <v>5</v>
      </c>
      <c r="N88" s="2" t="s">
        <v>12</v>
      </c>
      <c r="O88" s="2" t="s">
        <v>184</v>
      </c>
      <c r="P88" s="2"/>
      <c r="Q88" s="2" t="s">
        <v>108</v>
      </c>
      <c r="R88" s="2" t="s">
        <v>8</v>
      </c>
      <c r="S88" s="12" t="s">
        <v>185</v>
      </c>
      <c r="T88" s="2" t="s">
        <v>13</v>
      </c>
      <c r="U88" s="2"/>
      <c r="V88" s="14" t="s">
        <v>98</v>
      </c>
      <c r="W88" s="14" t="s">
        <v>257</v>
      </c>
    </row>
    <row r="89" spans="1:24">
      <c r="A89" s="22" t="s">
        <v>258</v>
      </c>
      <c r="B89" s="23">
        <v>465188</v>
      </c>
      <c r="C89" s="24" t="s">
        <v>251</v>
      </c>
      <c r="D89" s="23">
        <f>'August 2022'!D3+'August 2022'!D26+'August 2022'!D48+'August 2022'!D69</f>
        <v>19</v>
      </c>
      <c r="E89" s="25">
        <f>'August 2022'!E3+'August 2022'!E26+'August 2022'!E48+'August 2022'!E69</f>
        <v>29270</v>
      </c>
      <c r="F89" s="25">
        <v>2992</v>
      </c>
      <c r="G89" s="25">
        <v>0</v>
      </c>
      <c r="H89" s="25"/>
      <c r="I89" s="25">
        <f>'August 2022'!I3+'August 2022'!I26+'August 2022'!I48+'August 2022'!I69</f>
        <v>9588.1299999999992</v>
      </c>
      <c r="J89" s="53">
        <f>'August 2022'!J3+'August 2022'!J26+'August 2022'!J48+'August 2022'!J69</f>
        <v>12673</v>
      </c>
      <c r="K89" s="25">
        <f t="shared" ref="K89:K105" si="40">J89*0.071</f>
        <v>899.7829999999999</v>
      </c>
      <c r="L89" s="25">
        <v>0</v>
      </c>
      <c r="M89" s="25">
        <v>1436</v>
      </c>
      <c r="N89" s="25">
        <f t="shared" ref="N89:N105" si="41">J89*0.1</f>
        <v>1267.3000000000002</v>
      </c>
      <c r="O89" s="25">
        <v>105</v>
      </c>
      <c r="P89" s="25"/>
      <c r="Q89" s="25">
        <f t="shared" ref="Q89:Q105" si="42">E89*0.01</f>
        <v>292.7</v>
      </c>
      <c r="R89" s="25">
        <f>'August 2022'!R3+'August 2022'!R26+'August 2022'!R48+'August 2022'!R69</f>
        <v>738.65</v>
      </c>
      <c r="S89" s="25">
        <v>28</v>
      </c>
      <c r="T89" s="25">
        <f>E89-F89-I89-K89-M89-N89-O89-Q89-R89-V89</f>
        <v>1812.0370000000021</v>
      </c>
      <c r="U89" s="25"/>
      <c r="V89" s="25">
        <f t="shared" ref="V89:V90" si="43">J89*0.8</f>
        <v>10138.400000000001</v>
      </c>
      <c r="W89" s="25"/>
    </row>
    <row r="90" spans="1:24">
      <c r="A90" s="22" t="s">
        <v>268</v>
      </c>
      <c r="B90" s="23">
        <v>465184</v>
      </c>
      <c r="C90" s="24" t="s">
        <v>251</v>
      </c>
      <c r="D90" s="23">
        <f>'August 2022'!D4+'August 2022'!D27+'August 2022'!D49+'August 2022'!D70</f>
        <v>26</v>
      </c>
      <c r="E90" s="25">
        <f>'August 2022'!E4+'August 2022'!E27+'August 2022'!E49+'August 2022'!E70</f>
        <v>29637</v>
      </c>
      <c r="F90" s="25">
        <v>2992</v>
      </c>
      <c r="G90" s="25">
        <v>0</v>
      </c>
      <c r="H90" s="25"/>
      <c r="I90" s="25">
        <f>'August 2022'!I4+'August 2022'!I27+'August 2022'!I49+'August 2022'!I70</f>
        <v>9724.32</v>
      </c>
      <c r="J90" s="53">
        <f>'August 2022'!J4+'August 2022'!J27+'August 2022'!J49+'August 2022'!J70</f>
        <v>10682</v>
      </c>
      <c r="K90" s="25">
        <f t="shared" si="40"/>
        <v>758.42199999999991</v>
      </c>
      <c r="L90" s="25">
        <v>0</v>
      </c>
      <c r="M90" s="25">
        <v>1436</v>
      </c>
      <c r="N90" s="25">
        <f t="shared" si="41"/>
        <v>1068.2</v>
      </c>
      <c r="O90" s="25">
        <v>160</v>
      </c>
      <c r="P90" s="25"/>
      <c r="Q90" s="25">
        <f t="shared" si="42"/>
        <v>296.37</v>
      </c>
      <c r="R90" s="25">
        <f>'August 2022'!R4+'August 2022'!R27+'August 2022'!R49+'August 2022'!R70</f>
        <v>183.73000000000002</v>
      </c>
      <c r="S90" s="25">
        <v>28</v>
      </c>
      <c r="T90" s="25">
        <f>E90-J90*0.8-K90-F90-M90-N90-O90-Q90-I90-R90</f>
        <v>4472.358000000002</v>
      </c>
      <c r="U90" s="25"/>
      <c r="V90" s="25">
        <f t="shared" si="43"/>
        <v>8545.6</v>
      </c>
      <c r="W90" s="25"/>
    </row>
    <row r="91" spans="1:24">
      <c r="A91" s="22" t="s">
        <v>269</v>
      </c>
      <c r="B91" s="23">
        <v>352377</v>
      </c>
      <c r="C91" s="24" t="s">
        <v>197</v>
      </c>
      <c r="D91" s="23">
        <f>'August 2022'!D5+'August 2022'!D28+'August 2022'!D50+'August 2022'!D71</f>
        <v>21</v>
      </c>
      <c r="E91" s="25">
        <f>'August 2022'!E5+'August 2022'!E28+'August 2022'!E50+'August 2022'!E71</f>
        <v>25318</v>
      </c>
      <c r="F91" s="25">
        <v>2665</v>
      </c>
      <c r="G91" s="25">
        <v>0</v>
      </c>
      <c r="H91" s="25"/>
      <c r="I91" s="25">
        <f>'August 2022'!I5+'August 2022'!I28+'August 2022'!I50+'August 2022'!I71</f>
        <v>7984.8700000000008</v>
      </c>
      <c r="J91" s="53">
        <f>'August 2022'!J5+'August 2022'!J28+'August 2022'!J50+'August 2022'!J71</f>
        <v>10375</v>
      </c>
      <c r="K91" s="25">
        <f t="shared" si="40"/>
        <v>736.62499999999989</v>
      </c>
      <c r="L91" s="25">
        <v>0</v>
      </c>
      <c r="M91" s="25">
        <v>1436</v>
      </c>
      <c r="N91" s="25">
        <f t="shared" si="41"/>
        <v>1037.5</v>
      </c>
      <c r="O91" s="25">
        <v>130</v>
      </c>
      <c r="P91" s="25"/>
      <c r="Q91" s="25">
        <f t="shared" si="42"/>
        <v>253.18</v>
      </c>
      <c r="R91" s="25">
        <f>'August 2022'!R5+'August 2022'!R28+'August 2022'!R50+'August 2022'!R71</f>
        <v>904.61999999999989</v>
      </c>
      <c r="S91" s="25">
        <v>28</v>
      </c>
      <c r="T91" s="25">
        <f t="shared" ref="T91:T101" si="44">E91-J91*0.75-K91-F91-M91-N91-O91-Q91-I91-R91</f>
        <v>2388.954999999999</v>
      </c>
      <c r="U91" s="25"/>
      <c r="V91" s="25">
        <f t="shared" ref="V91:V102" si="45">J91*0.75</f>
        <v>7781.25</v>
      </c>
      <c r="W91" s="25"/>
    </row>
    <row r="92" spans="1:24">
      <c r="A92" s="22" t="s">
        <v>253</v>
      </c>
      <c r="B92" s="23">
        <v>352372</v>
      </c>
      <c r="C92" s="24" t="s">
        <v>197</v>
      </c>
      <c r="D92" s="23">
        <f>'August 2022'!D6+'August 2022'!D29+'August 2022'!D51+'August 2022'!D72</f>
        <v>23</v>
      </c>
      <c r="E92" s="25">
        <f>'August 2022'!E6+'August 2022'!E29+'August 2022'!E51+'August 2022'!E72</f>
        <v>26950</v>
      </c>
      <c r="F92" s="25">
        <v>2665</v>
      </c>
      <c r="G92" s="25">
        <v>0</v>
      </c>
      <c r="H92" s="25"/>
      <c r="I92" s="25">
        <f>'August 2022'!I6+'August 2022'!I29+'August 2022'!I51+'August 2022'!I72</f>
        <v>8215.15</v>
      </c>
      <c r="J92" s="53">
        <f>'August 2022'!J6+'August 2022'!J29+'August 2022'!J51+'August 2022'!J72</f>
        <v>11526</v>
      </c>
      <c r="K92" s="25">
        <f t="shared" si="40"/>
        <v>818.34599999999989</v>
      </c>
      <c r="L92" s="25">
        <v>0</v>
      </c>
      <c r="M92" s="25">
        <v>1436</v>
      </c>
      <c r="N92" s="25">
        <f t="shared" si="41"/>
        <v>1152.6000000000001</v>
      </c>
      <c r="O92" s="25">
        <v>130</v>
      </c>
      <c r="P92" s="25"/>
      <c r="Q92" s="25">
        <f t="shared" si="42"/>
        <v>269.5</v>
      </c>
      <c r="R92" s="25">
        <f>'August 2022'!R6+'August 2022'!R29+'August 2022'!R51+'August 2022'!R72</f>
        <v>293.52</v>
      </c>
      <c r="S92" s="25">
        <v>28</v>
      </c>
      <c r="T92" s="25">
        <f t="shared" si="44"/>
        <v>3325.3839999999987</v>
      </c>
      <c r="U92" s="25"/>
      <c r="V92" s="25">
        <f t="shared" si="45"/>
        <v>8644.5</v>
      </c>
      <c r="W92" s="25"/>
    </row>
    <row r="93" spans="1:24">
      <c r="A93" s="22" t="s">
        <v>254</v>
      </c>
      <c r="B93" s="23">
        <v>465180</v>
      </c>
      <c r="C93" s="24" t="s">
        <v>197</v>
      </c>
      <c r="D93" s="23">
        <f>'August 2022'!D7+'August 2022'!D30+'August 2022'!D52+'August 2022'!D73</f>
        <v>18</v>
      </c>
      <c r="E93" s="25">
        <f>'August 2022'!E7+'August 2022'!E30+'August 2022'!E52+'August 2022'!E73</f>
        <v>19771</v>
      </c>
      <c r="F93" s="25">
        <v>2992</v>
      </c>
      <c r="G93" s="25">
        <v>0</v>
      </c>
      <c r="H93" s="25"/>
      <c r="I93" s="25">
        <f>'August 2022'!I7+'August 2022'!I30+'August 2022'!I52+'August 2022'!I73</f>
        <v>6471.66</v>
      </c>
      <c r="J93" s="53">
        <f>'August 2022'!J7+'August 2022'!J30+'August 2022'!J52+'August 2022'!J73</f>
        <v>8085</v>
      </c>
      <c r="K93" s="25">
        <f t="shared" si="40"/>
        <v>574.03499999999997</v>
      </c>
      <c r="L93" s="25">
        <v>0</v>
      </c>
      <c r="M93" s="25">
        <v>1436</v>
      </c>
      <c r="N93" s="25">
        <f t="shared" si="41"/>
        <v>808.5</v>
      </c>
      <c r="O93" s="25">
        <v>130</v>
      </c>
      <c r="P93" s="25"/>
      <c r="Q93" s="25">
        <f t="shared" si="42"/>
        <v>197.71</v>
      </c>
      <c r="R93" s="25">
        <f>'August 2022'!R7+'August 2022'!R30+'August 2022'!R52+'August 2022'!R73</f>
        <v>153.29999999999998</v>
      </c>
      <c r="S93" s="25">
        <v>28</v>
      </c>
      <c r="T93" s="25">
        <f t="shared" si="44"/>
        <v>944.0450000000003</v>
      </c>
      <c r="U93" s="25"/>
      <c r="V93" s="25">
        <f t="shared" si="45"/>
        <v>6063.75</v>
      </c>
      <c r="W93" s="25"/>
    </row>
    <row r="94" spans="1:24">
      <c r="A94" s="22" t="s">
        <v>247</v>
      </c>
      <c r="B94" s="23">
        <v>352376</v>
      </c>
      <c r="C94" s="24" t="s">
        <v>197</v>
      </c>
      <c r="D94" s="23">
        <f>'August 2022'!D8+'August 2022'!D31+'August 2022'!D53+'August 2022'!D74</f>
        <v>21</v>
      </c>
      <c r="E94" s="25">
        <f>'August 2022'!E8+'August 2022'!E31+'August 2022'!E53+'August 2022'!E74</f>
        <v>26458</v>
      </c>
      <c r="F94" s="25">
        <v>2665</v>
      </c>
      <c r="G94" s="25">
        <v>0</v>
      </c>
      <c r="H94" s="25"/>
      <c r="I94" s="25">
        <f>'August 2022'!I8+'August 2022'!I31+'August 2022'!I53+'August 2022'!I74</f>
        <v>8160.49</v>
      </c>
      <c r="J94" s="53">
        <f>'August 2022'!J8+'August 2022'!J31+'August 2022'!J53+'August 2022'!J74</f>
        <v>10751</v>
      </c>
      <c r="K94" s="25">
        <f t="shared" si="40"/>
        <v>763.32099999999991</v>
      </c>
      <c r="L94" s="25">
        <v>0</v>
      </c>
      <c r="M94" s="25">
        <v>1436</v>
      </c>
      <c r="N94" s="25">
        <f t="shared" si="41"/>
        <v>1075.1000000000001</v>
      </c>
      <c r="O94" s="25">
        <v>105</v>
      </c>
      <c r="P94" s="25"/>
      <c r="Q94" s="25">
        <f t="shared" si="42"/>
        <v>264.58</v>
      </c>
      <c r="R94" s="25">
        <f>'August 2022'!R8+'August 2022'!R31+'August 2022'!R53+'August 2022'!R74</f>
        <v>260.29999999999995</v>
      </c>
      <c r="S94" s="25">
        <v>28</v>
      </c>
      <c r="T94" s="25">
        <f t="shared" si="44"/>
        <v>3664.9589999999998</v>
      </c>
      <c r="U94" s="25"/>
      <c r="V94" s="25">
        <f t="shared" si="45"/>
        <v>8063.25</v>
      </c>
      <c r="W94" s="25"/>
    </row>
    <row r="95" spans="1:24">
      <c r="A95" s="22" t="s">
        <v>218</v>
      </c>
      <c r="B95" s="23">
        <v>465182</v>
      </c>
      <c r="C95" s="24" t="s">
        <v>197</v>
      </c>
      <c r="D95" s="23">
        <f>'August 2022'!D9+'August 2022'!D32+'August 2022'!D54+'August 2022'!D75</f>
        <v>22</v>
      </c>
      <c r="E95" s="25">
        <f>'August 2022'!E9+'August 2022'!E32+'August 2022'!E54+'August 2022'!E75</f>
        <v>26173</v>
      </c>
      <c r="F95" s="25">
        <v>2665</v>
      </c>
      <c r="G95" s="25">
        <v>0</v>
      </c>
      <c r="H95" s="25"/>
      <c r="I95" s="25">
        <f>'August 2022'!I9+'August 2022'!I32+'August 2022'!I54+'August 2022'!I75</f>
        <v>9742.0300000000007</v>
      </c>
      <c r="J95" s="53">
        <f>'August 2022'!J9+'August 2022'!J32+'August 2022'!J54+'August 2022'!J75</f>
        <v>10857</v>
      </c>
      <c r="K95" s="25">
        <f t="shared" si="40"/>
        <v>770.84699999999998</v>
      </c>
      <c r="L95" s="25">
        <v>0</v>
      </c>
      <c r="M95" s="25">
        <v>1436</v>
      </c>
      <c r="N95" s="25">
        <f t="shared" si="41"/>
        <v>1085.7</v>
      </c>
      <c r="O95" s="25">
        <v>160</v>
      </c>
      <c r="P95" s="25"/>
      <c r="Q95" s="25">
        <f t="shared" si="42"/>
        <v>261.73</v>
      </c>
      <c r="R95" s="25">
        <f>'August 2022'!R9+'August 2022'!R32+'August 2022'!R54+'August 2022'!R75</f>
        <v>670.35</v>
      </c>
      <c r="S95" s="25">
        <v>28</v>
      </c>
      <c r="T95" s="25">
        <f t="shared" si="44"/>
        <v>1238.5929999999976</v>
      </c>
      <c r="U95" s="25"/>
      <c r="V95" s="25">
        <f t="shared" si="45"/>
        <v>8142.75</v>
      </c>
      <c r="W95" s="25"/>
    </row>
    <row r="96" spans="1:24">
      <c r="A96" s="22" t="s">
        <v>220</v>
      </c>
      <c r="B96" s="23">
        <v>465185</v>
      </c>
      <c r="C96" s="24" t="s">
        <v>197</v>
      </c>
      <c r="D96" s="23">
        <f>'August 2022'!D10+'August 2022'!D33+'August 2022'!D55+'August 2022'!D76</f>
        <v>22</v>
      </c>
      <c r="E96" s="25">
        <f>'August 2022'!E10+'August 2022'!E33+'August 2022'!E55+'August 2022'!E76</f>
        <v>25590</v>
      </c>
      <c r="F96" s="25">
        <v>2992</v>
      </c>
      <c r="G96" s="25">
        <v>0</v>
      </c>
      <c r="H96" s="25"/>
      <c r="I96" s="25">
        <f>'August 2022'!I10+'August 2022'!I33+'August 2022'!I55+'August 2022'!I76</f>
        <v>7660.31</v>
      </c>
      <c r="J96" s="53">
        <f>'August 2022'!J10+'August 2022'!J33+'August 2022'!J55+'August 2022'!J76</f>
        <v>10342</v>
      </c>
      <c r="K96" s="25">
        <f t="shared" si="40"/>
        <v>734.28199999999993</v>
      </c>
      <c r="L96" s="25">
        <v>0</v>
      </c>
      <c r="M96" s="25">
        <v>1436</v>
      </c>
      <c r="N96" s="25">
        <f t="shared" si="41"/>
        <v>1034.2</v>
      </c>
      <c r="O96" s="25">
        <v>160</v>
      </c>
      <c r="P96" s="25"/>
      <c r="Q96" s="25">
        <f t="shared" si="42"/>
        <v>255.9</v>
      </c>
      <c r="R96" s="25">
        <f>'August 2022'!R10+'August 2022'!R33+'August 2022'!R55+'August 2022'!R76</f>
        <v>948.24</v>
      </c>
      <c r="S96" s="25">
        <v>28</v>
      </c>
      <c r="T96" s="25">
        <f t="shared" si="44"/>
        <v>2612.5680000000002</v>
      </c>
      <c r="U96" s="25"/>
      <c r="V96" s="25">
        <f t="shared" si="45"/>
        <v>7756.5</v>
      </c>
      <c r="W96" s="25"/>
    </row>
    <row r="97" spans="1:23">
      <c r="A97" s="22" t="s">
        <v>235</v>
      </c>
      <c r="B97" s="23">
        <v>352371</v>
      </c>
      <c r="C97" s="24" t="s">
        <v>197</v>
      </c>
      <c r="D97" s="23">
        <f>'August 2022'!D11+'August 2022'!D34+'August 2022'!D56+'August 2022'!D77</f>
        <v>27</v>
      </c>
      <c r="E97" s="25">
        <f>'August 2022'!E11+'August 2022'!E34+'August 2022'!E56+'August 2022'!E77</f>
        <v>31649</v>
      </c>
      <c r="F97" s="25">
        <v>2665</v>
      </c>
      <c r="G97" s="25">
        <v>0</v>
      </c>
      <c r="H97" s="25"/>
      <c r="I97" s="25">
        <f>'August 2022'!I11+'August 2022'!I34+'August 2022'!I56+'August 2022'!I77</f>
        <v>10534.16</v>
      </c>
      <c r="J97" s="53">
        <f>'August 2022'!J11+'August 2022'!J34+'August 2022'!J56+'August 2022'!J77</f>
        <v>13246</v>
      </c>
      <c r="K97" s="25">
        <f t="shared" si="40"/>
        <v>940.46599999999989</v>
      </c>
      <c r="L97" s="25">
        <v>0</v>
      </c>
      <c r="M97" s="25">
        <v>1436</v>
      </c>
      <c r="N97" s="25">
        <f t="shared" si="41"/>
        <v>1324.6000000000001</v>
      </c>
      <c r="O97" s="25">
        <v>130</v>
      </c>
      <c r="P97" s="25"/>
      <c r="Q97" s="25">
        <f t="shared" si="42"/>
        <v>316.49</v>
      </c>
      <c r="R97" s="25">
        <f>'August 2022'!R11+'August 2022'!R34+'August 2022'!R56+'August 2022'!R77</f>
        <v>901.71</v>
      </c>
      <c r="S97" s="25">
        <v>28</v>
      </c>
      <c r="T97" s="25">
        <f t="shared" si="44"/>
        <v>3466.0739999999996</v>
      </c>
      <c r="U97" s="25"/>
      <c r="V97" s="25">
        <f t="shared" si="45"/>
        <v>9934.5</v>
      </c>
      <c r="W97" s="25"/>
    </row>
    <row r="98" spans="1:23">
      <c r="A98" s="22" t="s">
        <v>223</v>
      </c>
      <c r="B98" s="23">
        <v>465183</v>
      </c>
      <c r="C98" s="24" t="s">
        <v>197</v>
      </c>
      <c r="D98" s="23">
        <f>'August 2022'!D12+'August 2022'!D35+'August 2022'!D57+'August 2022'!D78</f>
        <v>17</v>
      </c>
      <c r="E98" s="25">
        <f>'August 2022'!E12+'August 2022'!E35+'August 2022'!E57+'August 2022'!E78</f>
        <v>20879</v>
      </c>
      <c r="F98" s="25">
        <v>2992</v>
      </c>
      <c r="G98" s="25">
        <v>0</v>
      </c>
      <c r="H98" s="25"/>
      <c r="I98" s="25">
        <f>'August 2022'!I12+'August 2022'!I35+'August 2022'!I57+'August 2022'!I78</f>
        <v>6981.54</v>
      </c>
      <c r="J98" s="53">
        <f>'August 2022'!J12+'August 2022'!J35+'August 2022'!J57+'August 2022'!J78</f>
        <v>8546</v>
      </c>
      <c r="K98" s="25">
        <f t="shared" si="40"/>
        <v>606.76599999999996</v>
      </c>
      <c r="L98" s="25">
        <v>0</v>
      </c>
      <c r="M98" s="25">
        <v>1436</v>
      </c>
      <c r="N98" s="25">
        <f t="shared" si="41"/>
        <v>854.6</v>
      </c>
      <c r="O98" s="25">
        <v>105</v>
      </c>
      <c r="P98" s="25"/>
      <c r="Q98" s="25">
        <f t="shared" si="42"/>
        <v>208.79</v>
      </c>
      <c r="R98" s="25">
        <f>'August 2022'!R12+'August 2022'!R35+'August 2022'!R57+'August 2022'!R78</f>
        <v>102.03999999999999</v>
      </c>
      <c r="S98" s="25">
        <v>28</v>
      </c>
      <c r="T98" s="25">
        <f t="shared" si="44"/>
        <v>1182.7639999999992</v>
      </c>
      <c r="U98" s="25"/>
      <c r="V98" s="25">
        <f t="shared" si="45"/>
        <v>6409.5</v>
      </c>
      <c r="W98" s="25"/>
    </row>
    <row r="99" spans="1:23">
      <c r="A99" s="22" t="s">
        <v>224</v>
      </c>
      <c r="B99" s="23">
        <v>465187</v>
      </c>
      <c r="C99" s="24" t="s">
        <v>197</v>
      </c>
      <c r="D99" s="23">
        <f>'August 2022'!D13+'August 2022'!D36+'August 2022'!D59+'August 2022'!D79</f>
        <v>10</v>
      </c>
      <c r="E99" s="25">
        <f>'August 2022'!E13+'August 2022'!E36+'August 2022'!E59+'August 2022'!E79</f>
        <v>11390</v>
      </c>
      <c r="F99" s="25">
        <v>2992</v>
      </c>
      <c r="G99" s="25">
        <v>0</v>
      </c>
      <c r="H99" s="25"/>
      <c r="I99" s="25">
        <f>'August 2022'!I13+'August 2022'!I36+'August 2022'!I59+'August 2022'!I79</f>
        <v>4605.9400000000005</v>
      </c>
      <c r="J99" s="53">
        <f>'August 2022'!J13+'August 2022'!J36+'August 2022'!J59+'August 2022'!J79</f>
        <v>5327</v>
      </c>
      <c r="K99" s="25">
        <f t="shared" si="40"/>
        <v>378.21699999999998</v>
      </c>
      <c r="L99" s="25">
        <v>0</v>
      </c>
      <c r="M99" s="25">
        <v>1436</v>
      </c>
      <c r="N99" s="25">
        <f t="shared" si="41"/>
        <v>532.70000000000005</v>
      </c>
      <c r="O99" s="25">
        <v>160</v>
      </c>
      <c r="P99" s="25"/>
      <c r="Q99" s="25">
        <f t="shared" si="42"/>
        <v>113.9</v>
      </c>
      <c r="R99" s="25">
        <f>'August 2022'!R13+'August 2022'!R36+'August 2022'!R59+'August 2022'!R79</f>
        <v>268.40999999999997</v>
      </c>
      <c r="S99" s="25">
        <v>28</v>
      </c>
      <c r="T99" s="25">
        <f t="shared" si="44"/>
        <v>-3092.4169999999999</v>
      </c>
      <c r="U99" s="25"/>
      <c r="V99" s="25">
        <f t="shared" si="45"/>
        <v>3995.25</v>
      </c>
      <c r="W99" s="25"/>
    </row>
    <row r="100" spans="1:23">
      <c r="A100" s="22" t="s">
        <v>207</v>
      </c>
      <c r="B100" s="23">
        <v>465186</v>
      </c>
      <c r="C100" s="24" t="s">
        <v>197</v>
      </c>
      <c r="D100" s="23">
        <v>4</v>
      </c>
      <c r="E100" s="25">
        <f>3300+1650</f>
        <v>4950</v>
      </c>
      <c r="F100" s="25">
        <v>2992</v>
      </c>
      <c r="G100" s="25">
        <v>0</v>
      </c>
      <c r="H100" s="25"/>
      <c r="I100" s="25">
        <f>'August 2022'!I14+'August 2022'!I37+'August 2022'!I58</f>
        <v>2044.19</v>
      </c>
      <c r="J100" s="53">
        <f>'August 2022'!J14+'August 2022'!J37</f>
        <v>1237</v>
      </c>
      <c r="K100" s="25">
        <f t="shared" si="40"/>
        <v>87.826999999999998</v>
      </c>
      <c r="L100" s="25">
        <v>0</v>
      </c>
      <c r="M100" s="25">
        <v>1436</v>
      </c>
      <c r="N100" s="25">
        <f t="shared" si="41"/>
        <v>123.7</v>
      </c>
      <c r="O100" s="25">
        <v>105</v>
      </c>
      <c r="P100" s="25"/>
      <c r="Q100" s="25">
        <f t="shared" si="42"/>
        <v>49.5</v>
      </c>
      <c r="R100" s="25">
        <f>'August 2022'!R14+'August 2022'!R37+'August 2022'!R58</f>
        <v>13.95</v>
      </c>
      <c r="S100" s="25">
        <v>28</v>
      </c>
      <c r="T100" s="25">
        <f t="shared" si="44"/>
        <v>-2829.9170000000004</v>
      </c>
      <c r="U100" s="25"/>
      <c r="V100" s="25">
        <f t="shared" si="45"/>
        <v>927.75</v>
      </c>
      <c r="W100" s="25"/>
    </row>
    <row r="101" spans="1:23">
      <c r="A101" s="34" t="s">
        <v>232</v>
      </c>
      <c r="B101" s="23">
        <v>465181</v>
      </c>
      <c r="C101" s="47" t="s">
        <v>197</v>
      </c>
      <c r="D101" s="47">
        <f>'August 2022'!D15+'August 2022'!D38+'August 2022'!D60+'August 2022'!D80</f>
        <v>17</v>
      </c>
      <c r="E101" s="35">
        <f>'August 2022'!E15+'August 2022'!E38+'August 2022'!E60+'August 2022'!E80</f>
        <v>18858</v>
      </c>
      <c r="F101" s="25">
        <v>2992</v>
      </c>
      <c r="G101" s="25">
        <v>0</v>
      </c>
      <c r="H101" s="69"/>
      <c r="I101" s="35">
        <f>'August 2022'!I15+'August 2022'!I38+'August 2022'!I60+'August 2022'!I80</f>
        <v>6742.9699999999993</v>
      </c>
      <c r="J101" s="54">
        <f>'August 2022'!J15+'August 2022'!J38+'August 2022'!J60+'August 2022'!J80</f>
        <v>7052</v>
      </c>
      <c r="K101" s="25">
        <f t="shared" si="40"/>
        <v>500.69199999999995</v>
      </c>
      <c r="L101" s="25">
        <v>0</v>
      </c>
      <c r="M101" s="25">
        <v>1436</v>
      </c>
      <c r="N101" s="25">
        <f t="shared" si="41"/>
        <v>705.2</v>
      </c>
      <c r="O101" s="25">
        <v>105</v>
      </c>
      <c r="P101" s="25"/>
      <c r="Q101" s="25">
        <f t="shared" si="42"/>
        <v>188.58</v>
      </c>
      <c r="R101" s="35">
        <f>'August 2022'!R15+'August 2022'!R38+'August 2022'!R60+'August 2022'!R80</f>
        <v>257.60000000000002</v>
      </c>
      <c r="S101" s="25">
        <v>28</v>
      </c>
      <c r="T101" s="25">
        <f t="shared" si="44"/>
        <v>640.95800000000179</v>
      </c>
      <c r="U101" s="25"/>
      <c r="V101" s="25">
        <f t="shared" si="45"/>
        <v>5289</v>
      </c>
      <c r="W101" s="35"/>
    </row>
    <row r="102" spans="1:23">
      <c r="A102" s="22" t="s">
        <v>260</v>
      </c>
      <c r="B102" s="23">
        <v>465189</v>
      </c>
      <c r="C102" s="24" t="s">
        <v>251</v>
      </c>
      <c r="D102" s="23">
        <f>'August 2022'!D19+'August 2022'!D41+'August 2022'!D62+'August 2022'!D82</f>
        <v>25</v>
      </c>
      <c r="E102" s="25">
        <f>'August 2022'!E19+'August 2022'!E41+'August 2022'!E62+'August 2022'!E82</f>
        <v>31975</v>
      </c>
      <c r="F102" s="25">
        <v>2992</v>
      </c>
      <c r="G102" s="25">
        <v>0</v>
      </c>
      <c r="H102" s="25"/>
      <c r="I102" s="25">
        <f>'August 2022'!I19+'August 2022'!I41+'August 2022'!I62+'August 2022'!I82</f>
        <v>9273.5</v>
      </c>
      <c r="J102" s="53">
        <f>'August 2022'!J19+'August 2022'!J41+'August 2022'!J62+'August 2022'!J82</f>
        <v>14178</v>
      </c>
      <c r="K102" s="25">
        <f t="shared" si="40"/>
        <v>1006.6379999999999</v>
      </c>
      <c r="L102" s="25">
        <v>0</v>
      </c>
      <c r="M102" s="25">
        <v>1436</v>
      </c>
      <c r="N102" s="25">
        <f t="shared" si="41"/>
        <v>1417.8000000000002</v>
      </c>
      <c r="O102" s="25">
        <v>105</v>
      </c>
      <c r="P102" s="25"/>
      <c r="Q102" s="25">
        <f t="shared" si="42"/>
        <v>319.75</v>
      </c>
      <c r="R102" s="25">
        <f>'August 2022'!R19+'August 2022'!R41+'August 2022'!R60+'August 2022'!R80</f>
        <v>218.19</v>
      </c>
      <c r="S102" s="25">
        <v>28</v>
      </c>
      <c r="T102" s="25">
        <f>E102-F102-I102-K102-M102-N102-O102-Q102-R102-S102-V102</f>
        <v>4544.6220000000012</v>
      </c>
      <c r="U102" s="25"/>
      <c r="V102" s="25">
        <f t="shared" si="45"/>
        <v>10633.5</v>
      </c>
      <c r="W102" s="25"/>
    </row>
    <row r="103" spans="1:23">
      <c r="A103" s="59" t="s">
        <v>261</v>
      </c>
      <c r="B103" s="60">
        <v>1650</v>
      </c>
      <c r="C103" s="61" t="s">
        <v>262</v>
      </c>
      <c r="D103" s="60">
        <f>'August 2022'!D20+'August 2022'!D42+'August 2022'!D63+'August 2022'!D83</f>
        <v>14</v>
      </c>
      <c r="E103" s="62">
        <f>'August 2022'!E20+'August 2022'!E42+'August 2022'!E63+'August 2022'!E83</f>
        <v>18485</v>
      </c>
      <c r="F103" s="62">
        <v>0</v>
      </c>
      <c r="G103" s="62">
        <v>0</v>
      </c>
      <c r="H103" s="62"/>
      <c r="I103" s="62">
        <f>'August 2022'!I20+'August 2022'!I42+'August 2022'!I63+'August 2022'!I83</f>
        <v>5865.52</v>
      </c>
      <c r="J103" s="63">
        <f>'August 2022'!J20+'August 2022'!J42+'August 2022'!J63+'August 2022'!J83</f>
        <v>7529</v>
      </c>
      <c r="K103" s="62">
        <f t="shared" si="40"/>
        <v>534.55899999999997</v>
      </c>
      <c r="L103" s="62">
        <v>0</v>
      </c>
      <c r="M103" s="62">
        <v>0</v>
      </c>
      <c r="N103" s="25">
        <f t="shared" si="41"/>
        <v>752.90000000000009</v>
      </c>
      <c r="O103" s="62">
        <v>0</v>
      </c>
      <c r="P103" s="62"/>
      <c r="Q103" s="62">
        <f t="shared" si="42"/>
        <v>184.85</v>
      </c>
      <c r="R103" s="62">
        <f>'August 2022'!R20+'August 2022'!R42+'August 2022'!R63+'August 2022'!R83</f>
        <v>0</v>
      </c>
      <c r="S103" s="62">
        <v>0</v>
      </c>
      <c r="T103" s="62">
        <f>E103*0.18-N103-Q103</f>
        <v>2389.5499999999997</v>
      </c>
      <c r="U103" s="62"/>
      <c r="V103" s="62">
        <f>E103*0.82-I103</f>
        <v>9292.1799999999985</v>
      </c>
      <c r="W103" s="25"/>
    </row>
    <row r="104" spans="1:23">
      <c r="A104" s="22" t="s">
        <v>270</v>
      </c>
      <c r="B104" s="23">
        <v>352368</v>
      </c>
      <c r="C104" s="24" t="s">
        <v>197</v>
      </c>
      <c r="D104" s="23">
        <f>'August 2022'!D43+'August 2022'!D64+'August 2022'!D84</f>
        <v>18</v>
      </c>
      <c r="E104" s="25">
        <f>'August 2022'!E43+'August 2022'!E64+'August 2022'!E84</f>
        <v>15447</v>
      </c>
      <c r="F104" s="25">
        <v>2665</v>
      </c>
      <c r="G104" s="25">
        <v>0</v>
      </c>
      <c r="H104" s="25"/>
      <c r="I104" s="25">
        <f>'August 2022'!I43+'August 2022'!I64+'August 2022'!I84</f>
        <v>5952.16</v>
      </c>
      <c r="J104" s="53">
        <f>'August 2022'!J43+'August 2022'!J64+'August 2022'!J84</f>
        <v>6780</v>
      </c>
      <c r="K104" s="25">
        <f t="shared" si="40"/>
        <v>481.37999999999994</v>
      </c>
      <c r="L104" s="25">
        <v>0</v>
      </c>
      <c r="M104" s="25">
        <v>1436</v>
      </c>
      <c r="N104" s="25">
        <f t="shared" si="41"/>
        <v>678</v>
      </c>
      <c r="O104" s="25">
        <v>105</v>
      </c>
      <c r="P104" s="25"/>
      <c r="Q104" s="25">
        <f t="shared" si="42"/>
        <v>154.47</v>
      </c>
      <c r="R104" s="25">
        <f>'August 2022'!R43+'August 2022'!R64+'August 2022'!R84</f>
        <v>274.38</v>
      </c>
      <c r="S104" s="25">
        <v>28</v>
      </c>
      <c r="T104" s="25">
        <f t="shared" ref="T104:T105" si="46">E104-J104*0.75-K104-F104-M104-N104-O104-Q104-I104-R104</f>
        <v>-1384.3899999999994</v>
      </c>
      <c r="U104" s="25"/>
      <c r="V104" s="25">
        <f t="shared" ref="V104:V105" si="47">J104*0.75</f>
        <v>5085</v>
      </c>
      <c r="W104" s="25"/>
    </row>
    <row r="105" spans="1:23">
      <c r="A105" s="22" t="s">
        <v>276</v>
      </c>
      <c r="B105" s="23">
        <v>359885</v>
      </c>
      <c r="C105" s="24" t="s">
        <v>197</v>
      </c>
      <c r="D105" s="23">
        <f>'August 2022'!D61+'August 2022'!D81</f>
        <v>11</v>
      </c>
      <c r="E105" s="25">
        <f>'August 2022'!E58+'August 2022'!E81</f>
        <v>8500</v>
      </c>
      <c r="F105" s="25">
        <v>2665</v>
      </c>
      <c r="G105" s="25">
        <v>0</v>
      </c>
      <c r="H105" s="25"/>
      <c r="I105" s="25">
        <f>'August 2022'!I61+'August 2022'!I81</f>
        <v>5142.0300000000007</v>
      </c>
      <c r="J105" s="53">
        <f>'August 2022'!J61+'August 2022'!J81</f>
        <v>5945</v>
      </c>
      <c r="K105" s="25">
        <f t="shared" si="40"/>
        <v>422.09499999999997</v>
      </c>
      <c r="L105" s="25">
        <v>0</v>
      </c>
      <c r="M105" s="25">
        <v>1436</v>
      </c>
      <c r="N105" s="25">
        <f t="shared" si="41"/>
        <v>594.5</v>
      </c>
      <c r="O105" s="25">
        <v>26.25</v>
      </c>
      <c r="P105" s="25"/>
      <c r="Q105" s="25">
        <f t="shared" si="42"/>
        <v>85</v>
      </c>
      <c r="R105" s="25">
        <f>'August 2022'!R61+'August 2022'!R81</f>
        <v>433.18</v>
      </c>
      <c r="S105" s="25">
        <v>7</v>
      </c>
      <c r="T105" s="25">
        <f t="shared" si="46"/>
        <v>-6762.8050000000003</v>
      </c>
      <c r="U105" s="25"/>
      <c r="V105" s="25">
        <f t="shared" si="47"/>
        <v>4458.75</v>
      </c>
      <c r="W105" s="22"/>
    </row>
    <row r="106" spans="1:23">
      <c r="A106" s="71" t="s">
        <v>89</v>
      </c>
      <c r="B106" s="72">
        <v>17</v>
      </c>
      <c r="C106" s="73" t="s">
        <v>271</v>
      </c>
      <c r="D106" s="72">
        <f>AVERAGE(D89:D105)</f>
        <v>18.529411764705884</v>
      </c>
      <c r="E106" s="74">
        <f t="shared" ref="E106:G106" si="48">SUM(E89:E105)</f>
        <v>371300</v>
      </c>
      <c r="F106" s="74">
        <f t="shared" si="48"/>
        <v>45583</v>
      </c>
      <c r="G106" s="74">
        <f t="shared" si="48"/>
        <v>0</v>
      </c>
      <c r="H106" s="74"/>
      <c r="I106" s="74">
        <f t="shared" ref="I106:O106" si="49">SUM(I89:I105)</f>
        <v>124688.97000000002</v>
      </c>
      <c r="J106" s="75">
        <f t="shared" si="49"/>
        <v>155131</v>
      </c>
      <c r="K106" s="74">
        <f t="shared" si="49"/>
        <v>11014.300999999994</v>
      </c>
      <c r="L106" s="74">
        <f t="shared" si="49"/>
        <v>0</v>
      </c>
      <c r="M106" s="74">
        <f t="shared" si="49"/>
        <v>22976</v>
      </c>
      <c r="N106" s="74">
        <f t="shared" si="49"/>
        <v>15513.100000000004</v>
      </c>
      <c r="O106" s="74">
        <f t="shared" si="49"/>
        <v>1921.25</v>
      </c>
      <c r="P106" s="74"/>
      <c r="Q106" s="74">
        <f t="shared" ref="Q106:T106" si="50">SUM(Q89:Q105)</f>
        <v>3712.9999999999995</v>
      </c>
      <c r="R106" s="74">
        <f t="shared" si="50"/>
        <v>6622.17</v>
      </c>
      <c r="S106" s="74">
        <f t="shared" si="50"/>
        <v>427</v>
      </c>
      <c r="T106" s="74">
        <f t="shared" si="50"/>
        <v>18613.338</v>
      </c>
      <c r="U106" s="74"/>
      <c r="V106" s="74">
        <f>SUM(V89:V105)</f>
        <v>121161.43</v>
      </c>
      <c r="W106" s="74"/>
    </row>
  </sheetData>
  <mergeCells count="5">
    <mergeCell ref="A1:W1"/>
    <mergeCell ref="A24:W24"/>
    <mergeCell ref="A46:W46"/>
    <mergeCell ref="A67:W67"/>
    <mergeCell ref="A87:W8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9"/>
  <sheetViews>
    <sheetView workbookViewId="0"/>
  </sheetViews>
  <sheetFormatPr baseColWidth="10" defaultColWidth="12.6640625" defaultRowHeight="15.75" customHeight="1"/>
  <sheetData>
    <row r="1" spans="1:24">
      <c r="A1" s="457" t="s">
        <v>279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9"/>
      <c r="X1" s="14"/>
    </row>
    <row r="2" spans="1:24">
      <c r="A2" s="1" t="s">
        <v>0</v>
      </c>
      <c r="B2" s="2" t="s">
        <v>1</v>
      </c>
      <c r="C2" s="2" t="s">
        <v>183</v>
      </c>
      <c r="D2" s="2" t="s">
        <v>3</v>
      </c>
      <c r="E2" s="2" t="s">
        <v>2</v>
      </c>
      <c r="F2" s="2" t="s">
        <v>4</v>
      </c>
      <c r="G2" s="2" t="s">
        <v>6</v>
      </c>
      <c r="H2" s="2"/>
      <c r="I2" s="2" t="s">
        <v>7</v>
      </c>
      <c r="J2" s="2" t="s">
        <v>9</v>
      </c>
      <c r="K2" s="2" t="s">
        <v>106</v>
      </c>
      <c r="L2" s="2" t="s">
        <v>107</v>
      </c>
      <c r="M2" s="2" t="s">
        <v>5</v>
      </c>
      <c r="N2" s="2" t="s">
        <v>12</v>
      </c>
      <c r="O2" s="2" t="s">
        <v>184</v>
      </c>
      <c r="P2" s="2"/>
      <c r="Q2" s="2" t="s">
        <v>108</v>
      </c>
      <c r="R2" s="2" t="s">
        <v>8</v>
      </c>
      <c r="S2" s="12" t="s">
        <v>185</v>
      </c>
      <c r="T2" s="2" t="s">
        <v>13</v>
      </c>
      <c r="U2" s="2"/>
      <c r="V2" s="14" t="s">
        <v>98</v>
      </c>
      <c r="W2" s="14" t="s">
        <v>257</v>
      </c>
      <c r="X2" s="14" t="s">
        <v>273</v>
      </c>
    </row>
    <row r="3" spans="1:24">
      <c r="A3" s="22" t="s">
        <v>258</v>
      </c>
      <c r="B3" s="23">
        <v>352374</v>
      </c>
      <c r="C3" s="24" t="s">
        <v>251</v>
      </c>
      <c r="D3" s="23">
        <v>0</v>
      </c>
      <c r="E3" s="25">
        <v>0</v>
      </c>
      <c r="F3" s="25">
        <v>789.51</v>
      </c>
      <c r="G3" s="25">
        <v>0</v>
      </c>
      <c r="H3" s="25"/>
      <c r="I3" s="25">
        <v>0</v>
      </c>
      <c r="J3" s="53">
        <v>0</v>
      </c>
      <c r="K3" s="25">
        <f t="shared" ref="K3:K19" si="0">J3*0.071</f>
        <v>0</v>
      </c>
      <c r="L3" s="25">
        <v>0</v>
      </c>
      <c r="M3" s="25">
        <v>359.07</v>
      </c>
      <c r="N3" s="25">
        <v>0</v>
      </c>
      <c r="O3" s="25">
        <v>26.25</v>
      </c>
      <c r="P3" s="25"/>
      <c r="Q3" s="25">
        <f t="shared" ref="Q3:Q19" si="1">E3*0.01</f>
        <v>0</v>
      </c>
      <c r="R3" s="25">
        <v>0</v>
      </c>
      <c r="S3" s="25">
        <v>7</v>
      </c>
      <c r="T3" s="25">
        <f>E3-J3*0.75-K3-F3-M3-N3-O3-Q3-I3-R3</f>
        <v>-1174.83</v>
      </c>
      <c r="U3" s="25"/>
      <c r="V3" s="25">
        <f t="shared" ref="V3:V4" si="2">J3*0.8</f>
        <v>0</v>
      </c>
      <c r="W3" s="25">
        <v>0</v>
      </c>
      <c r="X3" s="25">
        <v>0</v>
      </c>
    </row>
    <row r="4" spans="1:24">
      <c r="A4" s="22" t="s">
        <v>268</v>
      </c>
      <c r="B4" s="23">
        <v>352368</v>
      </c>
      <c r="C4" s="24" t="s">
        <v>251</v>
      </c>
      <c r="D4" s="23">
        <v>6</v>
      </c>
      <c r="E4" s="25">
        <v>7020</v>
      </c>
      <c r="F4" s="25">
        <v>789.51</v>
      </c>
      <c r="G4" s="25">
        <v>0</v>
      </c>
      <c r="H4" s="25"/>
      <c r="I4" s="25">
        <v>2371.59</v>
      </c>
      <c r="J4" s="53">
        <v>3103</v>
      </c>
      <c r="K4" s="25">
        <f t="shared" si="0"/>
        <v>220.31299999999999</v>
      </c>
      <c r="L4" s="25">
        <v>0</v>
      </c>
      <c r="M4" s="25">
        <v>359.07</v>
      </c>
      <c r="N4" s="25">
        <f t="shared" ref="N4:N19" si="3">J4*0.1</f>
        <v>310.3</v>
      </c>
      <c r="O4" s="25">
        <v>40</v>
      </c>
      <c r="P4" s="25"/>
      <c r="Q4" s="25">
        <f t="shared" si="1"/>
        <v>70.2</v>
      </c>
      <c r="R4" s="25">
        <v>61.06</v>
      </c>
      <c r="S4" s="25">
        <v>7</v>
      </c>
      <c r="T4" s="25">
        <f>E4-J4*0.8-K4-F4-M4-N4-O4-Q4-I4-R4</f>
        <v>315.55699999999973</v>
      </c>
      <c r="U4" s="25"/>
      <c r="V4" s="25">
        <f t="shared" si="2"/>
        <v>2482.4</v>
      </c>
      <c r="W4" s="25">
        <v>79.77</v>
      </c>
      <c r="X4" s="25">
        <v>0</v>
      </c>
    </row>
    <row r="5" spans="1:24">
      <c r="A5" s="22" t="s">
        <v>269</v>
      </c>
      <c r="B5" s="23">
        <v>352377</v>
      </c>
      <c r="C5" s="24" t="s">
        <v>197</v>
      </c>
      <c r="D5" s="23">
        <v>6</v>
      </c>
      <c r="E5" s="25">
        <v>3650</v>
      </c>
      <c r="F5" s="25">
        <v>689.44</v>
      </c>
      <c r="G5" s="25">
        <v>0</v>
      </c>
      <c r="H5" s="25"/>
      <c r="I5" s="25">
        <v>1645.62</v>
      </c>
      <c r="J5" s="53">
        <v>1818</v>
      </c>
      <c r="K5" s="25">
        <f t="shared" si="0"/>
        <v>129.07799999999997</v>
      </c>
      <c r="L5" s="25">
        <v>0</v>
      </c>
      <c r="M5" s="25">
        <v>359.07</v>
      </c>
      <c r="N5" s="25">
        <f t="shared" si="3"/>
        <v>181.8</v>
      </c>
      <c r="O5" s="25">
        <v>32.5</v>
      </c>
      <c r="P5" s="25"/>
      <c r="Q5" s="25">
        <f t="shared" si="1"/>
        <v>36.5</v>
      </c>
      <c r="R5" s="25">
        <v>93.16</v>
      </c>
      <c r="S5" s="25">
        <v>7</v>
      </c>
      <c r="T5" s="25">
        <f t="shared" ref="T5:T8" si="4">E5-J5*0.75-K5-F5-M5-N5-O5-Q5-I5-R5</f>
        <v>-880.66799999999978</v>
      </c>
      <c r="U5" s="25"/>
      <c r="V5" s="25">
        <f t="shared" ref="V5:V16" si="5">J5*0.75</f>
        <v>1363.5</v>
      </c>
      <c r="W5" s="25">
        <v>92.45</v>
      </c>
      <c r="X5" s="25">
        <v>0</v>
      </c>
    </row>
    <row r="6" spans="1:24">
      <c r="A6" s="22" t="s">
        <v>253</v>
      </c>
      <c r="B6" s="23">
        <v>352372</v>
      </c>
      <c r="C6" s="24" t="s">
        <v>197</v>
      </c>
      <c r="D6" s="23">
        <v>3</v>
      </c>
      <c r="E6" s="25">
        <v>2250</v>
      </c>
      <c r="F6" s="25">
        <v>689.44</v>
      </c>
      <c r="G6" s="25">
        <v>0</v>
      </c>
      <c r="H6" s="25"/>
      <c r="I6" s="25">
        <v>1544.31</v>
      </c>
      <c r="J6" s="53">
        <v>1336</v>
      </c>
      <c r="K6" s="25">
        <f t="shared" si="0"/>
        <v>94.855999999999995</v>
      </c>
      <c r="L6" s="25">
        <v>0</v>
      </c>
      <c r="M6" s="25">
        <v>359.07</v>
      </c>
      <c r="N6" s="25">
        <f t="shared" si="3"/>
        <v>133.6</v>
      </c>
      <c r="O6" s="25">
        <v>32.5</v>
      </c>
      <c r="P6" s="25"/>
      <c r="Q6" s="25">
        <f t="shared" si="1"/>
        <v>22.5</v>
      </c>
      <c r="R6" s="25">
        <v>91.73</v>
      </c>
      <c r="S6" s="25">
        <v>7</v>
      </c>
      <c r="T6" s="25">
        <f t="shared" si="4"/>
        <v>-1720.0060000000001</v>
      </c>
      <c r="U6" s="25"/>
      <c r="V6" s="25">
        <f t="shared" si="5"/>
        <v>1002</v>
      </c>
      <c r="W6" s="25">
        <v>94.47</v>
      </c>
      <c r="X6" s="25">
        <v>0</v>
      </c>
    </row>
    <row r="7" spans="1:24">
      <c r="A7" s="22" t="s">
        <v>254</v>
      </c>
      <c r="B7" s="23">
        <v>465180</v>
      </c>
      <c r="C7" s="24" t="s">
        <v>197</v>
      </c>
      <c r="D7" s="23">
        <v>7</v>
      </c>
      <c r="E7" s="25">
        <v>8175</v>
      </c>
      <c r="F7" s="25">
        <v>789.51</v>
      </c>
      <c r="G7" s="25">
        <v>0</v>
      </c>
      <c r="H7" s="25"/>
      <c r="I7" s="25">
        <v>2869.16</v>
      </c>
      <c r="J7" s="53">
        <v>3488</v>
      </c>
      <c r="K7" s="25">
        <f t="shared" si="0"/>
        <v>247.64799999999997</v>
      </c>
      <c r="L7" s="25">
        <v>0</v>
      </c>
      <c r="M7" s="25">
        <v>359.07</v>
      </c>
      <c r="N7" s="25">
        <f t="shared" si="3"/>
        <v>348.8</v>
      </c>
      <c r="O7" s="25">
        <v>32.5</v>
      </c>
      <c r="P7" s="25"/>
      <c r="Q7" s="25">
        <f t="shared" si="1"/>
        <v>81.75</v>
      </c>
      <c r="R7" s="25">
        <v>92.74</v>
      </c>
      <c r="S7" s="25">
        <v>7</v>
      </c>
      <c r="T7" s="25">
        <f t="shared" si="4"/>
        <v>737.82199999999989</v>
      </c>
      <c r="U7" s="25"/>
      <c r="V7" s="25">
        <f t="shared" si="5"/>
        <v>2616</v>
      </c>
      <c r="W7" s="25">
        <v>135.80000000000001</v>
      </c>
      <c r="X7" s="25">
        <v>0</v>
      </c>
    </row>
    <row r="8" spans="1:24">
      <c r="A8" s="22" t="s">
        <v>247</v>
      </c>
      <c r="B8" s="23">
        <v>352376</v>
      </c>
      <c r="C8" s="24" t="s">
        <v>197</v>
      </c>
      <c r="D8" s="23">
        <v>0</v>
      </c>
      <c r="E8" s="25">
        <v>0</v>
      </c>
      <c r="F8" s="25">
        <v>689.44</v>
      </c>
      <c r="G8" s="25">
        <v>0</v>
      </c>
      <c r="H8" s="25"/>
      <c r="I8" s="25">
        <v>0</v>
      </c>
      <c r="J8" s="53">
        <v>0</v>
      </c>
      <c r="K8" s="25">
        <f t="shared" si="0"/>
        <v>0</v>
      </c>
      <c r="L8" s="25">
        <v>0</v>
      </c>
      <c r="M8" s="25">
        <v>359.07</v>
      </c>
      <c r="N8" s="25">
        <f t="shared" si="3"/>
        <v>0</v>
      </c>
      <c r="O8" s="25">
        <v>26.25</v>
      </c>
      <c r="P8" s="25"/>
      <c r="Q8" s="25">
        <f t="shared" si="1"/>
        <v>0</v>
      </c>
      <c r="R8" s="25">
        <v>0</v>
      </c>
      <c r="S8" s="25">
        <v>7</v>
      </c>
      <c r="T8" s="25">
        <f t="shared" si="4"/>
        <v>-1074.76</v>
      </c>
      <c r="U8" s="25"/>
      <c r="V8" s="25">
        <f t="shared" si="5"/>
        <v>0</v>
      </c>
      <c r="W8" s="25">
        <v>0</v>
      </c>
      <c r="X8" s="25">
        <v>0</v>
      </c>
    </row>
    <row r="9" spans="1:24">
      <c r="A9" s="22" t="s">
        <v>280</v>
      </c>
      <c r="B9" s="23">
        <v>465182</v>
      </c>
      <c r="C9" s="24" t="s">
        <v>197</v>
      </c>
      <c r="D9" s="23">
        <v>6</v>
      </c>
      <c r="E9" s="25">
        <v>6290</v>
      </c>
      <c r="F9" s="25">
        <v>689.44</v>
      </c>
      <c r="G9" s="25">
        <v>0</v>
      </c>
      <c r="H9" s="25"/>
      <c r="I9" s="25">
        <v>2107.04</v>
      </c>
      <c r="J9" s="53">
        <v>2797</v>
      </c>
      <c r="K9" s="25">
        <f t="shared" si="0"/>
        <v>198.58699999999999</v>
      </c>
      <c r="L9" s="25">
        <v>0</v>
      </c>
      <c r="M9" s="25">
        <v>359.07</v>
      </c>
      <c r="N9" s="25">
        <f t="shared" si="3"/>
        <v>279.7</v>
      </c>
      <c r="O9" s="25">
        <v>40</v>
      </c>
      <c r="P9" s="25"/>
      <c r="Q9" s="25">
        <f t="shared" si="1"/>
        <v>62.9</v>
      </c>
      <c r="R9" s="25">
        <v>241.93</v>
      </c>
      <c r="S9" s="25">
        <v>7</v>
      </c>
      <c r="T9" s="25">
        <f t="shared" ref="T9:T10" si="6">E9-J9*0.8-K9-F9-M9-N9-O9-Q9-I9-R9</f>
        <v>73.733000000000004</v>
      </c>
      <c r="U9" s="25"/>
      <c r="V9" s="25">
        <f t="shared" si="5"/>
        <v>2097.75</v>
      </c>
      <c r="W9" s="25">
        <v>73.67</v>
      </c>
      <c r="X9" s="25">
        <v>0</v>
      </c>
    </row>
    <row r="10" spans="1:24">
      <c r="A10" s="22" t="s">
        <v>220</v>
      </c>
      <c r="B10" s="23">
        <v>465185</v>
      </c>
      <c r="C10" s="24" t="s">
        <v>197</v>
      </c>
      <c r="D10" s="23">
        <v>0</v>
      </c>
      <c r="E10" s="25">
        <v>0</v>
      </c>
      <c r="F10" s="25">
        <v>789.51</v>
      </c>
      <c r="G10" s="25">
        <v>0</v>
      </c>
      <c r="H10" s="25"/>
      <c r="I10" s="25">
        <v>0</v>
      </c>
      <c r="J10" s="53">
        <v>0</v>
      </c>
      <c r="K10" s="25">
        <f t="shared" si="0"/>
        <v>0</v>
      </c>
      <c r="L10" s="25">
        <v>0</v>
      </c>
      <c r="M10" s="25">
        <v>359.07</v>
      </c>
      <c r="N10" s="25">
        <f t="shared" si="3"/>
        <v>0</v>
      </c>
      <c r="O10" s="25">
        <v>40</v>
      </c>
      <c r="P10" s="25"/>
      <c r="Q10" s="25">
        <f t="shared" si="1"/>
        <v>0</v>
      </c>
      <c r="R10" s="25">
        <v>33.06</v>
      </c>
      <c r="S10" s="25">
        <v>7</v>
      </c>
      <c r="T10" s="25">
        <f t="shared" si="6"/>
        <v>-1221.6399999999999</v>
      </c>
      <c r="U10" s="25"/>
      <c r="V10" s="25">
        <f t="shared" si="5"/>
        <v>0</v>
      </c>
      <c r="W10" s="25">
        <v>0</v>
      </c>
      <c r="X10" s="25">
        <v>0</v>
      </c>
    </row>
    <row r="11" spans="1:24">
      <c r="A11" s="22" t="s">
        <v>235</v>
      </c>
      <c r="B11" s="23">
        <v>352371</v>
      </c>
      <c r="C11" s="24" t="s">
        <v>197</v>
      </c>
      <c r="D11" s="23">
        <v>7</v>
      </c>
      <c r="E11" s="25">
        <v>7300</v>
      </c>
      <c r="F11" s="25">
        <v>689.44</v>
      </c>
      <c r="G11" s="25">
        <v>0</v>
      </c>
      <c r="H11" s="25"/>
      <c r="I11" s="25">
        <v>3126.49</v>
      </c>
      <c r="J11" s="53">
        <v>3323</v>
      </c>
      <c r="K11" s="25">
        <f t="shared" si="0"/>
        <v>235.93299999999999</v>
      </c>
      <c r="L11" s="25">
        <v>0</v>
      </c>
      <c r="M11" s="25">
        <v>359.07</v>
      </c>
      <c r="N11" s="25">
        <f t="shared" si="3"/>
        <v>332.3</v>
      </c>
      <c r="O11" s="25">
        <v>32.5</v>
      </c>
      <c r="P11" s="25"/>
      <c r="Q11" s="25">
        <f t="shared" si="1"/>
        <v>73</v>
      </c>
      <c r="R11" s="25">
        <v>212.16</v>
      </c>
      <c r="S11" s="25">
        <v>7</v>
      </c>
      <c r="T11" s="25">
        <f t="shared" ref="T11:T12" si="7">E11-J11*0.75-K11-F11-M11-N11-O11-Q11-I11-R11</f>
        <v>-253.14300000000017</v>
      </c>
      <c r="U11" s="25"/>
      <c r="V11" s="25">
        <f t="shared" si="5"/>
        <v>2492.25</v>
      </c>
      <c r="W11" s="25">
        <v>269.58999999999997</v>
      </c>
      <c r="X11" s="25">
        <v>0</v>
      </c>
    </row>
    <row r="12" spans="1:24">
      <c r="A12" s="22" t="s">
        <v>223</v>
      </c>
      <c r="B12" s="23">
        <v>465183</v>
      </c>
      <c r="C12" s="24" t="s">
        <v>197</v>
      </c>
      <c r="D12" s="23">
        <v>5</v>
      </c>
      <c r="E12" s="25">
        <v>6225</v>
      </c>
      <c r="F12" s="25">
        <v>789.51</v>
      </c>
      <c r="G12" s="25">
        <v>0</v>
      </c>
      <c r="H12" s="25"/>
      <c r="I12" s="25">
        <v>1360.53</v>
      </c>
      <c r="J12" s="53">
        <v>2199</v>
      </c>
      <c r="K12" s="25">
        <f t="shared" si="0"/>
        <v>156.12899999999999</v>
      </c>
      <c r="L12" s="25">
        <v>0</v>
      </c>
      <c r="M12" s="25">
        <v>359.07</v>
      </c>
      <c r="N12" s="25">
        <f t="shared" si="3"/>
        <v>219.9</v>
      </c>
      <c r="O12" s="25">
        <v>26.25</v>
      </c>
      <c r="P12" s="25"/>
      <c r="Q12" s="25">
        <f t="shared" si="1"/>
        <v>62.25</v>
      </c>
      <c r="R12" s="25">
        <v>1.06</v>
      </c>
      <c r="S12" s="25">
        <v>7</v>
      </c>
      <c r="T12" s="25">
        <f t="shared" si="7"/>
        <v>1601.0509999999997</v>
      </c>
      <c r="U12" s="25"/>
      <c r="V12" s="25">
        <f t="shared" si="5"/>
        <v>1649.25</v>
      </c>
      <c r="W12" s="25">
        <v>84.04</v>
      </c>
      <c r="X12" s="25">
        <v>0</v>
      </c>
    </row>
    <row r="13" spans="1:24">
      <c r="A13" s="22" t="s">
        <v>224</v>
      </c>
      <c r="B13" s="23">
        <v>465187</v>
      </c>
      <c r="C13" s="24" t="s">
        <v>251</v>
      </c>
      <c r="D13" s="23">
        <v>7</v>
      </c>
      <c r="E13" s="25">
        <v>7421</v>
      </c>
      <c r="F13" s="25">
        <v>789.51</v>
      </c>
      <c r="G13" s="25">
        <v>0</v>
      </c>
      <c r="H13" s="25"/>
      <c r="I13" s="25">
        <v>2639.77</v>
      </c>
      <c r="J13" s="53">
        <v>3075</v>
      </c>
      <c r="K13" s="25">
        <f t="shared" si="0"/>
        <v>218.32499999999999</v>
      </c>
      <c r="L13" s="25">
        <v>0</v>
      </c>
      <c r="M13" s="25">
        <v>359.07</v>
      </c>
      <c r="N13" s="25">
        <f t="shared" si="3"/>
        <v>307.5</v>
      </c>
      <c r="O13" s="25">
        <v>40</v>
      </c>
      <c r="P13" s="25"/>
      <c r="Q13" s="25">
        <f t="shared" si="1"/>
        <v>74.210000000000008</v>
      </c>
      <c r="R13" s="25">
        <v>296.14</v>
      </c>
      <c r="S13" s="25">
        <v>7</v>
      </c>
      <c r="T13" s="25">
        <f>E13-J13*0.8-K13-F13-M13-N13-O13-Q13-I13-R13</f>
        <v>236.4749999999998</v>
      </c>
      <c r="U13" s="25"/>
      <c r="V13" s="25">
        <f t="shared" si="5"/>
        <v>2306.25</v>
      </c>
      <c r="W13" s="25">
        <v>88.53</v>
      </c>
      <c r="X13" s="25">
        <v>200</v>
      </c>
    </row>
    <row r="14" spans="1:24">
      <c r="A14" s="34" t="s">
        <v>232</v>
      </c>
      <c r="B14" s="23">
        <v>465181</v>
      </c>
      <c r="C14" s="47" t="s">
        <v>197</v>
      </c>
      <c r="D14" s="47">
        <v>6</v>
      </c>
      <c r="E14" s="35">
        <v>4700</v>
      </c>
      <c r="F14" s="25">
        <v>789.51</v>
      </c>
      <c r="G14" s="25">
        <v>0</v>
      </c>
      <c r="H14" s="69"/>
      <c r="I14" s="35">
        <v>2210.65</v>
      </c>
      <c r="J14" s="54">
        <v>1773</v>
      </c>
      <c r="K14" s="25">
        <f t="shared" si="0"/>
        <v>125.883</v>
      </c>
      <c r="L14" s="25">
        <v>0</v>
      </c>
      <c r="M14" s="25">
        <v>359.07</v>
      </c>
      <c r="N14" s="25">
        <f t="shared" si="3"/>
        <v>177.3</v>
      </c>
      <c r="O14" s="25">
        <v>26.25</v>
      </c>
      <c r="P14" s="25"/>
      <c r="Q14" s="25">
        <f t="shared" si="1"/>
        <v>47</v>
      </c>
      <c r="R14" s="35">
        <v>36.99</v>
      </c>
      <c r="S14" s="25">
        <v>7</v>
      </c>
      <c r="T14" s="25">
        <f t="shared" ref="T14:T15" si="8">E14-J14*0.75-K14-F14-M14-N14-O14-Q14-I14-R14</f>
        <v>-402.40300000000025</v>
      </c>
      <c r="U14" s="25"/>
      <c r="V14" s="25">
        <f t="shared" si="5"/>
        <v>1329.75</v>
      </c>
      <c r="W14" s="35">
        <v>39.979999999999997</v>
      </c>
      <c r="X14" s="25">
        <v>0</v>
      </c>
    </row>
    <row r="15" spans="1:24">
      <c r="A15" s="22" t="s">
        <v>276</v>
      </c>
      <c r="B15" s="23">
        <v>359885</v>
      </c>
      <c r="C15" s="24" t="s">
        <v>197</v>
      </c>
      <c r="D15" s="23">
        <v>6</v>
      </c>
      <c r="E15" s="25">
        <v>6550</v>
      </c>
      <c r="F15" s="25">
        <v>689.44</v>
      </c>
      <c r="G15" s="25">
        <v>0</v>
      </c>
      <c r="H15" s="25"/>
      <c r="I15" s="25">
        <v>2584.0500000000002</v>
      </c>
      <c r="J15" s="53">
        <v>3226</v>
      </c>
      <c r="K15" s="25">
        <f t="shared" si="0"/>
        <v>229.04599999999999</v>
      </c>
      <c r="L15" s="25">
        <v>0</v>
      </c>
      <c r="M15" s="25">
        <v>359.07</v>
      </c>
      <c r="N15" s="25">
        <f t="shared" si="3"/>
        <v>322.60000000000002</v>
      </c>
      <c r="O15" s="25">
        <v>26.25</v>
      </c>
      <c r="P15" s="25"/>
      <c r="Q15" s="25">
        <f t="shared" si="1"/>
        <v>65.5</v>
      </c>
      <c r="R15" s="25">
        <v>32.17</v>
      </c>
      <c r="S15" s="25">
        <v>7</v>
      </c>
      <c r="T15" s="25">
        <f t="shared" si="8"/>
        <v>-177.62600000000015</v>
      </c>
      <c r="U15" s="25"/>
      <c r="V15" s="25">
        <f t="shared" si="5"/>
        <v>2419.5</v>
      </c>
      <c r="W15" s="25">
        <v>152.65</v>
      </c>
      <c r="X15" s="25">
        <v>0</v>
      </c>
    </row>
    <row r="16" spans="1:24">
      <c r="A16" s="22" t="s">
        <v>260</v>
      </c>
      <c r="B16" s="23">
        <v>465189</v>
      </c>
      <c r="C16" s="24" t="s">
        <v>251</v>
      </c>
      <c r="D16" s="23">
        <v>7</v>
      </c>
      <c r="E16" s="25">
        <v>5250</v>
      </c>
      <c r="F16" s="25">
        <v>789.51</v>
      </c>
      <c r="G16" s="25">
        <v>0</v>
      </c>
      <c r="H16" s="25"/>
      <c r="I16" s="25">
        <v>1774.92</v>
      </c>
      <c r="J16" s="53">
        <v>2127</v>
      </c>
      <c r="K16" s="25">
        <f t="shared" si="0"/>
        <v>151.017</v>
      </c>
      <c r="L16" s="25">
        <v>0</v>
      </c>
      <c r="M16" s="25">
        <v>359.07</v>
      </c>
      <c r="N16" s="25">
        <f t="shared" si="3"/>
        <v>212.70000000000002</v>
      </c>
      <c r="O16" s="25">
        <v>26.25</v>
      </c>
      <c r="P16" s="25"/>
      <c r="Q16" s="25">
        <f t="shared" si="1"/>
        <v>52.5</v>
      </c>
      <c r="R16" s="25">
        <v>0</v>
      </c>
      <c r="S16" s="25">
        <v>7</v>
      </c>
      <c r="T16" s="25">
        <f>E16-J16*0.8-K16-F16-M16-N16-O16-Q16-I16-R16</f>
        <v>182.43299999999931</v>
      </c>
      <c r="U16" s="25"/>
      <c r="V16" s="25">
        <f t="shared" si="5"/>
        <v>1595.25</v>
      </c>
      <c r="W16" s="25">
        <v>102.51</v>
      </c>
      <c r="X16" s="25">
        <v>700</v>
      </c>
    </row>
    <row r="17" spans="1:24">
      <c r="A17" s="59" t="s">
        <v>261</v>
      </c>
      <c r="B17" s="60">
        <v>1650</v>
      </c>
      <c r="C17" s="61" t="s">
        <v>262</v>
      </c>
      <c r="D17" s="60">
        <v>2</v>
      </c>
      <c r="E17" s="62">
        <v>1764</v>
      </c>
      <c r="F17" s="62">
        <v>0</v>
      </c>
      <c r="G17" s="62">
        <v>0</v>
      </c>
      <c r="H17" s="62"/>
      <c r="I17" s="62">
        <v>750.94</v>
      </c>
      <c r="J17" s="63">
        <v>1575</v>
      </c>
      <c r="K17" s="62">
        <f t="shared" si="0"/>
        <v>111.82499999999999</v>
      </c>
      <c r="L17" s="62">
        <v>0</v>
      </c>
      <c r="M17" s="62">
        <v>0</v>
      </c>
      <c r="N17" s="62">
        <f t="shared" si="3"/>
        <v>157.5</v>
      </c>
      <c r="O17" s="62">
        <v>0</v>
      </c>
      <c r="P17" s="62"/>
      <c r="Q17" s="62">
        <f t="shared" si="1"/>
        <v>17.64</v>
      </c>
      <c r="R17" s="62">
        <v>0</v>
      </c>
      <c r="S17" s="62">
        <v>0</v>
      </c>
      <c r="T17" s="62">
        <f>E17*0.18-N17-Q17</f>
        <v>142.38</v>
      </c>
      <c r="U17" s="62"/>
      <c r="V17" s="62">
        <f>E17*0.82-I17</f>
        <v>695.54</v>
      </c>
      <c r="W17" s="59">
        <v>6.49</v>
      </c>
      <c r="X17" s="25">
        <v>0</v>
      </c>
    </row>
    <row r="18" spans="1:24">
      <c r="A18" s="22" t="s">
        <v>270</v>
      </c>
      <c r="B18" s="23">
        <v>352368</v>
      </c>
      <c r="C18" s="24" t="s">
        <v>197</v>
      </c>
      <c r="D18" s="23">
        <v>5</v>
      </c>
      <c r="E18" s="25">
        <v>5925</v>
      </c>
      <c r="F18" s="25">
        <v>689.44</v>
      </c>
      <c r="G18" s="25">
        <v>0</v>
      </c>
      <c r="H18" s="25"/>
      <c r="I18" s="25">
        <v>2781.21</v>
      </c>
      <c r="J18" s="53">
        <v>2549</v>
      </c>
      <c r="K18" s="25">
        <f t="shared" si="0"/>
        <v>180.97899999999998</v>
      </c>
      <c r="L18" s="25">
        <v>0</v>
      </c>
      <c r="M18" s="25">
        <v>359.07</v>
      </c>
      <c r="N18" s="25">
        <f t="shared" si="3"/>
        <v>254.9</v>
      </c>
      <c r="O18" s="25">
        <v>26.25</v>
      </c>
      <c r="P18" s="25"/>
      <c r="Q18" s="25">
        <f t="shared" si="1"/>
        <v>59.25</v>
      </c>
      <c r="R18" s="25">
        <v>194.95</v>
      </c>
      <c r="S18" s="25">
        <v>7</v>
      </c>
      <c r="T18" s="25">
        <f t="shared" ref="T18:T19" si="9">E18-J18*0.75-K18-F18-M18-N18-O18-Q18-I18-R18</f>
        <v>-532.79900000000021</v>
      </c>
      <c r="U18" s="25"/>
      <c r="V18" s="25">
        <f t="shared" ref="V18:V19" si="10">J18*0.75</f>
        <v>1911.75</v>
      </c>
      <c r="W18" s="25">
        <v>51.46</v>
      </c>
      <c r="X18" s="25">
        <v>0</v>
      </c>
    </row>
    <row r="19" spans="1:24">
      <c r="A19" s="22" t="s">
        <v>281</v>
      </c>
      <c r="B19" s="23">
        <v>352375</v>
      </c>
      <c r="C19" s="24" t="s">
        <v>197</v>
      </c>
      <c r="D19" s="23">
        <v>4</v>
      </c>
      <c r="E19" s="25">
        <v>4100</v>
      </c>
      <c r="F19" s="25">
        <v>689.44</v>
      </c>
      <c r="G19" s="25">
        <v>0</v>
      </c>
      <c r="H19" s="25"/>
      <c r="I19" s="25">
        <v>1465.64</v>
      </c>
      <c r="J19" s="53">
        <v>2060</v>
      </c>
      <c r="K19" s="25">
        <f t="shared" si="0"/>
        <v>146.26</v>
      </c>
      <c r="L19" s="25">
        <v>0</v>
      </c>
      <c r="M19" s="25">
        <v>359.07</v>
      </c>
      <c r="N19" s="25">
        <f t="shared" si="3"/>
        <v>206</v>
      </c>
      <c r="O19" s="25">
        <v>26.25</v>
      </c>
      <c r="P19" s="25"/>
      <c r="Q19" s="25">
        <f t="shared" si="1"/>
        <v>41</v>
      </c>
      <c r="R19" s="25">
        <v>2.78</v>
      </c>
      <c r="S19" s="25">
        <v>7</v>
      </c>
      <c r="T19" s="25">
        <f t="shared" si="9"/>
        <v>-381.44000000000028</v>
      </c>
      <c r="U19" s="25"/>
      <c r="V19" s="25">
        <f t="shared" si="10"/>
        <v>1545</v>
      </c>
      <c r="W19" s="25">
        <v>91.66</v>
      </c>
      <c r="X19" s="25">
        <v>0</v>
      </c>
    </row>
    <row r="20" spans="1:24">
      <c r="A20" s="39" t="s">
        <v>89</v>
      </c>
      <c r="B20" s="40">
        <v>17</v>
      </c>
      <c r="C20" s="41" t="s">
        <v>271</v>
      </c>
      <c r="D20" s="40">
        <f>AVERAGE(D3:D19)</f>
        <v>4.5294117647058822</v>
      </c>
      <c r="E20" s="42">
        <f>SUM(E3:E19)</f>
        <v>76620</v>
      </c>
      <c r="F20" s="42">
        <f>SUM(F3:F18)</f>
        <v>11142.160000000003</v>
      </c>
      <c r="G20" s="42">
        <f>SUM(G3:G17)</f>
        <v>0</v>
      </c>
      <c r="H20" s="42"/>
      <c r="I20" s="42">
        <f t="shared" ref="I20:J20" si="11">SUM(I3:I19)</f>
        <v>29231.920000000002</v>
      </c>
      <c r="J20" s="41">
        <f t="shared" si="11"/>
        <v>34449</v>
      </c>
      <c r="K20" s="42">
        <f t="shared" ref="K20:O20" si="12">SUM(K3:K17)</f>
        <v>2118.64</v>
      </c>
      <c r="L20" s="42">
        <f t="shared" si="12"/>
        <v>0</v>
      </c>
      <c r="M20" s="42">
        <f t="shared" si="12"/>
        <v>5026.9800000000005</v>
      </c>
      <c r="N20" s="42">
        <f t="shared" si="12"/>
        <v>2984</v>
      </c>
      <c r="O20" s="42">
        <f t="shared" si="12"/>
        <v>447.5</v>
      </c>
      <c r="P20" s="42"/>
      <c r="Q20" s="42">
        <f>SUM(Q3:Q17)</f>
        <v>665.94999999999993</v>
      </c>
      <c r="R20" s="42">
        <f>SUM(R3:R19)</f>
        <v>1389.93</v>
      </c>
      <c r="S20" s="42">
        <f>SUM(S3:S17)</f>
        <v>98</v>
      </c>
      <c r="T20" s="42">
        <f>SUM(T3:T18)</f>
        <v>-4148.4240000000009</v>
      </c>
      <c r="U20" s="42"/>
      <c r="V20" s="42">
        <f>SUM(V3:V18)</f>
        <v>23961.190000000002</v>
      </c>
      <c r="W20" s="25">
        <f>SUM(W4:W19)</f>
        <v>1363.0700000000002</v>
      </c>
      <c r="X20" s="25">
        <f>SUM(X3:X19)</f>
        <v>900</v>
      </c>
    </row>
    <row r="22" spans="1:24">
      <c r="A22" s="457" t="s">
        <v>282</v>
      </c>
      <c r="B22" s="458"/>
      <c r="C22" s="458"/>
      <c r="D22" s="458"/>
      <c r="E22" s="458"/>
      <c r="F22" s="458"/>
      <c r="G22" s="458"/>
      <c r="H22" s="458"/>
      <c r="I22" s="458"/>
      <c r="J22" s="458"/>
      <c r="K22" s="458"/>
      <c r="L22" s="458"/>
      <c r="M22" s="458"/>
      <c r="N22" s="458"/>
      <c r="O22" s="458"/>
      <c r="P22" s="458"/>
      <c r="Q22" s="458"/>
      <c r="R22" s="458"/>
      <c r="S22" s="458"/>
      <c r="T22" s="458"/>
      <c r="U22" s="458"/>
      <c r="V22" s="458"/>
      <c r="W22" s="459"/>
      <c r="X22" s="14"/>
    </row>
    <row r="23" spans="1:24">
      <c r="A23" s="1" t="s">
        <v>0</v>
      </c>
      <c r="B23" s="2" t="s">
        <v>1</v>
      </c>
      <c r="C23" s="2" t="s">
        <v>183</v>
      </c>
      <c r="D23" s="2" t="s">
        <v>3</v>
      </c>
      <c r="E23" s="2" t="s">
        <v>2</v>
      </c>
      <c r="F23" s="2" t="s">
        <v>4</v>
      </c>
      <c r="G23" s="2" t="s">
        <v>6</v>
      </c>
      <c r="H23" s="2"/>
      <c r="I23" s="2" t="s">
        <v>7</v>
      </c>
      <c r="J23" s="2" t="s">
        <v>9</v>
      </c>
      <c r="K23" s="2" t="s">
        <v>106</v>
      </c>
      <c r="L23" s="2" t="s">
        <v>107</v>
      </c>
      <c r="M23" s="2" t="s">
        <v>5</v>
      </c>
      <c r="N23" s="2" t="s">
        <v>12</v>
      </c>
      <c r="O23" s="2" t="s">
        <v>184</v>
      </c>
      <c r="P23" s="2"/>
      <c r="Q23" s="2" t="s">
        <v>108</v>
      </c>
      <c r="R23" s="2" t="s">
        <v>8</v>
      </c>
      <c r="S23" s="12" t="s">
        <v>185</v>
      </c>
      <c r="T23" s="2" t="s">
        <v>13</v>
      </c>
      <c r="U23" s="2"/>
      <c r="V23" s="14" t="s">
        <v>98</v>
      </c>
      <c r="W23" s="14" t="s">
        <v>257</v>
      </c>
      <c r="X23" s="14" t="s">
        <v>273</v>
      </c>
    </row>
    <row r="24" spans="1:24">
      <c r="A24" s="22" t="s">
        <v>258</v>
      </c>
      <c r="B24" s="23">
        <v>352377</v>
      </c>
      <c r="C24" s="24" t="s">
        <v>251</v>
      </c>
      <c r="D24" s="23">
        <v>0</v>
      </c>
      <c r="E24" s="25">
        <v>0</v>
      </c>
      <c r="F24" s="25">
        <v>789.51</v>
      </c>
      <c r="G24" s="25">
        <v>0</v>
      </c>
      <c r="H24" s="25"/>
      <c r="I24" s="25">
        <v>0</v>
      </c>
      <c r="J24" s="53">
        <v>0</v>
      </c>
      <c r="K24" s="25">
        <f t="shared" ref="K24:K42" si="13">J24*0.071</f>
        <v>0</v>
      </c>
      <c r="L24" s="25">
        <v>0</v>
      </c>
      <c r="M24" s="25">
        <v>359.07</v>
      </c>
      <c r="N24" s="25">
        <v>0</v>
      </c>
      <c r="O24" s="25">
        <v>26.25</v>
      </c>
      <c r="P24" s="25"/>
      <c r="Q24" s="25">
        <f t="shared" ref="Q24:Q42" si="14">E24*0.01</f>
        <v>0</v>
      </c>
      <c r="R24" s="25">
        <v>46.43</v>
      </c>
      <c r="S24" s="25">
        <v>7</v>
      </c>
      <c r="T24" s="25">
        <f>E24-J24*0.75-K24-F24-M24-N24-O24-Q24-I24-R24</f>
        <v>-1221.26</v>
      </c>
      <c r="U24" s="25"/>
      <c r="V24" s="25">
        <f t="shared" ref="V24:V25" si="15">J24*0.8</f>
        <v>0</v>
      </c>
      <c r="W24" s="25">
        <v>0</v>
      </c>
      <c r="X24" s="25">
        <v>0</v>
      </c>
    </row>
    <row r="25" spans="1:24">
      <c r="A25" s="22" t="s">
        <v>268</v>
      </c>
      <c r="B25" s="23">
        <v>465184</v>
      </c>
      <c r="C25" s="24" t="s">
        <v>251</v>
      </c>
      <c r="D25" s="23">
        <v>5</v>
      </c>
      <c r="E25" s="25">
        <v>6956</v>
      </c>
      <c r="F25" s="25">
        <v>789.51</v>
      </c>
      <c r="G25" s="25">
        <v>0</v>
      </c>
      <c r="H25" s="25"/>
      <c r="I25" s="25">
        <v>1967.03</v>
      </c>
      <c r="J25" s="53">
        <v>2916</v>
      </c>
      <c r="K25" s="25">
        <f t="shared" si="13"/>
        <v>207.03599999999997</v>
      </c>
      <c r="L25" s="25">
        <v>0</v>
      </c>
      <c r="M25" s="25">
        <v>359.07</v>
      </c>
      <c r="N25" s="25">
        <f t="shared" ref="N25:N37" si="16">J25*0.1</f>
        <v>291.60000000000002</v>
      </c>
      <c r="O25" s="25">
        <v>40</v>
      </c>
      <c r="P25" s="25"/>
      <c r="Q25" s="25">
        <f t="shared" si="14"/>
        <v>69.56</v>
      </c>
      <c r="R25" s="25">
        <v>116.05</v>
      </c>
      <c r="S25" s="25">
        <v>7</v>
      </c>
      <c r="T25" s="25">
        <f>E25-J25*0.8-K25-F25-M25-N25-O25-Q25-I25-R25</f>
        <v>783.3439999999996</v>
      </c>
      <c r="U25" s="25"/>
      <c r="V25" s="25">
        <f t="shared" si="15"/>
        <v>2332.8000000000002</v>
      </c>
      <c r="W25" s="25">
        <v>37</v>
      </c>
      <c r="X25" s="25">
        <v>440</v>
      </c>
    </row>
    <row r="26" spans="1:24">
      <c r="A26" s="22" t="s">
        <v>253</v>
      </c>
      <c r="B26" s="23">
        <v>352372</v>
      </c>
      <c r="C26" s="24" t="s">
        <v>197</v>
      </c>
      <c r="D26" s="23">
        <v>4</v>
      </c>
      <c r="E26" s="25">
        <v>3255</v>
      </c>
      <c r="F26" s="25">
        <v>689.44</v>
      </c>
      <c r="G26" s="25">
        <v>0</v>
      </c>
      <c r="H26" s="25"/>
      <c r="I26" s="25">
        <v>1270.1500000000001</v>
      </c>
      <c r="J26" s="53">
        <v>1471</v>
      </c>
      <c r="K26" s="25">
        <f t="shared" si="13"/>
        <v>104.44099999999999</v>
      </c>
      <c r="L26" s="25">
        <v>0</v>
      </c>
      <c r="M26" s="25">
        <v>359.07</v>
      </c>
      <c r="N26" s="25">
        <f t="shared" si="16"/>
        <v>147.1</v>
      </c>
      <c r="O26" s="25">
        <v>32.5</v>
      </c>
      <c r="P26" s="25"/>
      <c r="Q26" s="25">
        <f t="shared" si="14"/>
        <v>32.549999999999997</v>
      </c>
      <c r="R26" s="25">
        <v>32.06</v>
      </c>
      <c r="S26" s="25">
        <v>7</v>
      </c>
      <c r="T26" s="25">
        <f t="shared" ref="T26:T28" si="17">E26-J26*0.75-K26-F26-M26-N26-O26-Q26-I26-R26</f>
        <v>-515.56100000000015</v>
      </c>
      <c r="U26" s="25"/>
      <c r="V26" s="25">
        <f t="shared" ref="V26:V36" si="18">J26*0.75</f>
        <v>1103.25</v>
      </c>
      <c r="W26" s="25">
        <v>52.37</v>
      </c>
      <c r="X26" s="25">
        <v>0</v>
      </c>
    </row>
    <row r="27" spans="1:24">
      <c r="A27" s="22" t="s">
        <v>254</v>
      </c>
      <c r="B27" s="23">
        <v>465180</v>
      </c>
      <c r="C27" s="24" t="s">
        <v>197</v>
      </c>
      <c r="D27" s="23">
        <v>6</v>
      </c>
      <c r="E27" s="25">
        <v>5778</v>
      </c>
      <c r="F27" s="25">
        <v>789.51</v>
      </c>
      <c r="G27" s="25">
        <v>0</v>
      </c>
      <c r="H27" s="25"/>
      <c r="I27" s="25">
        <v>2088.83</v>
      </c>
      <c r="J27" s="53">
        <v>2715</v>
      </c>
      <c r="K27" s="25">
        <f t="shared" si="13"/>
        <v>192.76499999999999</v>
      </c>
      <c r="L27" s="25">
        <v>0</v>
      </c>
      <c r="M27" s="25">
        <v>359.07</v>
      </c>
      <c r="N27" s="25">
        <f t="shared" si="16"/>
        <v>271.5</v>
      </c>
      <c r="O27" s="25">
        <v>32.5</v>
      </c>
      <c r="P27" s="25"/>
      <c r="Q27" s="25">
        <f t="shared" si="14"/>
        <v>57.78</v>
      </c>
      <c r="R27" s="25">
        <v>112.5</v>
      </c>
      <c r="S27" s="25">
        <v>7</v>
      </c>
      <c r="T27" s="25">
        <f t="shared" si="17"/>
        <v>-162.7049999999997</v>
      </c>
      <c r="U27" s="25"/>
      <c r="V27" s="25">
        <f t="shared" si="18"/>
        <v>2036.25</v>
      </c>
      <c r="W27" s="25">
        <v>102.57</v>
      </c>
      <c r="X27" s="25">
        <v>0</v>
      </c>
    </row>
    <row r="28" spans="1:24">
      <c r="A28" s="22" t="s">
        <v>247</v>
      </c>
      <c r="B28" s="23">
        <v>352376</v>
      </c>
      <c r="C28" s="24" t="s">
        <v>197</v>
      </c>
      <c r="D28" s="23">
        <v>6</v>
      </c>
      <c r="E28" s="25">
        <v>7336</v>
      </c>
      <c r="F28" s="25">
        <v>689.44</v>
      </c>
      <c r="G28" s="25">
        <v>0</v>
      </c>
      <c r="H28" s="25"/>
      <c r="I28" s="25">
        <v>3175.6</v>
      </c>
      <c r="J28" s="53">
        <v>3454</v>
      </c>
      <c r="K28" s="25">
        <f t="shared" si="13"/>
        <v>245.23399999999998</v>
      </c>
      <c r="L28" s="25">
        <v>0</v>
      </c>
      <c r="M28" s="25">
        <v>359.07</v>
      </c>
      <c r="N28" s="25">
        <f t="shared" si="16"/>
        <v>345.40000000000003</v>
      </c>
      <c r="O28" s="25">
        <v>26.25</v>
      </c>
      <c r="P28" s="25"/>
      <c r="Q28" s="25">
        <f t="shared" si="14"/>
        <v>73.36</v>
      </c>
      <c r="R28" s="25">
        <v>39.61</v>
      </c>
      <c r="S28" s="25">
        <v>7</v>
      </c>
      <c r="T28" s="25">
        <f t="shared" si="17"/>
        <v>-208.46400000000074</v>
      </c>
      <c r="U28" s="25"/>
      <c r="V28" s="25">
        <f t="shared" si="18"/>
        <v>2590.5</v>
      </c>
      <c r="W28" s="25">
        <v>145.44</v>
      </c>
      <c r="X28" s="25">
        <v>0</v>
      </c>
    </row>
    <row r="29" spans="1:24">
      <c r="A29" s="22" t="s">
        <v>280</v>
      </c>
      <c r="B29" s="23">
        <v>465182</v>
      </c>
      <c r="C29" s="24" t="s">
        <v>197</v>
      </c>
      <c r="D29" s="23">
        <v>6</v>
      </c>
      <c r="E29" s="25">
        <v>7500</v>
      </c>
      <c r="F29" s="25">
        <v>689.44</v>
      </c>
      <c r="G29" s="25">
        <v>0</v>
      </c>
      <c r="H29" s="25"/>
      <c r="I29" s="25">
        <v>2898.24</v>
      </c>
      <c r="J29" s="53">
        <v>3679</v>
      </c>
      <c r="K29" s="25">
        <f t="shared" si="13"/>
        <v>261.209</v>
      </c>
      <c r="L29" s="25">
        <v>0</v>
      </c>
      <c r="M29" s="25">
        <v>359.07</v>
      </c>
      <c r="N29" s="25">
        <f t="shared" si="16"/>
        <v>367.90000000000003</v>
      </c>
      <c r="O29" s="25">
        <v>40</v>
      </c>
      <c r="P29" s="25"/>
      <c r="Q29" s="25">
        <f t="shared" si="14"/>
        <v>75</v>
      </c>
      <c r="R29" s="25">
        <v>97.49</v>
      </c>
      <c r="S29" s="25">
        <v>7</v>
      </c>
      <c r="T29" s="25">
        <f t="shared" ref="T29:T31" si="19">E29-J29*0.8-K29-F29-M29-N29-O29-Q29-I29-R29</f>
        <v>-231.54900000000066</v>
      </c>
      <c r="U29" s="25"/>
      <c r="V29" s="25">
        <f t="shared" si="18"/>
        <v>2759.25</v>
      </c>
      <c r="W29" s="25">
        <v>163.32</v>
      </c>
      <c r="X29" s="25">
        <v>0</v>
      </c>
    </row>
    <row r="30" spans="1:24">
      <c r="A30" s="22" t="s">
        <v>218</v>
      </c>
      <c r="B30" s="23">
        <v>352374</v>
      </c>
      <c r="C30" s="24" t="s">
        <v>197</v>
      </c>
      <c r="D30" s="23">
        <v>4</v>
      </c>
      <c r="E30" s="25">
        <v>3756</v>
      </c>
      <c r="F30" s="25">
        <v>689.44</v>
      </c>
      <c r="G30" s="25">
        <v>0</v>
      </c>
      <c r="H30" s="25"/>
      <c r="I30" s="25">
        <v>1545.59</v>
      </c>
      <c r="J30" s="53">
        <v>1644</v>
      </c>
      <c r="K30" s="25">
        <f t="shared" si="13"/>
        <v>116.72399999999999</v>
      </c>
      <c r="L30" s="25">
        <v>0</v>
      </c>
      <c r="M30" s="25">
        <v>359.07</v>
      </c>
      <c r="N30" s="25">
        <f t="shared" si="16"/>
        <v>164.4</v>
      </c>
      <c r="O30" s="25">
        <v>40</v>
      </c>
      <c r="P30" s="25"/>
      <c r="Q30" s="25">
        <f t="shared" si="14"/>
        <v>37.56</v>
      </c>
      <c r="R30" s="25">
        <v>0</v>
      </c>
      <c r="S30" s="25">
        <v>7</v>
      </c>
      <c r="T30" s="25">
        <f t="shared" si="19"/>
        <v>-511.98399999999992</v>
      </c>
      <c r="U30" s="25"/>
      <c r="V30" s="25">
        <f t="shared" si="18"/>
        <v>1233</v>
      </c>
      <c r="W30" s="25">
        <v>46.36</v>
      </c>
      <c r="X30" s="25">
        <v>0</v>
      </c>
    </row>
    <row r="31" spans="1:24">
      <c r="A31" s="22" t="s">
        <v>220</v>
      </c>
      <c r="B31" s="23">
        <v>465185</v>
      </c>
      <c r="C31" s="24" t="s">
        <v>197</v>
      </c>
      <c r="D31" s="23">
        <v>0</v>
      </c>
      <c r="E31" s="25">
        <v>0</v>
      </c>
      <c r="F31" s="25">
        <v>789.51</v>
      </c>
      <c r="G31" s="25">
        <v>0</v>
      </c>
      <c r="H31" s="25"/>
      <c r="I31" s="25">
        <v>0</v>
      </c>
      <c r="J31" s="53">
        <v>0</v>
      </c>
      <c r="K31" s="25">
        <f t="shared" si="13"/>
        <v>0</v>
      </c>
      <c r="L31" s="25">
        <v>0</v>
      </c>
      <c r="M31" s="25">
        <v>359.07</v>
      </c>
      <c r="N31" s="25">
        <f t="shared" si="16"/>
        <v>0</v>
      </c>
      <c r="O31" s="25">
        <v>40</v>
      </c>
      <c r="P31" s="25"/>
      <c r="Q31" s="25">
        <f t="shared" si="14"/>
        <v>0</v>
      </c>
      <c r="R31" s="25">
        <v>12</v>
      </c>
      <c r="S31" s="25">
        <v>7</v>
      </c>
      <c r="T31" s="25">
        <f t="shared" si="19"/>
        <v>-1200.58</v>
      </c>
      <c r="U31" s="25"/>
      <c r="V31" s="25">
        <f t="shared" si="18"/>
        <v>0</v>
      </c>
      <c r="W31" s="25">
        <v>0</v>
      </c>
      <c r="X31" s="25">
        <v>0</v>
      </c>
    </row>
    <row r="32" spans="1:24">
      <c r="A32" s="22" t="s">
        <v>223</v>
      </c>
      <c r="B32" s="23">
        <v>465183</v>
      </c>
      <c r="C32" s="24" t="s">
        <v>197</v>
      </c>
      <c r="D32" s="23">
        <v>3</v>
      </c>
      <c r="E32" s="25">
        <v>2700</v>
      </c>
      <c r="F32" s="25">
        <v>789.51</v>
      </c>
      <c r="G32" s="25">
        <v>0</v>
      </c>
      <c r="H32" s="25"/>
      <c r="I32" s="25">
        <v>788.95</v>
      </c>
      <c r="J32" s="53">
        <v>1282</v>
      </c>
      <c r="K32" s="25">
        <f t="shared" si="13"/>
        <v>91.021999999999991</v>
      </c>
      <c r="L32" s="25">
        <v>0</v>
      </c>
      <c r="M32" s="25">
        <v>359.07</v>
      </c>
      <c r="N32" s="25">
        <f t="shared" si="16"/>
        <v>128.20000000000002</v>
      </c>
      <c r="O32" s="25">
        <v>26.25</v>
      </c>
      <c r="P32" s="25"/>
      <c r="Q32" s="25">
        <f t="shared" si="14"/>
        <v>27</v>
      </c>
      <c r="R32" s="25">
        <v>0</v>
      </c>
      <c r="S32" s="25">
        <v>7</v>
      </c>
      <c r="T32" s="25">
        <f>E32-J32*0.75-K32-F32-M32-N32-O32-Q32-I32-R32</f>
        <v>-471.50199999999995</v>
      </c>
      <c r="U32" s="25"/>
      <c r="V32" s="25">
        <f t="shared" si="18"/>
        <v>961.5</v>
      </c>
      <c r="W32" s="25">
        <v>46.29</v>
      </c>
      <c r="X32" s="25">
        <v>0</v>
      </c>
    </row>
    <row r="33" spans="1:25">
      <c r="A33" s="22" t="s">
        <v>224</v>
      </c>
      <c r="B33" s="23">
        <v>465187</v>
      </c>
      <c r="C33" s="24" t="s">
        <v>251</v>
      </c>
      <c r="D33" s="23">
        <v>4</v>
      </c>
      <c r="E33" s="25">
        <v>5050</v>
      </c>
      <c r="F33" s="25">
        <v>789.51</v>
      </c>
      <c r="G33" s="25">
        <v>0</v>
      </c>
      <c r="H33" s="25"/>
      <c r="I33" s="25">
        <v>1253.05</v>
      </c>
      <c r="J33" s="53">
        <v>2214</v>
      </c>
      <c r="K33" s="25">
        <f t="shared" si="13"/>
        <v>157.19399999999999</v>
      </c>
      <c r="L33" s="25">
        <v>0</v>
      </c>
      <c r="M33" s="25">
        <v>359.07</v>
      </c>
      <c r="N33" s="25">
        <f t="shared" si="16"/>
        <v>221.4</v>
      </c>
      <c r="O33" s="25">
        <v>40</v>
      </c>
      <c r="P33" s="25"/>
      <c r="Q33" s="25">
        <f t="shared" si="14"/>
        <v>50.5</v>
      </c>
      <c r="R33" s="25">
        <v>159.47999999999999</v>
      </c>
      <c r="S33" s="25">
        <v>7</v>
      </c>
      <c r="T33" s="25">
        <f>E33-J33*0.8-K33-F33-M33-N33-O33-Q33-I33-R33</f>
        <v>248.59600000000049</v>
      </c>
      <c r="U33" s="25"/>
      <c r="V33" s="25">
        <f t="shared" si="18"/>
        <v>1660.5</v>
      </c>
      <c r="W33" s="25">
        <v>78.77</v>
      </c>
      <c r="X33" s="25">
        <v>0</v>
      </c>
    </row>
    <row r="34" spans="1:25">
      <c r="A34" s="34" t="s">
        <v>232</v>
      </c>
      <c r="B34" s="23">
        <v>465181</v>
      </c>
      <c r="C34" s="47" t="s">
        <v>197</v>
      </c>
      <c r="D34" s="23">
        <v>6</v>
      </c>
      <c r="E34" s="25">
        <v>7048</v>
      </c>
      <c r="F34" s="25">
        <v>789.51</v>
      </c>
      <c r="G34" s="25">
        <v>0</v>
      </c>
      <c r="H34" s="25"/>
      <c r="I34" s="25">
        <v>2563.1999999999998</v>
      </c>
      <c r="J34" s="53">
        <v>2955</v>
      </c>
      <c r="K34" s="25">
        <f t="shared" si="13"/>
        <v>209.80499999999998</v>
      </c>
      <c r="L34" s="25">
        <v>0</v>
      </c>
      <c r="M34" s="25">
        <v>359.07</v>
      </c>
      <c r="N34" s="25">
        <f t="shared" si="16"/>
        <v>295.5</v>
      </c>
      <c r="O34" s="25">
        <v>26.25</v>
      </c>
      <c r="P34" s="25"/>
      <c r="Q34" s="25">
        <f t="shared" si="14"/>
        <v>70.48</v>
      </c>
      <c r="R34" s="25">
        <v>235.1</v>
      </c>
      <c r="S34" s="25">
        <v>7</v>
      </c>
      <c r="T34" s="25">
        <f t="shared" ref="T34:T35" si="20">E34-J34*0.75-K34-F34-M34-N34-O34-Q34-I34-R34</f>
        <v>282.83499999999947</v>
      </c>
      <c r="U34" s="25"/>
      <c r="V34" s="25">
        <f t="shared" si="18"/>
        <v>2216.25</v>
      </c>
      <c r="W34" s="35">
        <v>98.27</v>
      </c>
      <c r="X34" s="25">
        <v>0</v>
      </c>
    </row>
    <row r="35" spans="1:25">
      <c r="A35" s="22" t="s">
        <v>276</v>
      </c>
      <c r="B35" s="23">
        <v>359885</v>
      </c>
      <c r="C35" s="24" t="s">
        <v>197</v>
      </c>
      <c r="D35" s="23">
        <v>6</v>
      </c>
      <c r="E35" s="25">
        <v>6450</v>
      </c>
      <c r="F35" s="25">
        <v>689.44</v>
      </c>
      <c r="G35" s="25">
        <v>0</v>
      </c>
      <c r="H35" s="25"/>
      <c r="I35" s="25">
        <v>2132.36</v>
      </c>
      <c r="J35" s="53">
        <v>2855</v>
      </c>
      <c r="K35" s="25">
        <f t="shared" si="13"/>
        <v>202.70499999999998</v>
      </c>
      <c r="L35" s="25">
        <v>0</v>
      </c>
      <c r="M35" s="25">
        <v>359.07</v>
      </c>
      <c r="N35" s="25">
        <f t="shared" si="16"/>
        <v>285.5</v>
      </c>
      <c r="O35" s="25">
        <v>26.25</v>
      </c>
      <c r="P35" s="25"/>
      <c r="Q35" s="25">
        <f t="shared" si="14"/>
        <v>64.5</v>
      </c>
      <c r="R35" s="25">
        <v>151.94999999999999</v>
      </c>
      <c r="S35" s="25">
        <v>7</v>
      </c>
      <c r="T35" s="25">
        <f t="shared" si="20"/>
        <v>396.97499999999974</v>
      </c>
      <c r="U35" s="25"/>
      <c r="V35" s="25">
        <f t="shared" si="18"/>
        <v>2141.25</v>
      </c>
      <c r="W35" s="25">
        <v>96.72</v>
      </c>
      <c r="X35" s="25">
        <v>350</v>
      </c>
    </row>
    <row r="36" spans="1:25">
      <c r="A36" s="22" t="s">
        <v>260</v>
      </c>
      <c r="B36" s="23">
        <v>465189</v>
      </c>
      <c r="C36" s="24" t="s">
        <v>251</v>
      </c>
      <c r="D36" s="23">
        <v>6</v>
      </c>
      <c r="E36" s="25">
        <v>6980</v>
      </c>
      <c r="F36" s="25">
        <v>789.51</v>
      </c>
      <c r="G36" s="25">
        <v>0</v>
      </c>
      <c r="H36" s="25"/>
      <c r="I36" s="25">
        <v>1795.7</v>
      </c>
      <c r="J36" s="53">
        <v>3169</v>
      </c>
      <c r="K36" s="25">
        <f t="shared" si="13"/>
        <v>224.99899999999997</v>
      </c>
      <c r="L36" s="25">
        <v>0</v>
      </c>
      <c r="M36" s="25">
        <v>359.07</v>
      </c>
      <c r="N36" s="25">
        <f t="shared" si="16"/>
        <v>316.90000000000003</v>
      </c>
      <c r="O36" s="25">
        <v>26.25</v>
      </c>
      <c r="P36" s="25"/>
      <c r="Q36" s="25">
        <f t="shared" si="14"/>
        <v>69.8</v>
      </c>
      <c r="R36" s="25">
        <v>0</v>
      </c>
      <c r="S36" s="25">
        <v>7</v>
      </c>
      <c r="T36" s="25">
        <f>E36-J36*0.8-K36-F36-M36-N36-O36-Q36-I36-R36</f>
        <v>862.57099999999878</v>
      </c>
      <c r="U36" s="25"/>
      <c r="V36" s="25">
        <f t="shared" si="18"/>
        <v>2376.75</v>
      </c>
      <c r="W36" s="25">
        <v>93.59</v>
      </c>
      <c r="X36" s="25">
        <v>67.5</v>
      </c>
    </row>
    <row r="37" spans="1:25">
      <c r="A37" s="59" t="s">
        <v>261</v>
      </c>
      <c r="B37" s="60">
        <v>1650</v>
      </c>
      <c r="C37" s="61" t="s">
        <v>262</v>
      </c>
      <c r="D37" s="60">
        <v>4</v>
      </c>
      <c r="E37" s="62">
        <v>2000</v>
      </c>
      <c r="F37" s="62">
        <v>0</v>
      </c>
      <c r="G37" s="62">
        <v>0</v>
      </c>
      <c r="H37" s="62"/>
      <c r="I37" s="62">
        <v>1591.95</v>
      </c>
      <c r="J37" s="63">
        <v>802</v>
      </c>
      <c r="K37" s="62">
        <f t="shared" si="13"/>
        <v>56.941999999999993</v>
      </c>
      <c r="L37" s="62">
        <v>0</v>
      </c>
      <c r="M37" s="62">
        <v>0</v>
      </c>
      <c r="N37" s="62">
        <f t="shared" si="16"/>
        <v>80.2</v>
      </c>
      <c r="O37" s="62">
        <v>0</v>
      </c>
      <c r="P37" s="62"/>
      <c r="Q37" s="62">
        <f t="shared" si="14"/>
        <v>20</v>
      </c>
      <c r="R37" s="62">
        <v>0</v>
      </c>
      <c r="S37" s="62">
        <v>0</v>
      </c>
      <c r="T37" s="62">
        <f>E37*0.18-N37-Q37</f>
        <v>259.8</v>
      </c>
      <c r="U37" s="62"/>
      <c r="V37" s="62">
        <f>E37*0.82-I37</f>
        <v>48.049999999999955</v>
      </c>
      <c r="W37" s="59">
        <v>46.36</v>
      </c>
      <c r="X37" s="62">
        <v>0</v>
      </c>
    </row>
    <row r="38" spans="1:25">
      <c r="A38" s="22" t="s">
        <v>270</v>
      </c>
      <c r="B38" s="23">
        <v>359886</v>
      </c>
      <c r="C38" s="24" t="s">
        <v>197</v>
      </c>
      <c r="D38" s="23">
        <v>0</v>
      </c>
      <c r="E38" s="25">
        <v>0</v>
      </c>
      <c r="F38" s="25">
        <v>689.44</v>
      </c>
      <c r="G38" s="25">
        <v>0</v>
      </c>
      <c r="H38" s="25"/>
      <c r="I38" s="25">
        <v>0</v>
      </c>
      <c r="J38" s="53">
        <v>0</v>
      </c>
      <c r="K38" s="25">
        <f t="shared" si="13"/>
        <v>0</v>
      </c>
      <c r="L38" s="25">
        <v>0</v>
      </c>
      <c r="M38" s="25">
        <v>359.07</v>
      </c>
      <c r="N38" s="25">
        <v>0</v>
      </c>
      <c r="O38" s="25">
        <v>26.25</v>
      </c>
      <c r="P38" s="25"/>
      <c r="Q38" s="25">
        <f t="shared" si="14"/>
        <v>0</v>
      </c>
      <c r="R38" s="25">
        <v>0</v>
      </c>
      <c r="S38" s="25">
        <v>7</v>
      </c>
      <c r="T38" s="25">
        <f t="shared" ref="T38:T42" si="21">E38-J38*0.75-K38-F38-M38-N38-O38-Q38-I38-R38</f>
        <v>-1074.76</v>
      </c>
      <c r="U38" s="25"/>
      <c r="V38" s="25">
        <f t="shared" ref="V38:V42" si="22">J38*0.75</f>
        <v>0</v>
      </c>
      <c r="W38" s="25">
        <v>0</v>
      </c>
      <c r="X38" s="25">
        <v>0</v>
      </c>
    </row>
    <row r="39" spans="1:25">
      <c r="A39" s="22" t="s">
        <v>283</v>
      </c>
      <c r="B39" s="23">
        <v>352368</v>
      </c>
      <c r="C39" s="24" t="s">
        <v>197</v>
      </c>
      <c r="D39" s="23">
        <v>4</v>
      </c>
      <c r="E39" s="25">
        <v>5100</v>
      </c>
      <c r="F39" s="25">
        <v>689.44</v>
      </c>
      <c r="G39" s="25">
        <v>0</v>
      </c>
      <c r="H39" s="25"/>
      <c r="I39" s="25">
        <v>1440.55</v>
      </c>
      <c r="J39" s="53">
        <v>2137</v>
      </c>
      <c r="K39" s="25">
        <f t="shared" si="13"/>
        <v>151.72699999999998</v>
      </c>
      <c r="L39" s="25">
        <v>0</v>
      </c>
      <c r="M39" s="25">
        <v>359.07</v>
      </c>
      <c r="N39" s="25">
        <f t="shared" ref="N39:N42" si="23">J39*0.1</f>
        <v>213.70000000000002</v>
      </c>
      <c r="O39" s="25">
        <v>26.25</v>
      </c>
      <c r="P39" s="25"/>
      <c r="Q39" s="25">
        <f t="shared" si="14"/>
        <v>51</v>
      </c>
      <c r="R39" s="25">
        <v>113.32</v>
      </c>
      <c r="S39" s="25">
        <v>7</v>
      </c>
      <c r="T39" s="25">
        <f t="shared" si="21"/>
        <v>452.19300000000015</v>
      </c>
      <c r="U39" s="25"/>
      <c r="V39" s="25">
        <f t="shared" si="22"/>
        <v>1602.75</v>
      </c>
      <c r="W39" s="25">
        <v>102.57</v>
      </c>
      <c r="X39" s="25">
        <v>0</v>
      </c>
    </row>
    <row r="40" spans="1:25">
      <c r="A40" s="22" t="s">
        <v>284</v>
      </c>
      <c r="B40" s="23">
        <v>352373</v>
      </c>
      <c r="C40" s="24" t="s">
        <v>197</v>
      </c>
      <c r="D40" s="23">
        <v>5</v>
      </c>
      <c r="E40" s="25">
        <v>3400</v>
      </c>
      <c r="F40" s="25">
        <v>689.44</v>
      </c>
      <c r="G40" s="25">
        <v>0</v>
      </c>
      <c r="H40" s="25"/>
      <c r="I40" s="25">
        <v>2132.36</v>
      </c>
      <c r="J40" s="53">
        <v>1883</v>
      </c>
      <c r="K40" s="25">
        <f t="shared" si="13"/>
        <v>133.69299999999998</v>
      </c>
      <c r="L40" s="25">
        <v>0</v>
      </c>
      <c r="M40" s="25">
        <v>359.07</v>
      </c>
      <c r="N40" s="25">
        <f t="shared" si="23"/>
        <v>188.3</v>
      </c>
      <c r="O40" s="25">
        <v>26.25</v>
      </c>
      <c r="P40" s="25"/>
      <c r="Q40" s="25">
        <f t="shared" si="14"/>
        <v>34</v>
      </c>
      <c r="R40" s="25">
        <v>31.67</v>
      </c>
      <c r="S40" s="25">
        <v>7</v>
      </c>
      <c r="T40" s="25">
        <f t="shared" si="21"/>
        <v>-1607.0330000000001</v>
      </c>
      <c r="U40" s="25"/>
      <c r="V40" s="25">
        <f t="shared" si="22"/>
        <v>1412.25</v>
      </c>
      <c r="W40" s="25">
        <v>96.72</v>
      </c>
      <c r="X40" s="25">
        <v>0</v>
      </c>
    </row>
    <row r="41" spans="1:25">
      <c r="A41" s="22" t="s">
        <v>285</v>
      </c>
      <c r="B41" s="23">
        <v>352371</v>
      </c>
      <c r="C41" s="24" t="s">
        <v>197</v>
      </c>
      <c r="D41" s="23">
        <v>4</v>
      </c>
      <c r="E41" s="25">
        <v>3000</v>
      </c>
      <c r="F41" s="25">
        <v>689.44</v>
      </c>
      <c r="G41" s="25">
        <v>0</v>
      </c>
      <c r="H41" s="25"/>
      <c r="I41" s="25">
        <v>2227.9499999999998</v>
      </c>
      <c r="J41" s="53">
        <v>1346</v>
      </c>
      <c r="K41" s="25">
        <f t="shared" si="13"/>
        <v>95.565999999999988</v>
      </c>
      <c r="L41" s="25">
        <v>0</v>
      </c>
      <c r="M41" s="25">
        <v>359.07</v>
      </c>
      <c r="N41" s="25">
        <f t="shared" si="23"/>
        <v>134.6</v>
      </c>
      <c r="O41" s="25">
        <v>26.25</v>
      </c>
      <c r="P41" s="25"/>
      <c r="Q41" s="25">
        <f t="shared" si="14"/>
        <v>30</v>
      </c>
      <c r="R41" s="25">
        <v>0</v>
      </c>
      <c r="S41" s="25">
        <v>7</v>
      </c>
      <c r="T41" s="25">
        <f t="shared" si="21"/>
        <v>-1572.3759999999997</v>
      </c>
      <c r="U41" s="25"/>
      <c r="V41" s="25">
        <f t="shared" si="22"/>
        <v>1009.5</v>
      </c>
      <c r="W41" s="25">
        <v>66.56</v>
      </c>
      <c r="X41" s="25">
        <v>0</v>
      </c>
    </row>
    <row r="42" spans="1:25">
      <c r="A42" s="22" t="s">
        <v>281</v>
      </c>
      <c r="B42" s="23">
        <v>352375</v>
      </c>
      <c r="C42" s="24" t="s">
        <v>197</v>
      </c>
      <c r="D42" s="23">
        <v>6</v>
      </c>
      <c r="E42" s="25">
        <v>7450</v>
      </c>
      <c r="F42" s="25">
        <v>689.44</v>
      </c>
      <c r="G42" s="25">
        <v>0</v>
      </c>
      <c r="H42" s="25"/>
      <c r="I42" s="25">
        <v>2001.63</v>
      </c>
      <c r="J42" s="53">
        <v>3311</v>
      </c>
      <c r="K42" s="25">
        <f t="shared" si="13"/>
        <v>235.08099999999999</v>
      </c>
      <c r="L42" s="25">
        <v>0</v>
      </c>
      <c r="M42" s="25">
        <v>359.07</v>
      </c>
      <c r="N42" s="25">
        <f t="shared" si="23"/>
        <v>331.1</v>
      </c>
      <c r="O42" s="25">
        <v>26.25</v>
      </c>
      <c r="P42" s="25"/>
      <c r="Q42" s="25">
        <f t="shared" si="14"/>
        <v>74.5</v>
      </c>
      <c r="R42" s="25">
        <v>134.57</v>
      </c>
      <c r="S42" s="25">
        <v>7</v>
      </c>
      <c r="T42" s="25">
        <f t="shared" si="21"/>
        <v>1115.1089999999997</v>
      </c>
      <c r="U42" s="25"/>
      <c r="V42" s="25">
        <f t="shared" si="22"/>
        <v>2483.25</v>
      </c>
      <c r="W42" s="25">
        <v>91.66</v>
      </c>
      <c r="X42" s="25">
        <v>0</v>
      </c>
    </row>
    <row r="43" spans="1:25">
      <c r="A43" s="71" t="s">
        <v>89</v>
      </c>
      <c r="B43" s="72">
        <v>19</v>
      </c>
      <c r="C43" s="73" t="s">
        <v>271</v>
      </c>
      <c r="D43" s="72">
        <f>AVERAGE(D24:D42)</f>
        <v>4.1578947368421053</v>
      </c>
      <c r="E43" s="74">
        <f t="shared" ref="E43:G43" si="24">SUM(E24:E42)</f>
        <v>83759</v>
      </c>
      <c r="F43" s="74">
        <f t="shared" si="24"/>
        <v>13210.480000000005</v>
      </c>
      <c r="G43" s="74">
        <f t="shared" si="24"/>
        <v>0</v>
      </c>
      <c r="H43" s="74"/>
      <c r="I43" s="74">
        <f t="shared" ref="I43:O43" si="25">SUM(I24:I42)</f>
        <v>30873.140000000003</v>
      </c>
      <c r="J43" s="74">
        <f t="shared" si="25"/>
        <v>37833</v>
      </c>
      <c r="K43" s="74">
        <f t="shared" si="25"/>
        <v>2686.1429999999991</v>
      </c>
      <c r="L43" s="74">
        <f t="shared" si="25"/>
        <v>0</v>
      </c>
      <c r="M43" s="74">
        <f t="shared" si="25"/>
        <v>6463.2599999999993</v>
      </c>
      <c r="N43" s="74">
        <f t="shared" si="25"/>
        <v>3783.3</v>
      </c>
      <c r="O43" s="74">
        <f t="shared" si="25"/>
        <v>553.75</v>
      </c>
      <c r="P43" s="74"/>
      <c r="Q43" s="74">
        <f t="shared" ref="Q43:T43" si="26">SUM(Q24:Q42)</f>
        <v>837.58999999999992</v>
      </c>
      <c r="R43" s="74">
        <f t="shared" si="26"/>
        <v>1282.23</v>
      </c>
      <c r="S43" s="74">
        <f t="shared" si="26"/>
        <v>126</v>
      </c>
      <c r="T43" s="74">
        <f t="shared" si="26"/>
        <v>-4376.3510000000033</v>
      </c>
      <c r="U43" s="74"/>
      <c r="V43" s="74">
        <f t="shared" ref="V43:W43" si="27">SUM(V24:V42)</f>
        <v>27967.1</v>
      </c>
      <c r="W43" s="74">
        <f t="shared" si="27"/>
        <v>1364.57</v>
      </c>
      <c r="X43" s="33">
        <f>SUM(X24:X38)</f>
        <v>857.5</v>
      </c>
    </row>
    <row r="45" spans="1:25">
      <c r="A45" s="457" t="s">
        <v>286</v>
      </c>
      <c r="B45" s="458"/>
      <c r="C45" s="458"/>
      <c r="D45" s="458"/>
      <c r="E45" s="458"/>
      <c r="F45" s="458"/>
      <c r="G45" s="458"/>
      <c r="H45" s="458"/>
      <c r="I45" s="458"/>
      <c r="J45" s="458"/>
      <c r="K45" s="458"/>
      <c r="L45" s="458"/>
      <c r="M45" s="458"/>
      <c r="N45" s="458"/>
      <c r="O45" s="458"/>
      <c r="P45" s="458"/>
      <c r="Q45" s="458"/>
      <c r="R45" s="458"/>
      <c r="S45" s="458"/>
      <c r="T45" s="458"/>
      <c r="U45" s="458"/>
      <c r="V45" s="458"/>
      <c r="W45" s="459"/>
      <c r="X45" s="14"/>
      <c r="Y45" s="14"/>
    </row>
    <row r="46" spans="1:25">
      <c r="A46" s="1" t="s">
        <v>0</v>
      </c>
      <c r="B46" s="2" t="s">
        <v>1</v>
      </c>
      <c r="C46" s="2" t="s">
        <v>183</v>
      </c>
      <c r="D46" s="2" t="s">
        <v>3</v>
      </c>
      <c r="E46" s="2" t="s">
        <v>2</v>
      </c>
      <c r="F46" s="2" t="s">
        <v>4</v>
      </c>
      <c r="G46" s="2" t="s">
        <v>6</v>
      </c>
      <c r="H46" s="2"/>
      <c r="I46" s="2" t="s">
        <v>7</v>
      </c>
      <c r="J46" s="2" t="s">
        <v>9</v>
      </c>
      <c r="K46" s="2" t="s">
        <v>106</v>
      </c>
      <c r="L46" s="2" t="s">
        <v>107</v>
      </c>
      <c r="M46" s="2" t="s">
        <v>5</v>
      </c>
      <c r="N46" s="2" t="s">
        <v>12</v>
      </c>
      <c r="O46" s="2" t="s">
        <v>184</v>
      </c>
      <c r="P46" s="2"/>
      <c r="Q46" s="2" t="s">
        <v>108</v>
      </c>
      <c r="R46" s="2" t="s">
        <v>8</v>
      </c>
      <c r="S46" s="12" t="s">
        <v>185</v>
      </c>
      <c r="T46" s="2" t="s">
        <v>13</v>
      </c>
      <c r="U46" s="2"/>
      <c r="V46" s="14" t="s">
        <v>98</v>
      </c>
      <c r="W46" s="14" t="s">
        <v>257</v>
      </c>
      <c r="X46" s="14" t="s">
        <v>287</v>
      </c>
      <c r="Y46" s="14" t="s">
        <v>288</v>
      </c>
    </row>
    <row r="47" spans="1:25">
      <c r="A47" s="22" t="s">
        <v>258</v>
      </c>
      <c r="B47" s="23">
        <v>352377</v>
      </c>
      <c r="C47" s="24" t="s">
        <v>251</v>
      </c>
      <c r="D47" s="23">
        <v>2</v>
      </c>
      <c r="E47" s="25">
        <v>2600</v>
      </c>
      <c r="F47" s="25">
        <v>789.51</v>
      </c>
      <c r="G47" s="25">
        <v>0</v>
      </c>
      <c r="H47" s="25"/>
      <c r="I47" s="25">
        <v>1151.44</v>
      </c>
      <c r="J47" s="53">
        <v>1145</v>
      </c>
      <c r="K47" s="25">
        <f t="shared" ref="K47:K65" si="28">J47*0.071</f>
        <v>81.294999999999987</v>
      </c>
      <c r="L47" s="25">
        <v>0</v>
      </c>
      <c r="M47" s="25">
        <v>359.07</v>
      </c>
      <c r="N47" s="25">
        <f t="shared" ref="N47:N65" si="29">J47*0.1</f>
        <v>114.5</v>
      </c>
      <c r="O47" s="25">
        <v>26.25</v>
      </c>
      <c r="P47" s="25"/>
      <c r="Q47" s="25">
        <f t="shared" ref="Q47:Q65" si="30">E47*0.01</f>
        <v>26</v>
      </c>
      <c r="R47" s="25">
        <v>6.5</v>
      </c>
      <c r="S47" s="25">
        <v>7</v>
      </c>
      <c r="T47" s="25">
        <f t="shared" ref="T47:T48" si="31">E47-J47*0.8-K47-F47-M47-N47-O47-Q47-I47-R47</f>
        <v>-870.56500000000005</v>
      </c>
      <c r="U47" s="25"/>
      <c r="V47" s="25">
        <f t="shared" ref="V47:V48" si="32">J47*0.8</f>
        <v>916</v>
      </c>
      <c r="W47" s="25">
        <v>71.209999999999994</v>
      </c>
      <c r="X47" s="25">
        <v>0</v>
      </c>
      <c r="Y47" s="25">
        <v>0</v>
      </c>
    </row>
    <row r="48" spans="1:25">
      <c r="A48" s="22" t="s">
        <v>268</v>
      </c>
      <c r="B48" s="23">
        <v>465184</v>
      </c>
      <c r="C48" s="24" t="s">
        <v>251</v>
      </c>
      <c r="D48" s="23">
        <v>6</v>
      </c>
      <c r="E48" s="25">
        <v>7195</v>
      </c>
      <c r="F48" s="25">
        <v>789.51</v>
      </c>
      <c r="G48" s="25">
        <v>0</v>
      </c>
      <c r="H48" s="25"/>
      <c r="I48" s="25">
        <v>2560.09</v>
      </c>
      <c r="J48" s="53">
        <v>3242</v>
      </c>
      <c r="K48" s="25">
        <f t="shared" si="28"/>
        <v>230.18199999999999</v>
      </c>
      <c r="L48" s="25">
        <v>0</v>
      </c>
      <c r="M48" s="25">
        <v>359.07</v>
      </c>
      <c r="N48" s="25">
        <f t="shared" si="29"/>
        <v>324.20000000000005</v>
      </c>
      <c r="O48" s="25">
        <v>40</v>
      </c>
      <c r="P48" s="25"/>
      <c r="Q48" s="25">
        <f t="shared" si="30"/>
        <v>71.95</v>
      </c>
      <c r="R48" s="25">
        <v>56.75</v>
      </c>
      <c r="S48" s="25">
        <v>7</v>
      </c>
      <c r="T48" s="25">
        <f t="shared" si="31"/>
        <v>169.64799999999923</v>
      </c>
      <c r="U48" s="25"/>
      <c r="V48" s="25">
        <f t="shared" si="32"/>
        <v>2593.6000000000004</v>
      </c>
      <c r="W48" s="25">
        <v>59.08</v>
      </c>
      <c r="X48" s="25">
        <v>0</v>
      </c>
      <c r="Y48" s="25">
        <v>0</v>
      </c>
    </row>
    <row r="49" spans="1:25">
      <c r="A49" s="22" t="s">
        <v>253</v>
      </c>
      <c r="B49" s="23">
        <v>352372</v>
      </c>
      <c r="C49" s="24" t="s">
        <v>197</v>
      </c>
      <c r="D49" s="23">
        <v>7</v>
      </c>
      <c r="E49" s="25">
        <v>8000</v>
      </c>
      <c r="F49" s="25">
        <v>689.44</v>
      </c>
      <c r="G49" s="25">
        <v>0</v>
      </c>
      <c r="H49" s="25"/>
      <c r="I49" s="25">
        <v>3132.01</v>
      </c>
      <c r="J49" s="53">
        <v>2959</v>
      </c>
      <c r="K49" s="25">
        <f t="shared" si="28"/>
        <v>210.08899999999997</v>
      </c>
      <c r="L49" s="25">
        <v>0</v>
      </c>
      <c r="M49" s="25">
        <v>359.07</v>
      </c>
      <c r="N49" s="25">
        <f t="shared" si="29"/>
        <v>295.90000000000003</v>
      </c>
      <c r="O49" s="25">
        <v>32.5</v>
      </c>
      <c r="P49" s="25"/>
      <c r="Q49" s="25">
        <f t="shared" si="30"/>
        <v>80</v>
      </c>
      <c r="R49" s="25">
        <v>272.13</v>
      </c>
      <c r="S49" s="25">
        <v>7</v>
      </c>
      <c r="T49" s="25">
        <f t="shared" ref="T49:T51" si="33">E49-J49*0.75-K49-F49-M49-N49-O49-Q49-I49-R49</f>
        <v>709.61099999999999</v>
      </c>
      <c r="U49" s="25"/>
      <c r="V49" s="25">
        <f t="shared" ref="V49:V52" si="34">J49*0.75</f>
        <v>2219.25</v>
      </c>
      <c r="W49" s="25">
        <v>183.4</v>
      </c>
      <c r="X49" s="25">
        <v>0</v>
      </c>
      <c r="Y49" s="25">
        <v>0</v>
      </c>
    </row>
    <row r="50" spans="1:25">
      <c r="A50" s="22" t="s">
        <v>254</v>
      </c>
      <c r="B50" s="23">
        <v>465180</v>
      </c>
      <c r="C50" s="24" t="s">
        <v>197</v>
      </c>
      <c r="D50" s="23">
        <v>7</v>
      </c>
      <c r="E50" s="25">
        <v>7250</v>
      </c>
      <c r="F50" s="25">
        <v>789.51</v>
      </c>
      <c r="G50" s="25">
        <v>0</v>
      </c>
      <c r="H50" s="25"/>
      <c r="I50" s="25">
        <v>2595.34</v>
      </c>
      <c r="J50" s="53">
        <v>3480</v>
      </c>
      <c r="K50" s="25">
        <f t="shared" si="28"/>
        <v>247.07999999999998</v>
      </c>
      <c r="L50" s="25">
        <v>0</v>
      </c>
      <c r="M50" s="25">
        <v>359.07</v>
      </c>
      <c r="N50" s="25">
        <f t="shared" si="29"/>
        <v>348</v>
      </c>
      <c r="O50" s="25">
        <v>32.5</v>
      </c>
      <c r="P50" s="25"/>
      <c r="Q50" s="25">
        <f t="shared" si="30"/>
        <v>72.5</v>
      </c>
      <c r="R50" s="25">
        <v>1.25</v>
      </c>
      <c r="S50" s="25">
        <v>7</v>
      </c>
      <c r="T50" s="25">
        <f t="shared" si="33"/>
        <v>194.74999999999955</v>
      </c>
      <c r="U50" s="25"/>
      <c r="V50" s="25">
        <f t="shared" si="34"/>
        <v>2610</v>
      </c>
      <c r="W50" s="25">
        <v>195.16</v>
      </c>
      <c r="X50" s="25">
        <v>0</v>
      </c>
      <c r="Y50" s="25">
        <v>0</v>
      </c>
    </row>
    <row r="51" spans="1:25">
      <c r="A51" s="22" t="s">
        <v>247</v>
      </c>
      <c r="B51" s="23">
        <v>352376</v>
      </c>
      <c r="C51" s="24" t="s">
        <v>197</v>
      </c>
      <c r="D51" s="23">
        <v>7</v>
      </c>
      <c r="E51" s="25">
        <v>9495</v>
      </c>
      <c r="F51" s="25">
        <v>689.44</v>
      </c>
      <c r="G51" s="25">
        <v>0</v>
      </c>
      <c r="H51" s="25"/>
      <c r="I51" s="25">
        <v>3227.52</v>
      </c>
      <c r="J51" s="53">
        <v>3582</v>
      </c>
      <c r="K51" s="25">
        <f t="shared" si="28"/>
        <v>254.32199999999997</v>
      </c>
      <c r="L51" s="25">
        <v>0</v>
      </c>
      <c r="M51" s="25">
        <v>359.07</v>
      </c>
      <c r="N51" s="25">
        <f t="shared" si="29"/>
        <v>358.20000000000005</v>
      </c>
      <c r="O51" s="25">
        <v>26.25</v>
      </c>
      <c r="P51" s="25"/>
      <c r="Q51" s="25">
        <f t="shared" si="30"/>
        <v>94.95</v>
      </c>
      <c r="R51" s="25">
        <v>156.66999999999999</v>
      </c>
      <c r="S51" s="25">
        <v>7</v>
      </c>
      <c r="T51" s="25">
        <f t="shared" si="33"/>
        <v>1642.078</v>
      </c>
      <c r="U51" s="25"/>
      <c r="V51" s="25">
        <f t="shared" si="34"/>
        <v>2686.5</v>
      </c>
      <c r="W51" s="25">
        <v>162.97999999999999</v>
      </c>
      <c r="X51" s="25">
        <v>0</v>
      </c>
      <c r="Y51" s="25">
        <v>100</v>
      </c>
    </row>
    <row r="52" spans="1:25">
      <c r="A52" s="22" t="s">
        <v>280</v>
      </c>
      <c r="B52" s="23">
        <v>465182</v>
      </c>
      <c r="C52" s="24" t="s">
        <v>197</v>
      </c>
      <c r="D52" s="23">
        <v>7</v>
      </c>
      <c r="E52" s="25">
        <v>9650</v>
      </c>
      <c r="F52" s="25">
        <v>689.44</v>
      </c>
      <c r="G52" s="25">
        <v>0</v>
      </c>
      <c r="H52" s="25"/>
      <c r="I52" s="25">
        <v>3409.56</v>
      </c>
      <c r="J52" s="53">
        <v>4099</v>
      </c>
      <c r="K52" s="25">
        <f t="shared" si="28"/>
        <v>291.029</v>
      </c>
      <c r="L52" s="25">
        <v>0</v>
      </c>
      <c r="M52" s="25">
        <v>359.07</v>
      </c>
      <c r="N52" s="25">
        <f t="shared" si="29"/>
        <v>409.90000000000003</v>
      </c>
      <c r="O52" s="25">
        <v>40</v>
      </c>
      <c r="P52" s="25"/>
      <c r="Q52" s="25">
        <f t="shared" si="30"/>
        <v>96.5</v>
      </c>
      <c r="R52" s="25">
        <v>682.41</v>
      </c>
      <c r="S52" s="25">
        <v>7</v>
      </c>
      <c r="T52" s="25">
        <f t="shared" ref="T52:T53" si="35">E52-J52*0.8-K52-F52-M52-N52-O52-Q52-I52-R52</f>
        <v>392.89099999999905</v>
      </c>
      <c r="U52" s="25"/>
      <c r="V52" s="25">
        <f t="shared" si="34"/>
        <v>3074.25</v>
      </c>
      <c r="W52" s="25">
        <v>183.81</v>
      </c>
      <c r="X52" s="25">
        <v>0</v>
      </c>
      <c r="Y52" s="25">
        <v>0</v>
      </c>
    </row>
    <row r="53" spans="1:25">
      <c r="A53" s="22" t="s">
        <v>218</v>
      </c>
      <c r="B53" s="23">
        <v>352374</v>
      </c>
      <c r="C53" s="24" t="s">
        <v>251</v>
      </c>
      <c r="D53" s="23">
        <v>7</v>
      </c>
      <c r="E53" s="25">
        <v>6300</v>
      </c>
      <c r="F53" s="25">
        <v>689.44</v>
      </c>
      <c r="G53" s="25">
        <v>0</v>
      </c>
      <c r="H53" s="25"/>
      <c r="I53" s="25">
        <v>2765.56</v>
      </c>
      <c r="J53" s="53">
        <v>2271</v>
      </c>
      <c r="K53" s="25">
        <f t="shared" si="28"/>
        <v>161.24099999999999</v>
      </c>
      <c r="L53" s="25">
        <v>0</v>
      </c>
      <c r="M53" s="25">
        <v>359.07</v>
      </c>
      <c r="N53" s="25">
        <f t="shared" si="29"/>
        <v>227.10000000000002</v>
      </c>
      <c r="O53" s="25">
        <v>40</v>
      </c>
      <c r="P53" s="25"/>
      <c r="Q53" s="25">
        <f t="shared" si="30"/>
        <v>63</v>
      </c>
      <c r="R53" s="25">
        <v>270.74</v>
      </c>
      <c r="S53" s="25">
        <v>7</v>
      </c>
      <c r="T53" s="25">
        <f t="shared" si="35"/>
        <v>-92.951000000000249</v>
      </c>
      <c r="U53" s="25"/>
      <c r="V53" s="25">
        <f>J53*0.8</f>
        <v>1816.8000000000002</v>
      </c>
      <c r="W53" s="25">
        <v>103.27</v>
      </c>
      <c r="X53" s="25">
        <v>0</v>
      </c>
      <c r="Y53" s="25">
        <v>0</v>
      </c>
    </row>
    <row r="54" spans="1:25">
      <c r="A54" s="22" t="s">
        <v>220</v>
      </c>
      <c r="B54" s="23">
        <v>465185</v>
      </c>
      <c r="C54" s="24" t="s">
        <v>197</v>
      </c>
      <c r="D54" s="23">
        <v>6</v>
      </c>
      <c r="E54" s="25">
        <v>6300</v>
      </c>
      <c r="F54" s="25">
        <v>789.51</v>
      </c>
      <c r="G54" s="25">
        <v>0</v>
      </c>
      <c r="H54" s="25"/>
      <c r="I54" s="25">
        <v>2643.47</v>
      </c>
      <c r="J54" s="53">
        <v>2936</v>
      </c>
      <c r="K54" s="25">
        <f t="shared" si="28"/>
        <v>208.45599999999999</v>
      </c>
      <c r="L54" s="25">
        <v>0</v>
      </c>
      <c r="M54" s="25">
        <v>359.07</v>
      </c>
      <c r="N54" s="25">
        <f t="shared" si="29"/>
        <v>293.60000000000002</v>
      </c>
      <c r="O54" s="25">
        <v>40</v>
      </c>
      <c r="P54" s="25"/>
      <c r="Q54" s="25">
        <f t="shared" si="30"/>
        <v>63</v>
      </c>
      <c r="R54" s="25">
        <v>2.12</v>
      </c>
      <c r="S54" s="25">
        <v>7</v>
      </c>
      <c r="T54" s="25">
        <f t="shared" ref="T54:T55" si="36">E54-J54*0.75-K54-F54-M54-N54-O54-Q54-I54-R54</f>
        <v>-301.22600000000023</v>
      </c>
      <c r="U54" s="25"/>
      <c r="V54" s="25">
        <f t="shared" ref="V54:V55" si="37">J54*0.75</f>
        <v>2202</v>
      </c>
      <c r="W54" s="25">
        <v>161.72999999999999</v>
      </c>
      <c r="X54" s="25">
        <v>0</v>
      </c>
      <c r="Y54" s="25">
        <v>0</v>
      </c>
    </row>
    <row r="55" spans="1:25">
      <c r="A55" s="22" t="s">
        <v>223</v>
      </c>
      <c r="B55" s="23">
        <v>465183</v>
      </c>
      <c r="C55" s="24" t="s">
        <v>197</v>
      </c>
      <c r="D55" s="23">
        <v>7</v>
      </c>
      <c r="E55" s="25">
        <v>8007</v>
      </c>
      <c r="F55" s="25">
        <v>789.51</v>
      </c>
      <c r="G55" s="25">
        <v>0</v>
      </c>
      <c r="H55" s="25"/>
      <c r="I55" s="25">
        <v>2971.43</v>
      </c>
      <c r="J55" s="53">
        <v>3443</v>
      </c>
      <c r="K55" s="25">
        <f t="shared" si="28"/>
        <v>244.45299999999997</v>
      </c>
      <c r="L55" s="25">
        <v>0</v>
      </c>
      <c r="M55" s="25">
        <v>359.07</v>
      </c>
      <c r="N55" s="25">
        <f t="shared" si="29"/>
        <v>344.3</v>
      </c>
      <c r="O55" s="25">
        <v>26.25</v>
      </c>
      <c r="P55" s="25"/>
      <c r="Q55" s="25">
        <f t="shared" si="30"/>
        <v>80.070000000000007</v>
      </c>
      <c r="R55" s="25">
        <v>66.69</v>
      </c>
      <c r="S55" s="25">
        <v>7</v>
      </c>
      <c r="T55" s="25">
        <f t="shared" si="36"/>
        <v>542.97699999999986</v>
      </c>
      <c r="U55" s="25"/>
      <c r="V55" s="25">
        <f t="shared" si="37"/>
        <v>2582.25</v>
      </c>
      <c r="W55" s="25">
        <v>180.55</v>
      </c>
      <c r="X55" s="25">
        <v>0</v>
      </c>
      <c r="Y55" s="25">
        <v>0</v>
      </c>
    </row>
    <row r="56" spans="1:25">
      <c r="A56" s="22" t="s">
        <v>224</v>
      </c>
      <c r="B56" s="23">
        <v>465187</v>
      </c>
      <c r="C56" s="24" t="s">
        <v>251</v>
      </c>
      <c r="D56" s="23">
        <v>5</v>
      </c>
      <c r="E56" s="25">
        <v>5490</v>
      </c>
      <c r="F56" s="25">
        <v>789.51</v>
      </c>
      <c r="G56" s="25">
        <v>0</v>
      </c>
      <c r="H56" s="25"/>
      <c r="I56" s="25">
        <v>2507.98</v>
      </c>
      <c r="J56" s="53">
        <v>2601</v>
      </c>
      <c r="K56" s="25">
        <f t="shared" si="28"/>
        <v>184.67099999999999</v>
      </c>
      <c r="L56" s="25">
        <v>0</v>
      </c>
      <c r="M56" s="25">
        <v>359.07</v>
      </c>
      <c r="N56" s="25">
        <f t="shared" si="29"/>
        <v>260.10000000000002</v>
      </c>
      <c r="O56" s="25">
        <v>40</v>
      </c>
      <c r="P56" s="25"/>
      <c r="Q56" s="25">
        <f t="shared" si="30"/>
        <v>54.9</v>
      </c>
      <c r="R56" s="25">
        <v>127.88</v>
      </c>
      <c r="S56" s="25">
        <v>7</v>
      </c>
      <c r="T56" s="25">
        <f>E56-J56*0.8-K56-F56-M56-N56-O56-Q56-I56-R56</f>
        <v>-914.91099999999994</v>
      </c>
      <c r="U56" s="25"/>
      <c r="V56" s="25">
        <f>J56*0.8</f>
        <v>2080.8000000000002</v>
      </c>
      <c r="W56" s="25">
        <v>97.73</v>
      </c>
      <c r="X56" s="25">
        <v>0</v>
      </c>
      <c r="Y56" s="25">
        <v>0</v>
      </c>
    </row>
    <row r="57" spans="1:25">
      <c r="A57" s="34" t="s">
        <v>232</v>
      </c>
      <c r="B57" s="23">
        <v>465181</v>
      </c>
      <c r="C57" s="47" t="s">
        <v>197</v>
      </c>
      <c r="D57" s="23">
        <v>5</v>
      </c>
      <c r="E57" s="25">
        <v>4900</v>
      </c>
      <c r="F57" s="25">
        <v>789.51</v>
      </c>
      <c r="G57" s="25">
        <v>0</v>
      </c>
      <c r="H57" s="25"/>
      <c r="I57" s="25">
        <v>2198.5100000000002</v>
      </c>
      <c r="J57" s="53">
        <v>2198</v>
      </c>
      <c r="K57" s="25">
        <f t="shared" si="28"/>
        <v>156.05799999999999</v>
      </c>
      <c r="L57" s="25">
        <v>0</v>
      </c>
      <c r="M57" s="25">
        <v>359.07</v>
      </c>
      <c r="N57" s="25">
        <f t="shared" si="29"/>
        <v>219.8</v>
      </c>
      <c r="O57" s="25">
        <v>26.25</v>
      </c>
      <c r="P57" s="25"/>
      <c r="Q57" s="25">
        <f t="shared" si="30"/>
        <v>49</v>
      </c>
      <c r="R57" s="25">
        <v>343.59</v>
      </c>
      <c r="S57" s="25">
        <v>7</v>
      </c>
      <c r="T57" s="25">
        <f t="shared" ref="T57:T58" si="38">E57-J57*0.75-K57-F57-M57-N57-O57-Q57-I57-R57</f>
        <v>-890.28800000000024</v>
      </c>
      <c r="U57" s="25"/>
      <c r="V57" s="25">
        <f t="shared" ref="V57:V59" si="39">J57*0.75</f>
        <v>1648.5</v>
      </c>
      <c r="W57" s="35">
        <v>72.959999999999994</v>
      </c>
      <c r="X57" s="25">
        <v>0</v>
      </c>
      <c r="Y57" s="25">
        <v>0</v>
      </c>
    </row>
    <row r="58" spans="1:25">
      <c r="A58" s="22" t="s">
        <v>276</v>
      </c>
      <c r="B58" s="23">
        <v>359885</v>
      </c>
      <c r="C58" s="24" t="s">
        <v>197</v>
      </c>
      <c r="D58" s="23">
        <v>7</v>
      </c>
      <c r="E58" s="25">
        <v>9250</v>
      </c>
      <c r="F58" s="25">
        <v>689.44</v>
      </c>
      <c r="G58" s="25">
        <v>0</v>
      </c>
      <c r="H58" s="25"/>
      <c r="I58" s="25">
        <v>3027.24</v>
      </c>
      <c r="J58" s="53">
        <v>4084</v>
      </c>
      <c r="K58" s="25">
        <f t="shared" si="28"/>
        <v>289.964</v>
      </c>
      <c r="L58" s="25">
        <v>0</v>
      </c>
      <c r="M58" s="25">
        <v>359.07</v>
      </c>
      <c r="N58" s="25">
        <f t="shared" si="29"/>
        <v>408.40000000000003</v>
      </c>
      <c r="O58" s="25">
        <v>26.25</v>
      </c>
      <c r="P58" s="25"/>
      <c r="Q58" s="25">
        <f t="shared" si="30"/>
        <v>92.5</v>
      </c>
      <c r="R58" s="25">
        <v>350.67</v>
      </c>
      <c r="S58" s="25">
        <v>7</v>
      </c>
      <c r="T58" s="25">
        <f t="shared" si="38"/>
        <v>943.46600000000035</v>
      </c>
      <c r="U58" s="25"/>
      <c r="V58" s="25">
        <f t="shared" si="39"/>
        <v>3063</v>
      </c>
      <c r="W58" s="25">
        <v>135.24</v>
      </c>
      <c r="X58" s="25">
        <v>0</v>
      </c>
      <c r="Y58" s="25">
        <v>0</v>
      </c>
    </row>
    <row r="59" spans="1:25">
      <c r="A59" s="22" t="s">
        <v>260</v>
      </c>
      <c r="B59" s="23">
        <v>465189</v>
      </c>
      <c r="C59" s="24" t="s">
        <v>251</v>
      </c>
      <c r="D59" s="23">
        <v>6</v>
      </c>
      <c r="E59" s="25">
        <v>4961</v>
      </c>
      <c r="F59" s="25">
        <v>789.51</v>
      </c>
      <c r="G59" s="25">
        <v>0</v>
      </c>
      <c r="H59" s="25"/>
      <c r="I59" s="25">
        <v>2834.68</v>
      </c>
      <c r="J59" s="53">
        <v>2309</v>
      </c>
      <c r="K59" s="25">
        <f t="shared" si="28"/>
        <v>163.93899999999999</v>
      </c>
      <c r="L59" s="25">
        <v>0</v>
      </c>
      <c r="M59" s="25">
        <v>359.07</v>
      </c>
      <c r="N59" s="25">
        <f t="shared" si="29"/>
        <v>230.9</v>
      </c>
      <c r="O59" s="25">
        <v>26.25</v>
      </c>
      <c r="P59" s="25"/>
      <c r="Q59" s="25">
        <f t="shared" si="30"/>
        <v>49.61</v>
      </c>
      <c r="R59" s="25">
        <v>0</v>
      </c>
      <c r="S59" s="25">
        <v>7</v>
      </c>
      <c r="T59" s="25">
        <f>E59-J59*0.8-K59-F59-M59-N59-O59-Q59-I59-R59</f>
        <v>-1340.1589999999992</v>
      </c>
      <c r="U59" s="25"/>
      <c r="V59" s="25">
        <f t="shared" si="39"/>
        <v>1731.75</v>
      </c>
      <c r="W59" s="25">
        <v>153.66999999999999</v>
      </c>
      <c r="X59" s="25">
        <v>0</v>
      </c>
      <c r="Y59" s="25">
        <v>0</v>
      </c>
    </row>
    <row r="60" spans="1:25">
      <c r="A60" s="59" t="s">
        <v>261</v>
      </c>
      <c r="B60" s="60">
        <v>1650</v>
      </c>
      <c r="C60" s="61" t="s">
        <v>262</v>
      </c>
      <c r="D60" s="60">
        <v>7</v>
      </c>
      <c r="E60" s="62">
        <v>7550</v>
      </c>
      <c r="F60" s="62">
        <v>0</v>
      </c>
      <c r="G60" s="62">
        <v>0</v>
      </c>
      <c r="H60" s="62"/>
      <c r="I60" s="62">
        <v>2732.84</v>
      </c>
      <c r="J60" s="63">
        <v>3144</v>
      </c>
      <c r="K60" s="62">
        <f t="shared" si="28"/>
        <v>223.22399999999999</v>
      </c>
      <c r="L60" s="62">
        <v>0</v>
      </c>
      <c r="M60" s="62">
        <v>0</v>
      </c>
      <c r="N60" s="62">
        <f t="shared" si="29"/>
        <v>314.40000000000003</v>
      </c>
      <c r="O60" s="62">
        <v>0</v>
      </c>
      <c r="P60" s="62"/>
      <c r="Q60" s="62">
        <f t="shared" si="30"/>
        <v>75.5</v>
      </c>
      <c r="R60" s="62">
        <v>0</v>
      </c>
      <c r="S60" s="62">
        <v>0</v>
      </c>
      <c r="T60" s="62">
        <f>E60*0.18-N60-Q60</f>
        <v>969.09999999999991</v>
      </c>
      <c r="U60" s="62"/>
      <c r="V60" s="62">
        <f>E60*0.82-I60</f>
        <v>3458.16</v>
      </c>
      <c r="W60" s="59">
        <v>212.37</v>
      </c>
      <c r="X60" s="62">
        <v>0</v>
      </c>
      <c r="Y60" s="62">
        <v>250</v>
      </c>
    </row>
    <row r="61" spans="1:25">
      <c r="A61" s="22" t="s">
        <v>270</v>
      </c>
      <c r="B61" s="23">
        <v>359886</v>
      </c>
      <c r="C61" s="24" t="s">
        <v>197</v>
      </c>
      <c r="D61" s="23">
        <v>7</v>
      </c>
      <c r="E61" s="25">
        <v>7700</v>
      </c>
      <c r="F61" s="25">
        <v>689.44</v>
      </c>
      <c r="G61" s="25">
        <v>0</v>
      </c>
      <c r="H61" s="25"/>
      <c r="I61" s="25">
        <v>2832.57</v>
      </c>
      <c r="J61" s="53">
        <v>3155</v>
      </c>
      <c r="K61" s="25">
        <f t="shared" si="28"/>
        <v>224.00499999999997</v>
      </c>
      <c r="L61" s="25">
        <v>0</v>
      </c>
      <c r="M61" s="25">
        <v>359.07</v>
      </c>
      <c r="N61" s="25">
        <f t="shared" si="29"/>
        <v>315.5</v>
      </c>
      <c r="O61" s="25">
        <v>26.25</v>
      </c>
      <c r="P61" s="25"/>
      <c r="Q61" s="25">
        <f t="shared" si="30"/>
        <v>77</v>
      </c>
      <c r="R61" s="25">
        <v>54.37</v>
      </c>
      <c r="S61" s="25">
        <v>7</v>
      </c>
      <c r="T61" s="25">
        <f t="shared" ref="T61:T65" si="40">E61-J61*0.75-K61-F61-M61-N61-O61-Q61-I61-R61</f>
        <v>755.54499999999996</v>
      </c>
      <c r="U61" s="25"/>
      <c r="V61" s="25">
        <f t="shared" ref="V61:V65" si="41">J61*0.75</f>
        <v>2366.25</v>
      </c>
      <c r="W61" s="25">
        <v>258.02</v>
      </c>
      <c r="X61" s="25">
        <v>0</v>
      </c>
      <c r="Y61" s="25">
        <v>0</v>
      </c>
    </row>
    <row r="62" spans="1:25">
      <c r="A62" s="22" t="s">
        <v>283</v>
      </c>
      <c r="B62" s="23">
        <v>352368</v>
      </c>
      <c r="C62" s="24" t="s">
        <v>197</v>
      </c>
      <c r="D62" s="23">
        <v>3</v>
      </c>
      <c r="E62" s="25">
        <v>3550</v>
      </c>
      <c r="F62" s="25">
        <v>689.44</v>
      </c>
      <c r="G62" s="25">
        <v>0</v>
      </c>
      <c r="H62" s="25"/>
      <c r="I62" s="25">
        <v>1892.7</v>
      </c>
      <c r="J62" s="53">
        <v>1971</v>
      </c>
      <c r="K62" s="25">
        <f t="shared" si="28"/>
        <v>139.94099999999997</v>
      </c>
      <c r="L62" s="25">
        <v>0</v>
      </c>
      <c r="M62" s="25">
        <v>359.07</v>
      </c>
      <c r="N62" s="25">
        <f t="shared" si="29"/>
        <v>197.10000000000002</v>
      </c>
      <c r="O62" s="25">
        <v>26.25</v>
      </c>
      <c r="P62" s="25"/>
      <c r="Q62" s="25">
        <f t="shared" si="30"/>
        <v>35.5</v>
      </c>
      <c r="R62" s="25">
        <v>208.9</v>
      </c>
      <c r="S62" s="25">
        <v>7</v>
      </c>
      <c r="T62" s="25">
        <f t="shared" si="40"/>
        <v>-1477.1510000000003</v>
      </c>
      <c r="U62" s="25"/>
      <c r="V62" s="25">
        <f t="shared" si="41"/>
        <v>1478.25</v>
      </c>
      <c r="W62" s="25">
        <v>146.78</v>
      </c>
      <c r="X62" s="25">
        <v>0</v>
      </c>
      <c r="Y62" s="25">
        <v>0</v>
      </c>
    </row>
    <row r="63" spans="1:25">
      <c r="A63" s="22" t="s">
        <v>284</v>
      </c>
      <c r="B63" s="23">
        <v>352373</v>
      </c>
      <c r="C63" s="24" t="s">
        <v>197</v>
      </c>
      <c r="D63" s="23">
        <v>7</v>
      </c>
      <c r="E63" s="25">
        <v>8270</v>
      </c>
      <c r="F63" s="25">
        <v>689.44</v>
      </c>
      <c r="G63" s="25">
        <v>0</v>
      </c>
      <c r="H63" s="25"/>
      <c r="I63" s="25">
        <v>2777.69</v>
      </c>
      <c r="J63" s="53">
        <v>3540</v>
      </c>
      <c r="K63" s="25">
        <f t="shared" si="28"/>
        <v>251.33999999999997</v>
      </c>
      <c r="L63" s="25">
        <v>0</v>
      </c>
      <c r="M63" s="25">
        <v>359.07</v>
      </c>
      <c r="N63" s="25">
        <f t="shared" si="29"/>
        <v>354</v>
      </c>
      <c r="O63" s="25">
        <v>26.25</v>
      </c>
      <c r="P63" s="25"/>
      <c r="Q63" s="25">
        <f t="shared" si="30"/>
        <v>82.7</v>
      </c>
      <c r="R63" s="25">
        <v>98.86</v>
      </c>
      <c r="S63" s="25">
        <v>7</v>
      </c>
      <c r="T63" s="25">
        <f t="shared" si="40"/>
        <v>975.64999999999975</v>
      </c>
      <c r="U63" s="25"/>
      <c r="V63" s="25">
        <f t="shared" si="41"/>
        <v>2655</v>
      </c>
      <c r="W63" s="25">
        <v>78.63</v>
      </c>
      <c r="X63" s="25">
        <v>0</v>
      </c>
      <c r="Y63" s="25">
        <v>0</v>
      </c>
    </row>
    <row r="64" spans="1:25">
      <c r="A64" s="22" t="s">
        <v>285</v>
      </c>
      <c r="B64" s="23">
        <v>352371</v>
      </c>
      <c r="C64" s="24" t="s">
        <v>197</v>
      </c>
      <c r="D64" s="23">
        <v>1</v>
      </c>
      <c r="E64" s="25">
        <v>1100</v>
      </c>
      <c r="F64" s="25">
        <v>689.44</v>
      </c>
      <c r="G64" s="25">
        <v>0</v>
      </c>
      <c r="H64" s="25"/>
      <c r="I64" s="25">
        <v>0</v>
      </c>
      <c r="J64" s="53">
        <v>0</v>
      </c>
      <c r="K64" s="25">
        <f t="shared" si="28"/>
        <v>0</v>
      </c>
      <c r="L64" s="25">
        <v>0</v>
      </c>
      <c r="M64" s="25">
        <v>359.07</v>
      </c>
      <c r="N64" s="25">
        <f t="shared" si="29"/>
        <v>0</v>
      </c>
      <c r="O64" s="25">
        <v>26.25</v>
      </c>
      <c r="P64" s="25"/>
      <c r="Q64" s="25">
        <f t="shared" si="30"/>
        <v>11</v>
      </c>
      <c r="R64" s="25">
        <v>0</v>
      </c>
      <c r="S64" s="25">
        <v>7</v>
      </c>
      <c r="T64" s="25">
        <f t="shared" si="40"/>
        <v>14.239999999999952</v>
      </c>
      <c r="U64" s="25"/>
      <c r="V64" s="25">
        <f t="shared" si="41"/>
        <v>0</v>
      </c>
      <c r="W64" s="25"/>
      <c r="X64" s="25">
        <v>0</v>
      </c>
      <c r="Y64" s="25">
        <v>0</v>
      </c>
    </row>
    <row r="65" spans="1:25">
      <c r="A65" s="22" t="s">
        <v>281</v>
      </c>
      <c r="B65" s="23">
        <v>352375</v>
      </c>
      <c r="C65" s="24" t="s">
        <v>197</v>
      </c>
      <c r="D65" s="23">
        <v>7</v>
      </c>
      <c r="E65" s="25">
        <v>7561</v>
      </c>
      <c r="F65" s="25">
        <v>689.44</v>
      </c>
      <c r="G65" s="25">
        <v>0</v>
      </c>
      <c r="H65" s="25"/>
      <c r="I65" s="25">
        <v>3528.55</v>
      </c>
      <c r="J65" s="53">
        <v>3268</v>
      </c>
      <c r="K65" s="25">
        <f t="shared" si="28"/>
        <v>232.02799999999999</v>
      </c>
      <c r="L65" s="25">
        <v>0</v>
      </c>
      <c r="M65" s="25">
        <v>359.07</v>
      </c>
      <c r="N65" s="25">
        <f t="shared" si="29"/>
        <v>326.8</v>
      </c>
      <c r="O65" s="25">
        <v>26.25</v>
      </c>
      <c r="P65" s="25"/>
      <c r="Q65" s="25">
        <f t="shared" si="30"/>
        <v>75.61</v>
      </c>
      <c r="R65" s="25">
        <v>269.92</v>
      </c>
      <c r="S65" s="25">
        <v>7</v>
      </c>
      <c r="T65" s="25">
        <f t="shared" si="40"/>
        <v>-397.66800000000143</v>
      </c>
      <c r="U65" s="25"/>
      <c r="V65" s="25">
        <f t="shared" si="41"/>
        <v>2451</v>
      </c>
      <c r="W65" s="25">
        <v>151.84</v>
      </c>
      <c r="X65" s="25">
        <v>0</v>
      </c>
      <c r="Y65" s="25">
        <v>0</v>
      </c>
    </row>
    <row r="66" spans="1:25">
      <c r="A66" s="71" t="s">
        <v>89</v>
      </c>
      <c r="B66" s="72">
        <v>19</v>
      </c>
      <c r="C66" s="73" t="s">
        <v>271</v>
      </c>
      <c r="D66" s="72">
        <f>AVERAGE(D47:D65)</f>
        <v>5.8421052631578947</v>
      </c>
      <c r="E66" s="74">
        <f t="shared" ref="E66:G66" si="42">SUM(E47:E65)</f>
        <v>125129</v>
      </c>
      <c r="F66" s="74">
        <f t="shared" si="42"/>
        <v>13210.480000000005</v>
      </c>
      <c r="G66" s="74">
        <f t="shared" si="42"/>
        <v>0</v>
      </c>
      <c r="H66" s="74"/>
      <c r="I66" s="74">
        <f t="shared" ref="I66:O66" si="43">SUM(I47:I65)</f>
        <v>48789.18</v>
      </c>
      <c r="J66" s="74">
        <f t="shared" si="43"/>
        <v>53427</v>
      </c>
      <c r="K66" s="74">
        <f t="shared" si="43"/>
        <v>3793.3169999999996</v>
      </c>
      <c r="L66" s="74">
        <f t="shared" si="43"/>
        <v>0</v>
      </c>
      <c r="M66" s="74">
        <f t="shared" si="43"/>
        <v>6463.2599999999993</v>
      </c>
      <c r="N66" s="74">
        <f t="shared" si="43"/>
        <v>5342.7000000000007</v>
      </c>
      <c r="O66" s="74">
        <f t="shared" si="43"/>
        <v>553.75</v>
      </c>
      <c r="P66" s="74"/>
      <c r="Q66" s="74">
        <f t="shared" ref="Q66:T66" si="44">SUM(Q47:Q65)</f>
        <v>1251.29</v>
      </c>
      <c r="R66" s="74">
        <f t="shared" si="44"/>
        <v>2969.45</v>
      </c>
      <c r="S66" s="74">
        <f t="shared" si="44"/>
        <v>126</v>
      </c>
      <c r="T66" s="74">
        <f t="shared" si="44"/>
        <v>1025.0369999999959</v>
      </c>
      <c r="U66" s="74"/>
      <c r="V66" s="74">
        <f t="shared" ref="V66:W66" si="45">SUM(V47:V65)</f>
        <v>41633.360000000001</v>
      </c>
      <c r="W66" s="74">
        <f t="shared" si="45"/>
        <v>2608.4300000000007</v>
      </c>
      <c r="X66" s="33">
        <f t="shared" ref="X66:Y66" si="46">SUM(X47:X61)</f>
        <v>0</v>
      </c>
      <c r="Y66" s="33">
        <f t="shared" si="46"/>
        <v>350</v>
      </c>
    </row>
    <row r="68" spans="1:25">
      <c r="A68" s="457" t="s">
        <v>289</v>
      </c>
      <c r="B68" s="458"/>
      <c r="C68" s="458"/>
      <c r="D68" s="458"/>
      <c r="E68" s="458"/>
      <c r="F68" s="458"/>
      <c r="G68" s="458"/>
      <c r="H68" s="458"/>
      <c r="I68" s="458"/>
      <c r="J68" s="458"/>
      <c r="K68" s="458"/>
      <c r="L68" s="458"/>
      <c r="M68" s="458"/>
      <c r="N68" s="458"/>
      <c r="O68" s="458"/>
      <c r="P68" s="458"/>
      <c r="Q68" s="458"/>
      <c r="R68" s="458"/>
      <c r="S68" s="458"/>
      <c r="T68" s="458"/>
      <c r="U68" s="458"/>
      <c r="V68" s="458"/>
      <c r="W68" s="459"/>
      <c r="X68" s="76"/>
      <c r="Y68" s="76"/>
    </row>
    <row r="69" spans="1:25">
      <c r="A69" s="1" t="s">
        <v>0</v>
      </c>
      <c r="B69" s="2" t="s">
        <v>1</v>
      </c>
      <c r="C69" s="2" t="s">
        <v>183</v>
      </c>
      <c r="D69" s="2" t="s">
        <v>3</v>
      </c>
      <c r="E69" s="2" t="s">
        <v>2</v>
      </c>
      <c r="F69" s="2" t="s">
        <v>4</v>
      </c>
      <c r="G69" s="2" t="s">
        <v>6</v>
      </c>
      <c r="H69" s="2"/>
      <c r="I69" s="2" t="s">
        <v>7</v>
      </c>
      <c r="J69" s="2" t="s">
        <v>9</v>
      </c>
      <c r="K69" s="2" t="s">
        <v>106</v>
      </c>
      <c r="L69" s="2" t="s">
        <v>107</v>
      </c>
      <c r="M69" s="2" t="s">
        <v>5</v>
      </c>
      <c r="N69" s="2" t="s">
        <v>12</v>
      </c>
      <c r="O69" s="2" t="s">
        <v>184</v>
      </c>
      <c r="P69" s="2"/>
      <c r="Q69" s="2" t="s">
        <v>108</v>
      </c>
      <c r="R69" s="2" t="s">
        <v>8</v>
      </c>
      <c r="S69" s="12" t="s">
        <v>185</v>
      </c>
      <c r="T69" s="2" t="s">
        <v>13</v>
      </c>
      <c r="U69" s="2"/>
      <c r="V69" s="14" t="s">
        <v>98</v>
      </c>
      <c r="W69" s="14" t="s">
        <v>257</v>
      </c>
      <c r="X69" s="14" t="s">
        <v>287</v>
      </c>
      <c r="Y69" s="77" t="s">
        <v>288</v>
      </c>
    </row>
    <row r="70" spans="1:25">
      <c r="A70" s="22" t="s">
        <v>258</v>
      </c>
      <c r="B70" s="23">
        <v>352377</v>
      </c>
      <c r="C70" s="24" t="s">
        <v>251</v>
      </c>
      <c r="D70" s="23">
        <v>7</v>
      </c>
      <c r="E70" s="25">
        <v>8800</v>
      </c>
      <c r="F70" s="25">
        <v>789.51</v>
      </c>
      <c r="G70" s="25">
        <v>0</v>
      </c>
      <c r="H70" s="25"/>
      <c r="I70" s="25">
        <v>2747.79</v>
      </c>
      <c r="J70" s="53">
        <f>3256+315</f>
        <v>3571</v>
      </c>
      <c r="K70" s="25">
        <f t="shared" ref="K70:K88" si="47">J70*0.071</f>
        <v>253.54099999999997</v>
      </c>
      <c r="L70" s="25">
        <v>0</v>
      </c>
      <c r="M70" s="25">
        <v>359.07</v>
      </c>
      <c r="N70" s="25">
        <f t="shared" ref="N70:N82" si="48">J70*0.1</f>
        <v>357.1</v>
      </c>
      <c r="O70" s="25">
        <v>26.25</v>
      </c>
      <c r="P70" s="25"/>
      <c r="Q70" s="25">
        <f t="shared" ref="Q70:Q88" si="49">E70*0.01</f>
        <v>88</v>
      </c>
      <c r="R70" s="25">
        <v>102.57</v>
      </c>
      <c r="S70" s="25">
        <v>7</v>
      </c>
      <c r="T70" s="25">
        <f t="shared" ref="T70:T71" si="50">E70-J70*0.8-K70-F70-M70-N70-O70-Q70-I70-R70</f>
        <v>1219.3689999999995</v>
      </c>
      <c r="U70" s="25"/>
      <c r="V70" s="25">
        <f t="shared" ref="V70:V71" si="51">J70*0.8</f>
        <v>2856.8</v>
      </c>
      <c r="W70" s="25">
        <v>170.8</v>
      </c>
      <c r="X70" s="78">
        <v>0</v>
      </c>
      <c r="Y70" s="78">
        <v>0</v>
      </c>
    </row>
    <row r="71" spans="1:25">
      <c r="A71" s="22" t="s">
        <v>268</v>
      </c>
      <c r="B71" s="23">
        <v>465184</v>
      </c>
      <c r="C71" s="24" t="s">
        <v>251</v>
      </c>
      <c r="D71" s="23">
        <v>2</v>
      </c>
      <c r="E71" s="25">
        <v>3550</v>
      </c>
      <c r="F71" s="25">
        <v>789.51</v>
      </c>
      <c r="G71" s="25">
        <v>0</v>
      </c>
      <c r="H71" s="25"/>
      <c r="I71" s="25">
        <v>793.32</v>
      </c>
      <c r="J71" s="53">
        <f>1538+67</f>
        <v>1605</v>
      </c>
      <c r="K71" s="25">
        <f t="shared" si="47"/>
        <v>113.95499999999998</v>
      </c>
      <c r="L71" s="25">
        <v>0</v>
      </c>
      <c r="M71" s="25">
        <v>359.07</v>
      </c>
      <c r="N71" s="25">
        <f t="shared" si="48"/>
        <v>160.5</v>
      </c>
      <c r="O71" s="25">
        <v>40</v>
      </c>
      <c r="P71" s="25"/>
      <c r="Q71" s="25">
        <f t="shared" si="49"/>
        <v>35.5</v>
      </c>
      <c r="R71" s="25">
        <v>7</v>
      </c>
      <c r="S71" s="25">
        <v>7</v>
      </c>
      <c r="T71" s="25">
        <f t="shared" si="50"/>
        <v>-32.854999999999905</v>
      </c>
      <c r="U71" s="25"/>
      <c r="V71" s="25">
        <f t="shared" si="51"/>
        <v>1284</v>
      </c>
      <c r="W71" s="25">
        <v>15.76</v>
      </c>
      <c r="X71" s="78">
        <v>0</v>
      </c>
      <c r="Y71" s="78">
        <v>0</v>
      </c>
    </row>
    <row r="72" spans="1:25">
      <c r="A72" s="22" t="s">
        <v>253</v>
      </c>
      <c r="B72" s="23">
        <v>352372</v>
      </c>
      <c r="C72" s="24" t="s">
        <v>197</v>
      </c>
      <c r="D72" s="23">
        <v>7</v>
      </c>
      <c r="E72" s="25">
        <v>7212</v>
      </c>
      <c r="F72" s="25">
        <v>689.44</v>
      </c>
      <c r="G72" s="25">
        <v>0</v>
      </c>
      <c r="H72" s="25"/>
      <c r="I72" s="25">
        <v>2478.39</v>
      </c>
      <c r="J72" s="53">
        <f>2801+732</f>
        <v>3533</v>
      </c>
      <c r="K72" s="25">
        <f t="shared" si="47"/>
        <v>250.84299999999999</v>
      </c>
      <c r="L72" s="25">
        <v>0</v>
      </c>
      <c r="M72" s="25">
        <v>359.07</v>
      </c>
      <c r="N72" s="25">
        <f t="shared" si="48"/>
        <v>353.3</v>
      </c>
      <c r="O72" s="25">
        <v>32.5</v>
      </c>
      <c r="P72" s="25"/>
      <c r="Q72" s="25">
        <f t="shared" si="49"/>
        <v>72.12</v>
      </c>
      <c r="R72" s="25">
        <v>49.79</v>
      </c>
      <c r="S72" s="25">
        <v>7</v>
      </c>
      <c r="T72" s="25">
        <f t="shared" ref="T72:T74" si="52">E72-J72*0.75-K72-F72-M72-N72-O72-Q72-I72-R72</f>
        <v>276.79699999999997</v>
      </c>
      <c r="U72" s="25"/>
      <c r="V72" s="25">
        <f t="shared" ref="V72:V75" si="53">J72*0.75</f>
        <v>2649.75</v>
      </c>
      <c r="W72" s="25">
        <v>72.78</v>
      </c>
      <c r="X72" s="78">
        <v>0</v>
      </c>
      <c r="Y72" s="78">
        <v>250</v>
      </c>
    </row>
    <row r="73" spans="1:25">
      <c r="A73" s="22" t="s">
        <v>254</v>
      </c>
      <c r="B73" s="23">
        <v>465180</v>
      </c>
      <c r="C73" s="24" t="s">
        <v>197</v>
      </c>
      <c r="D73" s="23">
        <v>7</v>
      </c>
      <c r="E73" s="25">
        <v>7400</v>
      </c>
      <c r="F73" s="25">
        <v>789.51</v>
      </c>
      <c r="G73" s="25">
        <v>0</v>
      </c>
      <c r="H73" s="25"/>
      <c r="I73" s="25">
        <v>2761.71</v>
      </c>
      <c r="J73" s="53">
        <f>3128+391</f>
        <v>3519</v>
      </c>
      <c r="K73" s="25">
        <f t="shared" si="47"/>
        <v>249.84899999999999</v>
      </c>
      <c r="L73" s="25">
        <v>0</v>
      </c>
      <c r="M73" s="25">
        <v>359.07</v>
      </c>
      <c r="N73" s="25">
        <f t="shared" si="48"/>
        <v>351.90000000000003</v>
      </c>
      <c r="O73" s="25">
        <v>32.5</v>
      </c>
      <c r="P73" s="25"/>
      <c r="Q73" s="25">
        <f t="shared" si="49"/>
        <v>74</v>
      </c>
      <c r="R73" s="25">
        <v>43</v>
      </c>
      <c r="S73" s="25">
        <v>7</v>
      </c>
      <c r="T73" s="25">
        <f t="shared" si="52"/>
        <v>99.210999999999331</v>
      </c>
      <c r="U73" s="25"/>
      <c r="V73" s="25">
        <f t="shared" si="53"/>
        <v>2639.25</v>
      </c>
      <c r="W73" s="25">
        <v>116.79</v>
      </c>
      <c r="X73" s="78">
        <v>0</v>
      </c>
      <c r="Y73" s="78">
        <v>0</v>
      </c>
    </row>
    <row r="74" spans="1:25">
      <c r="A74" s="22" t="s">
        <v>247</v>
      </c>
      <c r="B74" s="23">
        <v>352376</v>
      </c>
      <c r="C74" s="24" t="s">
        <v>197</v>
      </c>
      <c r="D74" s="23">
        <v>7</v>
      </c>
      <c r="E74" s="25">
        <v>7450</v>
      </c>
      <c r="F74" s="25">
        <v>689.44</v>
      </c>
      <c r="G74" s="25">
        <v>0</v>
      </c>
      <c r="H74" s="25"/>
      <c r="I74" s="25">
        <v>2782.87</v>
      </c>
      <c r="J74" s="53">
        <f>2673+485</f>
        <v>3158</v>
      </c>
      <c r="K74" s="25">
        <f t="shared" si="47"/>
        <v>224.21799999999999</v>
      </c>
      <c r="L74" s="25">
        <v>0</v>
      </c>
      <c r="M74" s="25">
        <v>359.07</v>
      </c>
      <c r="N74" s="25">
        <f t="shared" si="48"/>
        <v>315.8</v>
      </c>
      <c r="O74" s="25">
        <v>26.25</v>
      </c>
      <c r="P74" s="25"/>
      <c r="Q74" s="25">
        <f t="shared" si="49"/>
        <v>74.5</v>
      </c>
      <c r="R74" s="25">
        <v>0</v>
      </c>
      <c r="S74" s="25">
        <v>7</v>
      </c>
      <c r="T74" s="25">
        <f t="shared" si="52"/>
        <v>609.35200000000032</v>
      </c>
      <c r="U74" s="25"/>
      <c r="V74" s="25">
        <f t="shared" si="53"/>
        <v>2368.5</v>
      </c>
      <c r="W74" s="25">
        <v>98.79</v>
      </c>
      <c r="X74" s="78">
        <v>0</v>
      </c>
      <c r="Y74" s="78">
        <v>0</v>
      </c>
    </row>
    <row r="75" spans="1:25">
      <c r="A75" s="22" t="s">
        <v>280</v>
      </c>
      <c r="B75" s="23">
        <v>465182</v>
      </c>
      <c r="C75" s="24" t="s">
        <v>197</v>
      </c>
      <c r="D75" s="23">
        <v>5</v>
      </c>
      <c r="E75" s="25">
        <v>5731</v>
      </c>
      <c r="F75" s="25">
        <v>689.44</v>
      </c>
      <c r="G75" s="25">
        <v>0</v>
      </c>
      <c r="H75" s="25"/>
      <c r="I75" s="25">
        <v>1731.83</v>
      </c>
      <c r="J75" s="53">
        <f>2284+249</f>
        <v>2533</v>
      </c>
      <c r="K75" s="25">
        <f t="shared" si="47"/>
        <v>179.84299999999999</v>
      </c>
      <c r="L75" s="25">
        <v>0</v>
      </c>
      <c r="M75" s="25">
        <v>359.07</v>
      </c>
      <c r="N75" s="25">
        <f t="shared" si="48"/>
        <v>253.3</v>
      </c>
      <c r="O75" s="25">
        <v>40</v>
      </c>
      <c r="P75" s="25"/>
      <c r="Q75" s="25">
        <f t="shared" si="49"/>
        <v>57.31</v>
      </c>
      <c r="R75" s="25">
        <v>318.39</v>
      </c>
      <c r="S75" s="25">
        <v>7</v>
      </c>
      <c r="T75" s="25">
        <f t="shared" ref="T75:T76" si="54">E75-J75*0.8-K75-F75-M75-N75-O75-Q75-I75-R75</f>
        <v>75.416999999999803</v>
      </c>
      <c r="U75" s="25"/>
      <c r="V75" s="25">
        <f t="shared" si="53"/>
        <v>1899.75</v>
      </c>
      <c r="W75" s="25">
        <v>53.49</v>
      </c>
      <c r="X75" s="78">
        <v>400</v>
      </c>
      <c r="Y75" s="78">
        <v>0</v>
      </c>
    </row>
    <row r="76" spans="1:25">
      <c r="A76" s="22" t="s">
        <v>218</v>
      </c>
      <c r="B76" s="23">
        <v>352374</v>
      </c>
      <c r="C76" s="24" t="s">
        <v>251</v>
      </c>
      <c r="D76" s="23">
        <v>7</v>
      </c>
      <c r="E76" s="25">
        <v>9945</v>
      </c>
      <c r="F76" s="25">
        <v>689.44</v>
      </c>
      <c r="G76" s="25">
        <v>0</v>
      </c>
      <c r="H76" s="25"/>
      <c r="I76" s="25">
        <v>3435.89</v>
      </c>
      <c r="J76" s="53">
        <f>4028+203</f>
        <v>4231</v>
      </c>
      <c r="K76" s="25">
        <f t="shared" si="47"/>
        <v>300.40099999999995</v>
      </c>
      <c r="L76" s="25">
        <v>0</v>
      </c>
      <c r="M76" s="25">
        <v>359.07</v>
      </c>
      <c r="N76" s="25">
        <f t="shared" si="48"/>
        <v>423.1</v>
      </c>
      <c r="O76" s="25">
        <v>40</v>
      </c>
      <c r="P76" s="25"/>
      <c r="Q76" s="25">
        <f t="shared" si="49"/>
        <v>99.45</v>
      </c>
      <c r="R76" s="25">
        <v>476.13</v>
      </c>
      <c r="S76" s="25">
        <v>7</v>
      </c>
      <c r="T76" s="25">
        <f t="shared" si="54"/>
        <v>736.71900000000062</v>
      </c>
      <c r="U76" s="25"/>
      <c r="V76" s="25">
        <f>J76*0.8</f>
        <v>3384.8</v>
      </c>
      <c r="W76" s="25">
        <v>178.7</v>
      </c>
      <c r="X76" s="78">
        <v>0</v>
      </c>
      <c r="Y76" s="78">
        <v>0</v>
      </c>
    </row>
    <row r="77" spans="1:25">
      <c r="A77" s="22" t="s">
        <v>220</v>
      </c>
      <c r="B77" s="23">
        <v>465185</v>
      </c>
      <c r="C77" s="24" t="s">
        <v>197</v>
      </c>
      <c r="D77" s="23">
        <v>7</v>
      </c>
      <c r="E77" s="25">
        <v>8700</v>
      </c>
      <c r="F77" s="25">
        <v>789.51</v>
      </c>
      <c r="G77" s="25">
        <v>0</v>
      </c>
      <c r="H77" s="25"/>
      <c r="I77" s="25">
        <v>3352.64</v>
      </c>
      <c r="J77" s="53">
        <f>3489+210</f>
        <v>3699</v>
      </c>
      <c r="K77" s="25">
        <f t="shared" si="47"/>
        <v>262.62899999999996</v>
      </c>
      <c r="L77" s="25">
        <v>0</v>
      </c>
      <c r="M77" s="25">
        <v>359.07</v>
      </c>
      <c r="N77" s="25">
        <f t="shared" si="48"/>
        <v>369.90000000000003</v>
      </c>
      <c r="O77" s="25">
        <v>40</v>
      </c>
      <c r="P77" s="25"/>
      <c r="Q77" s="25">
        <f t="shared" si="49"/>
        <v>87</v>
      </c>
      <c r="R77" s="25">
        <v>395.82</v>
      </c>
      <c r="S77" s="25">
        <v>7</v>
      </c>
      <c r="T77" s="25">
        <f t="shared" ref="T77:T78" si="55">E77-J77*0.75-K77-F77-M77-N77-O77-Q77-I77-R77</f>
        <v>269.18100000000067</v>
      </c>
      <c r="U77" s="25"/>
      <c r="V77" s="25">
        <f t="shared" ref="V77:V78" si="56">J77*0.75</f>
        <v>2774.25</v>
      </c>
      <c r="W77" s="25">
        <v>201.78</v>
      </c>
      <c r="X77" s="78">
        <v>0</v>
      </c>
      <c r="Y77" s="78">
        <v>90</v>
      </c>
    </row>
    <row r="78" spans="1:25">
      <c r="A78" s="22" t="s">
        <v>223</v>
      </c>
      <c r="B78" s="23">
        <v>465183</v>
      </c>
      <c r="C78" s="24" t="s">
        <v>197</v>
      </c>
      <c r="D78" s="23">
        <v>7</v>
      </c>
      <c r="E78" s="25">
        <v>8338</v>
      </c>
      <c r="F78" s="25">
        <v>789.51</v>
      </c>
      <c r="G78" s="25">
        <v>0</v>
      </c>
      <c r="H78" s="25"/>
      <c r="I78" s="25">
        <v>3070.65</v>
      </c>
      <c r="J78" s="53">
        <f>3404+323</f>
        <v>3727</v>
      </c>
      <c r="K78" s="25">
        <f t="shared" si="47"/>
        <v>264.61699999999996</v>
      </c>
      <c r="L78" s="25">
        <v>0</v>
      </c>
      <c r="M78" s="25">
        <v>359.07</v>
      </c>
      <c r="N78" s="25">
        <f t="shared" si="48"/>
        <v>372.70000000000005</v>
      </c>
      <c r="O78" s="25">
        <v>26.25</v>
      </c>
      <c r="P78" s="25"/>
      <c r="Q78" s="25">
        <f t="shared" si="49"/>
        <v>83.38</v>
      </c>
      <c r="R78" s="25">
        <v>0</v>
      </c>
      <c r="S78" s="25">
        <v>7</v>
      </c>
      <c r="T78" s="25">
        <f t="shared" si="55"/>
        <v>576.57299999999987</v>
      </c>
      <c r="U78" s="25"/>
      <c r="V78" s="25">
        <f t="shared" si="56"/>
        <v>2795.25</v>
      </c>
      <c r="W78" s="25">
        <v>172.04</v>
      </c>
      <c r="X78" s="78">
        <v>0</v>
      </c>
      <c r="Y78" s="78">
        <v>0</v>
      </c>
    </row>
    <row r="79" spans="1:25">
      <c r="A79" s="22" t="s">
        <v>224</v>
      </c>
      <c r="B79" s="23">
        <v>465187</v>
      </c>
      <c r="C79" s="24" t="s">
        <v>251</v>
      </c>
      <c r="D79" s="23">
        <v>7</v>
      </c>
      <c r="E79" s="25">
        <v>9150</v>
      </c>
      <c r="F79" s="25">
        <v>789.51</v>
      </c>
      <c r="G79" s="25">
        <v>0</v>
      </c>
      <c r="H79" s="25"/>
      <c r="I79" s="25">
        <v>2645.29</v>
      </c>
      <c r="J79" s="53">
        <f>3674+201</f>
        <v>3875</v>
      </c>
      <c r="K79" s="25">
        <f t="shared" si="47"/>
        <v>275.125</v>
      </c>
      <c r="L79" s="25">
        <v>0</v>
      </c>
      <c r="M79" s="25">
        <v>359.07</v>
      </c>
      <c r="N79" s="25">
        <f t="shared" si="48"/>
        <v>387.5</v>
      </c>
      <c r="O79" s="25">
        <v>40</v>
      </c>
      <c r="P79" s="25"/>
      <c r="Q79" s="25">
        <f t="shared" si="49"/>
        <v>91.5</v>
      </c>
      <c r="R79" s="25">
        <v>280.63</v>
      </c>
      <c r="S79" s="25">
        <v>7</v>
      </c>
      <c r="T79" s="25">
        <f>E79-J79*0.8-K79-F79-M79-N79-O79-Q79-I79-R79</f>
        <v>1181.375</v>
      </c>
      <c r="U79" s="25"/>
      <c r="V79" s="25">
        <f>J79*0.8</f>
        <v>3100</v>
      </c>
      <c r="W79" s="25">
        <v>152.56</v>
      </c>
      <c r="X79" s="78">
        <v>0</v>
      </c>
      <c r="Y79" s="78">
        <v>0</v>
      </c>
    </row>
    <row r="80" spans="1:25">
      <c r="A80" s="34" t="s">
        <v>232</v>
      </c>
      <c r="B80" s="23">
        <v>465181</v>
      </c>
      <c r="C80" s="47" t="s">
        <v>197</v>
      </c>
      <c r="D80" s="23">
        <v>0</v>
      </c>
      <c r="E80" s="25">
        <v>0</v>
      </c>
      <c r="F80" s="25">
        <v>789.51</v>
      </c>
      <c r="G80" s="25">
        <v>0</v>
      </c>
      <c r="H80" s="25"/>
      <c r="I80" s="25">
        <v>0</v>
      </c>
      <c r="J80" s="53">
        <v>0</v>
      </c>
      <c r="K80" s="25">
        <f t="shared" si="47"/>
        <v>0</v>
      </c>
      <c r="L80" s="25">
        <v>0</v>
      </c>
      <c r="M80" s="25">
        <v>359.07</v>
      </c>
      <c r="N80" s="25">
        <f t="shared" si="48"/>
        <v>0</v>
      </c>
      <c r="O80" s="25">
        <v>26.25</v>
      </c>
      <c r="P80" s="25"/>
      <c r="Q80" s="25">
        <f t="shared" si="49"/>
        <v>0</v>
      </c>
      <c r="R80" s="25">
        <v>0</v>
      </c>
      <c r="S80" s="25">
        <v>7</v>
      </c>
      <c r="T80" s="25">
        <f t="shared" ref="T80:T81" si="57">E80-J80*0.75-K80-F80-M80-N80-O80-Q80-I80-R80</f>
        <v>-1174.83</v>
      </c>
      <c r="U80" s="25"/>
      <c r="V80" s="25">
        <f t="shared" ref="V80:V82" si="58">J80*0.75</f>
        <v>0</v>
      </c>
      <c r="W80" s="35"/>
      <c r="X80" s="78">
        <v>0</v>
      </c>
      <c r="Y80" s="78">
        <v>0</v>
      </c>
    </row>
    <row r="81" spans="1:25">
      <c r="A81" s="22" t="s">
        <v>276</v>
      </c>
      <c r="B81" s="23">
        <v>359885</v>
      </c>
      <c r="C81" s="24" t="s">
        <v>197</v>
      </c>
      <c r="D81" s="23">
        <v>0</v>
      </c>
      <c r="E81" s="25">
        <v>0</v>
      </c>
      <c r="F81" s="25">
        <v>689.44</v>
      </c>
      <c r="G81" s="25">
        <v>0</v>
      </c>
      <c r="H81" s="25"/>
      <c r="I81" s="25">
        <v>0</v>
      </c>
      <c r="J81" s="53">
        <v>0</v>
      </c>
      <c r="K81" s="25">
        <f t="shared" si="47"/>
        <v>0</v>
      </c>
      <c r="L81" s="25">
        <v>0</v>
      </c>
      <c r="M81" s="25">
        <v>359.07</v>
      </c>
      <c r="N81" s="25">
        <f t="shared" si="48"/>
        <v>0</v>
      </c>
      <c r="O81" s="25">
        <v>26.25</v>
      </c>
      <c r="P81" s="25"/>
      <c r="Q81" s="25">
        <f t="shared" si="49"/>
        <v>0</v>
      </c>
      <c r="R81" s="25">
        <v>0</v>
      </c>
      <c r="S81" s="25">
        <v>7</v>
      </c>
      <c r="T81" s="25">
        <f t="shared" si="57"/>
        <v>-1074.76</v>
      </c>
      <c r="U81" s="25"/>
      <c r="V81" s="25">
        <f t="shared" si="58"/>
        <v>0</v>
      </c>
      <c r="W81" s="25"/>
      <c r="X81" s="78">
        <v>0</v>
      </c>
      <c r="Y81" s="78">
        <v>0</v>
      </c>
    </row>
    <row r="82" spans="1:25">
      <c r="A82" s="22" t="s">
        <v>260</v>
      </c>
      <c r="B82" s="23">
        <v>465189</v>
      </c>
      <c r="C82" s="24" t="s">
        <v>251</v>
      </c>
      <c r="D82" s="23">
        <v>7</v>
      </c>
      <c r="E82" s="25">
        <v>9400</v>
      </c>
      <c r="F82" s="25">
        <v>789.51</v>
      </c>
      <c r="G82" s="25">
        <v>0</v>
      </c>
      <c r="H82" s="25"/>
      <c r="I82" s="25">
        <v>1438.3</v>
      </c>
      <c r="J82" s="53">
        <f>4094+240</f>
        <v>4334</v>
      </c>
      <c r="K82" s="25">
        <f t="shared" si="47"/>
        <v>307.714</v>
      </c>
      <c r="L82" s="25">
        <v>0</v>
      </c>
      <c r="M82" s="25">
        <v>359.07</v>
      </c>
      <c r="N82" s="25">
        <f t="shared" si="48"/>
        <v>433.40000000000003</v>
      </c>
      <c r="O82" s="25">
        <v>26.25</v>
      </c>
      <c r="P82" s="25"/>
      <c r="Q82" s="25">
        <f t="shared" si="49"/>
        <v>94</v>
      </c>
      <c r="R82" s="25">
        <v>75.44</v>
      </c>
      <c r="S82" s="25">
        <v>7</v>
      </c>
      <c r="T82" s="25">
        <f>E82-J82*0.8-K82-F82-M82-N82-O82-Q82-I82-R82</f>
        <v>2409.1159999999995</v>
      </c>
      <c r="U82" s="25"/>
      <c r="V82" s="25">
        <f t="shared" si="58"/>
        <v>3250.5</v>
      </c>
      <c r="W82" s="25">
        <v>88.69</v>
      </c>
      <c r="X82" s="78">
        <v>200</v>
      </c>
      <c r="Y82" s="78">
        <v>112</v>
      </c>
    </row>
    <row r="83" spans="1:25">
      <c r="A83" s="59" t="s">
        <v>261</v>
      </c>
      <c r="B83" s="60">
        <v>1650</v>
      </c>
      <c r="C83" s="61" t="s">
        <v>262</v>
      </c>
      <c r="D83" s="60">
        <v>0</v>
      </c>
      <c r="E83" s="62">
        <v>0</v>
      </c>
      <c r="F83" s="62">
        <v>0</v>
      </c>
      <c r="G83" s="62">
        <v>0</v>
      </c>
      <c r="H83" s="62"/>
      <c r="I83" s="62">
        <v>0</v>
      </c>
      <c r="J83" s="63">
        <v>0</v>
      </c>
      <c r="K83" s="62">
        <f t="shared" si="47"/>
        <v>0</v>
      </c>
      <c r="L83" s="62">
        <v>0</v>
      </c>
      <c r="M83" s="62">
        <v>0</v>
      </c>
      <c r="N83" s="62">
        <v>0</v>
      </c>
      <c r="O83" s="62">
        <v>0</v>
      </c>
      <c r="P83" s="62"/>
      <c r="Q83" s="62">
        <f t="shared" si="49"/>
        <v>0</v>
      </c>
      <c r="R83" s="62">
        <v>0</v>
      </c>
      <c r="S83" s="62">
        <v>0</v>
      </c>
      <c r="T83" s="62">
        <f>E83*0.18-N83-Q83</f>
        <v>0</v>
      </c>
      <c r="U83" s="62"/>
      <c r="V83" s="62">
        <f>E83*0.82-I83</f>
        <v>0</v>
      </c>
      <c r="W83" s="59"/>
      <c r="X83" s="79">
        <v>0</v>
      </c>
      <c r="Y83" s="79">
        <v>0</v>
      </c>
    </row>
    <row r="84" spans="1:25">
      <c r="A84" s="22" t="s">
        <v>290</v>
      </c>
      <c r="B84" s="23">
        <v>359886</v>
      </c>
      <c r="C84" s="24" t="s">
        <v>197</v>
      </c>
      <c r="D84" s="23">
        <v>1</v>
      </c>
      <c r="E84" s="25">
        <v>875</v>
      </c>
      <c r="F84" s="25">
        <v>689.44</v>
      </c>
      <c r="G84" s="25">
        <v>0</v>
      </c>
      <c r="H84" s="25"/>
      <c r="I84" s="25">
        <v>468.22</v>
      </c>
      <c r="J84" s="53">
        <v>0</v>
      </c>
      <c r="K84" s="25">
        <f t="shared" si="47"/>
        <v>0</v>
      </c>
      <c r="L84" s="25">
        <v>0</v>
      </c>
      <c r="M84" s="25">
        <v>359.07</v>
      </c>
      <c r="N84" s="25">
        <v>0</v>
      </c>
      <c r="O84" s="25">
        <v>26.25</v>
      </c>
      <c r="P84" s="25"/>
      <c r="Q84" s="25">
        <f t="shared" si="49"/>
        <v>8.75</v>
      </c>
      <c r="R84" s="25">
        <v>0</v>
      </c>
      <c r="S84" s="25">
        <v>7</v>
      </c>
      <c r="T84" s="25">
        <f t="shared" ref="T84:T88" si="59">E84-J84*0.75-K84-F84-M84-N84-O84-Q84-I84-R84</f>
        <v>-676.73</v>
      </c>
      <c r="U84" s="25"/>
      <c r="V84" s="25">
        <f t="shared" ref="V84:V88" si="60">J84*0.75</f>
        <v>0</v>
      </c>
      <c r="W84" s="25">
        <v>9.27</v>
      </c>
      <c r="X84" s="78">
        <v>0</v>
      </c>
      <c r="Y84" s="78">
        <v>0</v>
      </c>
    </row>
    <row r="85" spans="1:25">
      <c r="A85" s="22" t="s">
        <v>291</v>
      </c>
      <c r="B85" s="23">
        <v>352368</v>
      </c>
      <c r="C85" s="24" t="s">
        <v>197</v>
      </c>
      <c r="D85" s="23">
        <v>5</v>
      </c>
      <c r="E85" s="25">
        <v>5900</v>
      </c>
      <c r="F85" s="25">
        <v>689.44</v>
      </c>
      <c r="G85" s="25">
        <v>0</v>
      </c>
      <c r="H85" s="25"/>
      <c r="I85" s="25">
        <v>2085.0100000000002</v>
      </c>
      <c r="J85" s="53">
        <f>2422+143</f>
        <v>2565</v>
      </c>
      <c r="K85" s="25">
        <f t="shared" si="47"/>
        <v>182.11499999999998</v>
      </c>
      <c r="L85" s="25">
        <v>0</v>
      </c>
      <c r="M85" s="25">
        <v>359.07</v>
      </c>
      <c r="N85" s="25">
        <f t="shared" ref="N85:N88" si="61">J85*0.1</f>
        <v>256.5</v>
      </c>
      <c r="O85" s="25">
        <v>26.25</v>
      </c>
      <c r="P85" s="25"/>
      <c r="Q85" s="25">
        <f t="shared" si="49"/>
        <v>59</v>
      </c>
      <c r="R85" s="25">
        <v>84.2</v>
      </c>
      <c r="S85" s="25">
        <v>7</v>
      </c>
      <c r="T85" s="25">
        <f t="shared" si="59"/>
        <v>234.66499999999979</v>
      </c>
      <c r="U85" s="25"/>
      <c r="V85" s="25">
        <f t="shared" si="60"/>
        <v>1923.75</v>
      </c>
      <c r="W85" s="25">
        <v>55.98</v>
      </c>
      <c r="X85" s="78">
        <v>0</v>
      </c>
      <c r="Y85" s="78">
        <v>0</v>
      </c>
    </row>
    <row r="86" spans="1:25">
      <c r="A86" s="22" t="s">
        <v>284</v>
      </c>
      <c r="B86" s="23">
        <v>352373</v>
      </c>
      <c r="C86" s="24" t="s">
        <v>197</v>
      </c>
      <c r="D86" s="23">
        <v>7</v>
      </c>
      <c r="E86" s="25">
        <v>6900</v>
      </c>
      <c r="F86" s="25">
        <v>689.44</v>
      </c>
      <c r="G86" s="25">
        <v>0</v>
      </c>
      <c r="H86" s="25"/>
      <c r="I86" s="25">
        <v>2105.1</v>
      </c>
      <c r="J86" s="53">
        <v>3425</v>
      </c>
      <c r="K86" s="25">
        <f t="shared" si="47"/>
        <v>243.17499999999998</v>
      </c>
      <c r="L86" s="25">
        <v>0</v>
      </c>
      <c r="M86" s="25">
        <v>359.07</v>
      </c>
      <c r="N86" s="25">
        <f t="shared" si="61"/>
        <v>342.5</v>
      </c>
      <c r="O86" s="25">
        <v>26.25</v>
      </c>
      <c r="P86" s="25"/>
      <c r="Q86" s="25">
        <f t="shared" si="49"/>
        <v>69</v>
      </c>
      <c r="R86" s="25">
        <v>65.09</v>
      </c>
      <c r="S86" s="25">
        <v>7</v>
      </c>
      <c r="T86" s="25">
        <f t="shared" si="59"/>
        <v>431.62499999999966</v>
      </c>
      <c r="U86" s="25"/>
      <c r="V86" s="25">
        <f t="shared" si="60"/>
        <v>2568.75</v>
      </c>
      <c r="W86" s="25">
        <v>64.8</v>
      </c>
      <c r="X86" s="78">
        <v>200</v>
      </c>
      <c r="Y86" s="78">
        <v>0</v>
      </c>
    </row>
    <row r="87" spans="1:25">
      <c r="A87" s="22" t="s">
        <v>292</v>
      </c>
      <c r="B87" s="23">
        <v>352375</v>
      </c>
      <c r="C87" s="24" t="s">
        <v>197</v>
      </c>
      <c r="D87" s="23">
        <v>5</v>
      </c>
      <c r="E87" s="25">
        <v>4900</v>
      </c>
      <c r="F87" s="25">
        <v>689.44</v>
      </c>
      <c r="G87" s="25">
        <v>0</v>
      </c>
      <c r="H87" s="25"/>
      <c r="I87" s="25">
        <v>2193.6799999999998</v>
      </c>
      <c r="J87" s="53">
        <f>1516+375</f>
        <v>1891</v>
      </c>
      <c r="K87" s="25">
        <f t="shared" si="47"/>
        <v>134.261</v>
      </c>
      <c r="L87" s="25">
        <v>0</v>
      </c>
      <c r="M87" s="25">
        <v>359.07</v>
      </c>
      <c r="N87" s="25">
        <f t="shared" si="61"/>
        <v>189.10000000000002</v>
      </c>
      <c r="O87" s="25">
        <v>26.25</v>
      </c>
      <c r="P87" s="25"/>
      <c r="Q87" s="25">
        <f t="shared" si="49"/>
        <v>49</v>
      </c>
      <c r="R87" s="25">
        <v>145.15</v>
      </c>
      <c r="S87" s="25">
        <v>7</v>
      </c>
      <c r="T87" s="25">
        <f t="shared" si="59"/>
        <v>-304.20099999999991</v>
      </c>
      <c r="U87" s="25"/>
      <c r="V87" s="25">
        <f t="shared" si="60"/>
        <v>1418.25</v>
      </c>
      <c r="W87" s="25">
        <v>132.75</v>
      </c>
      <c r="X87" s="78">
        <v>0</v>
      </c>
      <c r="Y87" s="78">
        <v>150</v>
      </c>
    </row>
    <row r="88" spans="1:25">
      <c r="A88" s="22" t="s">
        <v>281</v>
      </c>
      <c r="B88" s="23">
        <v>352371</v>
      </c>
      <c r="C88" s="24" t="s">
        <v>197</v>
      </c>
      <c r="D88" s="23">
        <v>4</v>
      </c>
      <c r="E88" s="25">
        <v>4150</v>
      </c>
      <c r="F88" s="25">
        <v>689.44</v>
      </c>
      <c r="G88" s="25">
        <v>0</v>
      </c>
      <c r="H88" s="25"/>
      <c r="I88" s="25">
        <v>2021.25</v>
      </c>
      <c r="J88" s="53">
        <f>1622+173</f>
        <v>1795</v>
      </c>
      <c r="K88" s="25">
        <f t="shared" si="47"/>
        <v>127.44499999999999</v>
      </c>
      <c r="L88" s="25">
        <v>0</v>
      </c>
      <c r="M88" s="25">
        <v>359.07</v>
      </c>
      <c r="N88" s="25">
        <f t="shared" si="61"/>
        <v>179.5</v>
      </c>
      <c r="O88" s="25">
        <v>26.25</v>
      </c>
      <c r="P88" s="25"/>
      <c r="Q88" s="25">
        <f t="shared" si="49"/>
        <v>41.5</v>
      </c>
      <c r="R88" s="25">
        <v>219.07</v>
      </c>
      <c r="S88" s="25">
        <v>7</v>
      </c>
      <c r="T88" s="25">
        <f t="shared" si="59"/>
        <v>-859.77500000000009</v>
      </c>
      <c r="U88" s="25"/>
      <c r="V88" s="25">
        <f t="shared" si="60"/>
        <v>1346.25</v>
      </c>
      <c r="W88" s="25">
        <v>133.41</v>
      </c>
      <c r="X88" s="78">
        <v>0</v>
      </c>
      <c r="Y88" s="78">
        <v>0</v>
      </c>
    </row>
    <row r="89" spans="1:25">
      <c r="A89" s="71" t="s">
        <v>89</v>
      </c>
      <c r="B89" s="72">
        <v>19</v>
      </c>
      <c r="C89" s="73" t="s">
        <v>271</v>
      </c>
      <c r="D89" s="72">
        <f>AVERAGE(D70:D88)</f>
        <v>4.8421052631578947</v>
      </c>
      <c r="E89" s="74">
        <f t="shared" ref="E89:G89" si="62">SUM(E70:E88)</f>
        <v>108401</v>
      </c>
      <c r="F89" s="74">
        <f t="shared" si="62"/>
        <v>13210.480000000005</v>
      </c>
      <c r="G89" s="74">
        <f t="shared" si="62"/>
        <v>0</v>
      </c>
      <c r="H89" s="74"/>
      <c r="I89" s="74">
        <f t="shared" ref="I89:O89" si="63">SUM(I70:I88)</f>
        <v>36111.94</v>
      </c>
      <c r="J89" s="74">
        <f t="shared" si="63"/>
        <v>47461</v>
      </c>
      <c r="K89" s="74">
        <f t="shared" si="63"/>
        <v>3369.7309999999998</v>
      </c>
      <c r="L89" s="74">
        <f t="shared" si="63"/>
        <v>0</v>
      </c>
      <c r="M89" s="74">
        <f t="shared" si="63"/>
        <v>6463.2599999999993</v>
      </c>
      <c r="N89" s="74">
        <f t="shared" si="63"/>
        <v>4746.1000000000004</v>
      </c>
      <c r="O89" s="74">
        <f t="shared" si="63"/>
        <v>553.75</v>
      </c>
      <c r="P89" s="74"/>
      <c r="Q89" s="74">
        <f t="shared" ref="Q89:T89" si="64">SUM(Q70:Q88)</f>
        <v>1084.01</v>
      </c>
      <c r="R89" s="74">
        <f t="shared" si="64"/>
        <v>2262.2800000000002</v>
      </c>
      <c r="S89" s="74">
        <f t="shared" si="64"/>
        <v>126</v>
      </c>
      <c r="T89" s="74">
        <f t="shared" si="64"/>
        <v>3996.2489999999993</v>
      </c>
      <c r="U89" s="74"/>
      <c r="V89" s="74">
        <f t="shared" ref="V89:Y89" si="65">SUM(V70:V88)</f>
        <v>36259.85</v>
      </c>
      <c r="W89" s="74">
        <f t="shared" si="65"/>
        <v>1718.39</v>
      </c>
      <c r="X89" s="80">
        <f t="shared" si="65"/>
        <v>800</v>
      </c>
      <c r="Y89" s="80">
        <f t="shared" si="65"/>
        <v>602</v>
      </c>
    </row>
    <row r="91" spans="1:25">
      <c r="A91" s="457" t="s">
        <v>293</v>
      </c>
      <c r="B91" s="458"/>
      <c r="C91" s="458"/>
      <c r="D91" s="458"/>
      <c r="E91" s="458"/>
      <c r="F91" s="458"/>
      <c r="G91" s="458"/>
      <c r="H91" s="458"/>
      <c r="I91" s="458"/>
      <c r="J91" s="458"/>
      <c r="K91" s="458"/>
      <c r="L91" s="458"/>
      <c r="M91" s="458"/>
      <c r="N91" s="458"/>
      <c r="O91" s="458"/>
      <c r="P91" s="458"/>
      <c r="Q91" s="458"/>
      <c r="R91" s="458"/>
      <c r="S91" s="458"/>
      <c r="T91" s="458"/>
      <c r="U91" s="458"/>
      <c r="V91" s="458"/>
      <c r="W91" s="459"/>
      <c r="X91" s="76"/>
      <c r="Y91" s="76"/>
    </row>
    <row r="92" spans="1:25">
      <c r="A92" s="1" t="s">
        <v>0</v>
      </c>
      <c r="B92" s="2" t="s">
        <v>1</v>
      </c>
      <c r="C92" s="2" t="s">
        <v>183</v>
      </c>
      <c r="D92" s="2" t="s">
        <v>3</v>
      </c>
      <c r="E92" s="2" t="s">
        <v>2</v>
      </c>
      <c r="F92" s="2" t="s">
        <v>4</v>
      </c>
      <c r="G92" s="2" t="s">
        <v>6</v>
      </c>
      <c r="H92" s="2"/>
      <c r="I92" s="2" t="s">
        <v>7</v>
      </c>
      <c r="J92" s="2" t="s">
        <v>9</v>
      </c>
      <c r="K92" s="2" t="s">
        <v>106</v>
      </c>
      <c r="L92" s="2" t="s">
        <v>107</v>
      </c>
      <c r="M92" s="2" t="s">
        <v>5</v>
      </c>
      <c r="N92" s="2" t="s">
        <v>12</v>
      </c>
      <c r="O92" s="2" t="s">
        <v>184</v>
      </c>
      <c r="P92" s="2"/>
      <c r="Q92" s="2" t="s">
        <v>108</v>
      </c>
      <c r="R92" s="2" t="s">
        <v>8</v>
      </c>
      <c r="S92" s="12" t="s">
        <v>185</v>
      </c>
      <c r="T92" s="2" t="s">
        <v>13</v>
      </c>
      <c r="U92" s="2"/>
      <c r="V92" s="14" t="s">
        <v>98</v>
      </c>
      <c r="W92" s="14" t="s">
        <v>257</v>
      </c>
      <c r="X92" s="14" t="s">
        <v>287</v>
      </c>
      <c r="Y92" s="14" t="s">
        <v>288</v>
      </c>
    </row>
    <row r="93" spans="1:25">
      <c r="A93" s="22" t="s">
        <v>258</v>
      </c>
      <c r="B93" s="23">
        <v>352377</v>
      </c>
      <c r="C93" s="24" t="s">
        <v>251</v>
      </c>
      <c r="D93" s="23">
        <v>7</v>
      </c>
      <c r="E93" s="25">
        <v>7358</v>
      </c>
      <c r="F93" s="25">
        <v>789.51</v>
      </c>
      <c r="G93" s="25">
        <v>0</v>
      </c>
      <c r="H93" s="25"/>
      <c r="I93" s="25">
        <v>2864.81</v>
      </c>
      <c r="J93" s="53">
        <v>3207</v>
      </c>
      <c r="K93" s="25">
        <f t="shared" ref="K93:K102" si="66">J93*0.071</f>
        <v>227.69699999999997</v>
      </c>
      <c r="L93" s="25">
        <v>0</v>
      </c>
      <c r="M93" s="25">
        <v>359.07</v>
      </c>
      <c r="N93" s="25">
        <f t="shared" ref="N93:N108" si="67">J93*0.1</f>
        <v>320.70000000000005</v>
      </c>
      <c r="O93" s="25">
        <v>26.25</v>
      </c>
      <c r="P93" s="25"/>
      <c r="Q93" s="25">
        <f t="shared" ref="Q93:Q108" si="68">E93*0.01</f>
        <v>73.58</v>
      </c>
      <c r="R93" s="25">
        <v>113.58</v>
      </c>
      <c r="S93" s="25">
        <v>7</v>
      </c>
      <c r="T93" s="25">
        <f t="shared" ref="T93:T94" si="69">E93-J93*0.8-K93-F93-M93-N93-O93-Q93-I93-R93</f>
        <v>17.202999999998994</v>
      </c>
      <c r="U93" s="25"/>
      <c r="V93" s="25">
        <f t="shared" ref="V93:V94" si="70">J93*0.8</f>
        <v>2565.6000000000004</v>
      </c>
      <c r="W93" s="25">
        <v>168.52</v>
      </c>
      <c r="X93" s="78">
        <v>0</v>
      </c>
      <c r="Y93" s="78">
        <v>0</v>
      </c>
    </row>
    <row r="94" spans="1:25">
      <c r="A94" s="22" t="s">
        <v>268</v>
      </c>
      <c r="B94" s="23">
        <v>465184</v>
      </c>
      <c r="C94" s="24" t="s">
        <v>251</v>
      </c>
      <c r="D94" s="23">
        <v>7</v>
      </c>
      <c r="E94" s="25">
        <v>7590</v>
      </c>
      <c r="F94" s="25">
        <v>789.51</v>
      </c>
      <c r="G94" s="25">
        <v>0</v>
      </c>
      <c r="H94" s="25"/>
      <c r="I94" s="25">
        <v>2773</v>
      </c>
      <c r="J94" s="53">
        <v>3163</v>
      </c>
      <c r="K94" s="25">
        <f t="shared" si="66"/>
        <v>224.57299999999998</v>
      </c>
      <c r="L94" s="25">
        <v>0</v>
      </c>
      <c r="M94" s="25">
        <v>359.07</v>
      </c>
      <c r="N94" s="25">
        <f t="shared" si="67"/>
        <v>316.3</v>
      </c>
      <c r="O94" s="25">
        <v>40</v>
      </c>
      <c r="P94" s="25"/>
      <c r="Q94" s="25">
        <f t="shared" si="68"/>
        <v>75.900000000000006</v>
      </c>
      <c r="R94" s="25">
        <v>89.81</v>
      </c>
      <c r="S94" s="25">
        <v>7</v>
      </c>
      <c r="T94" s="25">
        <f t="shared" si="69"/>
        <v>391.43699999999939</v>
      </c>
      <c r="U94" s="25"/>
      <c r="V94" s="25">
        <f t="shared" si="70"/>
        <v>2530.4</v>
      </c>
      <c r="W94" s="25">
        <v>39.83</v>
      </c>
      <c r="X94" s="78">
        <v>0</v>
      </c>
      <c r="Y94" s="78">
        <v>50</v>
      </c>
    </row>
    <row r="95" spans="1:25">
      <c r="A95" s="22" t="s">
        <v>253</v>
      </c>
      <c r="B95" s="23">
        <v>352372</v>
      </c>
      <c r="C95" s="24" t="s">
        <v>197</v>
      </c>
      <c r="D95" s="23">
        <v>2</v>
      </c>
      <c r="E95" s="25">
        <v>2950</v>
      </c>
      <c r="F95" s="25">
        <v>689.44</v>
      </c>
      <c r="G95" s="25">
        <v>0</v>
      </c>
      <c r="H95" s="25"/>
      <c r="I95" s="25">
        <v>756.22</v>
      </c>
      <c r="J95" s="53">
        <v>1518</v>
      </c>
      <c r="K95" s="25">
        <f t="shared" si="66"/>
        <v>107.77799999999999</v>
      </c>
      <c r="L95" s="25">
        <v>0</v>
      </c>
      <c r="M95" s="25">
        <v>359.07</v>
      </c>
      <c r="N95" s="25">
        <f t="shared" si="67"/>
        <v>151.80000000000001</v>
      </c>
      <c r="O95" s="25">
        <v>32.5</v>
      </c>
      <c r="P95" s="25"/>
      <c r="Q95" s="25">
        <f t="shared" si="68"/>
        <v>29.5</v>
      </c>
      <c r="R95" s="25">
        <v>57.4</v>
      </c>
      <c r="S95" s="25">
        <v>7</v>
      </c>
      <c r="T95" s="25">
        <f t="shared" ref="T95:T97" si="71">E95-J95*0.75-K95-F95-M95-N95-O95-Q95-I95-R95</f>
        <v>-372.20800000000003</v>
      </c>
      <c r="U95" s="25"/>
      <c r="V95" s="25">
        <f t="shared" ref="V95:V97" si="72">J95*0.75</f>
        <v>1138.5</v>
      </c>
      <c r="W95" s="25">
        <v>15.43</v>
      </c>
      <c r="X95" s="78">
        <v>0</v>
      </c>
      <c r="Y95" s="78">
        <v>0</v>
      </c>
    </row>
    <row r="96" spans="1:25">
      <c r="A96" s="22" t="s">
        <v>247</v>
      </c>
      <c r="B96" s="23">
        <v>352376</v>
      </c>
      <c r="C96" s="24" t="s">
        <v>197</v>
      </c>
      <c r="D96" s="23">
        <v>1</v>
      </c>
      <c r="E96" s="25">
        <v>2900</v>
      </c>
      <c r="F96" s="25">
        <v>689.44</v>
      </c>
      <c r="G96" s="25">
        <v>0</v>
      </c>
      <c r="H96" s="25"/>
      <c r="I96" s="25">
        <v>1203.05</v>
      </c>
      <c r="J96" s="53">
        <v>1259</v>
      </c>
      <c r="K96" s="25">
        <f t="shared" si="66"/>
        <v>89.388999999999996</v>
      </c>
      <c r="L96" s="25">
        <v>0</v>
      </c>
      <c r="M96" s="25">
        <v>359.07</v>
      </c>
      <c r="N96" s="25">
        <f t="shared" si="67"/>
        <v>125.9</v>
      </c>
      <c r="O96" s="25">
        <v>26.25</v>
      </c>
      <c r="P96" s="25"/>
      <c r="Q96" s="25">
        <f t="shared" si="68"/>
        <v>29</v>
      </c>
      <c r="R96" s="25">
        <v>0</v>
      </c>
      <c r="S96" s="25">
        <v>7</v>
      </c>
      <c r="T96" s="25">
        <f t="shared" si="71"/>
        <v>-566.34899999999982</v>
      </c>
      <c r="U96" s="25"/>
      <c r="V96" s="25">
        <f t="shared" si="72"/>
        <v>944.25</v>
      </c>
      <c r="W96" s="25">
        <v>23.38</v>
      </c>
      <c r="X96" s="78">
        <v>0</v>
      </c>
      <c r="Y96" s="78">
        <v>0</v>
      </c>
    </row>
    <row r="97" spans="1:25">
      <c r="A97" s="22" t="s">
        <v>280</v>
      </c>
      <c r="B97" s="23">
        <v>465182</v>
      </c>
      <c r="C97" s="24" t="s">
        <v>197</v>
      </c>
      <c r="D97" s="23">
        <v>1</v>
      </c>
      <c r="E97" s="25">
        <v>1750</v>
      </c>
      <c r="F97" s="25">
        <v>689.44</v>
      </c>
      <c r="G97" s="25">
        <v>0</v>
      </c>
      <c r="H97" s="25"/>
      <c r="I97" s="25">
        <v>550</v>
      </c>
      <c r="J97" s="53">
        <v>931</v>
      </c>
      <c r="K97" s="25">
        <f t="shared" si="66"/>
        <v>66.100999999999999</v>
      </c>
      <c r="L97" s="25">
        <v>0</v>
      </c>
      <c r="M97" s="25">
        <v>359.07</v>
      </c>
      <c r="N97" s="25">
        <f t="shared" si="67"/>
        <v>93.100000000000009</v>
      </c>
      <c r="O97" s="25">
        <v>40</v>
      </c>
      <c r="P97" s="25"/>
      <c r="Q97" s="25">
        <f t="shared" si="68"/>
        <v>17.5</v>
      </c>
      <c r="R97" s="25">
        <v>51.14</v>
      </c>
      <c r="S97" s="25">
        <v>7</v>
      </c>
      <c r="T97" s="25">
        <f t="shared" si="71"/>
        <v>-814.601</v>
      </c>
      <c r="U97" s="25"/>
      <c r="V97" s="25">
        <f t="shared" si="72"/>
        <v>698.25</v>
      </c>
      <c r="W97" s="25">
        <v>0</v>
      </c>
      <c r="X97" s="78">
        <v>0</v>
      </c>
      <c r="Y97" s="78">
        <v>0</v>
      </c>
    </row>
    <row r="98" spans="1:25">
      <c r="A98" s="22" t="s">
        <v>218</v>
      </c>
      <c r="B98" s="23">
        <v>352374</v>
      </c>
      <c r="C98" s="24" t="s">
        <v>251</v>
      </c>
      <c r="D98" s="23">
        <v>7</v>
      </c>
      <c r="E98" s="25">
        <v>7300</v>
      </c>
      <c r="F98" s="25">
        <v>689.44</v>
      </c>
      <c r="G98" s="25">
        <v>0</v>
      </c>
      <c r="H98" s="25"/>
      <c r="I98" s="25">
        <v>2805.52</v>
      </c>
      <c r="J98" s="53">
        <v>3098</v>
      </c>
      <c r="K98" s="25">
        <f t="shared" si="66"/>
        <v>219.95799999999997</v>
      </c>
      <c r="L98" s="25">
        <v>0</v>
      </c>
      <c r="M98" s="25">
        <v>359.07</v>
      </c>
      <c r="N98" s="25">
        <f t="shared" si="67"/>
        <v>309.8</v>
      </c>
      <c r="O98" s="25">
        <v>40</v>
      </c>
      <c r="P98" s="25"/>
      <c r="Q98" s="25">
        <f t="shared" si="68"/>
        <v>73</v>
      </c>
      <c r="R98" s="25">
        <v>156.69</v>
      </c>
      <c r="S98" s="25">
        <v>7</v>
      </c>
      <c r="T98" s="25">
        <f>E98-J98*0.8-K98-F98-M98-N98-O98-Q98-I98-R98</f>
        <v>168.12200000000036</v>
      </c>
      <c r="U98" s="25"/>
      <c r="V98" s="25">
        <f>J98*0.8</f>
        <v>2478.4</v>
      </c>
      <c r="W98" s="25">
        <v>109.83</v>
      </c>
      <c r="X98" s="78">
        <v>400</v>
      </c>
      <c r="Y98" s="78">
        <v>0</v>
      </c>
    </row>
    <row r="99" spans="1:25">
      <c r="A99" s="22" t="s">
        <v>220</v>
      </c>
      <c r="B99" s="23">
        <v>465185</v>
      </c>
      <c r="C99" s="24" t="s">
        <v>197</v>
      </c>
      <c r="D99" s="23">
        <v>7</v>
      </c>
      <c r="E99" s="25">
        <v>8117</v>
      </c>
      <c r="F99" s="25">
        <v>789.51</v>
      </c>
      <c r="G99" s="25">
        <v>0</v>
      </c>
      <c r="H99" s="25"/>
      <c r="I99" s="25">
        <v>2422.27</v>
      </c>
      <c r="J99" s="53">
        <v>3097</v>
      </c>
      <c r="K99" s="25">
        <f t="shared" si="66"/>
        <v>219.88699999999997</v>
      </c>
      <c r="L99" s="25">
        <v>0</v>
      </c>
      <c r="M99" s="25">
        <v>359.07</v>
      </c>
      <c r="N99" s="25">
        <f t="shared" si="67"/>
        <v>309.70000000000005</v>
      </c>
      <c r="O99" s="25">
        <v>40</v>
      </c>
      <c r="P99" s="25"/>
      <c r="Q99" s="25">
        <f t="shared" si="68"/>
        <v>81.17</v>
      </c>
      <c r="R99" s="25">
        <v>192.28</v>
      </c>
      <c r="S99" s="25">
        <v>7</v>
      </c>
      <c r="T99" s="25">
        <f t="shared" ref="T99:T100" si="73">E99-J99*0.75-K99-F99-M99-N99-O99-Q99-I99-R99</f>
        <v>1380.3630000000005</v>
      </c>
      <c r="U99" s="25"/>
      <c r="V99" s="25">
        <f t="shared" ref="V99:V100" si="74">J99*0.75</f>
        <v>2322.75</v>
      </c>
      <c r="W99" s="25">
        <v>144.22</v>
      </c>
      <c r="X99" s="78">
        <v>0</v>
      </c>
      <c r="Y99" s="78">
        <v>0</v>
      </c>
    </row>
    <row r="100" spans="1:25">
      <c r="A100" s="22" t="s">
        <v>223</v>
      </c>
      <c r="B100" s="23">
        <v>465183</v>
      </c>
      <c r="C100" s="24" t="s">
        <v>197</v>
      </c>
      <c r="D100" s="23">
        <v>5</v>
      </c>
      <c r="E100" s="25">
        <v>6450</v>
      </c>
      <c r="F100" s="25">
        <v>789.51</v>
      </c>
      <c r="G100" s="25">
        <v>0</v>
      </c>
      <c r="H100" s="25"/>
      <c r="I100" s="25">
        <v>2130.06</v>
      </c>
      <c r="J100" s="53">
        <v>2822</v>
      </c>
      <c r="K100" s="25">
        <f t="shared" si="66"/>
        <v>200.36199999999999</v>
      </c>
      <c r="L100" s="25">
        <v>0</v>
      </c>
      <c r="M100" s="25">
        <v>359.07</v>
      </c>
      <c r="N100" s="25">
        <f t="shared" si="67"/>
        <v>282.2</v>
      </c>
      <c r="O100" s="25">
        <v>26.25</v>
      </c>
      <c r="P100" s="25"/>
      <c r="Q100" s="25">
        <f t="shared" si="68"/>
        <v>64.5</v>
      </c>
      <c r="R100" s="25">
        <v>0</v>
      </c>
      <c r="S100" s="25">
        <v>7</v>
      </c>
      <c r="T100" s="25">
        <f t="shared" si="73"/>
        <v>481.54799999999977</v>
      </c>
      <c r="U100" s="25"/>
      <c r="V100" s="25">
        <f t="shared" si="74"/>
        <v>2116.5</v>
      </c>
      <c r="W100" s="25">
        <v>130.44</v>
      </c>
      <c r="X100" s="78">
        <v>100</v>
      </c>
      <c r="Y100" s="78">
        <v>0</v>
      </c>
    </row>
    <row r="101" spans="1:25">
      <c r="A101" s="22" t="s">
        <v>224</v>
      </c>
      <c r="B101" s="23">
        <v>465187</v>
      </c>
      <c r="C101" s="24" t="s">
        <v>251</v>
      </c>
      <c r="D101" s="23">
        <v>7</v>
      </c>
      <c r="E101" s="25">
        <v>7725</v>
      </c>
      <c r="F101" s="25">
        <v>789.51</v>
      </c>
      <c r="G101" s="25">
        <v>0</v>
      </c>
      <c r="H101" s="25"/>
      <c r="I101" s="25">
        <v>2975.09</v>
      </c>
      <c r="J101" s="53">
        <v>3211</v>
      </c>
      <c r="K101" s="25">
        <f t="shared" si="66"/>
        <v>227.98099999999997</v>
      </c>
      <c r="L101" s="25">
        <v>0</v>
      </c>
      <c r="M101" s="25">
        <v>359.07</v>
      </c>
      <c r="N101" s="25">
        <f t="shared" si="67"/>
        <v>321.10000000000002</v>
      </c>
      <c r="O101" s="25">
        <v>40</v>
      </c>
      <c r="P101" s="25"/>
      <c r="Q101" s="25">
        <f t="shared" si="68"/>
        <v>77.25</v>
      </c>
      <c r="R101" s="25">
        <v>330.48</v>
      </c>
      <c r="S101" s="25">
        <v>7</v>
      </c>
      <c r="T101" s="25">
        <f t="shared" ref="T101:T102" si="75">E101-J101*0.8-K101-F101-M101-N101-O101-Q101-I101-R101</f>
        <v>35.718999999999596</v>
      </c>
      <c r="U101" s="25"/>
      <c r="V101" s="25">
        <f>J101*0.8</f>
        <v>2568.8000000000002</v>
      </c>
      <c r="W101" s="25">
        <v>159.13999999999999</v>
      </c>
      <c r="X101" s="78">
        <v>200</v>
      </c>
      <c r="Y101" s="78">
        <v>0</v>
      </c>
    </row>
    <row r="102" spans="1:25">
      <c r="A102" s="22" t="s">
        <v>260</v>
      </c>
      <c r="B102" s="23">
        <v>465189</v>
      </c>
      <c r="C102" s="24" t="s">
        <v>251</v>
      </c>
      <c r="D102" s="23">
        <v>6</v>
      </c>
      <c r="E102" s="25">
        <v>4800</v>
      </c>
      <c r="F102" s="25">
        <v>789.51</v>
      </c>
      <c r="G102" s="25">
        <v>0</v>
      </c>
      <c r="H102" s="25"/>
      <c r="I102" s="25">
        <v>2392.4499999999998</v>
      </c>
      <c r="J102" s="53">
        <v>2346</v>
      </c>
      <c r="K102" s="25">
        <f t="shared" si="66"/>
        <v>166.56599999999997</v>
      </c>
      <c r="L102" s="25">
        <v>0</v>
      </c>
      <c r="M102" s="25">
        <v>359.07</v>
      </c>
      <c r="N102" s="25">
        <f t="shared" si="67"/>
        <v>234.60000000000002</v>
      </c>
      <c r="O102" s="25">
        <v>26.25</v>
      </c>
      <c r="P102" s="25"/>
      <c r="Q102" s="25">
        <f t="shared" si="68"/>
        <v>48</v>
      </c>
      <c r="R102" s="25">
        <v>0</v>
      </c>
      <c r="S102" s="25">
        <v>7</v>
      </c>
      <c r="T102" s="25">
        <f t="shared" si="75"/>
        <v>-1093.2459999999996</v>
      </c>
      <c r="U102" s="25"/>
      <c r="V102" s="25">
        <f>J102*0.75</f>
        <v>1759.5</v>
      </c>
      <c r="W102" s="25">
        <v>109.65</v>
      </c>
      <c r="X102" s="78">
        <v>0</v>
      </c>
      <c r="Y102" s="78">
        <v>200</v>
      </c>
    </row>
    <row r="103" spans="1:25">
      <c r="A103" s="59" t="s">
        <v>261</v>
      </c>
      <c r="B103" s="60">
        <v>1650</v>
      </c>
      <c r="C103" s="61" t="s">
        <v>262</v>
      </c>
      <c r="D103" s="60">
        <v>7</v>
      </c>
      <c r="E103" s="62">
        <v>9000</v>
      </c>
      <c r="F103" s="62">
        <v>0</v>
      </c>
      <c r="G103" s="62">
        <v>0</v>
      </c>
      <c r="H103" s="62"/>
      <c r="I103" s="62">
        <v>3307.23</v>
      </c>
      <c r="J103" s="63">
        <v>3793</v>
      </c>
      <c r="K103" s="62">
        <v>0</v>
      </c>
      <c r="L103" s="62">
        <v>0</v>
      </c>
      <c r="M103" s="62">
        <v>0</v>
      </c>
      <c r="N103" s="62">
        <f t="shared" si="67"/>
        <v>379.3</v>
      </c>
      <c r="O103" s="62">
        <v>0</v>
      </c>
      <c r="P103" s="62"/>
      <c r="Q103" s="62">
        <f t="shared" si="68"/>
        <v>90</v>
      </c>
      <c r="R103" s="62">
        <v>0</v>
      </c>
      <c r="S103" s="62">
        <v>0</v>
      </c>
      <c r="T103" s="62">
        <f>E103*0.18-N103-Q103</f>
        <v>1150.7</v>
      </c>
      <c r="U103" s="62"/>
      <c r="V103" s="62">
        <f>E103*0.82-I103</f>
        <v>4072.77</v>
      </c>
      <c r="W103" s="59">
        <v>166.23</v>
      </c>
      <c r="X103" s="79">
        <v>0</v>
      </c>
      <c r="Y103" s="79">
        <v>300</v>
      </c>
    </row>
    <row r="104" spans="1:25">
      <c r="A104" s="22" t="s">
        <v>290</v>
      </c>
      <c r="B104" s="23">
        <v>465180</v>
      </c>
      <c r="C104" s="24" t="s">
        <v>197</v>
      </c>
      <c r="D104" s="23">
        <v>2</v>
      </c>
      <c r="E104" s="25">
        <v>3350</v>
      </c>
      <c r="F104" s="25">
        <v>689.44</v>
      </c>
      <c r="G104" s="25">
        <v>0</v>
      </c>
      <c r="H104" s="25"/>
      <c r="I104" s="25">
        <v>790</v>
      </c>
      <c r="J104" s="53">
        <v>1570</v>
      </c>
      <c r="K104" s="25">
        <f t="shared" ref="K104:K108" si="76">J104*0.071</f>
        <v>111.46999999999998</v>
      </c>
      <c r="L104" s="25">
        <v>0</v>
      </c>
      <c r="M104" s="25">
        <v>359.07</v>
      </c>
      <c r="N104" s="25">
        <f t="shared" si="67"/>
        <v>157</v>
      </c>
      <c r="O104" s="25">
        <v>26.25</v>
      </c>
      <c r="P104" s="25"/>
      <c r="Q104" s="25">
        <f t="shared" si="68"/>
        <v>33.5</v>
      </c>
      <c r="R104" s="25">
        <v>14.15</v>
      </c>
      <c r="S104" s="25">
        <v>7</v>
      </c>
      <c r="T104" s="25">
        <f t="shared" ref="T104:T108" si="77">E104-J104*0.75-K104-F104-M104-N104-O104-Q104-I104-R104</f>
        <v>-8.3799999999997912</v>
      </c>
      <c r="U104" s="25"/>
      <c r="V104" s="25">
        <f t="shared" ref="V104:V108" si="78">J104*0.75</f>
        <v>1177.5</v>
      </c>
      <c r="W104" s="25">
        <v>52.79</v>
      </c>
      <c r="X104" s="78">
        <v>0</v>
      </c>
      <c r="Y104" s="78">
        <v>0</v>
      </c>
    </row>
    <row r="105" spans="1:25">
      <c r="A105" s="22" t="s">
        <v>291</v>
      </c>
      <c r="B105" s="23">
        <v>352368</v>
      </c>
      <c r="C105" s="24" t="s">
        <v>197</v>
      </c>
      <c r="D105" s="23">
        <v>7</v>
      </c>
      <c r="E105" s="25">
        <v>8100</v>
      </c>
      <c r="F105" s="25">
        <v>689.44</v>
      </c>
      <c r="G105" s="25">
        <v>0</v>
      </c>
      <c r="H105" s="25"/>
      <c r="I105" s="25">
        <v>2963.77</v>
      </c>
      <c r="J105" s="53">
        <v>3906</v>
      </c>
      <c r="K105" s="25">
        <f t="shared" si="76"/>
        <v>277.32599999999996</v>
      </c>
      <c r="L105" s="25">
        <v>0</v>
      </c>
      <c r="M105" s="25">
        <v>359.07</v>
      </c>
      <c r="N105" s="25">
        <f t="shared" si="67"/>
        <v>390.6</v>
      </c>
      <c r="O105" s="25">
        <v>26.25</v>
      </c>
      <c r="P105" s="25"/>
      <c r="Q105" s="25">
        <f t="shared" si="68"/>
        <v>81</v>
      </c>
      <c r="R105" s="25">
        <v>22.22</v>
      </c>
      <c r="S105" s="25">
        <v>7</v>
      </c>
      <c r="T105" s="25">
        <f t="shared" si="77"/>
        <v>360.8240000000003</v>
      </c>
      <c r="U105" s="25"/>
      <c r="V105" s="25">
        <f t="shared" si="78"/>
        <v>2929.5</v>
      </c>
      <c r="W105" s="25">
        <v>56.49</v>
      </c>
      <c r="X105" s="78">
        <v>0</v>
      </c>
      <c r="Y105" s="78">
        <v>0</v>
      </c>
    </row>
    <row r="106" spans="1:25">
      <c r="A106" s="22" t="s">
        <v>284</v>
      </c>
      <c r="B106" s="23">
        <v>352373</v>
      </c>
      <c r="C106" s="24" t="s">
        <v>197</v>
      </c>
      <c r="D106" s="23">
        <v>5</v>
      </c>
      <c r="E106" s="25">
        <v>4000</v>
      </c>
      <c r="F106" s="25">
        <v>689.44</v>
      </c>
      <c r="G106" s="25">
        <v>0</v>
      </c>
      <c r="H106" s="25"/>
      <c r="I106" s="25">
        <v>2240.77</v>
      </c>
      <c r="J106" s="53">
        <v>1908</v>
      </c>
      <c r="K106" s="25">
        <f t="shared" si="76"/>
        <v>135.46799999999999</v>
      </c>
      <c r="L106" s="25">
        <v>0</v>
      </c>
      <c r="M106" s="25">
        <v>359.07</v>
      </c>
      <c r="N106" s="25">
        <f t="shared" si="67"/>
        <v>190.8</v>
      </c>
      <c r="O106" s="25">
        <v>26.25</v>
      </c>
      <c r="P106" s="25"/>
      <c r="Q106" s="25">
        <f t="shared" si="68"/>
        <v>40</v>
      </c>
      <c r="R106" s="25">
        <v>27</v>
      </c>
      <c r="S106" s="25">
        <v>7</v>
      </c>
      <c r="T106" s="25">
        <f t="shared" si="77"/>
        <v>-1139.7979999999998</v>
      </c>
      <c r="U106" s="25"/>
      <c r="V106" s="25">
        <f t="shared" si="78"/>
        <v>1431</v>
      </c>
      <c r="W106" s="25">
        <v>40</v>
      </c>
      <c r="X106" s="78">
        <v>0</v>
      </c>
      <c r="Y106" s="78">
        <v>0</v>
      </c>
    </row>
    <row r="107" spans="1:25">
      <c r="A107" s="22" t="s">
        <v>292</v>
      </c>
      <c r="B107" s="23">
        <v>352375</v>
      </c>
      <c r="C107" s="24" t="s">
        <v>197</v>
      </c>
      <c r="D107" s="23">
        <v>7</v>
      </c>
      <c r="E107" s="25">
        <v>5931</v>
      </c>
      <c r="F107" s="25">
        <v>689.44</v>
      </c>
      <c r="G107" s="25">
        <v>0</v>
      </c>
      <c r="H107" s="25"/>
      <c r="I107" s="25">
        <v>1715.4</v>
      </c>
      <c r="J107" s="53">
        <v>2322</v>
      </c>
      <c r="K107" s="25">
        <f t="shared" si="76"/>
        <v>164.86199999999999</v>
      </c>
      <c r="L107" s="25">
        <v>0</v>
      </c>
      <c r="M107" s="25">
        <v>359.07</v>
      </c>
      <c r="N107" s="25">
        <f t="shared" si="67"/>
        <v>232.20000000000002</v>
      </c>
      <c r="O107" s="25">
        <v>26.25</v>
      </c>
      <c r="P107" s="25"/>
      <c r="Q107" s="25">
        <f t="shared" si="68"/>
        <v>59.31</v>
      </c>
      <c r="R107" s="25">
        <v>29.38</v>
      </c>
      <c r="S107" s="25">
        <v>7</v>
      </c>
      <c r="T107" s="25">
        <f t="shared" si="77"/>
        <v>913.58799999999985</v>
      </c>
      <c r="U107" s="25"/>
      <c r="V107" s="25">
        <f t="shared" si="78"/>
        <v>1741.5</v>
      </c>
      <c r="W107" s="25">
        <v>87.03</v>
      </c>
      <c r="X107" s="78">
        <v>0</v>
      </c>
      <c r="Y107" s="78">
        <v>0</v>
      </c>
    </row>
    <row r="108" spans="1:25">
      <c r="A108" s="22" t="s">
        <v>281</v>
      </c>
      <c r="B108" s="23">
        <v>352371</v>
      </c>
      <c r="C108" s="24" t="s">
        <v>197</v>
      </c>
      <c r="D108" s="23">
        <v>5</v>
      </c>
      <c r="E108" s="25">
        <v>5025</v>
      </c>
      <c r="F108" s="25">
        <v>689.44</v>
      </c>
      <c r="G108" s="25">
        <v>0</v>
      </c>
      <c r="H108" s="25"/>
      <c r="I108" s="25">
        <v>1438.18</v>
      </c>
      <c r="J108" s="53">
        <v>2187</v>
      </c>
      <c r="K108" s="25">
        <f t="shared" si="76"/>
        <v>155.27699999999999</v>
      </c>
      <c r="L108" s="25">
        <v>0</v>
      </c>
      <c r="M108" s="25">
        <v>359.07</v>
      </c>
      <c r="N108" s="25">
        <f t="shared" si="67"/>
        <v>218.70000000000002</v>
      </c>
      <c r="O108" s="25">
        <v>26.25</v>
      </c>
      <c r="P108" s="25"/>
      <c r="Q108" s="25">
        <f t="shared" si="68"/>
        <v>50.25</v>
      </c>
      <c r="R108" s="25">
        <v>86.12</v>
      </c>
      <c r="S108" s="25">
        <v>7</v>
      </c>
      <c r="T108" s="25">
        <f t="shared" si="77"/>
        <v>361.46299999999962</v>
      </c>
      <c r="U108" s="25"/>
      <c r="V108" s="25">
        <f t="shared" si="78"/>
        <v>1640.25</v>
      </c>
      <c r="W108" s="25">
        <v>58.42</v>
      </c>
      <c r="X108" s="78">
        <v>0</v>
      </c>
      <c r="Y108" s="78">
        <v>0</v>
      </c>
    </row>
    <row r="109" spans="1:25">
      <c r="A109" s="71" t="s">
        <v>89</v>
      </c>
      <c r="B109" s="72">
        <v>16</v>
      </c>
      <c r="C109" s="73" t="s">
        <v>271</v>
      </c>
      <c r="D109" s="72">
        <f>AVERAGE(D93:D108)</f>
        <v>5.1875</v>
      </c>
      <c r="E109" s="74">
        <f t="shared" ref="E109:G109" si="79">SUM(E93:E108)</f>
        <v>92346</v>
      </c>
      <c r="F109" s="74">
        <f t="shared" si="79"/>
        <v>10942.020000000004</v>
      </c>
      <c r="G109" s="74">
        <f t="shared" si="79"/>
        <v>0</v>
      </c>
      <c r="H109" s="74"/>
      <c r="I109" s="74">
        <f t="shared" ref="I109:O109" si="80">SUM(I93:I108)</f>
        <v>33327.82</v>
      </c>
      <c r="J109" s="74">
        <f t="shared" si="80"/>
        <v>40338</v>
      </c>
      <c r="K109" s="74">
        <f t="shared" si="80"/>
        <v>2594.6950000000002</v>
      </c>
      <c r="L109" s="74">
        <f t="shared" si="80"/>
        <v>0</v>
      </c>
      <c r="M109" s="74">
        <f t="shared" si="80"/>
        <v>5386.05</v>
      </c>
      <c r="N109" s="74">
        <f t="shared" si="80"/>
        <v>4033.7999999999997</v>
      </c>
      <c r="O109" s="74">
        <f t="shared" si="80"/>
        <v>468.75</v>
      </c>
      <c r="P109" s="74"/>
      <c r="Q109" s="74">
        <f t="shared" ref="Q109:T109" si="81">SUM(Q93:Q108)</f>
        <v>923.46</v>
      </c>
      <c r="R109" s="74">
        <f t="shared" si="81"/>
        <v>1170.25</v>
      </c>
      <c r="S109" s="74">
        <f t="shared" si="81"/>
        <v>105</v>
      </c>
      <c r="T109" s="74">
        <f t="shared" si="81"/>
        <v>1266.3849999999993</v>
      </c>
      <c r="U109" s="74"/>
      <c r="V109" s="74">
        <f t="shared" ref="V109:Y109" si="82">SUM(V93:V108)</f>
        <v>32115.47</v>
      </c>
      <c r="W109" s="74">
        <f t="shared" si="82"/>
        <v>1361.4</v>
      </c>
      <c r="X109" s="80">
        <f t="shared" si="82"/>
        <v>700</v>
      </c>
      <c r="Y109" s="80">
        <f t="shared" si="82"/>
        <v>550</v>
      </c>
    </row>
  </sheetData>
  <mergeCells count="5">
    <mergeCell ref="A1:W1"/>
    <mergeCell ref="A22:W22"/>
    <mergeCell ref="A45:W45"/>
    <mergeCell ref="A68:W68"/>
    <mergeCell ref="A91:W9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7"/>
  <sheetViews>
    <sheetView workbookViewId="0"/>
  </sheetViews>
  <sheetFormatPr baseColWidth="10" defaultColWidth="12.6640625" defaultRowHeight="15.75" customHeight="1"/>
  <sheetData>
    <row r="1" spans="1:25">
      <c r="A1" s="457" t="s">
        <v>294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9"/>
      <c r="X1" s="76"/>
      <c r="Y1" s="76"/>
    </row>
    <row r="2" spans="1:25">
      <c r="A2" s="1" t="s">
        <v>0</v>
      </c>
      <c r="B2" s="2" t="s">
        <v>1</v>
      </c>
      <c r="C2" s="2" t="s">
        <v>183</v>
      </c>
      <c r="D2" s="2" t="s">
        <v>3</v>
      </c>
      <c r="E2" s="2" t="s">
        <v>2</v>
      </c>
      <c r="F2" s="2" t="s">
        <v>4</v>
      </c>
      <c r="G2" s="2" t="s">
        <v>6</v>
      </c>
      <c r="H2" s="2"/>
      <c r="I2" s="2" t="s">
        <v>7</v>
      </c>
      <c r="J2" s="2" t="s">
        <v>9</v>
      </c>
      <c r="K2" s="2" t="s">
        <v>106</v>
      </c>
      <c r="L2" s="2" t="s">
        <v>107</v>
      </c>
      <c r="M2" s="2" t="s">
        <v>5</v>
      </c>
      <c r="N2" s="2" t="s">
        <v>12</v>
      </c>
      <c r="O2" s="2" t="s">
        <v>184</v>
      </c>
      <c r="P2" s="2"/>
      <c r="Q2" s="2" t="s">
        <v>108</v>
      </c>
      <c r="R2" s="2" t="s">
        <v>8</v>
      </c>
      <c r="S2" s="12" t="s">
        <v>185</v>
      </c>
      <c r="T2" s="2" t="s">
        <v>13</v>
      </c>
      <c r="U2" s="2"/>
      <c r="V2" s="14" t="s">
        <v>98</v>
      </c>
      <c r="W2" s="14" t="s">
        <v>257</v>
      </c>
      <c r="X2" s="14" t="s">
        <v>287</v>
      </c>
      <c r="Y2" s="14" t="s">
        <v>288</v>
      </c>
    </row>
    <row r="3" spans="1:25">
      <c r="A3" s="22" t="s">
        <v>258</v>
      </c>
      <c r="B3" s="23">
        <v>352377</v>
      </c>
      <c r="C3" s="24" t="s">
        <v>251</v>
      </c>
      <c r="D3" s="23">
        <v>7</v>
      </c>
      <c r="E3" s="25">
        <v>7951</v>
      </c>
      <c r="F3" s="25">
        <v>789.51</v>
      </c>
      <c r="G3" s="25">
        <v>0</v>
      </c>
      <c r="H3" s="25"/>
      <c r="I3" s="25">
        <v>3478.14</v>
      </c>
      <c r="J3" s="53">
        <v>3628</v>
      </c>
      <c r="K3" s="25">
        <f t="shared" ref="K3:K9" si="0">J3*0.071</f>
        <v>257.58799999999997</v>
      </c>
      <c r="L3" s="25">
        <v>0</v>
      </c>
      <c r="M3" s="25">
        <v>359.07</v>
      </c>
      <c r="N3" s="25">
        <f t="shared" ref="N3:N14" si="1">J3*0.1</f>
        <v>362.8</v>
      </c>
      <c r="O3" s="25">
        <v>26.25</v>
      </c>
      <c r="P3" s="25"/>
      <c r="Q3" s="25">
        <f t="shared" ref="Q3:Q14" si="2">E3*0.01</f>
        <v>79.510000000000005</v>
      </c>
      <c r="R3" s="25">
        <v>534.5</v>
      </c>
      <c r="S3" s="25">
        <v>7</v>
      </c>
      <c r="T3" s="25">
        <f t="shared" ref="T3:T4" si="3">E3-J3*0.8-K3-F3-M3-N3-O3-Q3-I3-R3</f>
        <v>-838.76800000000003</v>
      </c>
      <c r="U3" s="25"/>
      <c r="V3" s="25">
        <f t="shared" ref="V3:V4" si="4">J3*0.8</f>
        <v>2902.4</v>
      </c>
      <c r="W3" s="25">
        <v>168.52</v>
      </c>
      <c r="X3" s="78">
        <v>0</v>
      </c>
      <c r="Y3" s="78">
        <v>100</v>
      </c>
    </row>
    <row r="4" spans="1:25">
      <c r="A4" s="22" t="s">
        <v>268</v>
      </c>
      <c r="B4" s="23">
        <v>465184</v>
      </c>
      <c r="C4" s="24" t="s">
        <v>251</v>
      </c>
      <c r="D4" s="23">
        <v>7</v>
      </c>
      <c r="E4" s="25">
        <v>8450</v>
      </c>
      <c r="F4" s="25">
        <v>789.51</v>
      </c>
      <c r="G4" s="25">
        <v>0</v>
      </c>
      <c r="H4" s="25"/>
      <c r="I4" s="25">
        <v>2816.3</v>
      </c>
      <c r="J4" s="53">
        <v>3169</v>
      </c>
      <c r="K4" s="25">
        <f t="shared" si="0"/>
        <v>224.99899999999997</v>
      </c>
      <c r="L4" s="25">
        <v>0</v>
      </c>
      <c r="M4" s="25">
        <v>359.07</v>
      </c>
      <c r="N4" s="25">
        <f t="shared" si="1"/>
        <v>316.90000000000003</v>
      </c>
      <c r="O4" s="25">
        <v>40</v>
      </c>
      <c r="P4" s="25"/>
      <c r="Q4" s="25">
        <f t="shared" si="2"/>
        <v>84.5</v>
      </c>
      <c r="R4" s="25">
        <v>56.99</v>
      </c>
      <c r="S4" s="25">
        <v>7</v>
      </c>
      <c r="T4" s="25">
        <f t="shared" si="3"/>
        <v>1226.5309999999997</v>
      </c>
      <c r="U4" s="25"/>
      <c r="V4" s="25">
        <f t="shared" si="4"/>
        <v>2535.2000000000003</v>
      </c>
      <c r="W4" s="25">
        <v>39.83</v>
      </c>
      <c r="X4" s="78">
        <v>0</v>
      </c>
      <c r="Y4" s="78">
        <v>0</v>
      </c>
    </row>
    <row r="5" spans="1:25">
      <c r="A5" s="22" t="s">
        <v>247</v>
      </c>
      <c r="B5" s="23">
        <v>352376</v>
      </c>
      <c r="C5" s="24" t="s">
        <v>197</v>
      </c>
      <c r="D5" s="23">
        <v>3</v>
      </c>
      <c r="E5" s="25">
        <v>2485</v>
      </c>
      <c r="F5" s="25">
        <v>689.44</v>
      </c>
      <c r="G5" s="25">
        <v>0</v>
      </c>
      <c r="H5" s="25"/>
      <c r="I5" s="25">
        <v>1065</v>
      </c>
      <c r="J5" s="53">
        <v>1453</v>
      </c>
      <c r="K5" s="25">
        <f t="shared" si="0"/>
        <v>103.163</v>
      </c>
      <c r="L5" s="25">
        <v>0</v>
      </c>
      <c r="M5" s="25">
        <v>359.07</v>
      </c>
      <c r="N5" s="25">
        <f t="shared" si="1"/>
        <v>145.30000000000001</v>
      </c>
      <c r="O5" s="25">
        <v>26.25</v>
      </c>
      <c r="P5" s="25"/>
      <c r="Q5" s="25">
        <f t="shared" si="2"/>
        <v>24.85</v>
      </c>
      <c r="R5" s="25"/>
      <c r="S5" s="25">
        <v>7</v>
      </c>
      <c r="T5" s="25">
        <f>E5-J5*0.75-K5-F5-M5-N5-O5-Q5-I5-R5</f>
        <v>-1017.8230000000001</v>
      </c>
      <c r="U5" s="25"/>
      <c r="V5" s="25">
        <f>J5*0.75</f>
        <v>1089.75</v>
      </c>
      <c r="W5" s="25">
        <v>23.38</v>
      </c>
      <c r="X5" s="78">
        <v>0</v>
      </c>
      <c r="Y5" s="78">
        <v>87.5</v>
      </c>
    </row>
    <row r="6" spans="1:25">
      <c r="A6" s="22" t="s">
        <v>218</v>
      </c>
      <c r="B6" s="23">
        <v>352374</v>
      </c>
      <c r="C6" s="24" t="s">
        <v>251</v>
      </c>
      <c r="D6" s="23">
        <v>3</v>
      </c>
      <c r="E6" s="25">
        <v>3500</v>
      </c>
      <c r="F6" s="25">
        <v>689.44</v>
      </c>
      <c r="G6" s="25">
        <v>0</v>
      </c>
      <c r="H6" s="25"/>
      <c r="I6" s="25">
        <v>1010.73</v>
      </c>
      <c r="J6" s="53">
        <v>1255</v>
      </c>
      <c r="K6" s="25">
        <f t="shared" si="0"/>
        <v>89.10499999999999</v>
      </c>
      <c r="L6" s="25">
        <v>0</v>
      </c>
      <c r="M6" s="25">
        <v>359.07</v>
      </c>
      <c r="N6" s="25">
        <f t="shared" si="1"/>
        <v>125.5</v>
      </c>
      <c r="O6" s="25">
        <v>40</v>
      </c>
      <c r="P6" s="25"/>
      <c r="Q6" s="25">
        <f t="shared" si="2"/>
        <v>35</v>
      </c>
      <c r="R6" s="25">
        <v>35.979999999999997</v>
      </c>
      <c r="S6" s="25">
        <v>7</v>
      </c>
      <c r="T6" s="25">
        <f>E6-J6*0.8-K6-F6-M6-N6-O6-Q6-I6-R6</f>
        <v>111.17499999999998</v>
      </c>
      <c r="U6" s="25"/>
      <c r="V6" s="25">
        <f>J6*0.8</f>
        <v>1004</v>
      </c>
      <c r="W6" s="25">
        <v>109.83</v>
      </c>
      <c r="X6" s="78">
        <v>0</v>
      </c>
      <c r="Y6" s="78">
        <v>0</v>
      </c>
    </row>
    <row r="7" spans="1:25">
      <c r="A7" s="22" t="s">
        <v>223</v>
      </c>
      <c r="B7" s="23">
        <v>465183</v>
      </c>
      <c r="C7" s="24" t="s">
        <v>197</v>
      </c>
      <c r="D7" s="23">
        <v>5</v>
      </c>
      <c r="E7" s="25">
        <v>5100</v>
      </c>
      <c r="F7" s="25">
        <v>789.51</v>
      </c>
      <c r="G7" s="25">
        <v>0</v>
      </c>
      <c r="H7" s="25"/>
      <c r="I7" s="25">
        <v>2241.16</v>
      </c>
      <c r="J7" s="53">
        <v>1980</v>
      </c>
      <c r="K7" s="25">
        <f t="shared" si="0"/>
        <v>140.57999999999998</v>
      </c>
      <c r="L7" s="25">
        <v>0</v>
      </c>
      <c r="M7" s="25">
        <v>359.07</v>
      </c>
      <c r="N7" s="25">
        <f t="shared" si="1"/>
        <v>198</v>
      </c>
      <c r="O7" s="25">
        <v>26.25</v>
      </c>
      <c r="P7" s="25"/>
      <c r="Q7" s="25">
        <f t="shared" si="2"/>
        <v>51</v>
      </c>
      <c r="R7" s="25">
        <v>89.75</v>
      </c>
      <c r="S7" s="25">
        <v>7</v>
      </c>
      <c r="T7" s="25">
        <f>E7-J7*0.75-K7-F7-M7-N7-O7-Q7-I7-R7</f>
        <v>-280.32000000000016</v>
      </c>
      <c r="U7" s="25"/>
      <c r="V7" s="25">
        <f>J7*0.75</f>
        <v>1485</v>
      </c>
      <c r="W7" s="25">
        <v>130.44</v>
      </c>
      <c r="X7" s="78">
        <v>0</v>
      </c>
      <c r="Y7" s="78">
        <v>0</v>
      </c>
    </row>
    <row r="8" spans="1:25">
      <c r="A8" s="22" t="s">
        <v>224</v>
      </c>
      <c r="B8" s="23">
        <v>465187</v>
      </c>
      <c r="C8" s="24" t="s">
        <v>251</v>
      </c>
      <c r="D8" s="23">
        <v>4</v>
      </c>
      <c r="E8" s="25">
        <v>4900</v>
      </c>
      <c r="F8" s="25">
        <v>789.51</v>
      </c>
      <c r="G8" s="25">
        <v>0</v>
      </c>
      <c r="H8" s="25"/>
      <c r="I8" s="25">
        <v>1195.53</v>
      </c>
      <c r="J8" s="53">
        <v>2068</v>
      </c>
      <c r="K8" s="25">
        <f t="shared" si="0"/>
        <v>146.82799999999997</v>
      </c>
      <c r="L8" s="25">
        <v>0</v>
      </c>
      <c r="M8" s="25">
        <v>359.07</v>
      </c>
      <c r="N8" s="25">
        <f t="shared" si="1"/>
        <v>206.8</v>
      </c>
      <c r="O8" s="25">
        <v>40</v>
      </c>
      <c r="P8" s="25"/>
      <c r="Q8" s="25">
        <f t="shared" si="2"/>
        <v>49</v>
      </c>
      <c r="R8" s="25">
        <v>156.75</v>
      </c>
      <c r="S8" s="25">
        <v>7</v>
      </c>
      <c r="T8" s="25">
        <f t="shared" ref="T8:T9" si="5">E8-J8*0.8-K8-F8-M8-N8-O8-Q8-I8-R8</f>
        <v>302.11199999999985</v>
      </c>
      <c r="U8" s="25"/>
      <c r="V8" s="25">
        <f>J8*0.8</f>
        <v>1654.4</v>
      </c>
      <c r="W8" s="25">
        <v>159.13999999999999</v>
      </c>
      <c r="X8" s="78">
        <v>0</v>
      </c>
      <c r="Y8" s="78">
        <v>0</v>
      </c>
    </row>
    <row r="9" spans="1:25">
      <c r="A9" s="22" t="s">
        <v>260</v>
      </c>
      <c r="B9" s="23">
        <v>465181</v>
      </c>
      <c r="C9" s="24" t="s">
        <v>251</v>
      </c>
      <c r="D9" s="23">
        <v>6</v>
      </c>
      <c r="E9" s="25">
        <v>6650</v>
      </c>
      <c r="F9" s="25">
        <v>789.51</v>
      </c>
      <c r="G9" s="25">
        <v>0</v>
      </c>
      <c r="H9" s="25"/>
      <c r="I9" s="25">
        <v>2443.08</v>
      </c>
      <c r="J9" s="53">
        <v>2888</v>
      </c>
      <c r="K9" s="25">
        <f t="shared" si="0"/>
        <v>205.04799999999997</v>
      </c>
      <c r="L9" s="25">
        <v>0</v>
      </c>
      <c r="M9" s="25">
        <v>359.07</v>
      </c>
      <c r="N9" s="25">
        <f t="shared" si="1"/>
        <v>288.8</v>
      </c>
      <c r="O9" s="25">
        <v>26.25</v>
      </c>
      <c r="P9" s="25"/>
      <c r="Q9" s="25">
        <f t="shared" si="2"/>
        <v>66.5</v>
      </c>
      <c r="R9" s="25"/>
      <c r="S9" s="25">
        <v>7</v>
      </c>
      <c r="T9" s="25">
        <f t="shared" si="5"/>
        <v>161.3420000000001</v>
      </c>
      <c r="U9" s="25"/>
      <c r="V9" s="25">
        <f>J9*0.75</f>
        <v>2166</v>
      </c>
      <c r="W9" s="25">
        <v>109.65</v>
      </c>
      <c r="X9" s="78">
        <v>0</v>
      </c>
      <c r="Y9" s="78">
        <v>150</v>
      </c>
    </row>
    <row r="10" spans="1:25">
      <c r="A10" s="59" t="s">
        <v>261</v>
      </c>
      <c r="B10" s="60">
        <v>1650</v>
      </c>
      <c r="C10" s="61" t="s">
        <v>262</v>
      </c>
      <c r="D10" s="60">
        <v>4</v>
      </c>
      <c r="E10" s="62">
        <v>6800</v>
      </c>
      <c r="F10" s="62">
        <v>0</v>
      </c>
      <c r="G10" s="62">
        <v>0</v>
      </c>
      <c r="H10" s="62"/>
      <c r="I10" s="62">
        <v>2728.07</v>
      </c>
      <c r="J10" s="63">
        <v>2817</v>
      </c>
      <c r="K10" s="62">
        <v>0</v>
      </c>
      <c r="L10" s="62">
        <v>0</v>
      </c>
      <c r="M10" s="62">
        <v>0</v>
      </c>
      <c r="N10" s="62">
        <f t="shared" si="1"/>
        <v>281.7</v>
      </c>
      <c r="O10" s="62">
        <v>0</v>
      </c>
      <c r="P10" s="62"/>
      <c r="Q10" s="62">
        <f t="shared" si="2"/>
        <v>68</v>
      </c>
      <c r="R10" s="62"/>
      <c r="S10" s="62">
        <v>0</v>
      </c>
      <c r="T10" s="62">
        <f>E10*0.18-N10-Q10</f>
        <v>874.3</v>
      </c>
      <c r="U10" s="62"/>
      <c r="V10" s="62">
        <f>E10*0.82-I10</f>
        <v>2847.93</v>
      </c>
      <c r="W10" s="59">
        <v>166.23</v>
      </c>
      <c r="X10" s="79">
        <v>0</v>
      </c>
      <c r="Y10" s="79">
        <v>0</v>
      </c>
    </row>
    <row r="11" spans="1:25">
      <c r="A11" s="22" t="s">
        <v>291</v>
      </c>
      <c r="B11" s="23">
        <v>352368</v>
      </c>
      <c r="C11" s="24" t="s">
        <v>197</v>
      </c>
      <c r="D11" s="23">
        <v>7</v>
      </c>
      <c r="E11" s="25">
        <v>10500</v>
      </c>
      <c r="F11" s="25">
        <v>689.44</v>
      </c>
      <c r="G11" s="25">
        <v>0</v>
      </c>
      <c r="H11" s="25"/>
      <c r="I11" s="25">
        <v>3978.83</v>
      </c>
      <c r="J11" s="53">
        <v>5124</v>
      </c>
      <c r="K11" s="25">
        <f t="shared" ref="K11:K14" si="6">J11*0.071</f>
        <v>363.80399999999997</v>
      </c>
      <c r="L11" s="25">
        <v>0</v>
      </c>
      <c r="M11" s="25">
        <v>359.07</v>
      </c>
      <c r="N11" s="25">
        <f t="shared" si="1"/>
        <v>512.4</v>
      </c>
      <c r="O11" s="25">
        <v>26.25</v>
      </c>
      <c r="P11" s="25"/>
      <c r="Q11" s="25">
        <f t="shared" si="2"/>
        <v>105</v>
      </c>
      <c r="R11" s="25">
        <v>165.99</v>
      </c>
      <c r="S11" s="25">
        <v>7</v>
      </c>
      <c r="T11" s="25">
        <f t="shared" ref="T11:T14" si="7">E11-J11*0.75-K11-F11-M11-N11-O11-Q11-I11-R11</f>
        <v>456.21600000000012</v>
      </c>
      <c r="U11" s="25"/>
      <c r="V11" s="25">
        <f t="shared" ref="V11:V14" si="8">J11*0.75</f>
        <v>3843</v>
      </c>
      <c r="W11" s="25">
        <v>56.49</v>
      </c>
      <c r="X11" s="78">
        <v>0</v>
      </c>
      <c r="Y11" s="78">
        <v>0</v>
      </c>
    </row>
    <row r="12" spans="1:25">
      <c r="A12" s="22" t="s">
        <v>284</v>
      </c>
      <c r="B12" s="23">
        <v>352373</v>
      </c>
      <c r="C12" s="24" t="s">
        <v>197</v>
      </c>
      <c r="D12" s="23">
        <v>2</v>
      </c>
      <c r="E12" s="25">
        <v>2950</v>
      </c>
      <c r="F12" s="25">
        <v>689.44</v>
      </c>
      <c r="G12" s="25">
        <v>0</v>
      </c>
      <c r="H12" s="25"/>
      <c r="I12" s="25">
        <v>1428.47</v>
      </c>
      <c r="J12" s="53">
        <v>1426</v>
      </c>
      <c r="K12" s="25">
        <f t="shared" si="6"/>
        <v>101.246</v>
      </c>
      <c r="L12" s="25">
        <v>0</v>
      </c>
      <c r="M12" s="25">
        <v>359.07</v>
      </c>
      <c r="N12" s="25">
        <f t="shared" si="1"/>
        <v>142.6</v>
      </c>
      <c r="O12" s="25">
        <v>26.25</v>
      </c>
      <c r="P12" s="25"/>
      <c r="Q12" s="25">
        <f t="shared" si="2"/>
        <v>29.5</v>
      </c>
      <c r="R12" s="25">
        <v>3.26</v>
      </c>
      <c r="S12" s="25">
        <v>7</v>
      </c>
      <c r="T12" s="25">
        <f t="shared" si="7"/>
        <v>-899.33600000000013</v>
      </c>
      <c r="U12" s="25"/>
      <c r="V12" s="25">
        <f t="shared" si="8"/>
        <v>1069.5</v>
      </c>
      <c r="W12" s="25">
        <v>40</v>
      </c>
      <c r="X12" s="78">
        <v>0</v>
      </c>
      <c r="Y12" s="78">
        <v>0</v>
      </c>
    </row>
    <row r="13" spans="1:25">
      <c r="A13" s="22" t="s">
        <v>292</v>
      </c>
      <c r="B13" s="23">
        <v>352375</v>
      </c>
      <c r="C13" s="24" t="s">
        <v>197</v>
      </c>
      <c r="D13" s="23">
        <v>4</v>
      </c>
      <c r="E13" s="25">
        <v>2812</v>
      </c>
      <c r="F13" s="25">
        <v>689.44</v>
      </c>
      <c r="G13" s="25">
        <v>0</v>
      </c>
      <c r="H13" s="25"/>
      <c r="I13" s="25">
        <v>1461.99</v>
      </c>
      <c r="J13" s="53">
        <v>2322</v>
      </c>
      <c r="K13" s="25">
        <f t="shared" si="6"/>
        <v>164.86199999999999</v>
      </c>
      <c r="L13" s="25">
        <v>0</v>
      </c>
      <c r="M13" s="25">
        <v>359.07</v>
      </c>
      <c r="N13" s="25">
        <f t="shared" si="1"/>
        <v>232.20000000000002</v>
      </c>
      <c r="O13" s="25">
        <v>26.25</v>
      </c>
      <c r="P13" s="25"/>
      <c r="Q13" s="25">
        <f t="shared" si="2"/>
        <v>28.12</v>
      </c>
      <c r="R13" s="25"/>
      <c r="S13" s="25">
        <v>7</v>
      </c>
      <c r="T13" s="25">
        <f t="shared" si="7"/>
        <v>-1891.432</v>
      </c>
      <c r="U13" s="25"/>
      <c r="V13" s="25">
        <f t="shared" si="8"/>
        <v>1741.5</v>
      </c>
      <c r="W13" s="25">
        <v>87.03</v>
      </c>
      <c r="X13" s="78">
        <v>0</v>
      </c>
      <c r="Y13" s="78">
        <v>0</v>
      </c>
    </row>
    <row r="14" spans="1:25">
      <c r="A14" s="22" t="s">
        <v>281</v>
      </c>
      <c r="B14" s="23">
        <v>352371</v>
      </c>
      <c r="C14" s="24" t="s">
        <v>197</v>
      </c>
      <c r="D14" s="23">
        <v>7</v>
      </c>
      <c r="E14" s="25">
        <v>9050</v>
      </c>
      <c r="F14" s="25">
        <v>689.44</v>
      </c>
      <c r="G14" s="25">
        <v>0</v>
      </c>
      <c r="H14" s="25"/>
      <c r="I14" s="25">
        <v>2805</v>
      </c>
      <c r="J14" s="53">
        <v>4122</v>
      </c>
      <c r="K14" s="25">
        <f t="shared" si="6"/>
        <v>292.66199999999998</v>
      </c>
      <c r="L14" s="25">
        <v>0</v>
      </c>
      <c r="M14" s="25">
        <v>359.07</v>
      </c>
      <c r="N14" s="25">
        <f t="shared" si="1"/>
        <v>412.20000000000005</v>
      </c>
      <c r="O14" s="25">
        <v>26.25</v>
      </c>
      <c r="P14" s="25"/>
      <c r="Q14" s="25">
        <f t="shared" si="2"/>
        <v>90.5</v>
      </c>
      <c r="R14" s="25">
        <v>66.239999999999995</v>
      </c>
      <c r="S14" s="25">
        <v>7</v>
      </c>
      <c r="T14" s="25">
        <f t="shared" si="7"/>
        <v>1217.1379999999997</v>
      </c>
      <c r="U14" s="25"/>
      <c r="V14" s="25">
        <f t="shared" si="8"/>
        <v>3091.5</v>
      </c>
      <c r="W14" s="25">
        <v>58.42</v>
      </c>
      <c r="X14" s="78">
        <v>0</v>
      </c>
      <c r="Y14" s="78">
        <v>0</v>
      </c>
    </row>
    <row r="15" spans="1:25">
      <c r="A15" s="71" t="s">
        <v>89</v>
      </c>
      <c r="B15" s="72">
        <v>12</v>
      </c>
      <c r="C15" s="73" t="s">
        <v>271</v>
      </c>
      <c r="D15" s="72">
        <f>AVERAGE(D3:D14)</f>
        <v>4.916666666666667</v>
      </c>
      <c r="E15" s="74">
        <f t="shared" ref="E15:G15" si="9">SUM(E3:E14)</f>
        <v>71148</v>
      </c>
      <c r="F15" s="74">
        <f t="shared" si="9"/>
        <v>8084.1900000000023</v>
      </c>
      <c r="G15" s="74">
        <f t="shared" si="9"/>
        <v>0</v>
      </c>
      <c r="H15" s="74"/>
      <c r="I15" s="74">
        <f t="shared" ref="I15:O15" si="10">SUM(I3:I14)</f>
        <v>26652.300000000007</v>
      </c>
      <c r="J15" s="74">
        <f t="shared" si="10"/>
        <v>32252</v>
      </c>
      <c r="K15" s="74">
        <f t="shared" si="10"/>
        <v>2089.8849999999998</v>
      </c>
      <c r="L15" s="74">
        <f t="shared" si="10"/>
        <v>0</v>
      </c>
      <c r="M15" s="74">
        <f t="shared" si="10"/>
        <v>3949.7700000000009</v>
      </c>
      <c r="N15" s="74">
        <f t="shared" si="10"/>
        <v>3225.2</v>
      </c>
      <c r="O15" s="74">
        <f t="shared" si="10"/>
        <v>330</v>
      </c>
      <c r="P15" s="74"/>
      <c r="Q15" s="74">
        <f t="shared" ref="Q15:T15" si="11">SUM(Q3:Q14)</f>
        <v>711.48</v>
      </c>
      <c r="R15" s="74">
        <f t="shared" si="11"/>
        <v>1109.46</v>
      </c>
      <c r="S15" s="74">
        <f t="shared" si="11"/>
        <v>77</v>
      </c>
      <c r="T15" s="74">
        <f t="shared" si="11"/>
        <v>-578.86500000000092</v>
      </c>
      <c r="U15" s="74"/>
      <c r="V15" s="74">
        <f t="shared" ref="V15:Y15" si="12">SUM(V3:V14)</f>
        <v>25430.18</v>
      </c>
      <c r="W15" s="74">
        <f t="shared" si="12"/>
        <v>1148.96</v>
      </c>
      <c r="X15" s="80">
        <f t="shared" si="12"/>
        <v>0</v>
      </c>
      <c r="Y15" s="80">
        <f t="shared" si="12"/>
        <v>337.5</v>
      </c>
    </row>
    <row r="17" spans="1:25">
      <c r="A17" s="457" t="s">
        <v>295</v>
      </c>
      <c r="B17" s="458"/>
      <c r="C17" s="458"/>
      <c r="D17" s="458"/>
      <c r="E17" s="458"/>
      <c r="F17" s="458"/>
      <c r="G17" s="458"/>
      <c r="H17" s="458"/>
      <c r="I17" s="458"/>
      <c r="J17" s="458"/>
      <c r="K17" s="458"/>
      <c r="L17" s="458"/>
      <c r="M17" s="458"/>
      <c r="N17" s="458"/>
      <c r="O17" s="458"/>
      <c r="P17" s="458"/>
      <c r="Q17" s="458"/>
      <c r="R17" s="458"/>
      <c r="S17" s="458"/>
      <c r="T17" s="458"/>
      <c r="U17" s="458"/>
      <c r="V17" s="458"/>
      <c r="W17" s="459"/>
      <c r="X17" s="76"/>
      <c r="Y17" s="76"/>
    </row>
    <row r="18" spans="1:25">
      <c r="A18" s="1" t="s">
        <v>0</v>
      </c>
      <c r="B18" s="2" t="s">
        <v>1</v>
      </c>
      <c r="C18" s="2" t="s">
        <v>183</v>
      </c>
      <c r="D18" s="2" t="s">
        <v>3</v>
      </c>
      <c r="E18" s="2" t="s">
        <v>2</v>
      </c>
      <c r="F18" s="2" t="s">
        <v>4</v>
      </c>
      <c r="G18" s="2" t="s">
        <v>6</v>
      </c>
      <c r="H18" s="2"/>
      <c r="I18" s="2" t="s">
        <v>7</v>
      </c>
      <c r="J18" s="2" t="s">
        <v>9</v>
      </c>
      <c r="K18" s="2" t="s">
        <v>106</v>
      </c>
      <c r="L18" s="2" t="s">
        <v>107</v>
      </c>
      <c r="M18" s="2" t="s">
        <v>5</v>
      </c>
      <c r="N18" s="2" t="s">
        <v>12</v>
      </c>
      <c r="O18" s="2" t="s">
        <v>184</v>
      </c>
      <c r="P18" s="2"/>
      <c r="Q18" s="2" t="s">
        <v>108</v>
      </c>
      <c r="R18" s="2" t="s">
        <v>8</v>
      </c>
      <c r="S18" s="12" t="s">
        <v>185</v>
      </c>
      <c r="T18" s="2" t="s">
        <v>13</v>
      </c>
      <c r="U18" s="2"/>
      <c r="V18" s="14" t="s">
        <v>98</v>
      </c>
      <c r="W18" s="81" t="s">
        <v>257</v>
      </c>
      <c r="X18" s="14" t="s">
        <v>287</v>
      </c>
      <c r="Y18" s="14" t="s">
        <v>288</v>
      </c>
    </row>
    <row r="19" spans="1:25">
      <c r="A19" s="22" t="s">
        <v>258</v>
      </c>
      <c r="B19" s="23">
        <v>352377</v>
      </c>
      <c r="C19" s="24" t="s">
        <v>251</v>
      </c>
      <c r="D19" s="23">
        <v>7</v>
      </c>
      <c r="E19" s="25">
        <v>10799</v>
      </c>
      <c r="F19" s="25">
        <v>789.51</v>
      </c>
      <c r="G19" s="25">
        <v>0</v>
      </c>
      <c r="H19" s="25"/>
      <c r="I19" s="25">
        <v>2906.98</v>
      </c>
      <c r="J19" s="53">
        <v>3956</v>
      </c>
      <c r="K19" s="25">
        <f t="shared" ref="K19:K24" si="13">J19*0.071</f>
        <v>280.87599999999998</v>
      </c>
      <c r="L19" s="25">
        <v>0</v>
      </c>
      <c r="M19" s="25">
        <v>359.07</v>
      </c>
      <c r="N19" s="25">
        <f t="shared" ref="N19:N29" si="14">J19*0.1</f>
        <v>395.6</v>
      </c>
      <c r="O19" s="25">
        <v>26.25</v>
      </c>
      <c r="P19" s="25"/>
      <c r="Q19" s="25">
        <f t="shared" ref="Q19:Q29" si="15">E19*0.0085</f>
        <v>91.791500000000013</v>
      </c>
      <c r="R19" s="25">
        <v>136.56</v>
      </c>
      <c r="S19" s="25">
        <v>7</v>
      </c>
      <c r="T19" s="25">
        <f t="shared" ref="T19:T20" si="16">E19-J19*0.8-K19-F19-M19-N19-O19-Q19-I19-R19</f>
        <v>2647.5624999999991</v>
      </c>
      <c r="U19" s="82"/>
      <c r="V19" s="82">
        <f t="shared" ref="V19:V20" si="17">J19*0.8</f>
        <v>3164.8</v>
      </c>
      <c r="W19" s="58">
        <v>168.52</v>
      </c>
      <c r="X19" s="78">
        <v>0</v>
      </c>
      <c r="Y19" s="78">
        <v>100</v>
      </c>
    </row>
    <row r="20" spans="1:25">
      <c r="A20" s="22" t="s">
        <v>268</v>
      </c>
      <c r="B20" s="23">
        <v>465184</v>
      </c>
      <c r="C20" s="24" t="s">
        <v>251</v>
      </c>
      <c r="D20" s="23">
        <v>7</v>
      </c>
      <c r="E20" s="25">
        <v>9020</v>
      </c>
      <c r="F20" s="25">
        <v>789.51</v>
      </c>
      <c r="G20" s="25">
        <v>0</v>
      </c>
      <c r="H20" s="25"/>
      <c r="I20" s="25">
        <v>3324.35</v>
      </c>
      <c r="J20" s="53">
        <v>3580</v>
      </c>
      <c r="K20" s="25">
        <f t="shared" si="13"/>
        <v>254.17999999999998</v>
      </c>
      <c r="L20" s="25">
        <v>0</v>
      </c>
      <c r="M20" s="25">
        <v>359.07</v>
      </c>
      <c r="N20" s="25">
        <f t="shared" si="14"/>
        <v>358</v>
      </c>
      <c r="O20" s="25">
        <v>40</v>
      </c>
      <c r="P20" s="25"/>
      <c r="Q20" s="25">
        <f t="shared" si="15"/>
        <v>76.67</v>
      </c>
      <c r="R20" s="25">
        <v>14.98</v>
      </c>
      <c r="S20" s="25">
        <v>7</v>
      </c>
      <c r="T20" s="25">
        <f t="shared" si="16"/>
        <v>939.23999999999978</v>
      </c>
      <c r="U20" s="82"/>
      <c r="V20" s="82">
        <f t="shared" si="17"/>
        <v>2864</v>
      </c>
      <c r="W20" s="58">
        <v>39.83</v>
      </c>
      <c r="X20" s="78">
        <v>0</v>
      </c>
      <c r="Y20" s="78">
        <v>0</v>
      </c>
    </row>
    <row r="21" spans="1:25">
      <c r="A21" s="22" t="s">
        <v>247</v>
      </c>
      <c r="B21" s="23">
        <v>352376</v>
      </c>
      <c r="C21" s="24" t="s">
        <v>197</v>
      </c>
      <c r="D21" s="23">
        <v>7</v>
      </c>
      <c r="E21" s="25">
        <v>7980</v>
      </c>
      <c r="F21" s="25">
        <v>689.44</v>
      </c>
      <c r="G21" s="25">
        <v>0</v>
      </c>
      <c r="H21" s="25"/>
      <c r="I21" s="25">
        <v>2845.91</v>
      </c>
      <c r="J21" s="53">
        <v>3395</v>
      </c>
      <c r="K21" s="25">
        <f t="shared" si="13"/>
        <v>241.04499999999999</v>
      </c>
      <c r="L21" s="25">
        <v>0</v>
      </c>
      <c r="M21" s="25">
        <v>359.07</v>
      </c>
      <c r="N21" s="25">
        <f t="shared" si="14"/>
        <v>339.5</v>
      </c>
      <c r="O21" s="25">
        <v>26.25</v>
      </c>
      <c r="P21" s="25"/>
      <c r="Q21" s="25">
        <f t="shared" si="15"/>
        <v>67.83</v>
      </c>
      <c r="R21" s="25">
        <v>0</v>
      </c>
      <c r="S21" s="25">
        <v>7</v>
      </c>
      <c r="T21" s="25">
        <f>E21-J21*0.75-K21-F21-M21-N21-O21-Q21-I21-R21</f>
        <v>864.70499999999993</v>
      </c>
      <c r="U21" s="82"/>
      <c r="V21" s="82">
        <f>J21*0.75</f>
        <v>2546.25</v>
      </c>
      <c r="W21" s="58">
        <v>23.38</v>
      </c>
      <c r="X21" s="78">
        <v>0</v>
      </c>
      <c r="Y21" s="78">
        <v>0</v>
      </c>
    </row>
    <row r="22" spans="1:25">
      <c r="A22" s="22" t="s">
        <v>218</v>
      </c>
      <c r="B22" s="23">
        <v>352374</v>
      </c>
      <c r="C22" s="24" t="s">
        <v>251</v>
      </c>
      <c r="D22" s="23">
        <v>5</v>
      </c>
      <c r="E22" s="25">
        <v>5500</v>
      </c>
      <c r="F22" s="25">
        <v>689.44</v>
      </c>
      <c r="G22" s="25">
        <v>0</v>
      </c>
      <c r="H22" s="25"/>
      <c r="I22" s="25">
        <v>2797.43</v>
      </c>
      <c r="J22" s="53">
        <v>2737</v>
      </c>
      <c r="K22" s="25">
        <f t="shared" si="13"/>
        <v>194.32699999999997</v>
      </c>
      <c r="L22" s="25">
        <v>0</v>
      </c>
      <c r="M22" s="25">
        <v>359.07</v>
      </c>
      <c r="N22" s="25">
        <f t="shared" si="14"/>
        <v>273.7</v>
      </c>
      <c r="O22" s="25">
        <v>40</v>
      </c>
      <c r="P22" s="25"/>
      <c r="Q22" s="25">
        <f t="shared" si="15"/>
        <v>46.75</v>
      </c>
      <c r="R22" s="25">
        <v>110.97</v>
      </c>
      <c r="S22" s="25">
        <v>7</v>
      </c>
      <c r="T22" s="25">
        <f t="shared" ref="T22:T24" si="18">E22-J22*0.8-K22-F22-M22-N22-O22-Q22-I22-R22</f>
        <v>-1201.2869999999998</v>
      </c>
      <c r="U22" s="82"/>
      <c r="V22" s="82">
        <f t="shared" ref="V22:V23" si="19">J22*0.8</f>
        <v>2189.6</v>
      </c>
      <c r="W22" s="58">
        <v>109.83</v>
      </c>
      <c r="X22" s="78">
        <v>0</v>
      </c>
      <c r="Y22" s="78">
        <v>200</v>
      </c>
    </row>
    <row r="23" spans="1:25">
      <c r="A23" s="22" t="s">
        <v>224</v>
      </c>
      <c r="B23" s="23">
        <v>465187</v>
      </c>
      <c r="C23" s="24" t="s">
        <v>251</v>
      </c>
      <c r="D23" s="23">
        <v>5</v>
      </c>
      <c r="E23" s="25">
        <v>3250</v>
      </c>
      <c r="F23" s="25">
        <v>789.51</v>
      </c>
      <c r="G23" s="25">
        <v>0</v>
      </c>
      <c r="H23" s="25"/>
      <c r="I23" s="25">
        <v>2066.06</v>
      </c>
      <c r="J23" s="53">
        <v>1979</v>
      </c>
      <c r="K23" s="25">
        <f t="shared" si="13"/>
        <v>140.50899999999999</v>
      </c>
      <c r="L23" s="25">
        <v>0</v>
      </c>
      <c r="M23" s="25">
        <v>359.07</v>
      </c>
      <c r="N23" s="25">
        <f t="shared" si="14"/>
        <v>197.9</v>
      </c>
      <c r="O23" s="25">
        <v>40</v>
      </c>
      <c r="P23" s="25"/>
      <c r="Q23" s="25">
        <f t="shared" si="15"/>
        <v>27.625000000000004</v>
      </c>
      <c r="R23" s="25">
        <v>143.72999999999999</v>
      </c>
      <c r="S23" s="25">
        <v>7</v>
      </c>
      <c r="T23" s="25">
        <f t="shared" si="18"/>
        <v>-2097.6039999999998</v>
      </c>
      <c r="U23" s="82"/>
      <c r="V23" s="82">
        <f t="shared" si="19"/>
        <v>1583.2</v>
      </c>
      <c r="W23" s="58">
        <v>159.13999999999999</v>
      </c>
      <c r="X23" s="78">
        <v>0</v>
      </c>
      <c r="Y23" s="78">
        <v>200</v>
      </c>
    </row>
    <row r="24" spans="1:25">
      <c r="A24" s="22" t="s">
        <v>260</v>
      </c>
      <c r="B24" s="23">
        <v>465181</v>
      </c>
      <c r="C24" s="24" t="s">
        <v>251</v>
      </c>
      <c r="D24" s="23">
        <v>7</v>
      </c>
      <c r="E24" s="25">
        <v>7700</v>
      </c>
      <c r="F24" s="25">
        <v>789.51</v>
      </c>
      <c r="G24" s="25">
        <v>0</v>
      </c>
      <c r="H24" s="25"/>
      <c r="I24" s="25">
        <v>3491.42</v>
      </c>
      <c r="J24" s="53">
        <v>3597</v>
      </c>
      <c r="K24" s="25">
        <f t="shared" si="13"/>
        <v>255.38699999999997</v>
      </c>
      <c r="L24" s="25">
        <v>0</v>
      </c>
      <c r="M24" s="25">
        <v>359.07</v>
      </c>
      <c r="N24" s="25">
        <f t="shared" si="14"/>
        <v>359.70000000000005</v>
      </c>
      <c r="O24" s="25">
        <v>26.25</v>
      </c>
      <c r="P24" s="25"/>
      <c r="Q24" s="25">
        <f t="shared" si="15"/>
        <v>65.45</v>
      </c>
      <c r="R24" s="25">
        <v>0</v>
      </c>
      <c r="S24" s="25">
        <v>7</v>
      </c>
      <c r="T24" s="25">
        <f t="shared" si="18"/>
        <v>-524.38700000000063</v>
      </c>
      <c r="U24" s="82"/>
      <c r="V24" s="82">
        <f>J24*0.75</f>
        <v>2697.75</v>
      </c>
      <c r="W24" s="58">
        <v>109.65</v>
      </c>
      <c r="X24" s="78">
        <v>0</v>
      </c>
      <c r="Y24" s="78">
        <v>0</v>
      </c>
    </row>
    <row r="25" spans="1:25">
      <c r="A25" s="59" t="s">
        <v>261</v>
      </c>
      <c r="B25" s="60">
        <v>1650</v>
      </c>
      <c r="C25" s="61" t="s">
        <v>262</v>
      </c>
      <c r="D25" s="60">
        <v>4</v>
      </c>
      <c r="E25" s="62">
        <v>5000</v>
      </c>
      <c r="F25" s="62">
        <v>0</v>
      </c>
      <c r="G25" s="62">
        <v>0</v>
      </c>
      <c r="H25" s="62"/>
      <c r="I25" s="62">
        <v>2236.39</v>
      </c>
      <c r="J25" s="63">
        <v>2612</v>
      </c>
      <c r="K25" s="62">
        <v>0</v>
      </c>
      <c r="L25" s="62">
        <v>0</v>
      </c>
      <c r="M25" s="62">
        <v>0</v>
      </c>
      <c r="N25" s="62">
        <f t="shared" si="14"/>
        <v>261.2</v>
      </c>
      <c r="O25" s="62">
        <v>0</v>
      </c>
      <c r="P25" s="62"/>
      <c r="Q25" s="62">
        <f t="shared" si="15"/>
        <v>42.5</v>
      </c>
      <c r="R25" s="62">
        <v>0</v>
      </c>
      <c r="S25" s="62">
        <v>0</v>
      </c>
      <c r="T25" s="62">
        <f>E25*0.18-N25-Q25</f>
        <v>596.29999999999995</v>
      </c>
      <c r="U25" s="83"/>
      <c r="V25" s="83">
        <f>E25*0.82-I25</f>
        <v>1863.6100000000001</v>
      </c>
      <c r="W25" s="84">
        <v>166.23</v>
      </c>
      <c r="X25" s="79">
        <v>0</v>
      </c>
      <c r="Y25" s="79">
        <v>0</v>
      </c>
    </row>
    <row r="26" spans="1:25">
      <c r="A26" s="22" t="s">
        <v>296</v>
      </c>
      <c r="B26" s="23">
        <v>359885</v>
      </c>
      <c r="C26" s="24" t="s">
        <v>197</v>
      </c>
      <c r="D26" s="23">
        <v>5</v>
      </c>
      <c r="E26" s="25">
        <v>5825</v>
      </c>
      <c r="F26" s="25">
        <v>689.44</v>
      </c>
      <c r="G26" s="25">
        <v>0</v>
      </c>
      <c r="H26" s="25"/>
      <c r="I26" s="25">
        <v>2420.4499999999998</v>
      </c>
      <c r="J26" s="53">
        <v>2748</v>
      </c>
      <c r="K26" s="25">
        <f t="shared" ref="K26:K29" si="20">J26*0.071</f>
        <v>195.10799999999998</v>
      </c>
      <c r="L26" s="25">
        <v>0</v>
      </c>
      <c r="M26" s="25">
        <v>359.07</v>
      </c>
      <c r="N26" s="25">
        <f t="shared" si="14"/>
        <v>274.8</v>
      </c>
      <c r="O26" s="25">
        <v>26.25</v>
      </c>
      <c r="P26" s="25"/>
      <c r="Q26" s="25">
        <f t="shared" si="15"/>
        <v>49.512500000000003</v>
      </c>
      <c r="R26" s="25">
        <v>108.66</v>
      </c>
      <c r="S26" s="25">
        <v>7</v>
      </c>
      <c r="T26" s="25">
        <f t="shared" ref="T26:T29" si="21">E26-J26*0.75-K26-F26-M26-N26-O26-Q26-I26-R26</f>
        <v>-359.29050000000018</v>
      </c>
      <c r="U26" s="82"/>
      <c r="V26" s="82">
        <f t="shared" ref="V26:V29" si="22">J26*0.75</f>
        <v>2061</v>
      </c>
      <c r="W26" s="58">
        <v>56.49</v>
      </c>
      <c r="X26" s="78">
        <v>0</v>
      </c>
      <c r="Y26" s="78">
        <v>0</v>
      </c>
    </row>
    <row r="27" spans="1:25">
      <c r="A27" s="22" t="s">
        <v>284</v>
      </c>
      <c r="B27" s="23">
        <v>352373</v>
      </c>
      <c r="C27" s="24" t="s">
        <v>197</v>
      </c>
      <c r="D27" s="23">
        <v>6</v>
      </c>
      <c r="E27" s="25">
        <v>6940</v>
      </c>
      <c r="F27" s="25">
        <v>689.44</v>
      </c>
      <c r="G27" s="25">
        <v>0</v>
      </c>
      <c r="H27" s="25"/>
      <c r="I27" s="25">
        <v>3224.15</v>
      </c>
      <c r="J27" s="53">
        <v>2910</v>
      </c>
      <c r="K27" s="25">
        <f t="shared" si="20"/>
        <v>206.60999999999999</v>
      </c>
      <c r="L27" s="25">
        <v>0</v>
      </c>
      <c r="M27" s="25">
        <v>359.07</v>
      </c>
      <c r="N27" s="25">
        <f t="shared" si="14"/>
        <v>291</v>
      </c>
      <c r="O27" s="25">
        <v>26.25</v>
      </c>
      <c r="P27" s="25"/>
      <c r="Q27" s="25">
        <f t="shared" si="15"/>
        <v>58.99</v>
      </c>
      <c r="R27" s="25">
        <v>728.73</v>
      </c>
      <c r="S27" s="25">
        <v>7</v>
      </c>
      <c r="T27" s="25">
        <f t="shared" si="21"/>
        <v>-826.73999999999978</v>
      </c>
      <c r="U27" s="82"/>
      <c r="V27" s="82">
        <f t="shared" si="22"/>
        <v>2182.5</v>
      </c>
      <c r="W27" s="58">
        <v>40</v>
      </c>
      <c r="X27" s="78">
        <v>0</v>
      </c>
      <c r="Y27" s="78">
        <v>0</v>
      </c>
    </row>
    <row r="28" spans="1:25">
      <c r="A28" s="22" t="s">
        <v>297</v>
      </c>
      <c r="B28" s="23">
        <v>352375</v>
      </c>
      <c r="C28" s="24" t="s">
        <v>197</v>
      </c>
      <c r="D28" s="23">
        <v>4</v>
      </c>
      <c r="E28" s="25">
        <v>3400</v>
      </c>
      <c r="F28" s="25">
        <v>689.44</v>
      </c>
      <c r="G28" s="25">
        <v>0</v>
      </c>
      <c r="H28" s="25"/>
      <c r="I28" s="25">
        <v>2071.69</v>
      </c>
      <c r="J28" s="53">
        <v>1504</v>
      </c>
      <c r="K28" s="25">
        <f t="shared" si="20"/>
        <v>106.78399999999999</v>
      </c>
      <c r="L28" s="25">
        <v>0</v>
      </c>
      <c r="M28" s="25">
        <v>359.07</v>
      </c>
      <c r="N28" s="25">
        <f t="shared" si="14"/>
        <v>150.4</v>
      </c>
      <c r="O28" s="25">
        <v>26.25</v>
      </c>
      <c r="P28" s="25"/>
      <c r="Q28" s="25">
        <f t="shared" si="15"/>
        <v>28.900000000000002</v>
      </c>
      <c r="R28" s="25">
        <v>88.88</v>
      </c>
      <c r="S28" s="25">
        <v>7</v>
      </c>
      <c r="T28" s="25">
        <f t="shared" si="21"/>
        <v>-1249.4140000000002</v>
      </c>
      <c r="U28" s="82"/>
      <c r="V28" s="82">
        <f t="shared" si="22"/>
        <v>1128</v>
      </c>
      <c r="W28" s="58">
        <v>87.03</v>
      </c>
      <c r="X28" s="78">
        <v>0</v>
      </c>
      <c r="Y28" s="78">
        <v>0</v>
      </c>
    </row>
    <row r="29" spans="1:25">
      <c r="A29" s="22" t="s">
        <v>281</v>
      </c>
      <c r="B29" s="23">
        <v>352371</v>
      </c>
      <c r="C29" s="24" t="s">
        <v>197</v>
      </c>
      <c r="D29" s="23">
        <v>7</v>
      </c>
      <c r="E29" s="25">
        <v>6650</v>
      </c>
      <c r="F29" s="25">
        <v>689.44</v>
      </c>
      <c r="G29" s="25">
        <v>0</v>
      </c>
      <c r="H29" s="25"/>
      <c r="I29" s="25">
        <v>4124.28</v>
      </c>
      <c r="J29" s="53">
        <v>3369</v>
      </c>
      <c r="K29" s="25">
        <f t="shared" si="20"/>
        <v>239.19899999999998</v>
      </c>
      <c r="L29" s="25">
        <v>0</v>
      </c>
      <c r="M29" s="25">
        <v>359.07</v>
      </c>
      <c r="N29" s="25">
        <f t="shared" si="14"/>
        <v>336.90000000000003</v>
      </c>
      <c r="O29" s="25">
        <v>26.25</v>
      </c>
      <c r="P29" s="25"/>
      <c r="Q29" s="25">
        <f t="shared" si="15"/>
        <v>56.525000000000006</v>
      </c>
      <c r="R29" s="25">
        <v>0</v>
      </c>
      <c r="S29" s="25">
        <v>7</v>
      </c>
      <c r="T29" s="25">
        <f t="shared" si="21"/>
        <v>-1708.4140000000002</v>
      </c>
      <c r="U29" s="82"/>
      <c r="V29" s="82">
        <f t="shared" si="22"/>
        <v>2526.75</v>
      </c>
      <c r="W29" s="58">
        <v>58.42</v>
      </c>
      <c r="X29" s="78">
        <v>0</v>
      </c>
      <c r="Y29" s="78">
        <v>0</v>
      </c>
    </row>
    <row r="30" spans="1:25">
      <c r="A30" s="71" t="s">
        <v>89</v>
      </c>
      <c r="B30" s="72">
        <v>11</v>
      </c>
      <c r="C30" s="73" t="s">
        <v>271</v>
      </c>
      <c r="D30" s="72">
        <f>AVERAGE(D19:D29)</f>
        <v>5.8181818181818183</v>
      </c>
      <c r="E30" s="74">
        <f t="shared" ref="E30:G30" si="23">SUM(E19:E29)</f>
        <v>72064</v>
      </c>
      <c r="F30" s="74">
        <f t="shared" si="23"/>
        <v>7294.6800000000021</v>
      </c>
      <c r="G30" s="74">
        <f t="shared" si="23"/>
        <v>0</v>
      </c>
      <c r="H30" s="74"/>
      <c r="I30" s="74">
        <f>SUM(I19:I29)</f>
        <v>31509.11</v>
      </c>
      <c r="J30" s="73">
        <f>AVERAGE(J19:J29)</f>
        <v>2944.2727272727275</v>
      </c>
      <c r="K30" s="74">
        <f t="shared" ref="K30:O30" si="24">SUM(K19:K29)</f>
        <v>2114.0249999999996</v>
      </c>
      <c r="L30" s="74">
        <f t="shared" si="24"/>
        <v>0</v>
      </c>
      <c r="M30" s="74">
        <f t="shared" si="24"/>
        <v>3590.7000000000007</v>
      </c>
      <c r="N30" s="74">
        <f t="shared" si="24"/>
        <v>3238.7000000000003</v>
      </c>
      <c r="O30" s="74">
        <f t="shared" si="24"/>
        <v>303.75</v>
      </c>
      <c r="P30" s="74"/>
      <c r="Q30" s="74">
        <f t="shared" ref="Q30:T30" si="25">SUM(Q19:Q29)</f>
        <v>612.54399999999987</v>
      </c>
      <c r="R30" s="74">
        <f t="shared" si="25"/>
        <v>1332.5100000000002</v>
      </c>
      <c r="S30" s="74">
        <f t="shared" si="25"/>
        <v>70</v>
      </c>
      <c r="T30" s="74">
        <f t="shared" si="25"/>
        <v>-2919.329000000002</v>
      </c>
      <c r="U30" s="85"/>
      <c r="V30" s="85">
        <f t="shared" ref="V30:Y30" si="26">SUM(V19:V29)</f>
        <v>24807.46</v>
      </c>
      <c r="W30" s="74">
        <f t="shared" si="26"/>
        <v>1018.52</v>
      </c>
      <c r="X30" s="80">
        <f t="shared" si="26"/>
        <v>0</v>
      </c>
      <c r="Y30" s="80">
        <f t="shared" si="26"/>
        <v>500</v>
      </c>
    </row>
    <row r="33" spans="1:25">
      <c r="A33" s="457" t="s">
        <v>298</v>
      </c>
      <c r="B33" s="458"/>
      <c r="C33" s="458"/>
      <c r="D33" s="458"/>
      <c r="E33" s="458"/>
      <c r="F33" s="458"/>
      <c r="G33" s="458"/>
      <c r="H33" s="458"/>
      <c r="I33" s="458"/>
      <c r="J33" s="458"/>
      <c r="K33" s="458"/>
      <c r="L33" s="458"/>
      <c r="M33" s="458"/>
      <c r="N33" s="458"/>
      <c r="O33" s="458"/>
      <c r="P33" s="458"/>
      <c r="Q33" s="458"/>
      <c r="R33" s="458"/>
      <c r="S33" s="458"/>
      <c r="T33" s="458"/>
      <c r="U33" s="458"/>
      <c r="V33" s="458"/>
      <c r="W33" s="458"/>
      <c r="X33" s="458"/>
      <c r="Y33" s="459"/>
    </row>
    <row r="34" spans="1:25">
      <c r="A34" s="1" t="s">
        <v>0</v>
      </c>
      <c r="B34" s="2" t="s">
        <v>1</v>
      </c>
      <c r="C34" s="2" t="s">
        <v>183</v>
      </c>
      <c r="D34" s="2" t="s">
        <v>3</v>
      </c>
      <c r="E34" s="2" t="s">
        <v>2</v>
      </c>
      <c r="F34" s="2" t="s">
        <v>4</v>
      </c>
      <c r="G34" s="2" t="s">
        <v>6</v>
      </c>
      <c r="H34" s="2"/>
      <c r="I34" s="2" t="s">
        <v>7</v>
      </c>
      <c r="J34" s="2" t="s">
        <v>9</v>
      </c>
      <c r="K34" s="2" t="s">
        <v>106</v>
      </c>
      <c r="L34" s="2" t="s">
        <v>107</v>
      </c>
      <c r="M34" s="2" t="s">
        <v>5</v>
      </c>
      <c r="N34" s="2" t="s">
        <v>12</v>
      </c>
      <c r="O34" s="2" t="s">
        <v>184</v>
      </c>
      <c r="P34" s="2"/>
      <c r="Q34" s="2" t="s">
        <v>108</v>
      </c>
      <c r="R34" s="2" t="s">
        <v>8</v>
      </c>
      <c r="S34" s="12" t="s">
        <v>185</v>
      </c>
      <c r="T34" s="2" t="s">
        <v>13</v>
      </c>
      <c r="U34" s="2"/>
      <c r="V34" s="14" t="s">
        <v>98</v>
      </c>
      <c r="W34" s="81" t="s">
        <v>257</v>
      </c>
      <c r="X34" s="14" t="s">
        <v>287</v>
      </c>
      <c r="Y34" s="14" t="s">
        <v>288</v>
      </c>
    </row>
    <row r="35" spans="1:25">
      <c r="A35" s="22" t="s">
        <v>258</v>
      </c>
      <c r="B35" s="23">
        <v>465182</v>
      </c>
      <c r="C35" s="24" t="s">
        <v>251</v>
      </c>
      <c r="D35" s="23">
        <v>3</v>
      </c>
      <c r="E35" s="25">
        <v>3700</v>
      </c>
      <c r="F35" s="25">
        <v>789.51</v>
      </c>
      <c r="G35" s="25">
        <v>0</v>
      </c>
      <c r="H35" s="25"/>
      <c r="I35" s="25">
        <v>1633.48</v>
      </c>
      <c r="J35" s="53">
        <v>1245</v>
      </c>
      <c r="K35" s="25">
        <f t="shared" ref="K35:K40" si="27">J35*0.071</f>
        <v>88.394999999999996</v>
      </c>
      <c r="L35" s="25">
        <v>0</v>
      </c>
      <c r="M35" s="25">
        <v>359.07</v>
      </c>
      <c r="N35" s="25">
        <f t="shared" ref="N35:N47" si="28">J35*0.1</f>
        <v>124.5</v>
      </c>
      <c r="O35" s="25">
        <v>26.25</v>
      </c>
      <c r="P35" s="25"/>
      <c r="Q35" s="25">
        <f t="shared" ref="Q35:Q47" si="29">E35*0.0085</f>
        <v>31.450000000000003</v>
      </c>
      <c r="R35" s="25">
        <v>29.3</v>
      </c>
      <c r="S35" s="25">
        <v>7</v>
      </c>
      <c r="T35" s="25">
        <f t="shared" ref="T35:T36" si="30">E35-J35*0.8-K35-F35-M35-N35-O35-Q35-I35-R35</f>
        <v>-377.95499999999998</v>
      </c>
      <c r="U35" s="82"/>
      <c r="V35" s="82">
        <f t="shared" ref="V35:V36" si="31">J35*0.8</f>
        <v>996</v>
      </c>
      <c r="W35" s="58">
        <v>168.52</v>
      </c>
      <c r="X35" s="78">
        <v>0</v>
      </c>
      <c r="Y35" s="78">
        <v>0</v>
      </c>
    </row>
    <row r="36" spans="1:25">
      <c r="A36" s="22" t="s">
        <v>268</v>
      </c>
      <c r="B36" s="23">
        <v>465184</v>
      </c>
      <c r="C36" s="24" t="s">
        <v>251</v>
      </c>
      <c r="D36" s="23">
        <v>5</v>
      </c>
      <c r="E36" s="25">
        <v>6675</v>
      </c>
      <c r="F36" s="25">
        <v>789.51</v>
      </c>
      <c r="G36" s="25">
        <v>0</v>
      </c>
      <c r="H36" s="25"/>
      <c r="I36" s="25">
        <v>2186.66</v>
      </c>
      <c r="J36" s="53">
        <f>2159+177</f>
        <v>2336</v>
      </c>
      <c r="K36" s="25">
        <f t="shared" si="27"/>
        <v>165.85599999999999</v>
      </c>
      <c r="L36" s="25">
        <v>0</v>
      </c>
      <c r="M36" s="25">
        <v>359.07</v>
      </c>
      <c r="N36" s="25">
        <f t="shared" si="28"/>
        <v>233.60000000000002</v>
      </c>
      <c r="O36" s="25">
        <v>40</v>
      </c>
      <c r="P36" s="25"/>
      <c r="Q36" s="25">
        <f t="shared" si="29"/>
        <v>56.737500000000004</v>
      </c>
      <c r="R36" s="25">
        <v>87.73</v>
      </c>
      <c r="S36" s="25">
        <v>7</v>
      </c>
      <c r="T36" s="25">
        <f t="shared" si="30"/>
        <v>887.03649999999971</v>
      </c>
      <c r="U36" s="82"/>
      <c r="V36" s="82">
        <f t="shared" si="31"/>
        <v>1868.8000000000002</v>
      </c>
      <c r="W36" s="58">
        <v>39.83</v>
      </c>
      <c r="X36" s="78">
        <v>0</v>
      </c>
      <c r="Y36" s="78">
        <v>0</v>
      </c>
    </row>
    <row r="37" spans="1:25">
      <c r="A37" s="22" t="s">
        <v>247</v>
      </c>
      <c r="B37" s="23">
        <v>352376</v>
      </c>
      <c r="C37" s="24" t="s">
        <v>197</v>
      </c>
      <c r="D37" s="23">
        <v>7</v>
      </c>
      <c r="E37" s="25">
        <v>6650</v>
      </c>
      <c r="F37" s="25">
        <v>689.44</v>
      </c>
      <c r="G37" s="25">
        <v>0</v>
      </c>
      <c r="H37" s="25"/>
      <c r="I37" s="25">
        <v>3111.93</v>
      </c>
      <c r="J37" s="53">
        <f>2623+303</f>
        <v>2926</v>
      </c>
      <c r="K37" s="25">
        <f t="shared" si="27"/>
        <v>207.74599999999998</v>
      </c>
      <c r="L37" s="25">
        <v>0</v>
      </c>
      <c r="M37" s="25">
        <v>359.07</v>
      </c>
      <c r="N37" s="25">
        <f t="shared" si="28"/>
        <v>292.60000000000002</v>
      </c>
      <c r="O37" s="25">
        <v>26.25</v>
      </c>
      <c r="P37" s="25"/>
      <c r="Q37" s="25">
        <f t="shared" si="29"/>
        <v>56.525000000000006</v>
      </c>
      <c r="R37" s="25">
        <v>-66.3</v>
      </c>
      <c r="S37" s="25">
        <v>7</v>
      </c>
      <c r="T37" s="25">
        <f>E37-J37*0.75-K37-F37-M37-N37-O37-Q37-I37-R37</f>
        <v>-221.76100000000014</v>
      </c>
      <c r="U37" s="82"/>
      <c r="V37" s="82">
        <f>J37*0.75</f>
        <v>2194.5</v>
      </c>
      <c r="W37" s="58">
        <v>23.38</v>
      </c>
      <c r="X37" s="78">
        <v>0</v>
      </c>
      <c r="Y37" s="78">
        <v>0</v>
      </c>
    </row>
    <row r="38" spans="1:25">
      <c r="A38" s="22" t="s">
        <v>218</v>
      </c>
      <c r="B38" s="23">
        <v>352374</v>
      </c>
      <c r="C38" s="24" t="s">
        <v>251</v>
      </c>
      <c r="D38" s="23">
        <v>7</v>
      </c>
      <c r="E38" s="25">
        <v>7700</v>
      </c>
      <c r="F38" s="25">
        <v>689.44</v>
      </c>
      <c r="G38" s="25">
        <v>0</v>
      </c>
      <c r="H38" s="25"/>
      <c r="I38" s="25">
        <v>2185.1999999999998</v>
      </c>
      <c r="J38" s="53">
        <v>3167</v>
      </c>
      <c r="K38" s="25">
        <f t="shared" si="27"/>
        <v>224.85699999999997</v>
      </c>
      <c r="L38" s="25">
        <v>0</v>
      </c>
      <c r="M38" s="25">
        <v>359.07</v>
      </c>
      <c r="N38" s="25">
        <f t="shared" si="28"/>
        <v>316.70000000000005</v>
      </c>
      <c r="O38" s="25">
        <v>40</v>
      </c>
      <c r="P38" s="25"/>
      <c r="Q38" s="25">
        <f t="shared" si="29"/>
        <v>65.45</v>
      </c>
      <c r="R38" s="25">
        <v>427.36</v>
      </c>
      <c r="S38" s="25">
        <v>7</v>
      </c>
      <c r="T38" s="25">
        <f t="shared" ref="T38:T40" si="32">E38-J38*0.8-K38-F38-M38-N38-O38-Q38-I38-R38</f>
        <v>858.32299999999907</v>
      </c>
      <c r="U38" s="82"/>
      <c r="V38" s="82">
        <f t="shared" ref="V38:V39" si="33">J38*0.8</f>
        <v>2533.6000000000004</v>
      </c>
      <c r="W38" s="58">
        <v>109.83</v>
      </c>
      <c r="X38" s="78">
        <v>0</v>
      </c>
      <c r="Y38" s="78">
        <v>0</v>
      </c>
    </row>
    <row r="39" spans="1:25">
      <c r="A39" s="22" t="s">
        <v>224</v>
      </c>
      <c r="B39" s="23">
        <v>465187</v>
      </c>
      <c r="C39" s="24" t="s">
        <v>251</v>
      </c>
      <c r="D39" s="23">
        <v>7</v>
      </c>
      <c r="E39" s="25">
        <v>7832</v>
      </c>
      <c r="F39" s="25">
        <v>789.51</v>
      </c>
      <c r="G39" s="25">
        <v>0</v>
      </c>
      <c r="H39" s="25"/>
      <c r="I39" s="25">
        <v>3393.62</v>
      </c>
      <c r="J39" s="53">
        <v>3611</v>
      </c>
      <c r="K39" s="25">
        <f t="shared" si="27"/>
        <v>256.38099999999997</v>
      </c>
      <c r="L39" s="25">
        <v>0</v>
      </c>
      <c r="M39" s="25">
        <v>359.07</v>
      </c>
      <c r="N39" s="25">
        <f t="shared" si="28"/>
        <v>361.1</v>
      </c>
      <c r="O39" s="25">
        <v>40</v>
      </c>
      <c r="P39" s="25"/>
      <c r="Q39" s="25">
        <f t="shared" si="29"/>
        <v>66.572000000000003</v>
      </c>
      <c r="R39" s="25">
        <v>103.69</v>
      </c>
      <c r="S39" s="25">
        <v>7</v>
      </c>
      <c r="T39" s="25">
        <f t="shared" si="32"/>
        <v>-426.74300000000079</v>
      </c>
      <c r="U39" s="82"/>
      <c r="V39" s="82">
        <f t="shared" si="33"/>
        <v>2888.8</v>
      </c>
      <c r="W39" s="58">
        <v>159.13999999999999</v>
      </c>
      <c r="X39" s="78">
        <v>0</v>
      </c>
      <c r="Y39" s="78">
        <v>0</v>
      </c>
    </row>
    <row r="40" spans="1:25">
      <c r="A40" s="22" t="s">
        <v>260</v>
      </c>
      <c r="B40" s="23">
        <v>465181</v>
      </c>
      <c r="C40" s="24" t="s">
        <v>251</v>
      </c>
      <c r="D40" s="23">
        <v>7</v>
      </c>
      <c r="E40" s="25">
        <v>9070</v>
      </c>
      <c r="F40" s="25">
        <v>789.51</v>
      </c>
      <c r="G40" s="25">
        <v>0</v>
      </c>
      <c r="H40" s="25"/>
      <c r="I40" s="25">
        <v>3330.19</v>
      </c>
      <c r="J40" s="53">
        <f>3886+92</f>
        <v>3978</v>
      </c>
      <c r="K40" s="25">
        <f t="shared" si="27"/>
        <v>282.43799999999999</v>
      </c>
      <c r="L40" s="25">
        <v>0</v>
      </c>
      <c r="M40" s="25">
        <v>359.07</v>
      </c>
      <c r="N40" s="25">
        <f t="shared" si="28"/>
        <v>397.8</v>
      </c>
      <c r="O40" s="25">
        <v>26.25</v>
      </c>
      <c r="P40" s="25"/>
      <c r="Q40" s="25">
        <f t="shared" si="29"/>
        <v>77.094999999999999</v>
      </c>
      <c r="R40" s="25">
        <v>0</v>
      </c>
      <c r="S40" s="25">
        <v>7</v>
      </c>
      <c r="T40" s="25">
        <f t="shared" si="32"/>
        <v>625.2470000000003</v>
      </c>
      <c r="U40" s="82"/>
      <c r="V40" s="82">
        <f>J40*0.75</f>
        <v>2983.5</v>
      </c>
      <c r="W40" s="58">
        <v>109.65</v>
      </c>
      <c r="X40" s="78">
        <v>0</v>
      </c>
      <c r="Y40" s="78">
        <v>0</v>
      </c>
    </row>
    <row r="41" spans="1:25">
      <c r="A41" s="59" t="s">
        <v>261</v>
      </c>
      <c r="B41" s="60">
        <v>1650</v>
      </c>
      <c r="C41" s="61" t="s">
        <v>262</v>
      </c>
      <c r="D41" s="60">
        <v>7</v>
      </c>
      <c r="E41" s="62">
        <v>7100</v>
      </c>
      <c r="F41" s="62">
        <v>0</v>
      </c>
      <c r="G41" s="62">
        <v>0</v>
      </c>
      <c r="H41" s="62"/>
      <c r="I41" s="62">
        <v>3008.61</v>
      </c>
      <c r="J41" s="63">
        <v>2896</v>
      </c>
      <c r="K41" s="62">
        <v>0</v>
      </c>
      <c r="L41" s="62">
        <v>0</v>
      </c>
      <c r="M41" s="62">
        <v>0</v>
      </c>
      <c r="N41" s="62">
        <f t="shared" si="28"/>
        <v>289.60000000000002</v>
      </c>
      <c r="O41" s="62">
        <v>0</v>
      </c>
      <c r="P41" s="62"/>
      <c r="Q41" s="62">
        <f t="shared" si="29"/>
        <v>60.35</v>
      </c>
      <c r="R41" s="62">
        <v>0</v>
      </c>
      <c r="S41" s="62">
        <v>0</v>
      </c>
      <c r="T41" s="62">
        <f>E41*0.18-N41-Q41</f>
        <v>928.05</v>
      </c>
      <c r="U41" s="83"/>
      <c r="V41" s="83">
        <f>E41*0.82-I41</f>
        <v>2813.39</v>
      </c>
      <c r="W41" s="84">
        <v>166.23</v>
      </c>
      <c r="X41" s="79">
        <v>0</v>
      </c>
      <c r="Y41" s="79">
        <v>200</v>
      </c>
    </row>
    <row r="42" spans="1:25">
      <c r="A42" s="22" t="s">
        <v>296</v>
      </c>
      <c r="B42" s="23">
        <v>359885</v>
      </c>
      <c r="C42" s="24" t="s">
        <v>197</v>
      </c>
      <c r="D42" s="23">
        <v>5</v>
      </c>
      <c r="E42" s="25">
        <v>5700</v>
      </c>
      <c r="F42" s="25">
        <v>689.44</v>
      </c>
      <c r="G42" s="25">
        <v>0</v>
      </c>
      <c r="H42" s="25"/>
      <c r="I42" s="25">
        <v>2490</v>
      </c>
      <c r="J42" s="53">
        <f>2494+133</f>
        <v>2627</v>
      </c>
      <c r="K42" s="25">
        <f t="shared" ref="K42:K47" si="34">J42*0.071</f>
        <v>186.517</v>
      </c>
      <c r="L42" s="25">
        <v>0</v>
      </c>
      <c r="M42" s="25">
        <v>359.07</v>
      </c>
      <c r="N42" s="25">
        <f t="shared" si="28"/>
        <v>262.7</v>
      </c>
      <c r="O42" s="25">
        <v>26.25</v>
      </c>
      <c r="P42" s="25"/>
      <c r="Q42" s="25">
        <f t="shared" si="29"/>
        <v>48.45</v>
      </c>
      <c r="R42" s="25">
        <v>48.97</v>
      </c>
      <c r="S42" s="25">
        <v>7</v>
      </c>
      <c r="T42" s="25">
        <f t="shared" ref="T42:T47" si="35">E42-J42*0.75-K42-F42-M42-N42-O42-Q42-I42-R42</f>
        <v>-381.64699999999971</v>
      </c>
      <c r="U42" s="82"/>
      <c r="V42" s="82">
        <f t="shared" ref="V42:V47" si="36">J42*0.75</f>
        <v>1970.25</v>
      </c>
      <c r="W42" s="58">
        <v>56.49</v>
      </c>
      <c r="X42" s="78">
        <v>0</v>
      </c>
      <c r="Y42" s="78">
        <v>0</v>
      </c>
    </row>
    <row r="43" spans="1:25">
      <c r="A43" s="22" t="s">
        <v>299</v>
      </c>
      <c r="B43" s="23">
        <v>352368</v>
      </c>
      <c r="C43" s="24" t="s">
        <v>197</v>
      </c>
      <c r="D43" s="23">
        <v>5</v>
      </c>
      <c r="E43" s="25">
        <v>4100</v>
      </c>
      <c r="F43" s="25">
        <v>689.44</v>
      </c>
      <c r="G43" s="25">
        <v>0</v>
      </c>
      <c r="H43" s="25"/>
      <c r="I43" s="25">
        <v>2042.3</v>
      </c>
      <c r="J43" s="53">
        <v>2049</v>
      </c>
      <c r="K43" s="25">
        <f t="shared" si="34"/>
        <v>145.47899999999998</v>
      </c>
      <c r="L43" s="25">
        <v>0</v>
      </c>
      <c r="M43" s="25">
        <v>359.07</v>
      </c>
      <c r="N43" s="25">
        <f t="shared" si="28"/>
        <v>204.9</v>
      </c>
      <c r="O43" s="25">
        <v>26.25</v>
      </c>
      <c r="P43" s="25"/>
      <c r="Q43" s="25">
        <f t="shared" si="29"/>
        <v>34.85</v>
      </c>
      <c r="R43" s="25">
        <v>40.19</v>
      </c>
      <c r="S43" s="25">
        <v>7</v>
      </c>
      <c r="T43" s="25">
        <f t="shared" si="35"/>
        <v>-979.22899999999981</v>
      </c>
      <c r="U43" s="82"/>
      <c r="V43" s="82">
        <f t="shared" si="36"/>
        <v>1536.75</v>
      </c>
      <c r="W43" s="58">
        <v>56.49</v>
      </c>
      <c r="X43" s="78">
        <v>0</v>
      </c>
      <c r="Y43" s="78">
        <v>0</v>
      </c>
    </row>
    <row r="44" spans="1:25">
      <c r="A44" s="22" t="s">
        <v>300</v>
      </c>
      <c r="B44" s="23">
        <v>465180</v>
      </c>
      <c r="C44" s="24" t="s">
        <v>197</v>
      </c>
      <c r="D44" s="23">
        <v>6</v>
      </c>
      <c r="E44" s="25">
        <v>5850</v>
      </c>
      <c r="F44" s="25">
        <v>689.44</v>
      </c>
      <c r="G44" s="25">
        <v>0</v>
      </c>
      <c r="H44" s="25"/>
      <c r="I44" s="25">
        <v>1826.24</v>
      </c>
      <c r="J44" s="53">
        <f>2637+124</f>
        <v>2761</v>
      </c>
      <c r="K44" s="25">
        <f t="shared" si="34"/>
        <v>196.03099999999998</v>
      </c>
      <c r="L44" s="25">
        <v>0</v>
      </c>
      <c r="M44" s="25">
        <v>359.07</v>
      </c>
      <c r="N44" s="25">
        <f t="shared" si="28"/>
        <v>276.10000000000002</v>
      </c>
      <c r="O44" s="25">
        <v>26.25</v>
      </c>
      <c r="P44" s="25"/>
      <c r="Q44" s="25">
        <f t="shared" si="29"/>
        <v>49.725000000000001</v>
      </c>
      <c r="R44" s="25">
        <v>36.99</v>
      </c>
      <c r="S44" s="25">
        <v>7</v>
      </c>
      <c r="T44" s="25">
        <f t="shared" si="35"/>
        <v>319.404</v>
      </c>
      <c r="U44" s="82"/>
      <c r="V44" s="82">
        <f t="shared" si="36"/>
        <v>2070.75</v>
      </c>
      <c r="W44" s="58">
        <v>56.49</v>
      </c>
      <c r="X44" s="78">
        <v>0</v>
      </c>
      <c r="Y44" s="78">
        <v>0</v>
      </c>
    </row>
    <row r="45" spans="1:25">
      <c r="A45" s="22" t="s">
        <v>284</v>
      </c>
      <c r="B45" s="23">
        <v>352373</v>
      </c>
      <c r="C45" s="24" t="s">
        <v>197</v>
      </c>
      <c r="D45" s="23">
        <v>6</v>
      </c>
      <c r="E45" s="25">
        <v>5848</v>
      </c>
      <c r="F45" s="25">
        <v>689.44</v>
      </c>
      <c r="G45" s="25">
        <v>0</v>
      </c>
      <c r="H45" s="25"/>
      <c r="I45" s="25">
        <v>3103.46</v>
      </c>
      <c r="J45" s="53">
        <v>2996</v>
      </c>
      <c r="K45" s="25">
        <f t="shared" si="34"/>
        <v>212.71599999999998</v>
      </c>
      <c r="L45" s="25">
        <v>0</v>
      </c>
      <c r="M45" s="25">
        <v>359.07</v>
      </c>
      <c r="N45" s="25">
        <f t="shared" si="28"/>
        <v>299.60000000000002</v>
      </c>
      <c r="O45" s="25">
        <v>26.25</v>
      </c>
      <c r="P45" s="25"/>
      <c r="Q45" s="25">
        <f t="shared" si="29"/>
        <v>49.708000000000006</v>
      </c>
      <c r="R45" s="25">
        <v>68.239999999999995</v>
      </c>
      <c r="S45" s="25">
        <v>7</v>
      </c>
      <c r="T45" s="25">
        <f t="shared" si="35"/>
        <v>-1207.4840000000002</v>
      </c>
      <c r="U45" s="82"/>
      <c r="V45" s="82">
        <f t="shared" si="36"/>
        <v>2247</v>
      </c>
      <c r="W45" s="58">
        <v>40</v>
      </c>
      <c r="X45" s="78">
        <v>0</v>
      </c>
      <c r="Y45" s="78">
        <v>200</v>
      </c>
    </row>
    <row r="46" spans="1:25">
      <c r="A46" s="22" t="s">
        <v>297</v>
      </c>
      <c r="B46" s="23">
        <v>352375</v>
      </c>
      <c r="C46" s="24" t="s">
        <v>197</v>
      </c>
      <c r="D46" s="23">
        <v>7</v>
      </c>
      <c r="E46" s="25">
        <v>7000</v>
      </c>
      <c r="F46" s="25">
        <v>689.44</v>
      </c>
      <c r="G46" s="25">
        <v>0</v>
      </c>
      <c r="H46" s="25"/>
      <c r="I46" s="25">
        <v>2501.88</v>
      </c>
      <c r="J46" s="53">
        <f>2680+202</f>
        <v>2882</v>
      </c>
      <c r="K46" s="25">
        <f t="shared" si="34"/>
        <v>204.62199999999999</v>
      </c>
      <c r="L46" s="25">
        <v>0</v>
      </c>
      <c r="M46" s="25">
        <v>359.07</v>
      </c>
      <c r="N46" s="25">
        <f t="shared" si="28"/>
        <v>288.2</v>
      </c>
      <c r="O46" s="25">
        <v>26.25</v>
      </c>
      <c r="P46" s="25"/>
      <c r="Q46" s="25">
        <f t="shared" si="29"/>
        <v>59.500000000000007</v>
      </c>
      <c r="R46" s="25">
        <v>166.89</v>
      </c>
      <c r="S46" s="25">
        <v>7</v>
      </c>
      <c r="T46" s="25">
        <f t="shared" si="35"/>
        <v>542.64799999999957</v>
      </c>
      <c r="U46" s="82"/>
      <c r="V46" s="82">
        <f t="shared" si="36"/>
        <v>2161.5</v>
      </c>
      <c r="W46" s="58">
        <v>87.03</v>
      </c>
      <c r="X46" s="78">
        <v>0</v>
      </c>
      <c r="Y46" s="78">
        <v>0</v>
      </c>
    </row>
    <row r="47" spans="1:25">
      <c r="A47" s="22" t="s">
        <v>281</v>
      </c>
      <c r="B47" s="23">
        <v>352371</v>
      </c>
      <c r="C47" s="24" t="s">
        <v>197</v>
      </c>
      <c r="D47" s="23">
        <v>7</v>
      </c>
      <c r="E47" s="25">
        <v>6150</v>
      </c>
      <c r="F47" s="25">
        <v>689.44</v>
      </c>
      <c r="G47" s="25">
        <v>0</v>
      </c>
      <c r="H47" s="25"/>
      <c r="I47" s="25">
        <v>2975.14</v>
      </c>
      <c r="J47" s="53">
        <v>3329</v>
      </c>
      <c r="K47" s="25">
        <f t="shared" si="34"/>
        <v>236.35899999999998</v>
      </c>
      <c r="L47" s="25">
        <v>0</v>
      </c>
      <c r="M47" s="25">
        <v>359.07</v>
      </c>
      <c r="N47" s="25">
        <f t="shared" si="28"/>
        <v>332.90000000000003</v>
      </c>
      <c r="O47" s="25">
        <v>26.25</v>
      </c>
      <c r="P47" s="25"/>
      <c r="Q47" s="25">
        <f t="shared" si="29"/>
        <v>52.275000000000006</v>
      </c>
      <c r="R47" s="25">
        <v>27</v>
      </c>
      <c r="S47" s="25">
        <v>7</v>
      </c>
      <c r="T47" s="25">
        <f t="shared" si="35"/>
        <v>-1045.1840000000002</v>
      </c>
      <c r="U47" s="82"/>
      <c r="V47" s="82">
        <f t="shared" si="36"/>
        <v>2496.75</v>
      </c>
      <c r="W47" s="58">
        <v>58.42</v>
      </c>
      <c r="X47" s="78">
        <v>0</v>
      </c>
      <c r="Y47" s="78">
        <v>0</v>
      </c>
    </row>
    <row r="48" spans="1:25">
      <c r="A48" s="71" t="s">
        <v>89</v>
      </c>
      <c r="B48" s="72">
        <v>13</v>
      </c>
      <c r="C48" s="73" t="s">
        <v>271</v>
      </c>
      <c r="D48" s="72">
        <f>AVERAGE(D35:D47)</f>
        <v>6.0769230769230766</v>
      </c>
      <c r="E48" s="74">
        <f t="shared" ref="E48:G48" si="37">SUM(E35:E47)</f>
        <v>83375</v>
      </c>
      <c r="F48" s="74">
        <f t="shared" si="37"/>
        <v>8673.5600000000031</v>
      </c>
      <c r="G48" s="74">
        <f t="shared" si="37"/>
        <v>0</v>
      </c>
      <c r="H48" s="74"/>
      <c r="I48" s="74">
        <f>SUM(I35:I47)</f>
        <v>33788.71</v>
      </c>
      <c r="J48" s="73">
        <f>AVERAGE(J35:J47)</f>
        <v>2831</v>
      </c>
      <c r="K48" s="74">
        <f t="shared" ref="K48:O48" si="38">SUM(K35:K47)</f>
        <v>2407.3969999999995</v>
      </c>
      <c r="L48" s="74">
        <f t="shared" si="38"/>
        <v>0</v>
      </c>
      <c r="M48" s="74">
        <f t="shared" si="38"/>
        <v>4308.8400000000011</v>
      </c>
      <c r="N48" s="74">
        <f t="shared" si="38"/>
        <v>3680.2999999999997</v>
      </c>
      <c r="O48" s="74">
        <f t="shared" si="38"/>
        <v>356.25</v>
      </c>
      <c r="P48" s="74"/>
      <c r="Q48" s="74">
        <f t="shared" ref="Q48:T48" si="39">SUM(Q35:Q47)</f>
        <v>708.6875</v>
      </c>
      <c r="R48" s="74">
        <f t="shared" si="39"/>
        <v>970.06000000000006</v>
      </c>
      <c r="S48" s="74">
        <f t="shared" si="39"/>
        <v>84</v>
      </c>
      <c r="T48" s="74">
        <f t="shared" si="39"/>
        <v>-479.2945000000019</v>
      </c>
      <c r="U48" s="85"/>
      <c r="V48" s="85">
        <f t="shared" ref="V48:Y48" si="40">SUM(V35:V47)</f>
        <v>28761.59</v>
      </c>
      <c r="W48" s="74">
        <f t="shared" si="40"/>
        <v>1131.5000000000002</v>
      </c>
      <c r="X48" s="80">
        <f t="shared" si="40"/>
        <v>0</v>
      </c>
      <c r="Y48" s="80">
        <f t="shared" si="40"/>
        <v>400</v>
      </c>
    </row>
    <row r="50" spans="1:22">
      <c r="A50" s="457" t="s">
        <v>301</v>
      </c>
      <c r="B50" s="458"/>
      <c r="C50" s="458"/>
      <c r="D50" s="458"/>
      <c r="E50" s="458"/>
      <c r="F50" s="458"/>
      <c r="G50" s="458"/>
      <c r="H50" s="458"/>
      <c r="I50" s="458"/>
      <c r="J50" s="458"/>
      <c r="K50" s="458"/>
      <c r="L50" s="458"/>
      <c r="M50" s="458"/>
      <c r="N50" s="458"/>
      <c r="O50" s="458"/>
      <c r="P50" s="458"/>
      <c r="Q50" s="458"/>
      <c r="R50" s="458"/>
      <c r="S50" s="458"/>
      <c r="T50" s="458"/>
      <c r="U50" s="458"/>
      <c r="V50" s="459"/>
    </row>
    <row r="51" spans="1:22">
      <c r="A51" s="1" t="s">
        <v>0</v>
      </c>
      <c r="B51" s="2" t="s">
        <v>1</v>
      </c>
      <c r="C51" s="2" t="s">
        <v>183</v>
      </c>
      <c r="D51" s="2" t="s">
        <v>3</v>
      </c>
      <c r="E51" s="2" t="s">
        <v>2</v>
      </c>
      <c r="F51" s="2" t="s">
        <v>7</v>
      </c>
      <c r="G51" s="2" t="s">
        <v>9</v>
      </c>
      <c r="H51" s="2"/>
      <c r="I51" s="2" t="s">
        <v>4</v>
      </c>
      <c r="J51" s="2" t="s">
        <v>5</v>
      </c>
      <c r="K51" s="2" t="s">
        <v>12</v>
      </c>
      <c r="L51" s="2" t="s">
        <v>184</v>
      </c>
      <c r="M51" s="2" t="s">
        <v>108</v>
      </c>
      <c r="N51" s="2" t="s">
        <v>8</v>
      </c>
      <c r="O51" s="12" t="s">
        <v>185</v>
      </c>
      <c r="P51" s="2"/>
      <c r="Q51" s="2" t="s">
        <v>13</v>
      </c>
      <c r="R51" s="14" t="s">
        <v>98</v>
      </c>
      <c r="S51" s="81" t="s">
        <v>257</v>
      </c>
      <c r="T51" s="14" t="s">
        <v>287</v>
      </c>
      <c r="U51" s="14"/>
      <c r="V51" s="14" t="s">
        <v>288</v>
      </c>
    </row>
    <row r="52" spans="1:22">
      <c r="A52" s="22" t="s">
        <v>258</v>
      </c>
      <c r="B52" s="23">
        <v>465182</v>
      </c>
      <c r="C52" s="24" t="s">
        <v>251</v>
      </c>
      <c r="D52" s="23">
        <v>6</v>
      </c>
      <c r="E52" s="25">
        <v>9100</v>
      </c>
      <c r="F52" s="25">
        <v>3756.8</v>
      </c>
      <c r="G52" s="23">
        <v>4242</v>
      </c>
      <c r="H52" s="25"/>
      <c r="I52" s="25">
        <v>789.51</v>
      </c>
      <c r="J52" s="25">
        <v>359.07</v>
      </c>
      <c r="K52" s="25">
        <f t="shared" ref="K52:K66" si="41">G52*0.1</f>
        <v>424.20000000000005</v>
      </c>
      <c r="L52" s="25">
        <v>26.25</v>
      </c>
      <c r="M52" s="25">
        <f t="shared" ref="M52:M66" si="42">E52*0.0085</f>
        <v>77.350000000000009</v>
      </c>
      <c r="N52" s="25">
        <v>165.37</v>
      </c>
      <c r="O52" s="25">
        <v>7</v>
      </c>
      <c r="P52" s="23"/>
      <c r="Q52" s="25">
        <f>E52-G52*0.8-I52-J52-K52-L52-M52-F52-N52</f>
        <v>107.8499999999998</v>
      </c>
      <c r="R52" s="58">
        <f>G52*0.8</f>
        <v>3393.6000000000004</v>
      </c>
      <c r="S52" s="58">
        <v>214.79</v>
      </c>
      <c r="T52" s="78">
        <v>0</v>
      </c>
      <c r="U52" s="78"/>
      <c r="V52" s="78">
        <v>0</v>
      </c>
    </row>
    <row r="53" spans="1:22">
      <c r="A53" s="22" t="s">
        <v>223</v>
      </c>
      <c r="B53" s="23">
        <v>465183</v>
      </c>
      <c r="C53" s="24" t="s">
        <v>197</v>
      </c>
      <c r="D53" s="23">
        <v>6</v>
      </c>
      <c r="E53" s="25">
        <v>6249</v>
      </c>
      <c r="F53" s="25">
        <v>2809.07</v>
      </c>
      <c r="G53" s="23">
        <v>2956</v>
      </c>
      <c r="H53" s="25"/>
      <c r="I53" s="25">
        <v>789.51</v>
      </c>
      <c r="J53" s="25">
        <v>359.07</v>
      </c>
      <c r="K53" s="25">
        <f t="shared" si="41"/>
        <v>295.60000000000002</v>
      </c>
      <c r="L53" s="25">
        <v>40</v>
      </c>
      <c r="M53" s="25">
        <f t="shared" si="42"/>
        <v>53.116500000000002</v>
      </c>
      <c r="N53" s="25">
        <v>64.069999999999993</v>
      </c>
      <c r="O53" s="25">
        <v>7</v>
      </c>
      <c r="P53" s="23"/>
      <c r="Q53" s="25">
        <f t="shared" ref="Q53:Q54" si="43">E53-G53*0.75-I53-J53-K53-L53-M53-F53-N53</f>
        <v>-378.43650000000054</v>
      </c>
      <c r="R53" s="58">
        <f t="shared" ref="R53:R55" si="44">G53*0.75</f>
        <v>2217</v>
      </c>
      <c r="S53" s="58">
        <v>164.07</v>
      </c>
      <c r="T53" s="78">
        <v>0</v>
      </c>
      <c r="U53" s="78"/>
      <c r="V53" s="78">
        <v>0</v>
      </c>
    </row>
    <row r="54" spans="1:22">
      <c r="A54" s="22" t="s">
        <v>220</v>
      </c>
      <c r="B54" s="23">
        <v>465185</v>
      </c>
      <c r="C54" s="24" t="s">
        <v>197</v>
      </c>
      <c r="D54" s="23">
        <v>5</v>
      </c>
      <c r="E54" s="25">
        <v>5083</v>
      </c>
      <c r="F54" s="25">
        <v>2237.31</v>
      </c>
      <c r="G54" s="23">
        <v>1706</v>
      </c>
      <c r="H54" s="25"/>
      <c r="I54" s="25">
        <v>789.51</v>
      </c>
      <c r="J54" s="25">
        <v>359.07</v>
      </c>
      <c r="K54" s="25">
        <f t="shared" si="41"/>
        <v>170.60000000000002</v>
      </c>
      <c r="L54" s="25">
        <v>40</v>
      </c>
      <c r="M54" s="25">
        <f t="shared" si="42"/>
        <v>43.205500000000001</v>
      </c>
      <c r="N54" s="25">
        <v>88.21</v>
      </c>
      <c r="O54" s="25">
        <v>7</v>
      </c>
      <c r="P54" s="23"/>
      <c r="Q54" s="25">
        <f t="shared" si="43"/>
        <v>75.594499999999741</v>
      </c>
      <c r="R54" s="58">
        <f t="shared" si="44"/>
        <v>1279.5</v>
      </c>
      <c r="S54" s="58">
        <v>128.44</v>
      </c>
      <c r="T54" s="78">
        <v>0</v>
      </c>
      <c r="U54" s="78"/>
      <c r="V54" s="78">
        <v>0</v>
      </c>
    </row>
    <row r="55" spans="1:22">
      <c r="A55" s="22" t="s">
        <v>247</v>
      </c>
      <c r="B55" s="23">
        <v>352376</v>
      </c>
      <c r="C55" s="24" t="s">
        <v>197</v>
      </c>
      <c r="D55" s="23">
        <v>5</v>
      </c>
      <c r="E55" s="25">
        <v>5663</v>
      </c>
      <c r="F55" s="25">
        <v>2464.69</v>
      </c>
      <c r="G55" s="23">
        <v>2227</v>
      </c>
      <c r="H55" s="25"/>
      <c r="I55" s="25">
        <v>689.44</v>
      </c>
      <c r="J55" s="25">
        <v>359.07</v>
      </c>
      <c r="K55" s="25">
        <f t="shared" si="41"/>
        <v>222.70000000000002</v>
      </c>
      <c r="L55" s="25">
        <v>26.25</v>
      </c>
      <c r="M55" s="25">
        <f t="shared" si="42"/>
        <v>48.1355</v>
      </c>
      <c r="N55" s="25"/>
      <c r="O55" s="25">
        <v>7</v>
      </c>
      <c r="P55" s="23"/>
      <c r="Q55" s="25">
        <f t="shared" ref="Q55:Q58" si="45">E55-G55*0.8-I55-J55-K55-L55-M55-F55-N55</f>
        <v>71.11449999999968</v>
      </c>
      <c r="R55" s="58">
        <f t="shared" si="44"/>
        <v>1670.25</v>
      </c>
      <c r="S55" s="58">
        <v>86.82</v>
      </c>
      <c r="T55" s="78">
        <v>0</v>
      </c>
      <c r="U55" s="78"/>
      <c r="V55" s="78">
        <v>100</v>
      </c>
    </row>
    <row r="56" spans="1:22">
      <c r="A56" s="22" t="s">
        <v>218</v>
      </c>
      <c r="B56" s="23">
        <v>352374</v>
      </c>
      <c r="C56" s="24" t="s">
        <v>251</v>
      </c>
      <c r="D56" s="23">
        <v>7</v>
      </c>
      <c r="E56" s="25">
        <v>10100</v>
      </c>
      <c r="F56" s="25">
        <v>4822.99</v>
      </c>
      <c r="G56" s="23">
        <v>5061</v>
      </c>
      <c r="H56" s="25"/>
      <c r="I56" s="25">
        <v>689.44</v>
      </c>
      <c r="J56" s="25">
        <v>359.07</v>
      </c>
      <c r="K56" s="25">
        <f t="shared" si="41"/>
        <v>506.1</v>
      </c>
      <c r="L56" s="25">
        <v>40</v>
      </c>
      <c r="M56" s="25">
        <f t="shared" si="42"/>
        <v>85.850000000000009</v>
      </c>
      <c r="N56" s="25">
        <v>64.13</v>
      </c>
      <c r="O56" s="25">
        <v>7</v>
      </c>
      <c r="P56" s="23"/>
      <c r="Q56" s="25">
        <f t="shared" si="45"/>
        <v>-516.38</v>
      </c>
      <c r="R56" s="58">
        <f t="shared" ref="R56:R57" si="46">G56*0.8</f>
        <v>4048.8</v>
      </c>
      <c r="S56" s="58">
        <v>234.19</v>
      </c>
      <c r="T56" s="78">
        <v>0</v>
      </c>
      <c r="U56" s="78"/>
      <c r="V56" s="78">
        <v>0</v>
      </c>
    </row>
    <row r="57" spans="1:22">
      <c r="A57" s="22" t="s">
        <v>224</v>
      </c>
      <c r="B57" s="23">
        <v>465187</v>
      </c>
      <c r="C57" s="24" t="s">
        <v>251</v>
      </c>
      <c r="D57" s="23">
        <v>7</v>
      </c>
      <c r="E57" s="25">
        <v>7600</v>
      </c>
      <c r="F57" s="25">
        <v>2591.86</v>
      </c>
      <c r="G57" s="23">
        <v>3486</v>
      </c>
      <c r="H57" s="25"/>
      <c r="I57" s="25">
        <v>789.51</v>
      </c>
      <c r="J57" s="25">
        <v>359.07</v>
      </c>
      <c r="K57" s="25">
        <f t="shared" si="41"/>
        <v>348.6</v>
      </c>
      <c r="L57" s="25">
        <v>40</v>
      </c>
      <c r="M57" s="25">
        <f t="shared" si="42"/>
        <v>64.600000000000009</v>
      </c>
      <c r="N57" s="25">
        <v>117.31</v>
      </c>
      <c r="O57" s="25">
        <v>7</v>
      </c>
      <c r="P57" s="23"/>
      <c r="Q57" s="25">
        <f t="shared" si="45"/>
        <v>500.24999999999949</v>
      </c>
      <c r="R57" s="58">
        <f t="shared" si="46"/>
        <v>2788.8</v>
      </c>
      <c r="S57" s="58">
        <v>54.75</v>
      </c>
      <c r="T57" s="78">
        <v>0</v>
      </c>
      <c r="U57" s="78"/>
      <c r="V57" s="78">
        <v>0</v>
      </c>
    </row>
    <row r="58" spans="1:22">
      <c r="A58" s="22" t="s">
        <v>260</v>
      </c>
      <c r="B58" s="23">
        <v>465181</v>
      </c>
      <c r="C58" s="24" t="s">
        <v>251</v>
      </c>
      <c r="D58" s="23">
        <v>6</v>
      </c>
      <c r="E58" s="25">
        <v>5500</v>
      </c>
      <c r="F58" s="25">
        <v>2381.65</v>
      </c>
      <c r="G58" s="23">
        <v>3202</v>
      </c>
      <c r="H58" s="25"/>
      <c r="I58" s="25">
        <v>789.51</v>
      </c>
      <c r="J58" s="25">
        <v>359.07</v>
      </c>
      <c r="K58" s="25">
        <f t="shared" si="41"/>
        <v>320.20000000000005</v>
      </c>
      <c r="L58" s="25">
        <v>26.25</v>
      </c>
      <c r="M58" s="25">
        <f t="shared" si="42"/>
        <v>46.75</v>
      </c>
      <c r="N58" s="25"/>
      <c r="O58" s="25">
        <v>7</v>
      </c>
      <c r="P58" s="23"/>
      <c r="Q58" s="25">
        <f t="shared" si="45"/>
        <v>-985.03000000000065</v>
      </c>
      <c r="R58" s="58">
        <f>G58*0.75</f>
        <v>2401.5</v>
      </c>
      <c r="S58" s="58">
        <v>142.69999999999999</v>
      </c>
      <c r="T58" s="78">
        <v>0</v>
      </c>
      <c r="U58" s="78"/>
      <c r="V58" s="78">
        <v>0</v>
      </c>
    </row>
    <row r="59" spans="1:22">
      <c r="A59" s="59" t="s">
        <v>261</v>
      </c>
      <c r="B59" s="60">
        <v>1650</v>
      </c>
      <c r="C59" s="61" t="s">
        <v>262</v>
      </c>
      <c r="D59" s="60">
        <v>4</v>
      </c>
      <c r="E59" s="62">
        <v>2700</v>
      </c>
      <c r="F59" s="62">
        <v>1044.8499999999999</v>
      </c>
      <c r="G59" s="60">
        <v>1229</v>
      </c>
      <c r="H59" s="62"/>
      <c r="I59" s="62">
        <v>0</v>
      </c>
      <c r="J59" s="62">
        <v>0</v>
      </c>
      <c r="K59" s="62">
        <f t="shared" si="41"/>
        <v>122.9</v>
      </c>
      <c r="L59" s="62">
        <v>0</v>
      </c>
      <c r="M59" s="62">
        <f t="shared" si="42"/>
        <v>22.950000000000003</v>
      </c>
      <c r="N59" s="62"/>
      <c r="O59" s="62">
        <v>0</v>
      </c>
      <c r="P59" s="60"/>
      <c r="Q59" s="62">
        <f>E59*0.18-K59-M59</f>
        <v>340.15000000000003</v>
      </c>
      <c r="R59" s="86">
        <f>E59*0.82-F59</f>
        <v>1169.1500000000001</v>
      </c>
      <c r="S59" s="86">
        <v>19.96</v>
      </c>
      <c r="T59" s="79">
        <v>0</v>
      </c>
      <c r="U59" s="79"/>
      <c r="V59" s="79">
        <v>200</v>
      </c>
    </row>
    <row r="60" spans="1:22">
      <c r="A60" s="22" t="s">
        <v>296</v>
      </c>
      <c r="B60" s="23">
        <v>359885</v>
      </c>
      <c r="C60" s="24" t="s">
        <v>197</v>
      </c>
      <c r="D60" s="23">
        <v>7</v>
      </c>
      <c r="E60" s="25">
        <v>4740</v>
      </c>
      <c r="F60" s="25">
        <v>2532.7800000000002</v>
      </c>
      <c r="G60" s="23">
        <v>2279</v>
      </c>
      <c r="H60" s="25"/>
      <c r="I60" s="25">
        <v>689.44</v>
      </c>
      <c r="J60" s="25">
        <v>359.07</v>
      </c>
      <c r="K60" s="25">
        <f t="shared" si="41"/>
        <v>227.9</v>
      </c>
      <c r="L60" s="25">
        <v>26.25</v>
      </c>
      <c r="M60" s="25">
        <f t="shared" si="42"/>
        <v>40.290000000000006</v>
      </c>
      <c r="N60" s="25"/>
      <c r="O60" s="25">
        <v>7</v>
      </c>
      <c r="P60" s="23"/>
      <c r="Q60" s="25">
        <f t="shared" ref="Q60:Q66" si="47">E60-G60*0.75-I60-J60-K60-L60-M60-F60-N60</f>
        <v>-844.98000000000025</v>
      </c>
      <c r="R60" s="58">
        <f t="shared" ref="R60:R66" si="48">G60*0.75</f>
        <v>1709.25</v>
      </c>
      <c r="S60" s="58">
        <v>112.81</v>
      </c>
      <c r="T60" s="78">
        <v>0</v>
      </c>
      <c r="U60" s="78"/>
      <c r="V60" s="78">
        <v>0</v>
      </c>
    </row>
    <row r="61" spans="1:22">
      <c r="A61" s="22" t="s">
        <v>299</v>
      </c>
      <c r="B61" s="23">
        <v>352368</v>
      </c>
      <c r="C61" s="24" t="s">
        <v>197</v>
      </c>
      <c r="D61" s="23">
        <v>7</v>
      </c>
      <c r="E61" s="25">
        <v>5500</v>
      </c>
      <c r="F61" s="25">
        <v>2293.39</v>
      </c>
      <c r="G61" s="23">
        <v>2310</v>
      </c>
      <c r="H61" s="25"/>
      <c r="I61" s="25">
        <v>689.44</v>
      </c>
      <c r="J61" s="25">
        <v>359.07</v>
      </c>
      <c r="K61" s="25">
        <f t="shared" si="41"/>
        <v>231</v>
      </c>
      <c r="L61" s="25">
        <v>26.25</v>
      </c>
      <c r="M61" s="25">
        <f t="shared" si="42"/>
        <v>46.75</v>
      </c>
      <c r="N61" s="25"/>
      <c r="O61" s="25">
        <v>7</v>
      </c>
      <c r="P61" s="23"/>
      <c r="Q61" s="25">
        <f t="shared" si="47"/>
        <v>121.59999999999991</v>
      </c>
      <c r="R61" s="58">
        <f t="shared" si="48"/>
        <v>1732.5</v>
      </c>
      <c r="S61" s="58">
        <v>39.68</v>
      </c>
      <c r="T61" s="78">
        <v>400</v>
      </c>
      <c r="U61" s="78"/>
      <c r="V61" s="78">
        <v>0</v>
      </c>
    </row>
    <row r="62" spans="1:22">
      <c r="A62" s="22" t="s">
        <v>300</v>
      </c>
      <c r="B62" s="23">
        <v>465180</v>
      </c>
      <c r="C62" s="24" t="s">
        <v>197</v>
      </c>
      <c r="D62" s="23">
        <v>6</v>
      </c>
      <c r="E62" s="25">
        <v>5250</v>
      </c>
      <c r="F62" s="25">
        <v>3557.78</v>
      </c>
      <c r="G62" s="23">
        <v>2988</v>
      </c>
      <c r="H62" s="25"/>
      <c r="I62" s="25">
        <v>789.51</v>
      </c>
      <c r="J62" s="25">
        <v>359.07</v>
      </c>
      <c r="K62" s="25">
        <f t="shared" si="41"/>
        <v>298.8</v>
      </c>
      <c r="L62" s="25">
        <v>26.25</v>
      </c>
      <c r="M62" s="25">
        <f t="shared" si="42"/>
        <v>44.625</v>
      </c>
      <c r="N62" s="25"/>
      <c r="O62" s="25">
        <v>7</v>
      </c>
      <c r="P62" s="23"/>
      <c r="Q62" s="25">
        <f t="shared" si="47"/>
        <v>-2067.0350000000003</v>
      </c>
      <c r="R62" s="58">
        <f t="shared" si="48"/>
        <v>2241</v>
      </c>
      <c r="S62" s="58">
        <v>247.55</v>
      </c>
      <c r="T62" s="78">
        <v>0</v>
      </c>
      <c r="U62" s="78"/>
      <c r="V62" s="78">
        <v>0</v>
      </c>
    </row>
    <row r="63" spans="1:22">
      <c r="A63" s="22" t="s">
        <v>284</v>
      </c>
      <c r="B63" s="23">
        <v>352372</v>
      </c>
      <c r="C63" s="24" t="s">
        <v>197</v>
      </c>
      <c r="D63" s="23">
        <v>7</v>
      </c>
      <c r="E63" s="25">
        <v>6600</v>
      </c>
      <c r="F63" s="25">
        <v>2478.0100000000002</v>
      </c>
      <c r="G63" s="23">
        <v>3040</v>
      </c>
      <c r="H63" s="25"/>
      <c r="I63" s="25">
        <v>689.44</v>
      </c>
      <c r="J63" s="25">
        <v>359.07</v>
      </c>
      <c r="K63" s="25">
        <f t="shared" si="41"/>
        <v>304</v>
      </c>
      <c r="L63" s="25">
        <v>26.25</v>
      </c>
      <c r="M63" s="25">
        <f t="shared" si="42"/>
        <v>56.1</v>
      </c>
      <c r="N63" s="25">
        <v>50.99</v>
      </c>
      <c r="O63" s="25">
        <v>7</v>
      </c>
      <c r="P63" s="23"/>
      <c r="Q63" s="25">
        <f t="shared" si="47"/>
        <v>356.13999999999965</v>
      </c>
      <c r="R63" s="58">
        <f t="shared" si="48"/>
        <v>2280</v>
      </c>
      <c r="S63" s="58">
        <v>73.14</v>
      </c>
      <c r="T63" s="78">
        <v>0</v>
      </c>
      <c r="U63" s="78"/>
      <c r="V63" s="78">
        <v>0</v>
      </c>
    </row>
    <row r="64" spans="1:22">
      <c r="A64" s="22" t="s">
        <v>297</v>
      </c>
      <c r="B64" s="23">
        <v>352375</v>
      </c>
      <c r="C64" s="24" t="s">
        <v>197</v>
      </c>
      <c r="D64" s="23">
        <v>2</v>
      </c>
      <c r="E64" s="25">
        <v>1700</v>
      </c>
      <c r="F64" s="25">
        <v>1258.1600000000001</v>
      </c>
      <c r="G64" s="23">
        <v>666</v>
      </c>
      <c r="H64" s="25"/>
      <c r="I64" s="25">
        <v>689.44</v>
      </c>
      <c r="J64" s="25">
        <v>359.07</v>
      </c>
      <c r="K64" s="25">
        <f t="shared" si="41"/>
        <v>66.600000000000009</v>
      </c>
      <c r="L64" s="25">
        <v>26.25</v>
      </c>
      <c r="M64" s="25">
        <f t="shared" si="42"/>
        <v>14.450000000000001</v>
      </c>
      <c r="N64" s="25">
        <v>48.66</v>
      </c>
      <c r="O64" s="25">
        <v>7</v>
      </c>
      <c r="P64" s="23"/>
      <c r="Q64" s="25">
        <f t="shared" si="47"/>
        <v>-1262.1300000000003</v>
      </c>
      <c r="R64" s="58">
        <f t="shared" si="48"/>
        <v>499.5</v>
      </c>
      <c r="S64" s="58">
        <v>52.18</v>
      </c>
      <c r="T64" s="78">
        <v>0</v>
      </c>
      <c r="U64" s="78"/>
      <c r="V64" s="78">
        <v>0</v>
      </c>
    </row>
    <row r="65" spans="1:22">
      <c r="A65" s="22" t="s">
        <v>281</v>
      </c>
      <c r="B65" s="23">
        <v>352371</v>
      </c>
      <c r="C65" s="24" t="s">
        <v>197</v>
      </c>
      <c r="D65" s="23">
        <v>1</v>
      </c>
      <c r="E65" s="25">
        <v>1100</v>
      </c>
      <c r="F65" s="25">
        <v>778.63</v>
      </c>
      <c r="G65" s="23">
        <v>454</v>
      </c>
      <c r="H65" s="25"/>
      <c r="I65" s="25">
        <v>689.44</v>
      </c>
      <c r="J65" s="25">
        <v>359.07</v>
      </c>
      <c r="K65" s="25">
        <f t="shared" si="41"/>
        <v>45.400000000000006</v>
      </c>
      <c r="L65" s="25">
        <v>26.25</v>
      </c>
      <c r="M65" s="25">
        <f t="shared" si="42"/>
        <v>9.3500000000000014</v>
      </c>
      <c r="N65" s="25">
        <v>25.55</v>
      </c>
      <c r="O65" s="25">
        <v>7</v>
      </c>
      <c r="P65" s="23"/>
      <c r="Q65" s="25">
        <f t="shared" si="47"/>
        <v>-1174.19</v>
      </c>
      <c r="R65" s="58">
        <f t="shared" si="48"/>
        <v>340.5</v>
      </c>
      <c r="S65" s="58">
        <v>13.66</v>
      </c>
      <c r="T65" s="78">
        <v>0</v>
      </c>
      <c r="U65" s="78"/>
      <c r="V65" s="78">
        <v>0</v>
      </c>
    </row>
    <row r="66" spans="1:22">
      <c r="A66" s="22" t="s">
        <v>302</v>
      </c>
      <c r="B66" s="23">
        <v>465189</v>
      </c>
      <c r="C66" s="24" t="s">
        <v>197</v>
      </c>
      <c r="D66" s="23">
        <v>4</v>
      </c>
      <c r="E66" s="25">
        <v>5130</v>
      </c>
      <c r="F66" s="25">
        <v>1580.74</v>
      </c>
      <c r="G66" s="23">
        <v>1570</v>
      </c>
      <c r="H66" s="25"/>
      <c r="I66" s="25">
        <v>789.51</v>
      </c>
      <c r="J66" s="25">
        <v>359.07</v>
      </c>
      <c r="K66" s="25">
        <f t="shared" si="41"/>
        <v>157</v>
      </c>
      <c r="L66" s="25">
        <v>26.25</v>
      </c>
      <c r="M66" s="25">
        <f t="shared" si="42"/>
        <v>43.605000000000004</v>
      </c>
      <c r="N66" s="25">
        <v>319.83999999999997</v>
      </c>
      <c r="O66" s="25">
        <v>7</v>
      </c>
      <c r="P66" s="23"/>
      <c r="Q66" s="25">
        <f t="shared" si="47"/>
        <v>676.48499999999967</v>
      </c>
      <c r="R66" s="58">
        <f t="shared" si="48"/>
        <v>1177.5</v>
      </c>
      <c r="S66" s="58">
        <v>91.29</v>
      </c>
      <c r="T66" s="78">
        <v>0</v>
      </c>
      <c r="U66" s="78"/>
      <c r="V66" s="78">
        <v>0</v>
      </c>
    </row>
    <row r="67" spans="1:22">
      <c r="A67" s="71" t="s">
        <v>89</v>
      </c>
      <c r="B67" s="72">
        <v>15</v>
      </c>
      <c r="C67" s="73" t="s">
        <v>271</v>
      </c>
      <c r="D67" s="73">
        <f>AVERAGE(D52:D66)</f>
        <v>5.333333333333333</v>
      </c>
      <c r="E67" s="74">
        <f t="shared" ref="E67:F67" si="49">SUM(E52:E66)</f>
        <v>82015</v>
      </c>
      <c r="F67" s="74">
        <f t="shared" si="49"/>
        <v>36588.71</v>
      </c>
      <c r="G67" s="73">
        <f>AVERAGE(G52:G66)</f>
        <v>2494.4</v>
      </c>
      <c r="H67" s="74"/>
      <c r="I67" s="74">
        <f t="shared" ref="I67:O67" si="50">SUM(I52:I66)</f>
        <v>10352.650000000003</v>
      </c>
      <c r="J67" s="74">
        <f t="shared" si="50"/>
        <v>5026.9800000000005</v>
      </c>
      <c r="K67" s="74">
        <f t="shared" si="50"/>
        <v>3741.6000000000004</v>
      </c>
      <c r="L67" s="74">
        <f t="shared" si="50"/>
        <v>422.5</v>
      </c>
      <c r="M67" s="74">
        <f t="shared" si="50"/>
        <v>697.12750000000017</v>
      </c>
      <c r="N67" s="74">
        <f t="shared" si="50"/>
        <v>944.12999999999988</v>
      </c>
      <c r="O67" s="74">
        <f t="shared" si="50"/>
        <v>98</v>
      </c>
      <c r="P67" s="74"/>
      <c r="Q67" s="74">
        <f t="shared" ref="Q67:T67" si="51">SUM(Q52:Q66)</f>
        <v>-4978.997500000004</v>
      </c>
      <c r="R67" s="74">
        <f t="shared" si="51"/>
        <v>28948.850000000002</v>
      </c>
      <c r="S67" s="74">
        <f t="shared" si="51"/>
        <v>1676.0300000000002</v>
      </c>
      <c r="T67" s="74">
        <f t="shared" si="51"/>
        <v>400</v>
      </c>
      <c r="U67" s="74"/>
      <c r="V67" s="74">
        <f>SUM(V52:V66)</f>
        <v>300</v>
      </c>
    </row>
  </sheetData>
  <mergeCells count="4">
    <mergeCell ref="A1:W1"/>
    <mergeCell ref="A17:W17"/>
    <mergeCell ref="A33:Y33"/>
    <mergeCell ref="A50:V5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W127"/>
  <sheetViews>
    <sheetView workbookViewId="0"/>
  </sheetViews>
  <sheetFormatPr baseColWidth="10" defaultColWidth="12.6640625" defaultRowHeight="15.75" customHeight="1"/>
  <sheetData>
    <row r="1" spans="1:23">
      <c r="A1" s="457" t="s">
        <v>303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9"/>
    </row>
    <row r="2" spans="1:23">
      <c r="A2" s="1" t="s">
        <v>0</v>
      </c>
      <c r="B2" s="2" t="s">
        <v>1</v>
      </c>
      <c r="C2" s="2" t="s">
        <v>183</v>
      </c>
      <c r="D2" s="2" t="s">
        <v>3</v>
      </c>
      <c r="E2" s="2" t="s">
        <v>2</v>
      </c>
      <c r="F2" s="2" t="s">
        <v>7</v>
      </c>
      <c r="G2" s="2" t="s">
        <v>9</v>
      </c>
      <c r="H2" s="2"/>
      <c r="I2" s="2" t="s">
        <v>4</v>
      </c>
      <c r="J2" s="2" t="s">
        <v>5</v>
      </c>
      <c r="K2" s="2" t="s">
        <v>12</v>
      </c>
      <c r="L2" s="2" t="s">
        <v>184</v>
      </c>
      <c r="M2" s="2" t="s">
        <v>108</v>
      </c>
      <c r="N2" s="2" t="s">
        <v>8</v>
      </c>
      <c r="O2" s="12" t="s">
        <v>185</v>
      </c>
      <c r="P2" s="2"/>
      <c r="Q2" s="2" t="s">
        <v>13</v>
      </c>
      <c r="R2" s="14" t="s">
        <v>98</v>
      </c>
      <c r="S2" s="81" t="s">
        <v>257</v>
      </c>
      <c r="T2" s="14" t="s">
        <v>287</v>
      </c>
      <c r="U2" s="14"/>
      <c r="V2" s="14" t="s">
        <v>288</v>
      </c>
    </row>
    <row r="3" spans="1:23">
      <c r="A3" s="22" t="s">
        <v>258</v>
      </c>
      <c r="B3" s="23">
        <v>465182</v>
      </c>
      <c r="C3" s="24" t="s">
        <v>251</v>
      </c>
      <c r="D3" s="23">
        <v>7</v>
      </c>
      <c r="E3" s="25">
        <v>8200</v>
      </c>
      <c r="F3" s="25">
        <v>2370</v>
      </c>
      <c r="G3" s="53">
        <v>3523</v>
      </c>
      <c r="H3" s="25"/>
      <c r="I3" s="25">
        <v>789.51</v>
      </c>
      <c r="J3" s="25">
        <v>359.07</v>
      </c>
      <c r="K3" s="25">
        <f t="shared" ref="K3:K16" si="0">G3*0.1</f>
        <v>352.3</v>
      </c>
      <c r="L3" s="25">
        <v>26.25</v>
      </c>
      <c r="M3" s="25">
        <f t="shared" ref="M3:M16" si="1">E3*0.0085</f>
        <v>69.7</v>
      </c>
      <c r="N3" s="25">
        <v>272.97000000000003</v>
      </c>
      <c r="O3" s="25">
        <v>7</v>
      </c>
      <c r="P3" s="23"/>
      <c r="Q3" s="25">
        <f t="shared" ref="Q3:Q5" si="2">E3-G3*0.8-I3-J3-K3-L3-M3-F3-N3+S3</f>
        <v>1281.1300000000003</v>
      </c>
      <c r="R3" s="58">
        <f t="shared" ref="R3:R5" si="3">G3*0.8</f>
        <v>2818.4</v>
      </c>
      <c r="S3" s="58">
        <v>139.33000000000001</v>
      </c>
      <c r="T3" s="78">
        <v>400</v>
      </c>
      <c r="U3" s="78"/>
      <c r="V3" s="78">
        <v>0</v>
      </c>
    </row>
    <row r="4" spans="1:23">
      <c r="A4" s="22" t="s">
        <v>223</v>
      </c>
      <c r="B4" s="23">
        <v>465183</v>
      </c>
      <c r="C4" s="24" t="s">
        <v>251</v>
      </c>
      <c r="D4" s="23">
        <v>7</v>
      </c>
      <c r="E4" s="25">
        <v>8700</v>
      </c>
      <c r="F4" s="25">
        <v>2519.36</v>
      </c>
      <c r="G4" s="23">
        <v>3869</v>
      </c>
      <c r="H4" s="25"/>
      <c r="I4" s="25">
        <v>789.51</v>
      </c>
      <c r="J4" s="25">
        <v>359.07</v>
      </c>
      <c r="K4" s="25">
        <f t="shared" si="0"/>
        <v>386.90000000000003</v>
      </c>
      <c r="L4" s="25">
        <v>40</v>
      </c>
      <c r="M4" s="25">
        <f t="shared" si="1"/>
        <v>73.95</v>
      </c>
      <c r="N4" s="25">
        <v>73.64</v>
      </c>
      <c r="O4" s="25">
        <v>7</v>
      </c>
      <c r="P4" s="23"/>
      <c r="Q4" s="25">
        <f t="shared" si="2"/>
        <v>1513.6499999999992</v>
      </c>
      <c r="R4" s="58">
        <f t="shared" si="3"/>
        <v>3095.2000000000003</v>
      </c>
      <c r="S4" s="58">
        <v>151.28</v>
      </c>
      <c r="T4" s="78">
        <v>0</v>
      </c>
      <c r="U4" s="78"/>
      <c r="V4" s="78">
        <v>0</v>
      </c>
    </row>
    <row r="5" spans="1:23">
      <c r="A5" s="22" t="s">
        <v>220</v>
      </c>
      <c r="B5" s="23">
        <v>465185</v>
      </c>
      <c r="C5" s="24" t="s">
        <v>251</v>
      </c>
      <c r="D5" s="23">
        <v>7</v>
      </c>
      <c r="E5" s="25">
        <v>13400</v>
      </c>
      <c r="F5" s="25">
        <v>4006.91</v>
      </c>
      <c r="G5" s="23">
        <v>5771</v>
      </c>
      <c r="H5" s="25"/>
      <c r="I5" s="25">
        <v>789.51</v>
      </c>
      <c r="J5" s="25">
        <v>359.07</v>
      </c>
      <c r="K5" s="25">
        <f t="shared" si="0"/>
        <v>577.1</v>
      </c>
      <c r="L5" s="25">
        <v>40</v>
      </c>
      <c r="M5" s="25">
        <f t="shared" si="1"/>
        <v>113.9</v>
      </c>
      <c r="N5" s="25">
        <v>4</v>
      </c>
      <c r="O5" s="25">
        <v>7</v>
      </c>
      <c r="P5" s="23"/>
      <c r="Q5" s="25">
        <f t="shared" si="2"/>
        <v>3117.8300000000008</v>
      </c>
      <c r="R5" s="58">
        <f t="shared" si="3"/>
        <v>4616.8</v>
      </c>
      <c r="S5" s="58">
        <v>225.12</v>
      </c>
      <c r="T5" s="78">
        <v>0</v>
      </c>
      <c r="U5" s="78"/>
      <c r="V5" s="78">
        <v>0</v>
      </c>
    </row>
    <row r="6" spans="1:23">
      <c r="A6" s="22" t="s">
        <v>247</v>
      </c>
      <c r="B6" s="23">
        <v>352376</v>
      </c>
      <c r="C6" s="24" t="s">
        <v>197</v>
      </c>
      <c r="D6" s="23">
        <v>4</v>
      </c>
      <c r="E6" s="25">
        <v>3600</v>
      </c>
      <c r="F6" s="25">
        <v>2090.91</v>
      </c>
      <c r="G6" s="53">
        <v>2284</v>
      </c>
      <c r="H6" s="25"/>
      <c r="I6" s="25">
        <v>689.44</v>
      </c>
      <c r="J6" s="25">
        <v>359.07</v>
      </c>
      <c r="K6" s="25">
        <f t="shared" si="0"/>
        <v>228.4</v>
      </c>
      <c r="L6" s="25">
        <v>26.25</v>
      </c>
      <c r="M6" s="25">
        <f t="shared" si="1"/>
        <v>30.6</v>
      </c>
      <c r="N6" s="25">
        <v>0</v>
      </c>
      <c r="O6" s="25">
        <v>7</v>
      </c>
      <c r="P6" s="23"/>
      <c r="Q6" s="25">
        <f>E6-G6*0.75-I6-J6-K6-L6-M6-F6-N6+S6</f>
        <v>-1435.8799999999999</v>
      </c>
      <c r="R6" s="58">
        <f>G6*0.75</f>
        <v>1713</v>
      </c>
      <c r="S6" s="58">
        <v>101.79</v>
      </c>
      <c r="T6" s="78">
        <v>0</v>
      </c>
      <c r="U6" s="78"/>
      <c r="V6" s="78">
        <v>0</v>
      </c>
    </row>
    <row r="7" spans="1:23">
      <c r="A7" s="22" t="s">
        <v>218</v>
      </c>
      <c r="B7" s="23">
        <v>352374</v>
      </c>
      <c r="C7" s="24" t="s">
        <v>251</v>
      </c>
      <c r="D7" s="23">
        <v>2</v>
      </c>
      <c r="E7" s="25">
        <v>2850</v>
      </c>
      <c r="F7" s="25">
        <v>632.11</v>
      </c>
      <c r="G7" s="23">
        <v>1103</v>
      </c>
      <c r="H7" s="25"/>
      <c r="I7" s="25">
        <v>689.44</v>
      </c>
      <c r="J7" s="25">
        <v>359.07</v>
      </c>
      <c r="K7" s="25">
        <f t="shared" si="0"/>
        <v>110.30000000000001</v>
      </c>
      <c r="L7" s="25">
        <v>40</v>
      </c>
      <c r="M7" s="25">
        <f t="shared" si="1"/>
        <v>24.225000000000001</v>
      </c>
      <c r="N7" s="25">
        <v>30.04</v>
      </c>
      <c r="O7" s="25">
        <v>7</v>
      </c>
      <c r="P7" s="23"/>
      <c r="Q7" s="25">
        <f t="shared" ref="Q7:Q9" si="4">E7-G7*0.8-I7-J7-K7-L7-M7-F7-N7+S7</f>
        <v>122.16499999999994</v>
      </c>
      <c r="R7" s="58">
        <f t="shared" ref="R7:R9" si="5">G7*0.8</f>
        <v>882.40000000000009</v>
      </c>
      <c r="S7" s="58">
        <v>39.75</v>
      </c>
      <c r="T7" s="78">
        <v>0</v>
      </c>
      <c r="U7" s="78"/>
      <c r="V7" s="78">
        <v>0</v>
      </c>
    </row>
    <row r="8" spans="1:23">
      <c r="A8" s="22" t="s">
        <v>260</v>
      </c>
      <c r="B8" s="23">
        <v>465181</v>
      </c>
      <c r="C8" s="24" t="s">
        <v>251</v>
      </c>
      <c r="D8" s="23">
        <v>7</v>
      </c>
      <c r="E8" s="25">
        <v>10301</v>
      </c>
      <c r="F8" s="25">
        <v>3245.36</v>
      </c>
      <c r="G8" s="53">
        <v>3976</v>
      </c>
      <c r="H8" s="25"/>
      <c r="I8" s="25">
        <v>789.51</v>
      </c>
      <c r="J8" s="25">
        <v>359.07</v>
      </c>
      <c r="K8" s="25">
        <f t="shared" si="0"/>
        <v>397.6</v>
      </c>
      <c r="L8" s="25">
        <v>26.25</v>
      </c>
      <c r="M8" s="25">
        <f t="shared" si="1"/>
        <v>87.558500000000009</v>
      </c>
      <c r="N8" s="25">
        <v>7</v>
      </c>
      <c r="O8" s="25">
        <v>7</v>
      </c>
      <c r="P8" s="23"/>
      <c r="Q8" s="25">
        <f t="shared" si="4"/>
        <v>2397.6714999999995</v>
      </c>
      <c r="R8" s="58">
        <f t="shared" si="5"/>
        <v>3180.8</v>
      </c>
      <c r="S8" s="58">
        <v>189.82</v>
      </c>
      <c r="T8" s="78">
        <v>0</v>
      </c>
      <c r="U8" s="78"/>
      <c r="V8" s="78">
        <v>0</v>
      </c>
    </row>
    <row r="9" spans="1:23">
      <c r="A9" s="22" t="s">
        <v>224</v>
      </c>
      <c r="B9" s="23">
        <v>465187</v>
      </c>
      <c r="C9" s="24" t="s">
        <v>251</v>
      </c>
      <c r="D9" s="23">
        <v>4</v>
      </c>
      <c r="E9" s="25">
        <v>3500</v>
      </c>
      <c r="F9" s="25">
        <v>880.76</v>
      </c>
      <c r="G9" s="23">
        <v>743</v>
      </c>
      <c r="H9" s="25"/>
      <c r="I9" s="25">
        <v>789.51</v>
      </c>
      <c r="J9" s="25">
        <v>359.07</v>
      </c>
      <c r="K9" s="25">
        <f t="shared" si="0"/>
        <v>74.3</v>
      </c>
      <c r="L9" s="25">
        <v>40</v>
      </c>
      <c r="M9" s="25">
        <f t="shared" si="1"/>
        <v>29.750000000000004</v>
      </c>
      <c r="N9" s="25">
        <v>29.2</v>
      </c>
      <c r="O9" s="25">
        <v>7</v>
      </c>
      <c r="P9" s="23"/>
      <c r="Q9" s="25">
        <f t="shared" si="4"/>
        <v>735.17000000000019</v>
      </c>
      <c r="R9" s="58">
        <f t="shared" si="5"/>
        <v>594.4</v>
      </c>
      <c r="S9" s="58">
        <v>32.159999999999997</v>
      </c>
      <c r="T9" s="78">
        <v>0</v>
      </c>
      <c r="U9" s="78"/>
      <c r="V9" s="78">
        <v>0</v>
      </c>
    </row>
    <row r="10" spans="1:23">
      <c r="A10" s="22" t="s">
        <v>296</v>
      </c>
      <c r="B10" s="23">
        <v>359885</v>
      </c>
      <c r="C10" s="24" t="s">
        <v>197</v>
      </c>
      <c r="D10" s="23">
        <v>5</v>
      </c>
      <c r="E10" s="25">
        <v>5850</v>
      </c>
      <c r="F10" s="25">
        <v>2821.49</v>
      </c>
      <c r="G10" s="53">
        <v>2469</v>
      </c>
      <c r="H10" s="25"/>
      <c r="I10" s="25">
        <v>689.44</v>
      </c>
      <c r="J10" s="25">
        <v>359.07</v>
      </c>
      <c r="K10" s="25">
        <f t="shared" si="0"/>
        <v>246.9</v>
      </c>
      <c r="L10" s="25">
        <v>26.25</v>
      </c>
      <c r="M10" s="25">
        <f t="shared" si="1"/>
        <v>49.725000000000001</v>
      </c>
      <c r="N10" s="25">
        <v>229.1</v>
      </c>
      <c r="O10" s="25">
        <v>7</v>
      </c>
      <c r="P10" s="23"/>
      <c r="Q10" s="25">
        <f t="shared" ref="Q10:Q14" si="6">E10-G10*0.75-I10-J10-K10-L10-M10-F10-N10+S10</f>
        <v>-354.53500000000003</v>
      </c>
      <c r="R10" s="58">
        <f t="shared" ref="R10:R14" si="7">G10*0.75</f>
        <v>1851.75</v>
      </c>
      <c r="S10" s="58">
        <v>69.19</v>
      </c>
      <c r="T10" s="78">
        <v>400</v>
      </c>
      <c r="U10" s="78"/>
      <c r="V10" s="78">
        <v>0</v>
      </c>
    </row>
    <row r="11" spans="1:23">
      <c r="A11" s="22" t="s">
        <v>299</v>
      </c>
      <c r="B11" s="23">
        <v>352368</v>
      </c>
      <c r="C11" s="24" t="s">
        <v>197</v>
      </c>
      <c r="D11" s="23">
        <v>7</v>
      </c>
      <c r="E11" s="25">
        <v>16200</v>
      </c>
      <c r="F11" s="25">
        <v>3662.07</v>
      </c>
      <c r="G11" s="23">
        <v>6742</v>
      </c>
      <c r="H11" s="25"/>
      <c r="I11" s="25">
        <v>689.44</v>
      </c>
      <c r="J11" s="25">
        <v>359.07</v>
      </c>
      <c r="K11" s="25">
        <f t="shared" si="0"/>
        <v>674.2</v>
      </c>
      <c r="L11" s="25">
        <v>26.25</v>
      </c>
      <c r="M11" s="25">
        <f t="shared" si="1"/>
        <v>137.70000000000002</v>
      </c>
      <c r="N11" s="25">
        <v>0</v>
      </c>
      <c r="O11" s="25">
        <v>7</v>
      </c>
      <c r="P11" s="23"/>
      <c r="Q11" s="25">
        <f t="shared" si="6"/>
        <v>5649.7799999999988</v>
      </c>
      <c r="R11" s="58">
        <f t="shared" si="7"/>
        <v>5056.5</v>
      </c>
      <c r="S11" s="58">
        <v>55.01</v>
      </c>
      <c r="T11" s="78">
        <v>0</v>
      </c>
      <c r="U11" s="78"/>
      <c r="V11" s="78">
        <v>0</v>
      </c>
    </row>
    <row r="12" spans="1:23">
      <c r="A12" s="22" t="s">
        <v>300</v>
      </c>
      <c r="B12" s="23">
        <v>465180</v>
      </c>
      <c r="C12" s="24" t="s">
        <v>197</v>
      </c>
      <c r="D12" s="23">
        <v>5</v>
      </c>
      <c r="E12" s="25">
        <v>5300</v>
      </c>
      <c r="F12" s="25">
        <v>1967.96</v>
      </c>
      <c r="G12" s="53">
        <v>2498</v>
      </c>
      <c r="H12" s="25"/>
      <c r="I12" s="25">
        <v>789.51</v>
      </c>
      <c r="J12" s="25">
        <v>359.07</v>
      </c>
      <c r="K12" s="25">
        <f t="shared" si="0"/>
        <v>249.8</v>
      </c>
      <c r="L12" s="25">
        <v>26.25</v>
      </c>
      <c r="M12" s="25">
        <f t="shared" si="1"/>
        <v>45.050000000000004</v>
      </c>
      <c r="N12" s="25">
        <v>95.49</v>
      </c>
      <c r="O12" s="25">
        <v>7</v>
      </c>
      <c r="P12" s="23"/>
      <c r="Q12" s="25">
        <f t="shared" si="6"/>
        <v>19.719999999999672</v>
      </c>
      <c r="R12" s="58">
        <f t="shared" si="7"/>
        <v>1873.5</v>
      </c>
      <c r="S12" s="58">
        <v>126.35</v>
      </c>
      <c r="T12" s="78">
        <v>200</v>
      </c>
      <c r="U12" s="78"/>
      <c r="V12" s="78">
        <v>0</v>
      </c>
    </row>
    <row r="13" spans="1:23">
      <c r="A13" s="22" t="s">
        <v>268</v>
      </c>
      <c r="B13" s="23">
        <v>465184</v>
      </c>
      <c r="C13" s="24" t="s">
        <v>197</v>
      </c>
      <c r="D13" s="23">
        <v>7</v>
      </c>
      <c r="E13" s="25">
        <v>7500</v>
      </c>
      <c r="F13" s="25">
        <v>2996.29</v>
      </c>
      <c r="G13" s="53">
        <v>3164</v>
      </c>
      <c r="H13" s="25"/>
      <c r="I13" s="25">
        <v>789.51</v>
      </c>
      <c r="J13" s="25">
        <v>359.07</v>
      </c>
      <c r="K13" s="25">
        <f t="shared" si="0"/>
        <v>316.40000000000003</v>
      </c>
      <c r="L13" s="25">
        <v>26.25</v>
      </c>
      <c r="M13" s="25">
        <f t="shared" si="1"/>
        <v>63.750000000000007</v>
      </c>
      <c r="N13" s="25">
        <v>0</v>
      </c>
      <c r="O13" s="25">
        <v>7</v>
      </c>
      <c r="P13" s="23"/>
      <c r="Q13" s="25">
        <f t="shared" si="6"/>
        <v>631.13999999999953</v>
      </c>
      <c r="R13" s="58">
        <f t="shared" si="7"/>
        <v>2373</v>
      </c>
      <c r="S13" s="58">
        <v>55.41</v>
      </c>
      <c r="T13" s="78">
        <v>400</v>
      </c>
      <c r="U13" s="78"/>
      <c r="V13" s="78">
        <v>0</v>
      </c>
    </row>
    <row r="14" spans="1:23">
      <c r="A14" s="22" t="s">
        <v>297</v>
      </c>
      <c r="B14" s="23">
        <v>352375</v>
      </c>
      <c r="C14" s="24" t="s">
        <v>197</v>
      </c>
      <c r="D14" s="23">
        <v>4</v>
      </c>
      <c r="E14" s="25">
        <v>7770</v>
      </c>
      <c r="F14" s="25">
        <v>1951.54</v>
      </c>
      <c r="G14" s="53">
        <v>3327</v>
      </c>
      <c r="H14" s="25"/>
      <c r="I14" s="25">
        <v>689.44</v>
      </c>
      <c r="J14" s="25">
        <v>359.07</v>
      </c>
      <c r="K14" s="25">
        <f t="shared" si="0"/>
        <v>332.70000000000005</v>
      </c>
      <c r="L14" s="25">
        <v>26.25</v>
      </c>
      <c r="M14" s="25">
        <f t="shared" si="1"/>
        <v>66.045000000000002</v>
      </c>
      <c r="N14" s="25">
        <v>41.55</v>
      </c>
      <c r="O14" s="25">
        <v>7</v>
      </c>
      <c r="P14" s="23"/>
      <c r="Q14" s="25">
        <f t="shared" si="6"/>
        <v>1902.0349999999999</v>
      </c>
      <c r="R14" s="58">
        <f t="shared" si="7"/>
        <v>2495.25</v>
      </c>
      <c r="S14" s="58">
        <v>93.88</v>
      </c>
      <c r="T14" s="78">
        <v>0</v>
      </c>
      <c r="U14" s="78"/>
      <c r="V14" s="78">
        <v>0</v>
      </c>
    </row>
    <row r="15" spans="1:23">
      <c r="A15" s="22" t="s">
        <v>304</v>
      </c>
      <c r="B15" s="23">
        <v>465186</v>
      </c>
      <c r="C15" s="24" t="s">
        <v>305</v>
      </c>
      <c r="D15" s="23">
        <v>3</v>
      </c>
      <c r="E15" s="25">
        <v>2600</v>
      </c>
      <c r="F15" s="25">
        <v>982.08</v>
      </c>
      <c r="G15" s="23">
        <v>1212</v>
      </c>
      <c r="H15" s="25"/>
      <c r="I15" s="25">
        <v>789.51</v>
      </c>
      <c r="J15" s="25">
        <v>359.07</v>
      </c>
      <c r="K15" s="25">
        <f t="shared" si="0"/>
        <v>121.2</v>
      </c>
      <c r="L15" s="25">
        <v>26.25</v>
      </c>
      <c r="M15" s="25">
        <f t="shared" si="1"/>
        <v>22.1</v>
      </c>
      <c r="N15" s="25">
        <v>7</v>
      </c>
      <c r="O15" s="25">
        <v>7</v>
      </c>
      <c r="P15" s="23"/>
      <c r="Q15" s="25">
        <f>E15-G15*0.65-I15-J15-K15-L15-M15-F15-N15+S15</f>
        <v>-465.4100000000002</v>
      </c>
      <c r="R15" s="58">
        <f>G15*0.65</f>
        <v>787.80000000000007</v>
      </c>
      <c r="S15" s="58">
        <v>29.6</v>
      </c>
      <c r="T15" s="78">
        <v>0</v>
      </c>
      <c r="U15" s="78"/>
      <c r="V15" s="78">
        <v>0</v>
      </c>
    </row>
    <row r="16" spans="1:23">
      <c r="A16" s="22" t="s">
        <v>284</v>
      </c>
      <c r="B16" s="23">
        <v>352372</v>
      </c>
      <c r="C16" s="24" t="s">
        <v>197</v>
      </c>
      <c r="D16" s="23">
        <v>0</v>
      </c>
      <c r="E16" s="25">
        <v>0</v>
      </c>
      <c r="F16" s="25">
        <v>627.75</v>
      </c>
      <c r="G16" s="23">
        <v>638</v>
      </c>
      <c r="H16" s="25"/>
      <c r="I16" s="25">
        <v>689.44</v>
      </c>
      <c r="J16" s="25">
        <v>359.07</v>
      </c>
      <c r="K16" s="25">
        <f t="shared" si="0"/>
        <v>63.800000000000004</v>
      </c>
      <c r="L16" s="25">
        <v>26.25</v>
      </c>
      <c r="M16" s="25">
        <f t="shared" si="1"/>
        <v>0</v>
      </c>
      <c r="N16" s="25">
        <v>18.399999999999999</v>
      </c>
      <c r="O16" s="25">
        <v>7</v>
      </c>
      <c r="P16" s="23"/>
      <c r="Q16" s="25">
        <f>E16-G16*0.75-I16-J16-K16-$L$16-$M$16-$F$16-$N$16+S16</f>
        <v>-2251.59</v>
      </c>
      <c r="R16" s="58">
        <f t="shared" ref="R16:R22" si="8">G16*0.75</f>
        <v>478.5</v>
      </c>
      <c r="S16" s="58">
        <v>11.62</v>
      </c>
      <c r="T16" s="78">
        <v>0</v>
      </c>
      <c r="U16" s="78"/>
      <c r="V16" s="78">
        <v>0</v>
      </c>
      <c r="W16" s="87"/>
    </row>
    <row r="17" spans="1:22">
      <c r="A17" s="88" t="s">
        <v>306</v>
      </c>
      <c r="B17" s="89">
        <v>352371</v>
      </c>
      <c r="C17" s="90" t="s">
        <v>197</v>
      </c>
      <c r="D17" s="89">
        <v>0</v>
      </c>
      <c r="E17" s="91">
        <v>0</v>
      </c>
      <c r="F17" s="91">
        <v>0</v>
      </c>
      <c r="G17" s="89">
        <v>0</v>
      </c>
      <c r="H17" s="91"/>
      <c r="I17" s="91"/>
      <c r="J17" s="91">
        <v>359.07</v>
      </c>
      <c r="K17" s="91">
        <v>0</v>
      </c>
      <c r="L17" s="91">
        <v>0</v>
      </c>
      <c r="M17" s="91">
        <v>0</v>
      </c>
      <c r="N17" s="91">
        <v>0</v>
      </c>
      <c r="O17" s="91">
        <v>7</v>
      </c>
      <c r="P17" s="89"/>
      <c r="Q17" s="91">
        <f t="shared" ref="Q17:Q21" si="9">E17-G17*0.75-I17-J17-K17-$L$16-$M$16-$F$16-$N$16</f>
        <v>-1031.47</v>
      </c>
      <c r="R17" s="92">
        <f t="shared" si="8"/>
        <v>0</v>
      </c>
      <c r="S17" s="92"/>
      <c r="T17" s="93">
        <v>0</v>
      </c>
      <c r="U17" s="93"/>
      <c r="V17" s="93">
        <v>0</v>
      </c>
    </row>
    <row r="18" spans="1:22">
      <c r="A18" s="88" t="s">
        <v>306</v>
      </c>
      <c r="B18" s="89">
        <v>352373</v>
      </c>
      <c r="C18" s="90" t="s">
        <v>197</v>
      </c>
      <c r="D18" s="89">
        <v>0</v>
      </c>
      <c r="E18" s="91">
        <v>0</v>
      </c>
      <c r="F18" s="91">
        <v>0</v>
      </c>
      <c r="G18" s="89">
        <v>0</v>
      </c>
      <c r="H18" s="91"/>
      <c r="I18" s="91"/>
      <c r="J18" s="91">
        <v>359.07</v>
      </c>
      <c r="K18" s="91">
        <v>0</v>
      </c>
      <c r="L18" s="91">
        <v>0</v>
      </c>
      <c r="M18" s="91">
        <v>0</v>
      </c>
      <c r="N18" s="91">
        <v>0</v>
      </c>
      <c r="O18" s="91">
        <v>7</v>
      </c>
      <c r="P18" s="89"/>
      <c r="Q18" s="91">
        <f t="shared" si="9"/>
        <v>-1031.47</v>
      </c>
      <c r="R18" s="92">
        <f t="shared" si="8"/>
        <v>0</v>
      </c>
      <c r="S18" s="92"/>
      <c r="T18" s="93">
        <v>0</v>
      </c>
      <c r="U18" s="93"/>
      <c r="V18" s="93">
        <v>0</v>
      </c>
    </row>
    <row r="19" spans="1:22">
      <c r="A19" s="88" t="s">
        <v>306</v>
      </c>
      <c r="B19" s="89">
        <v>352377</v>
      </c>
      <c r="C19" s="90" t="s">
        <v>197</v>
      </c>
      <c r="D19" s="89">
        <v>0</v>
      </c>
      <c r="E19" s="91">
        <v>0</v>
      </c>
      <c r="F19" s="91">
        <v>0</v>
      </c>
      <c r="G19" s="89">
        <v>0</v>
      </c>
      <c r="H19" s="91"/>
      <c r="I19" s="91"/>
      <c r="J19" s="91">
        <v>359.07</v>
      </c>
      <c r="K19" s="91">
        <v>0</v>
      </c>
      <c r="L19" s="91">
        <v>0</v>
      </c>
      <c r="M19" s="91">
        <v>0</v>
      </c>
      <c r="N19" s="91">
        <v>0</v>
      </c>
      <c r="O19" s="91">
        <v>7</v>
      </c>
      <c r="P19" s="89"/>
      <c r="Q19" s="91">
        <f t="shared" si="9"/>
        <v>-1031.47</v>
      </c>
      <c r="R19" s="92">
        <f t="shared" si="8"/>
        <v>0</v>
      </c>
      <c r="S19" s="92"/>
      <c r="T19" s="93">
        <v>0</v>
      </c>
      <c r="U19" s="93"/>
      <c r="V19" s="93">
        <v>0</v>
      </c>
    </row>
    <row r="20" spans="1:22">
      <c r="A20" s="88" t="s">
        <v>306</v>
      </c>
      <c r="B20" s="89">
        <v>465189</v>
      </c>
      <c r="C20" s="90" t="s">
        <v>197</v>
      </c>
      <c r="D20" s="89">
        <v>0</v>
      </c>
      <c r="E20" s="91">
        <v>0</v>
      </c>
      <c r="F20" s="91">
        <v>0</v>
      </c>
      <c r="G20" s="89">
        <v>0</v>
      </c>
      <c r="H20" s="91"/>
      <c r="I20" s="91"/>
      <c r="J20" s="91">
        <v>359.07</v>
      </c>
      <c r="K20" s="91">
        <v>0</v>
      </c>
      <c r="L20" s="91">
        <v>0</v>
      </c>
      <c r="M20" s="91">
        <v>0</v>
      </c>
      <c r="N20" s="91">
        <v>0</v>
      </c>
      <c r="O20" s="91">
        <v>7</v>
      </c>
      <c r="P20" s="89"/>
      <c r="Q20" s="91">
        <f t="shared" si="9"/>
        <v>-1031.47</v>
      </c>
      <c r="R20" s="92">
        <f t="shared" si="8"/>
        <v>0</v>
      </c>
      <c r="S20" s="92"/>
      <c r="T20" s="93">
        <v>0</v>
      </c>
      <c r="U20" s="93"/>
      <c r="V20" s="93">
        <v>0</v>
      </c>
    </row>
    <row r="21" spans="1:22">
      <c r="A21" s="88" t="s">
        <v>306</v>
      </c>
      <c r="B21" s="89">
        <v>359886</v>
      </c>
      <c r="C21" s="90" t="s">
        <v>197</v>
      </c>
      <c r="D21" s="89">
        <v>0</v>
      </c>
      <c r="E21" s="91">
        <v>0</v>
      </c>
      <c r="F21" s="91">
        <v>0</v>
      </c>
      <c r="G21" s="89">
        <v>0</v>
      </c>
      <c r="H21" s="91"/>
      <c r="I21" s="91"/>
      <c r="J21" s="91">
        <v>359.07</v>
      </c>
      <c r="K21" s="91">
        <v>0</v>
      </c>
      <c r="L21" s="91">
        <v>0</v>
      </c>
      <c r="M21" s="91">
        <v>0</v>
      </c>
      <c r="N21" s="91">
        <v>0</v>
      </c>
      <c r="O21" s="91">
        <v>7</v>
      </c>
      <c r="P21" s="89"/>
      <c r="Q21" s="91">
        <f t="shared" si="9"/>
        <v>-1031.47</v>
      </c>
      <c r="R21" s="92">
        <f t="shared" si="8"/>
        <v>0</v>
      </c>
      <c r="S21" s="92"/>
      <c r="T21" s="93">
        <v>0</v>
      </c>
      <c r="U21" s="93"/>
      <c r="V21" s="93">
        <v>0</v>
      </c>
    </row>
    <row r="22" spans="1:22">
      <c r="A22" s="88" t="s">
        <v>306</v>
      </c>
      <c r="B22" s="89">
        <v>465188</v>
      </c>
      <c r="C22" s="90" t="s">
        <v>197</v>
      </c>
      <c r="D22" s="89">
        <v>0</v>
      </c>
      <c r="E22" s="91">
        <v>0</v>
      </c>
      <c r="F22" s="91">
        <v>0</v>
      </c>
      <c r="G22" s="89">
        <v>0</v>
      </c>
      <c r="H22" s="91"/>
      <c r="I22" s="91"/>
      <c r="J22" s="91">
        <v>359.07</v>
      </c>
      <c r="K22" s="91">
        <v>0</v>
      </c>
      <c r="L22" s="91">
        <v>0</v>
      </c>
      <c r="M22" s="91">
        <v>0</v>
      </c>
      <c r="N22" s="91">
        <v>0</v>
      </c>
      <c r="O22" s="91">
        <v>7</v>
      </c>
      <c r="P22" s="89"/>
      <c r="Q22" s="91">
        <f>E22-G22*0.75-I22-J22-K22-L22-M22-F22-N22</f>
        <v>-359.07</v>
      </c>
      <c r="R22" s="92">
        <f t="shared" si="8"/>
        <v>0</v>
      </c>
      <c r="S22" s="92"/>
      <c r="T22" s="93">
        <v>0</v>
      </c>
      <c r="U22" s="93"/>
      <c r="V22" s="93">
        <v>0</v>
      </c>
    </row>
    <row r="23" spans="1:22">
      <c r="A23" s="71" t="s">
        <v>89</v>
      </c>
      <c r="B23" s="72">
        <v>14</v>
      </c>
      <c r="C23" s="73" t="s">
        <v>271</v>
      </c>
      <c r="D23" s="73">
        <f>AVERAGE(D3:D22)</f>
        <v>3.45</v>
      </c>
      <c r="E23" s="74">
        <f t="shared" ref="E23:F23" si="10">SUM(E3:E22)</f>
        <v>95771</v>
      </c>
      <c r="F23" s="74">
        <f t="shared" si="10"/>
        <v>30754.590000000004</v>
      </c>
      <c r="G23" s="73">
        <f>AVERAGE(G3:G22)</f>
        <v>2065.9499999999998</v>
      </c>
      <c r="H23" s="74"/>
      <c r="I23" s="74">
        <f t="shared" ref="I23:O23" si="11">SUM(I3:I22)</f>
        <v>10452.720000000003</v>
      </c>
      <c r="J23" s="74">
        <f t="shared" si="11"/>
        <v>7181.3999999999987</v>
      </c>
      <c r="K23" s="74">
        <f t="shared" si="11"/>
        <v>4131.9000000000015</v>
      </c>
      <c r="L23" s="74">
        <f t="shared" si="11"/>
        <v>422.5</v>
      </c>
      <c r="M23" s="74">
        <f t="shared" si="11"/>
        <v>814.0535000000001</v>
      </c>
      <c r="N23" s="74">
        <f t="shared" si="11"/>
        <v>808.39</v>
      </c>
      <c r="O23" s="74">
        <f t="shared" si="11"/>
        <v>140</v>
      </c>
      <c r="P23" s="74"/>
      <c r="Q23" s="74">
        <f t="shared" ref="Q23:T23" si="12">SUM(Q3:Q22)</f>
        <v>7346.4564999999993</v>
      </c>
      <c r="R23" s="74">
        <f t="shared" si="12"/>
        <v>31817.300000000003</v>
      </c>
      <c r="S23" s="74">
        <f t="shared" si="12"/>
        <v>1320.3099999999995</v>
      </c>
      <c r="T23" s="74">
        <f t="shared" si="12"/>
        <v>1400</v>
      </c>
      <c r="U23" s="74"/>
      <c r="V23" s="74">
        <f>SUM(V3:V22)</f>
        <v>0</v>
      </c>
    </row>
    <row r="26" spans="1:22" ht="15.75" customHeight="1">
      <c r="G26" s="94"/>
    </row>
    <row r="27" spans="1:22">
      <c r="A27" s="457" t="s">
        <v>307</v>
      </c>
      <c r="B27" s="458"/>
      <c r="C27" s="458"/>
      <c r="D27" s="458"/>
      <c r="E27" s="458"/>
      <c r="F27" s="458"/>
      <c r="G27" s="458"/>
      <c r="H27" s="458"/>
      <c r="I27" s="458"/>
      <c r="J27" s="458"/>
      <c r="K27" s="458"/>
      <c r="L27" s="458"/>
      <c r="M27" s="458"/>
      <c r="N27" s="458"/>
      <c r="O27" s="458"/>
      <c r="P27" s="458"/>
      <c r="Q27" s="458"/>
      <c r="R27" s="458"/>
      <c r="S27" s="458"/>
      <c r="T27" s="458"/>
      <c r="U27" s="458"/>
      <c r="V27" s="459"/>
    </row>
    <row r="28" spans="1:22">
      <c r="A28" s="95" t="s">
        <v>0</v>
      </c>
      <c r="B28" s="96" t="s">
        <v>1</v>
      </c>
      <c r="C28" s="96" t="s">
        <v>3</v>
      </c>
      <c r="D28" s="96" t="s">
        <v>2</v>
      </c>
      <c r="E28" s="96" t="s">
        <v>9</v>
      </c>
      <c r="F28" s="96" t="s">
        <v>7</v>
      </c>
      <c r="G28" s="96" t="s">
        <v>8</v>
      </c>
      <c r="H28" s="96"/>
      <c r="I28" s="97" t="s">
        <v>287</v>
      </c>
      <c r="J28" s="97" t="s">
        <v>288</v>
      </c>
      <c r="K28" s="98" t="s">
        <v>257</v>
      </c>
      <c r="L28" s="96" t="s">
        <v>108</v>
      </c>
      <c r="M28" s="96" t="s">
        <v>13</v>
      </c>
      <c r="N28" s="97" t="s">
        <v>98</v>
      </c>
      <c r="O28" s="99" t="s">
        <v>185</v>
      </c>
      <c r="P28" s="96"/>
      <c r="Q28" s="96" t="s">
        <v>4</v>
      </c>
      <c r="R28" s="96" t="s">
        <v>5</v>
      </c>
      <c r="S28" s="96" t="s">
        <v>12</v>
      </c>
      <c r="T28" s="96" t="s">
        <v>184</v>
      </c>
      <c r="U28" s="96"/>
      <c r="V28" s="96" t="s">
        <v>183</v>
      </c>
    </row>
    <row r="29" spans="1:22">
      <c r="A29" s="100" t="s">
        <v>308</v>
      </c>
      <c r="B29" s="101">
        <v>352368</v>
      </c>
      <c r="C29" s="102" t="s">
        <v>309</v>
      </c>
      <c r="D29" s="103">
        <v>2000</v>
      </c>
      <c r="E29" s="102" t="s">
        <v>310</v>
      </c>
      <c r="F29" s="103">
        <v>3045.3</v>
      </c>
      <c r="G29" s="103">
        <v>362.1</v>
      </c>
      <c r="H29" s="103"/>
      <c r="I29" s="103"/>
      <c r="J29" s="103"/>
      <c r="K29" s="103">
        <v>52.34</v>
      </c>
      <c r="L29" s="103">
        <f t="shared" ref="L29:L48" si="13">D29*0.0085</f>
        <v>17</v>
      </c>
      <c r="M29" s="103">
        <f t="shared" ref="M29:M48" si="14">D29-F29-G29-T29-S29-R29-Q29-N29+K29</f>
        <v>-3374.17</v>
      </c>
      <c r="N29" s="103">
        <f t="shared" ref="N29:N48" si="15">E29*V29</f>
        <v>833.25</v>
      </c>
      <c r="O29" s="104">
        <v>7</v>
      </c>
      <c r="P29" s="104"/>
      <c r="Q29" s="104">
        <v>689.44</v>
      </c>
      <c r="R29" s="104">
        <v>359.07</v>
      </c>
      <c r="S29" s="103">
        <f t="shared" ref="S29:S48" si="16">E29*0.1</f>
        <v>111.10000000000001</v>
      </c>
      <c r="T29" s="104">
        <v>26.25</v>
      </c>
      <c r="U29" s="105"/>
      <c r="V29" s="105">
        <v>0.75</v>
      </c>
    </row>
    <row r="30" spans="1:22">
      <c r="A30" s="100"/>
      <c r="B30" s="101">
        <v>352371</v>
      </c>
      <c r="C30" s="102"/>
      <c r="D30" s="103"/>
      <c r="E30" s="102"/>
      <c r="F30" s="103"/>
      <c r="G30" s="103"/>
      <c r="H30" s="103"/>
      <c r="I30" s="103"/>
      <c r="J30" s="103"/>
      <c r="K30" s="103"/>
      <c r="L30" s="103">
        <f t="shared" si="13"/>
        <v>0</v>
      </c>
      <c r="M30" s="103">
        <f t="shared" si="14"/>
        <v>-1048.51</v>
      </c>
      <c r="N30" s="103">
        <f t="shared" si="15"/>
        <v>0</v>
      </c>
      <c r="O30" s="104">
        <v>7</v>
      </c>
      <c r="P30" s="104"/>
      <c r="Q30" s="104">
        <v>689.44</v>
      </c>
      <c r="R30" s="104">
        <v>359.07</v>
      </c>
      <c r="S30" s="103">
        <f t="shared" si="16"/>
        <v>0</v>
      </c>
      <c r="T30" s="104"/>
      <c r="U30" s="105"/>
      <c r="V30" s="105">
        <v>0.75</v>
      </c>
    </row>
    <row r="31" spans="1:22">
      <c r="A31" s="101"/>
      <c r="B31" s="101">
        <v>352372</v>
      </c>
      <c r="C31" s="102"/>
      <c r="D31" s="103"/>
      <c r="E31" s="102"/>
      <c r="F31" s="103"/>
      <c r="G31" s="103"/>
      <c r="H31" s="103"/>
      <c r="I31" s="103"/>
      <c r="J31" s="103"/>
      <c r="K31" s="103"/>
      <c r="L31" s="103">
        <f t="shared" si="13"/>
        <v>0</v>
      </c>
      <c r="M31" s="103">
        <f t="shared" si="14"/>
        <v>-1074.76</v>
      </c>
      <c r="N31" s="103">
        <f t="shared" si="15"/>
        <v>0</v>
      </c>
      <c r="O31" s="104">
        <v>7</v>
      </c>
      <c r="P31" s="104"/>
      <c r="Q31" s="104">
        <v>689.44</v>
      </c>
      <c r="R31" s="104">
        <v>359.07</v>
      </c>
      <c r="S31" s="103">
        <f t="shared" si="16"/>
        <v>0</v>
      </c>
      <c r="T31" s="104">
        <v>26.25</v>
      </c>
      <c r="U31" s="105"/>
      <c r="V31" s="105">
        <v>0.75</v>
      </c>
    </row>
    <row r="32" spans="1:22">
      <c r="A32" s="101"/>
      <c r="B32" s="101">
        <v>352373</v>
      </c>
      <c r="C32" s="102"/>
      <c r="D32" s="103"/>
      <c r="E32" s="102"/>
      <c r="F32" s="103"/>
      <c r="G32" s="103"/>
      <c r="H32" s="103"/>
      <c r="I32" s="103"/>
      <c r="J32" s="103"/>
      <c r="K32" s="103"/>
      <c r="L32" s="103">
        <f t="shared" si="13"/>
        <v>0</v>
      </c>
      <c r="M32" s="103">
        <f t="shared" si="14"/>
        <v>-1048.51</v>
      </c>
      <c r="N32" s="103">
        <f t="shared" si="15"/>
        <v>0</v>
      </c>
      <c r="O32" s="104">
        <v>7</v>
      </c>
      <c r="P32" s="104"/>
      <c r="Q32" s="104">
        <v>689.44</v>
      </c>
      <c r="R32" s="104">
        <v>359.07</v>
      </c>
      <c r="S32" s="103">
        <f t="shared" si="16"/>
        <v>0</v>
      </c>
      <c r="T32" s="104"/>
      <c r="U32" s="105"/>
      <c r="V32" s="105">
        <v>0.75</v>
      </c>
    </row>
    <row r="33" spans="1:22">
      <c r="A33" s="101" t="s">
        <v>191</v>
      </c>
      <c r="B33" s="101">
        <v>352374</v>
      </c>
      <c r="C33" s="102" t="s">
        <v>311</v>
      </c>
      <c r="D33" s="103">
        <v>4130</v>
      </c>
      <c r="E33" s="102" t="s">
        <v>312</v>
      </c>
      <c r="F33" s="106">
        <v>1796.59</v>
      </c>
      <c r="G33" s="103">
        <v>14.96</v>
      </c>
      <c r="H33" s="103"/>
      <c r="I33" s="103">
        <v>200</v>
      </c>
      <c r="J33" s="103"/>
      <c r="K33" s="103">
        <v>65.55</v>
      </c>
      <c r="L33" s="103">
        <f t="shared" si="13"/>
        <v>35.105000000000004</v>
      </c>
      <c r="M33" s="103">
        <f t="shared" si="14"/>
        <v>-545.01000000000022</v>
      </c>
      <c r="N33" s="103">
        <f t="shared" si="15"/>
        <v>1636</v>
      </c>
      <c r="O33" s="104">
        <v>7</v>
      </c>
      <c r="P33" s="104"/>
      <c r="Q33" s="104">
        <v>689.44</v>
      </c>
      <c r="R33" s="104">
        <v>359.07</v>
      </c>
      <c r="S33" s="103">
        <f t="shared" si="16"/>
        <v>204.5</v>
      </c>
      <c r="T33" s="104">
        <v>40</v>
      </c>
      <c r="U33" s="105"/>
      <c r="V33" s="105">
        <v>0.8</v>
      </c>
    </row>
    <row r="34" spans="1:22">
      <c r="A34" s="101" t="s">
        <v>313</v>
      </c>
      <c r="B34" s="101">
        <v>352375</v>
      </c>
      <c r="C34" s="102"/>
      <c r="D34" s="103">
        <v>0</v>
      </c>
      <c r="E34" s="102"/>
      <c r="F34" s="103">
        <v>1474.66</v>
      </c>
      <c r="G34" s="103">
        <v>12</v>
      </c>
      <c r="H34" s="103"/>
      <c r="I34" s="103"/>
      <c r="J34" s="103"/>
      <c r="K34" s="103">
        <v>52.8</v>
      </c>
      <c r="L34" s="103">
        <f t="shared" si="13"/>
        <v>0</v>
      </c>
      <c r="M34" s="103">
        <f t="shared" si="14"/>
        <v>-2508.62</v>
      </c>
      <c r="N34" s="103">
        <f t="shared" si="15"/>
        <v>0</v>
      </c>
      <c r="O34" s="104">
        <v>7</v>
      </c>
      <c r="P34" s="104"/>
      <c r="Q34" s="104">
        <v>689.44</v>
      </c>
      <c r="R34" s="104">
        <v>359.07</v>
      </c>
      <c r="S34" s="103">
        <f t="shared" si="16"/>
        <v>0</v>
      </c>
      <c r="T34" s="104">
        <v>26.25</v>
      </c>
      <c r="U34" s="105"/>
      <c r="V34" s="105">
        <v>0.75</v>
      </c>
    </row>
    <row r="35" spans="1:22">
      <c r="A35" s="101" t="s">
        <v>62</v>
      </c>
      <c r="B35" s="101">
        <v>352376</v>
      </c>
      <c r="C35" s="102" t="s">
        <v>311</v>
      </c>
      <c r="D35" s="103">
        <v>6200</v>
      </c>
      <c r="E35" s="102" t="s">
        <v>314</v>
      </c>
      <c r="F35" s="103">
        <v>2640.77</v>
      </c>
      <c r="G35" s="103">
        <v>38.6</v>
      </c>
      <c r="H35" s="103"/>
      <c r="I35" s="103">
        <v>200</v>
      </c>
      <c r="J35" s="103"/>
      <c r="K35" s="103">
        <v>142.1</v>
      </c>
      <c r="L35" s="103">
        <f t="shared" si="13"/>
        <v>52.7</v>
      </c>
      <c r="M35" s="103">
        <f t="shared" si="14"/>
        <v>92.369999999999976</v>
      </c>
      <c r="N35" s="103">
        <f t="shared" si="15"/>
        <v>2202</v>
      </c>
      <c r="O35" s="104">
        <v>7</v>
      </c>
      <c r="P35" s="104"/>
      <c r="Q35" s="104">
        <v>689.44</v>
      </c>
      <c r="R35" s="104">
        <v>359.07</v>
      </c>
      <c r="S35" s="103">
        <f t="shared" si="16"/>
        <v>293.60000000000002</v>
      </c>
      <c r="T35" s="104">
        <v>26.25</v>
      </c>
      <c r="U35" s="105"/>
      <c r="V35" s="105">
        <v>0.75</v>
      </c>
    </row>
    <row r="36" spans="1:22">
      <c r="A36" s="101"/>
      <c r="B36" s="101">
        <v>352377</v>
      </c>
      <c r="C36" s="102"/>
      <c r="D36" s="103"/>
      <c r="E36" s="102"/>
      <c r="F36" s="103"/>
      <c r="G36" s="103"/>
      <c r="H36" s="103"/>
      <c r="I36" s="103"/>
      <c r="J36" s="103"/>
      <c r="K36" s="103"/>
      <c r="L36" s="103">
        <f t="shared" si="13"/>
        <v>0</v>
      </c>
      <c r="M36" s="103">
        <f t="shared" si="14"/>
        <v>-1048.51</v>
      </c>
      <c r="N36" s="103">
        <f t="shared" si="15"/>
        <v>0</v>
      </c>
      <c r="O36" s="104">
        <v>7</v>
      </c>
      <c r="P36" s="104"/>
      <c r="Q36" s="104">
        <v>689.44</v>
      </c>
      <c r="R36" s="104">
        <v>359.07</v>
      </c>
      <c r="S36" s="103">
        <f t="shared" si="16"/>
        <v>0</v>
      </c>
      <c r="T36" s="104"/>
      <c r="U36" s="105"/>
      <c r="V36" s="105">
        <v>0.75</v>
      </c>
    </row>
    <row r="37" spans="1:22">
      <c r="A37" s="101" t="s">
        <v>315</v>
      </c>
      <c r="B37" s="101">
        <v>359885</v>
      </c>
      <c r="C37" s="102" t="s">
        <v>316</v>
      </c>
      <c r="D37" s="103">
        <v>1600</v>
      </c>
      <c r="E37" s="102" t="s">
        <v>317</v>
      </c>
      <c r="F37" s="103">
        <v>692.04</v>
      </c>
      <c r="G37" s="103">
        <v>0</v>
      </c>
      <c r="H37" s="103"/>
      <c r="I37" s="103"/>
      <c r="J37" s="103"/>
      <c r="K37" s="103">
        <v>40.71</v>
      </c>
      <c r="L37" s="103">
        <f t="shared" si="13"/>
        <v>13.600000000000001</v>
      </c>
      <c r="M37" s="103">
        <f t="shared" si="14"/>
        <v>-715.99</v>
      </c>
      <c r="N37" s="103">
        <f t="shared" si="15"/>
        <v>520.5</v>
      </c>
      <c r="O37" s="104">
        <v>7</v>
      </c>
      <c r="P37" s="104"/>
      <c r="Q37" s="104">
        <v>689.44</v>
      </c>
      <c r="R37" s="104">
        <v>359.07</v>
      </c>
      <c r="S37" s="103">
        <f t="shared" si="16"/>
        <v>69.400000000000006</v>
      </c>
      <c r="T37" s="104">
        <v>26.25</v>
      </c>
      <c r="U37" s="105"/>
      <c r="V37" s="105">
        <v>0.75</v>
      </c>
    </row>
    <row r="38" spans="1:22">
      <c r="A38" s="101" t="s">
        <v>318</v>
      </c>
      <c r="B38" s="101">
        <v>359886</v>
      </c>
      <c r="C38" s="102"/>
      <c r="D38" s="103"/>
      <c r="E38" s="102"/>
      <c r="F38" s="103">
        <v>138.75</v>
      </c>
      <c r="G38" s="103">
        <v>8</v>
      </c>
      <c r="H38" s="103"/>
      <c r="I38" s="103"/>
      <c r="J38" s="103"/>
      <c r="K38" s="103">
        <v>0</v>
      </c>
      <c r="L38" s="103">
        <f t="shared" si="13"/>
        <v>0</v>
      </c>
      <c r="M38" s="103">
        <f t="shared" si="14"/>
        <v>-1195.26</v>
      </c>
      <c r="N38" s="103">
        <f t="shared" si="15"/>
        <v>0</v>
      </c>
      <c r="O38" s="104">
        <v>7</v>
      </c>
      <c r="P38" s="104"/>
      <c r="Q38" s="104">
        <v>689.44</v>
      </c>
      <c r="R38" s="104">
        <v>359.07</v>
      </c>
      <c r="S38" s="103">
        <f t="shared" si="16"/>
        <v>0</v>
      </c>
      <c r="T38" s="104"/>
      <c r="U38" s="105"/>
      <c r="V38" s="105">
        <v>0.75</v>
      </c>
    </row>
    <row r="39" spans="1:22">
      <c r="A39" s="101" t="s">
        <v>319</v>
      </c>
      <c r="B39" s="101">
        <v>465180</v>
      </c>
      <c r="C39" s="102" t="s">
        <v>320</v>
      </c>
      <c r="D39" s="103">
        <v>5900</v>
      </c>
      <c r="E39" s="102" t="s">
        <v>321</v>
      </c>
      <c r="F39" s="103">
        <v>2604.39</v>
      </c>
      <c r="G39" s="103">
        <v>65.66</v>
      </c>
      <c r="H39" s="103"/>
      <c r="I39" s="103"/>
      <c r="J39" s="103"/>
      <c r="K39" s="103">
        <v>198.26</v>
      </c>
      <c r="L39" s="103">
        <f t="shared" si="13"/>
        <v>50.150000000000006</v>
      </c>
      <c r="M39" s="103">
        <f t="shared" si="14"/>
        <v>122.43000000000029</v>
      </c>
      <c r="N39" s="103">
        <f t="shared" si="15"/>
        <v>1880.25</v>
      </c>
      <c r="O39" s="104">
        <v>7</v>
      </c>
      <c r="P39" s="104"/>
      <c r="Q39" s="104">
        <v>789.51</v>
      </c>
      <c r="R39" s="104">
        <v>359.07</v>
      </c>
      <c r="S39" s="103">
        <f t="shared" si="16"/>
        <v>250.70000000000002</v>
      </c>
      <c r="T39" s="104">
        <v>26.25</v>
      </c>
      <c r="U39" s="105"/>
      <c r="V39" s="105">
        <v>0.75</v>
      </c>
    </row>
    <row r="40" spans="1:22">
      <c r="A40" s="101" t="s">
        <v>322</v>
      </c>
      <c r="B40" s="101">
        <v>465181</v>
      </c>
      <c r="C40" s="107" t="s">
        <v>320</v>
      </c>
      <c r="D40" s="108">
        <v>7875</v>
      </c>
      <c r="E40" s="109" t="s">
        <v>323</v>
      </c>
      <c r="F40" s="108">
        <v>1727.7</v>
      </c>
      <c r="G40" s="108">
        <v>28</v>
      </c>
      <c r="H40" s="108"/>
      <c r="I40" s="108">
        <v>600</v>
      </c>
      <c r="J40" s="110"/>
      <c r="K40" s="108">
        <v>102.04</v>
      </c>
      <c r="L40" s="103">
        <f t="shared" si="13"/>
        <v>66.9375</v>
      </c>
      <c r="M40" s="103">
        <f t="shared" si="14"/>
        <v>2288.0100000000002</v>
      </c>
      <c r="N40" s="103">
        <f t="shared" si="15"/>
        <v>2452</v>
      </c>
      <c r="O40" s="104">
        <v>7</v>
      </c>
      <c r="P40" s="104"/>
      <c r="Q40" s="104">
        <v>789.51</v>
      </c>
      <c r="R40" s="104">
        <v>359.07</v>
      </c>
      <c r="S40" s="103">
        <f t="shared" si="16"/>
        <v>306.5</v>
      </c>
      <c r="T40" s="104">
        <v>26.25</v>
      </c>
      <c r="U40" s="105"/>
      <c r="V40" s="105">
        <v>0.8</v>
      </c>
    </row>
    <row r="41" spans="1:22" ht="15">
      <c r="A41" s="101" t="s">
        <v>14</v>
      </c>
      <c r="B41" s="101">
        <v>465182</v>
      </c>
      <c r="C41" s="107" t="s">
        <v>311</v>
      </c>
      <c r="D41" s="108">
        <v>8140</v>
      </c>
      <c r="E41" s="109" t="s">
        <v>324</v>
      </c>
      <c r="F41" s="108">
        <v>3578.54</v>
      </c>
      <c r="G41" s="108">
        <v>194.7</v>
      </c>
      <c r="H41" s="108"/>
      <c r="I41" s="108"/>
      <c r="J41" s="110"/>
      <c r="K41" s="108">
        <v>203.78</v>
      </c>
      <c r="L41" s="103">
        <f t="shared" si="13"/>
        <v>69.190000000000012</v>
      </c>
      <c r="M41" s="103">
        <f t="shared" si="14"/>
        <v>175.51000000000002</v>
      </c>
      <c r="N41" s="103">
        <f t="shared" si="15"/>
        <v>2862.4</v>
      </c>
      <c r="O41" s="104">
        <v>7</v>
      </c>
      <c r="P41" s="104"/>
      <c r="Q41" s="104">
        <v>789.51</v>
      </c>
      <c r="R41" s="104">
        <v>359.07</v>
      </c>
      <c r="S41" s="103">
        <f t="shared" si="16"/>
        <v>357.8</v>
      </c>
      <c r="T41" s="104">
        <v>26.25</v>
      </c>
      <c r="U41" s="105"/>
      <c r="V41" s="105">
        <v>0.8</v>
      </c>
    </row>
    <row r="42" spans="1:22" ht="15">
      <c r="A42" s="101" t="s">
        <v>88</v>
      </c>
      <c r="B42" s="101">
        <v>465183</v>
      </c>
      <c r="C42" s="107" t="s">
        <v>320</v>
      </c>
      <c r="D42" s="108">
        <v>7200</v>
      </c>
      <c r="E42" s="109" t="s">
        <v>325</v>
      </c>
      <c r="F42" s="108">
        <v>4016.37</v>
      </c>
      <c r="G42" s="108">
        <v>7</v>
      </c>
      <c r="H42" s="108"/>
      <c r="I42" s="108">
        <v>200</v>
      </c>
      <c r="J42" s="110">
        <v>100</v>
      </c>
      <c r="K42" s="108">
        <v>200.29</v>
      </c>
      <c r="L42" s="103">
        <f t="shared" si="13"/>
        <v>61.2</v>
      </c>
      <c r="M42" s="103">
        <f t="shared" si="14"/>
        <v>-760.96000000000026</v>
      </c>
      <c r="N42" s="103">
        <f t="shared" si="15"/>
        <v>2621.6000000000004</v>
      </c>
      <c r="O42" s="104">
        <v>7</v>
      </c>
      <c r="P42" s="104"/>
      <c r="Q42" s="104">
        <v>789.51</v>
      </c>
      <c r="R42" s="104">
        <v>359.07</v>
      </c>
      <c r="S42" s="103">
        <f t="shared" si="16"/>
        <v>327.70000000000005</v>
      </c>
      <c r="T42" s="104">
        <v>40</v>
      </c>
      <c r="U42" s="105"/>
      <c r="V42" s="105">
        <v>0.8</v>
      </c>
    </row>
    <row r="43" spans="1:22" ht="15">
      <c r="A43" s="100" t="s">
        <v>40</v>
      </c>
      <c r="B43" s="101">
        <v>465184</v>
      </c>
      <c r="C43" s="107" t="s">
        <v>320</v>
      </c>
      <c r="D43" s="108">
        <v>9560</v>
      </c>
      <c r="E43" s="109" t="s">
        <v>326</v>
      </c>
      <c r="F43" s="108">
        <v>2620.36</v>
      </c>
      <c r="G43" s="108">
        <v>0</v>
      </c>
      <c r="H43" s="108"/>
      <c r="I43" s="108"/>
      <c r="J43" s="110"/>
      <c r="K43" s="108">
        <v>39.36</v>
      </c>
      <c r="L43" s="103">
        <f t="shared" si="13"/>
        <v>81.260000000000005</v>
      </c>
      <c r="M43" s="103">
        <f t="shared" si="14"/>
        <v>1820.7699999999988</v>
      </c>
      <c r="N43" s="103">
        <f t="shared" si="15"/>
        <v>3540.8</v>
      </c>
      <c r="O43" s="104">
        <v>7</v>
      </c>
      <c r="P43" s="104"/>
      <c r="Q43" s="104">
        <v>789.51</v>
      </c>
      <c r="R43" s="104">
        <v>359.07</v>
      </c>
      <c r="S43" s="103">
        <f t="shared" si="16"/>
        <v>442.6</v>
      </c>
      <c r="T43" s="104">
        <v>26.25</v>
      </c>
      <c r="U43" s="105"/>
      <c r="V43" s="105">
        <v>0.8</v>
      </c>
    </row>
    <row r="44" spans="1:22" ht="15">
      <c r="A44" s="101" t="s">
        <v>75</v>
      </c>
      <c r="B44" s="101">
        <v>465185</v>
      </c>
      <c r="C44" s="107" t="s">
        <v>327</v>
      </c>
      <c r="D44" s="108">
        <v>7550</v>
      </c>
      <c r="E44" s="109" t="s">
        <v>328</v>
      </c>
      <c r="F44" s="108">
        <v>4117.21</v>
      </c>
      <c r="G44" s="108">
        <v>344.84</v>
      </c>
      <c r="H44" s="108"/>
      <c r="I44" s="108">
        <v>200</v>
      </c>
      <c r="J44" s="110"/>
      <c r="K44" s="108">
        <v>217.96</v>
      </c>
      <c r="L44" s="103">
        <f t="shared" si="13"/>
        <v>64.175000000000011</v>
      </c>
      <c r="M44" s="103">
        <f t="shared" si="14"/>
        <v>-1023.6700000000003</v>
      </c>
      <c r="N44" s="103">
        <f t="shared" si="15"/>
        <v>2792</v>
      </c>
      <c r="O44" s="104">
        <v>7</v>
      </c>
      <c r="P44" s="104"/>
      <c r="Q44" s="104">
        <v>789.51</v>
      </c>
      <c r="R44" s="104">
        <v>359.07</v>
      </c>
      <c r="S44" s="103">
        <f t="shared" si="16"/>
        <v>349</v>
      </c>
      <c r="T44" s="104">
        <v>40</v>
      </c>
      <c r="U44" s="105"/>
      <c r="V44" s="105">
        <v>0.8</v>
      </c>
    </row>
    <row r="45" spans="1:22" ht="15">
      <c r="A45" s="101" t="s">
        <v>329</v>
      </c>
      <c r="B45" s="101">
        <v>465186</v>
      </c>
      <c r="C45" s="107" t="s">
        <v>320</v>
      </c>
      <c r="D45" s="108">
        <v>7150</v>
      </c>
      <c r="E45" s="109" t="s">
        <v>330</v>
      </c>
      <c r="F45" s="108">
        <v>3218.67</v>
      </c>
      <c r="G45" s="108">
        <v>106.9</v>
      </c>
      <c r="H45" s="108"/>
      <c r="I45" s="108"/>
      <c r="J45" s="110"/>
      <c r="K45" s="108">
        <v>65.73</v>
      </c>
      <c r="L45" s="103">
        <f t="shared" si="13"/>
        <v>60.775000000000006</v>
      </c>
      <c r="M45" s="103">
        <f t="shared" si="14"/>
        <v>-68.670000000000542</v>
      </c>
      <c r="N45" s="103">
        <f t="shared" si="15"/>
        <v>2412.8000000000002</v>
      </c>
      <c r="O45" s="104">
        <v>7</v>
      </c>
      <c r="P45" s="104"/>
      <c r="Q45" s="104">
        <v>789.51</v>
      </c>
      <c r="R45" s="104">
        <v>359.07</v>
      </c>
      <c r="S45" s="103">
        <f t="shared" si="16"/>
        <v>371.20000000000005</v>
      </c>
      <c r="T45" s="104">
        <v>26.25</v>
      </c>
      <c r="U45" s="105"/>
      <c r="V45" s="105">
        <v>0.65</v>
      </c>
    </row>
    <row r="46" spans="1:22" ht="15">
      <c r="A46" s="101" t="s">
        <v>192</v>
      </c>
      <c r="B46" s="101">
        <v>465187</v>
      </c>
      <c r="C46" s="107" t="s">
        <v>320</v>
      </c>
      <c r="D46" s="108">
        <v>12025</v>
      </c>
      <c r="E46" s="109" t="s">
        <v>331</v>
      </c>
      <c r="F46" s="108">
        <v>4344.25</v>
      </c>
      <c r="G46" s="108">
        <v>4.6399999999999997</v>
      </c>
      <c r="H46" s="108"/>
      <c r="I46" s="108"/>
      <c r="J46" s="110"/>
      <c r="K46" s="108">
        <v>135</v>
      </c>
      <c r="L46" s="103">
        <f t="shared" si="13"/>
        <v>102.21250000000001</v>
      </c>
      <c r="M46" s="103">
        <f t="shared" si="14"/>
        <v>2111.7299999999996</v>
      </c>
      <c r="N46" s="103">
        <f t="shared" si="15"/>
        <v>4009.6000000000004</v>
      </c>
      <c r="O46" s="104">
        <v>7</v>
      </c>
      <c r="P46" s="104"/>
      <c r="Q46" s="104">
        <v>789.51</v>
      </c>
      <c r="R46" s="104">
        <v>359.07</v>
      </c>
      <c r="S46" s="103">
        <f t="shared" si="16"/>
        <v>501.20000000000005</v>
      </c>
      <c r="T46" s="104">
        <v>40</v>
      </c>
      <c r="U46" s="105"/>
      <c r="V46" s="105">
        <v>0.8</v>
      </c>
    </row>
    <row r="47" spans="1:22" ht="15">
      <c r="A47" s="111"/>
      <c r="B47" s="101">
        <v>465188</v>
      </c>
      <c r="C47" s="107"/>
      <c r="D47" s="108"/>
      <c r="E47" s="109"/>
      <c r="F47" s="108"/>
      <c r="G47" s="108"/>
      <c r="H47" s="108"/>
      <c r="I47" s="108"/>
      <c r="J47" s="110"/>
      <c r="K47" s="108"/>
      <c r="L47" s="103">
        <f t="shared" si="13"/>
        <v>0</v>
      </c>
      <c r="M47" s="103">
        <f t="shared" si="14"/>
        <v>-1148.58</v>
      </c>
      <c r="N47" s="103">
        <f t="shared" si="15"/>
        <v>0</v>
      </c>
      <c r="O47" s="104">
        <v>7</v>
      </c>
      <c r="P47" s="104"/>
      <c r="Q47" s="104">
        <v>789.51</v>
      </c>
      <c r="R47" s="104">
        <v>359.07</v>
      </c>
      <c r="S47" s="103">
        <f t="shared" si="16"/>
        <v>0</v>
      </c>
      <c r="T47" s="104"/>
      <c r="U47" s="105"/>
      <c r="V47" s="105">
        <v>0.75</v>
      </c>
    </row>
    <row r="48" spans="1:22" ht="15">
      <c r="A48" s="111"/>
      <c r="B48" s="101">
        <v>465189</v>
      </c>
      <c r="C48" s="107"/>
      <c r="D48" s="108"/>
      <c r="E48" s="109"/>
      <c r="F48" s="108"/>
      <c r="G48" s="108"/>
      <c r="H48" s="108"/>
      <c r="I48" s="108"/>
      <c r="J48" s="110"/>
      <c r="K48" s="108"/>
      <c r="L48" s="103">
        <f t="shared" si="13"/>
        <v>0</v>
      </c>
      <c r="M48" s="103">
        <f t="shared" si="14"/>
        <v>-1148.58</v>
      </c>
      <c r="N48" s="103">
        <f t="shared" si="15"/>
        <v>0</v>
      </c>
      <c r="O48" s="104">
        <v>7</v>
      </c>
      <c r="P48" s="104"/>
      <c r="Q48" s="104">
        <v>789.51</v>
      </c>
      <c r="R48" s="104">
        <v>359.07</v>
      </c>
      <c r="S48" s="103">
        <f t="shared" si="16"/>
        <v>0</v>
      </c>
      <c r="T48" s="104"/>
      <c r="U48" s="105"/>
      <c r="V48" s="105">
        <v>0.75</v>
      </c>
    </row>
    <row r="49" spans="1:23" ht="15">
      <c r="A49" s="71" t="s">
        <v>89</v>
      </c>
      <c r="B49" s="72">
        <v>20</v>
      </c>
      <c r="C49" s="73" t="e">
        <f>AVERAGE(C29:C48)</f>
        <v>#DIV/0!</v>
      </c>
      <c r="D49" s="74">
        <f t="shared" ref="D49:F49" si="17">SUM(D29:D48)</f>
        <v>79330</v>
      </c>
      <c r="E49" s="73">
        <f t="shared" si="17"/>
        <v>0</v>
      </c>
      <c r="F49" s="74">
        <f t="shared" si="17"/>
        <v>36015.599999999999</v>
      </c>
      <c r="G49" s="73">
        <f>AVERAGE(G29:G48)</f>
        <v>84.814285714285717</v>
      </c>
      <c r="H49" s="74"/>
      <c r="I49" s="74">
        <f t="shared" ref="I49:O49" si="18">SUM(I29:I48)</f>
        <v>1400</v>
      </c>
      <c r="J49" s="74">
        <f t="shared" si="18"/>
        <v>100</v>
      </c>
      <c r="K49" s="74">
        <f t="shared" si="18"/>
        <v>1515.9199999999998</v>
      </c>
      <c r="L49" s="74">
        <f t="shared" si="18"/>
        <v>674.30499999999995</v>
      </c>
      <c r="M49" s="74">
        <f t="shared" si="18"/>
        <v>-10098.980000000003</v>
      </c>
      <c r="N49" s="74">
        <f t="shared" si="18"/>
        <v>27763.199999999997</v>
      </c>
      <c r="O49" s="74">
        <f t="shared" si="18"/>
        <v>140</v>
      </c>
      <c r="P49" s="74"/>
      <c r="Q49" s="74">
        <f t="shared" ref="Q49:T49" si="19">SUM(Q29:Q48)</f>
        <v>14789.500000000004</v>
      </c>
      <c r="R49" s="74">
        <f t="shared" si="19"/>
        <v>7181.3999999999987</v>
      </c>
      <c r="S49" s="74">
        <f t="shared" si="19"/>
        <v>3585.3</v>
      </c>
      <c r="T49" s="74">
        <f t="shared" si="19"/>
        <v>422.5</v>
      </c>
      <c r="U49" s="74"/>
      <c r="V49" s="74">
        <f>AVERAGE(V29:V48)</f>
        <v>0.76250000000000029</v>
      </c>
    </row>
    <row r="53" spans="1:23" ht="15">
      <c r="A53" s="457" t="s">
        <v>332</v>
      </c>
      <c r="B53" s="458"/>
      <c r="C53" s="458"/>
      <c r="D53" s="458"/>
      <c r="E53" s="458"/>
      <c r="F53" s="458"/>
      <c r="G53" s="458"/>
      <c r="H53" s="458"/>
      <c r="I53" s="458"/>
      <c r="J53" s="458"/>
      <c r="K53" s="458"/>
      <c r="L53" s="458"/>
      <c r="M53" s="458"/>
      <c r="N53" s="458"/>
      <c r="O53" s="458"/>
      <c r="P53" s="458"/>
      <c r="Q53" s="458"/>
      <c r="R53" s="458"/>
      <c r="S53" s="458"/>
      <c r="T53" s="458"/>
      <c r="U53" s="458"/>
      <c r="V53" s="458"/>
      <c r="W53" s="459"/>
    </row>
    <row r="54" spans="1:23" ht="15">
      <c r="A54" s="95" t="s">
        <v>0</v>
      </c>
      <c r="B54" s="96" t="s">
        <v>1</v>
      </c>
      <c r="C54" s="96" t="s">
        <v>3</v>
      </c>
      <c r="D54" s="96" t="s">
        <v>2</v>
      </c>
      <c r="E54" s="96" t="s">
        <v>9</v>
      </c>
      <c r="F54" s="96" t="s">
        <v>7</v>
      </c>
      <c r="G54" s="96" t="s">
        <v>8</v>
      </c>
      <c r="H54" s="96"/>
      <c r="I54" s="97" t="s">
        <v>287</v>
      </c>
      <c r="J54" s="97" t="s">
        <v>288</v>
      </c>
      <c r="K54" s="98" t="s">
        <v>257</v>
      </c>
      <c r="L54" s="96" t="s">
        <v>108</v>
      </c>
      <c r="M54" s="96" t="s">
        <v>13</v>
      </c>
      <c r="N54" s="97" t="s">
        <v>98</v>
      </c>
      <c r="O54" s="99" t="s">
        <v>185</v>
      </c>
      <c r="P54" s="96"/>
      <c r="Q54" s="96" t="s">
        <v>4</v>
      </c>
      <c r="R54" s="96" t="s">
        <v>5</v>
      </c>
      <c r="S54" s="96" t="s">
        <v>12</v>
      </c>
      <c r="T54" s="96" t="s">
        <v>184</v>
      </c>
      <c r="U54" s="96"/>
      <c r="V54" s="96" t="s">
        <v>183</v>
      </c>
      <c r="W54" s="96" t="s">
        <v>333</v>
      </c>
    </row>
    <row r="55" spans="1:23" ht="15">
      <c r="A55" s="100" t="s">
        <v>308</v>
      </c>
      <c r="B55" s="101">
        <v>352368</v>
      </c>
      <c r="C55" s="112"/>
      <c r="D55" s="103"/>
      <c r="E55" s="102"/>
      <c r="F55" s="103"/>
      <c r="G55" s="103"/>
      <c r="H55" s="103"/>
      <c r="I55" s="103"/>
      <c r="J55" s="103"/>
      <c r="K55" s="103"/>
      <c r="L55" s="103">
        <f t="shared" ref="L55:L74" si="20">D55*0.0085</f>
        <v>0</v>
      </c>
      <c r="M55" s="103">
        <f t="shared" ref="M55:M74" si="21">D55-F55-G55-T55-S55-R55-Q55-N55+K55-W55</f>
        <v>-1169.76</v>
      </c>
      <c r="N55" s="103">
        <f t="shared" ref="N55:N74" si="22">E55*V55</f>
        <v>0</v>
      </c>
      <c r="O55" s="104">
        <v>7</v>
      </c>
      <c r="P55" s="104"/>
      <c r="Q55" s="104">
        <v>689.44</v>
      </c>
      <c r="R55" s="104">
        <v>359.07</v>
      </c>
      <c r="S55" s="103">
        <f t="shared" ref="S55:S74" si="23">E55*0.1</f>
        <v>0</v>
      </c>
      <c r="T55" s="104">
        <v>26.25</v>
      </c>
      <c r="U55" s="105"/>
      <c r="V55" s="105">
        <v>0.75</v>
      </c>
      <c r="W55" s="105">
        <v>95</v>
      </c>
    </row>
    <row r="56" spans="1:23" ht="15">
      <c r="A56" s="100" t="s">
        <v>334</v>
      </c>
      <c r="B56" s="101">
        <v>352371</v>
      </c>
      <c r="C56" s="112">
        <v>4</v>
      </c>
      <c r="D56" s="103">
        <v>5525</v>
      </c>
      <c r="E56" s="113">
        <v>2686</v>
      </c>
      <c r="F56" s="103">
        <v>2907.58</v>
      </c>
      <c r="G56" s="103">
        <v>82.27</v>
      </c>
      <c r="H56" s="103"/>
      <c r="I56" s="103"/>
      <c r="J56" s="103"/>
      <c r="K56" s="103">
        <v>51.75</v>
      </c>
      <c r="L56" s="103">
        <f t="shared" si="20"/>
        <v>46.962500000000006</v>
      </c>
      <c r="M56" s="103">
        <f t="shared" si="21"/>
        <v>-839.70999999999981</v>
      </c>
      <c r="N56" s="103">
        <f t="shared" si="22"/>
        <v>2014.5</v>
      </c>
      <c r="O56" s="104">
        <v>7</v>
      </c>
      <c r="P56" s="104"/>
      <c r="Q56" s="104">
        <v>689.44</v>
      </c>
      <c r="R56" s="104">
        <v>359.07</v>
      </c>
      <c r="S56" s="103">
        <f t="shared" si="23"/>
        <v>268.60000000000002</v>
      </c>
      <c r="T56" s="104"/>
      <c r="U56" s="105"/>
      <c r="V56" s="105">
        <v>0.75</v>
      </c>
      <c r="W56" s="105">
        <v>95</v>
      </c>
    </row>
    <row r="57" spans="1:23" ht="15">
      <c r="A57" s="101"/>
      <c r="B57" s="101">
        <v>352372</v>
      </c>
      <c r="C57" s="112"/>
      <c r="D57" s="103"/>
      <c r="E57" s="114"/>
      <c r="F57" s="103"/>
      <c r="G57" s="103"/>
      <c r="H57" s="103"/>
      <c r="I57" s="103"/>
      <c r="J57" s="103"/>
      <c r="K57" s="103"/>
      <c r="L57" s="103">
        <f t="shared" si="20"/>
        <v>0</v>
      </c>
      <c r="M57" s="103">
        <f t="shared" si="21"/>
        <v>-1169.76</v>
      </c>
      <c r="N57" s="103">
        <f t="shared" si="22"/>
        <v>0</v>
      </c>
      <c r="O57" s="104">
        <v>7</v>
      </c>
      <c r="P57" s="104"/>
      <c r="Q57" s="104">
        <v>689.44</v>
      </c>
      <c r="R57" s="104">
        <v>359.07</v>
      </c>
      <c r="S57" s="103">
        <f t="shared" si="23"/>
        <v>0</v>
      </c>
      <c r="T57" s="104">
        <v>26.25</v>
      </c>
      <c r="U57" s="105"/>
      <c r="V57" s="105">
        <v>0.75</v>
      </c>
      <c r="W57" s="105">
        <v>95</v>
      </c>
    </row>
    <row r="58" spans="1:23" ht="15">
      <c r="A58" s="101"/>
      <c r="B58" s="101">
        <v>352373</v>
      </c>
      <c r="C58" s="112"/>
      <c r="D58" s="103"/>
      <c r="E58" s="115"/>
      <c r="F58" s="103"/>
      <c r="G58" s="103"/>
      <c r="H58" s="103"/>
      <c r="I58" s="103"/>
      <c r="J58" s="103"/>
      <c r="K58" s="103"/>
      <c r="L58" s="103">
        <f t="shared" si="20"/>
        <v>0</v>
      </c>
      <c r="M58" s="103">
        <f t="shared" si="21"/>
        <v>-1143.51</v>
      </c>
      <c r="N58" s="103">
        <f t="shared" si="22"/>
        <v>0</v>
      </c>
      <c r="O58" s="104">
        <v>7</v>
      </c>
      <c r="P58" s="104"/>
      <c r="Q58" s="104">
        <v>689.44</v>
      </c>
      <c r="R58" s="104">
        <v>359.07</v>
      </c>
      <c r="S58" s="103">
        <f t="shared" si="23"/>
        <v>0</v>
      </c>
      <c r="T58" s="104"/>
      <c r="U58" s="105"/>
      <c r="V58" s="105">
        <v>0.75</v>
      </c>
      <c r="W58" s="105">
        <v>95</v>
      </c>
    </row>
    <row r="59" spans="1:23" ht="15">
      <c r="A59" s="101" t="s">
        <v>191</v>
      </c>
      <c r="B59" s="101">
        <v>352374</v>
      </c>
      <c r="C59" s="112">
        <v>7</v>
      </c>
      <c r="D59" s="103">
        <v>12450</v>
      </c>
      <c r="E59" s="115" t="s">
        <v>335</v>
      </c>
      <c r="F59" s="106">
        <v>4230.46</v>
      </c>
      <c r="G59" s="103">
        <v>57.14</v>
      </c>
      <c r="H59" s="103"/>
      <c r="I59" s="103"/>
      <c r="J59" s="103"/>
      <c r="K59" s="103">
        <v>162.82</v>
      </c>
      <c r="L59" s="103">
        <f t="shared" si="20"/>
        <v>105.825</v>
      </c>
      <c r="M59" s="103">
        <f t="shared" si="21"/>
        <v>7136.0355</v>
      </c>
      <c r="N59" s="103">
        <f t="shared" si="22"/>
        <v>5.0440000000000005</v>
      </c>
      <c r="O59" s="104">
        <v>7</v>
      </c>
      <c r="P59" s="104"/>
      <c r="Q59" s="104">
        <v>689.44</v>
      </c>
      <c r="R59" s="104">
        <v>359.07</v>
      </c>
      <c r="S59" s="103">
        <f t="shared" si="23"/>
        <v>0.63050000000000006</v>
      </c>
      <c r="T59" s="104">
        <v>40</v>
      </c>
      <c r="U59" s="105"/>
      <c r="V59" s="105">
        <v>0.8</v>
      </c>
      <c r="W59" s="105">
        <v>95</v>
      </c>
    </row>
    <row r="60" spans="1:23" ht="15">
      <c r="A60" s="101"/>
      <c r="B60" s="101">
        <v>352375</v>
      </c>
      <c r="C60" s="112"/>
      <c r="D60" s="103"/>
      <c r="E60" s="116"/>
      <c r="F60" s="103"/>
      <c r="G60" s="103"/>
      <c r="H60" s="103"/>
      <c r="I60" s="103"/>
      <c r="J60" s="103"/>
      <c r="K60" s="103"/>
      <c r="L60" s="103">
        <f t="shared" si="20"/>
        <v>0</v>
      </c>
      <c r="M60" s="103">
        <f t="shared" si="21"/>
        <v>-1169.76</v>
      </c>
      <c r="N60" s="103">
        <f t="shared" si="22"/>
        <v>0</v>
      </c>
      <c r="O60" s="104">
        <v>7</v>
      </c>
      <c r="P60" s="104"/>
      <c r="Q60" s="104">
        <v>689.44</v>
      </c>
      <c r="R60" s="104">
        <v>359.07</v>
      </c>
      <c r="S60" s="103">
        <f t="shared" si="23"/>
        <v>0</v>
      </c>
      <c r="T60" s="104">
        <v>26.25</v>
      </c>
      <c r="U60" s="105"/>
      <c r="V60" s="105">
        <v>0.75</v>
      </c>
      <c r="W60" s="105">
        <v>95</v>
      </c>
    </row>
    <row r="61" spans="1:23" ht="15">
      <c r="A61" s="101" t="s">
        <v>62</v>
      </c>
      <c r="B61" s="101">
        <v>352376</v>
      </c>
      <c r="C61" s="112">
        <v>5</v>
      </c>
      <c r="D61" s="103">
        <v>5300</v>
      </c>
      <c r="E61" s="109" t="s">
        <v>336</v>
      </c>
      <c r="F61" s="103">
        <v>1931.33</v>
      </c>
      <c r="G61" s="103"/>
      <c r="H61" s="103"/>
      <c r="I61" s="103">
        <v>400</v>
      </c>
      <c r="J61" s="103"/>
      <c r="K61" s="103">
        <v>104.04</v>
      </c>
      <c r="L61" s="103">
        <f t="shared" si="20"/>
        <v>45.050000000000004</v>
      </c>
      <c r="M61" s="103">
        <f t="shared" si="21"/>
        <v>2300.7586999999999</v>
      </c>
      <c r="N61" s="103">
        <f t="shared" si="22"/>
        <v>1.9335</v>
      </c>
      <c r="O61" s="104">
        <v>7</v>
      </c>
      <c r="P61" s="104"/>
      <c r="Q61" s="104">
        <v>689.44</v>
      </c>
      <c r="R61" s="104">
        <v>359.07</v>
      </c>
      <c r="S61" s="103">
        <f t="shared" si="23"/>
        <v>0.25779999999999997</v>
      </c>
      <c r="T61" s="104">
        <v>26.25</v>
      </c>
      <c r="U61" s="105"/>
      <c r="V61" s="105">
        <v>0.75</v>
      </c>
      <c r="W61" s="105">
        <v>95</v>
      </c>
    </row>
    <row r="62" spans="1:23" ht="15">
      <c r="A62" s="101"/>
      <c r="B62" s="101">
        <v>352377</v>
      </c>
      <c r="C62" s="112"/>
      <c r="D62" s="103"/>
      <c r="E62" s="113"/>
      <c r="F62" s="103"/>
      <c r="G62" s="103"/>
      <c r="H62" s="103"/>
      <c r="I62" s="103"/>
      <c r="J62" s="103"/>
      <c r="K62" s="103"/>
      <c r="L62" s="103">
        <f t="shared" si="20"/>
        <v>0</v>
      </c>
      <c r="M62" s="103">
        <f t="shared" si="21"/>
        <v>-1143.51</v>
      </c>
      <c r="N62" s="103">
        <f t="shared" si="22"/>
        <v>0</v>
      </c>
      <c r="O62" s="104">
        <v>7</v>
      </c>
      <c r="P62" s="104"/>
      <c r="Q62" s="104">
        <v>689.44</v>
      </c>
      <c r="R62" s="104">
        <v>359.07</v>
      </c>
      <c r="S62" s="103">
        <f t="shared" si="23"/>
        <v>0</v>
      </c>
      <c r="T62" s="104"/>
      <c r="U62" s="105"/>
      <c r="V62" s="105">
        <v>0.75</v>
      </c>
      <c r="W62" s="105">
        <v>95</v>
      </c>
    </row>
    <row r="63" spans="1:23" ht="15">
      <c r="A63" s="101" t="s">
        <v>315</v>
      </c>
      <c r="B63" s="101">
        <v>359885</v>
      </c>
      <c r="C63" s="112">
        <v>4</v>
      </c>
      <c r="D63" s="103">
        <v>8000</v>
      </c>
      <c r="E63" s="113">
        <v>3396</v>
      </c>
      <c r="F63" s="103">
        <v>2145.5300000000002</v>
      </c>
      <c r="G63" s="103">
        <v>34.72</v>
      </c>
      <c r="H63" s="103"/>
      <c r="I63" s="103"/>
      <c r="J63" s="103"/>
      <c r="K63" s="103">
        <v>65.08</v>
      </c>
      <c r="L63" s="103">
        <f t="shared" si="20"/>
        <v>68</v>
      </c>
      <c r="M63" s="103">
        <f t="shared" si="21"/>
        <v>1828.4699999999993</v>
      </c>
      <c r="N63" s="103">
        <f t="shared" si="22"/>
        <v>2547</v>
      </c>
      <c r="O63" s="104">
        <v>7</v>
      </c>
      <c r="P63" s="104"/>
      <c r="Q63" s="104">
        <v>689.44</v>
      </c>
      <c r="R63" s="104">
        <v>359.07</v>
      </c>
      <c r="S63" s="103">
        <f t="shared" si="23"/>
        <v>339.6</v>
      </c>
      <c r="T63" s="104">
        <v>26.25</v>
      </c>
      <c r="U63" s="105"/>
      <c r="V63" s="105">
        <v>0.75</v>
      </c>
      <c r="W63" s="105">
        <v>95</v>
      </c>
    </row>
    <row r="64" spans="1:23" ht="15">
      <c r="A64" s="101" t="s">
        <v>318</v>
      </c>
      <c r="B64" s="101">
        <v>359886</v>
      </c>
      <c r="C64" s="112"/>
      <c r="D64" s="103"/>
      <c r="E64" s="113"/>
      <c r="F64" s="103">
        <v>1744.98</v>
      </c>
      <c r="G64" s="103">
        <v>58.65</v>
      </c>
      <c r="H64" s="103"/>
      <c r="I64" s="103"/>
      <c r="J64" s="103"/>
      <c r="K64" s="103">
        <v>78.98</v>
      </c>
      <c r="L64" s="103">
        <f t="shared" si="20"/>
        <v>0</v>
      </c>
      <c r="M64" s="103">
        <f t="shared" si="21"/>
        <v>-2868.1600000000003</v>
      </c>
      <c r="N64" s="103">
        <f t="shared" si="22"/>
        <v>0</v>
      </c>
      <c r="O64" s="104">
        <v>7</v>
      </c>
      <c r="P64" s="104"/>
      <c r="Q64" s="104">
        <v>689.44</v>
      </c>
      <c r="R64" s="104">
        <v>359.07</v>
      </c>
      <c r="S64" s="103">
        <f t="shared" si="23"/>
        <v>0</v>
      </c>
      <c r="T64" s="104"/>
      <c r="U64" s="105"/>
      <c r="V64" s="105">
        <v>0.75</v>
      </c>
      <c r="W64" s="105">
        <v>95</v>
      </c>
    </row>
    <row r="65" spans="1:23" ht="15">
      <c r="A65" s="101" t="s">
        <v>319</v>
      </c>
      <c r="B65" s="101">
        <v>465180</v>
      </c>
      <c r="C65" s="112">
        <v>7</v>
      </c>
      <c r="D65" s="103">
        <v>6500</v>
      </c>
      <c r="E65" s="113">
        <v>2817</v>
      </c>
      <c r="F65" s="103">
        <v>2090.1999999999998</v>
      </c>
      <c r="G65" s="103"/>
      <c r="H65" s="103"/>
      <c r="I65" s="103">
        <v>400</v>
      </c>
      <c r="J65" s="103"/>
      <c r="K65" s="103">
        <v>143.79</v>
      </c>
      <c r="L65" s="103">
        <f t="shared" si="20"/>
        <v>55.250000000000007</v>
      </c>
      <c r="M65" s="103">
        <f t="shared" si="21"/>
        <v>889.3100000000004</v>
      </c>
      <c r="N65" s="103">
        <f t="shared" si="22"/>
        <v>2112.75</v>
      </c>
      <c r="O65" s="104">
        <v>7</v>
      </c>
      <c r="P65" s="104"/>
      <c r="Q65" s="104">
        <v>789.51</v>
      </c>
      <c r="R65" s="104">
        <v>359.07</v>
      </c>
      <c r="S65" s="103">
        <f t="shared" si="23"/>
        <v>281.7</v>
      </c>
      <c r="T65" s="104">
        <v>26.25</v>
      </c>
      <c r="U65" s="105"/>
      <c r="V65" s="105">
        <v>0.75</v>
      </c>
      <c r="W65" s="105">
        <v>95</v>
      </c>
    </row>
    <row r="66" spans="1:23" ht="15">
      <c r="A66" s="101" t="s">
        <v>322</v>
      </c>
      <c r="B66" s="101">
        <v>465181</v>
      </c>
      <c r="C66" s="117">
        <v>6</v>
      </c>
      <c r="D66" s="108">
        <v>8100</v>
      </c>
      <c r="E66" s="118">
        <v>3833</v>
      </c>
      <c r="F66" s="108">
        <v>3308.83</v>
      </c>
      <c r="G66" s="108">
        <v>8.65</v>
      </c>
      <c r="H66" s="108"/>
      <c r="I66" s="108"/>
      <c r="J66" s="110"/>
      <c r="K66" s="108">
        <v>187.9</v>
      </c>
      <c r="L66" s="103">
        <f t="shared" si="20"/>
        <v>68.850000000000009</v>
      </c>
      <c r="M66" s="103">
        <f t="shared" si="21"/>
        <v>250.89000000000021</v>
      </c>
      <c r="N66" s="103">
        <f t="shared" si="22"/>
        <v>3066.4</v>
      </c>
      <c r="O66" s="104">
        <v>7</v>
      </c>
      <c r="P66" s="104"/>
      <c r="Q66" s="104">
        <v>789.51</v>
      </c>
      <c r="R66" s="104">
        <v>359.07</v>
      </c>
      <c r="S66" s="103">
        <f t="shared" si="23"/>
        <v>383.3</v>
      </c>
      <c r="T66" s="104">
        <v>26.25</v>
      </c>
      <c r="U66" s="105"/>
      <c r="V66" s="105">
        <v>0.8</v>
      </c>
      <c r="W66" s="105">
        <v>95</v>
      </c>
    </row>
    <row r="67" spans="1:23" ht="15">
      <c r="A67" s="101" t="s">
        <v>14</v>
      </c>
      <c r="B67" s="101">
        <v>465182</v>
      </c>
      <c r="C67" s="117"/>
      <c r="D67" s="108"/>
      <c r="E67" s="113"/>
      <c r="F67" s="108"/>
      <c r="G67" s="108">
        <v>124.62</v>
      </c>
      <c r="H67" s="108"/>
      <c r="I67" s="108"/>
      <c r="J67" s="110"/>
      <c r="K67" s="108"/>
      <c r="L67" s="103">
        <f t="shared" si="20"/>
        <v>0</v>
      </c>
      <c r="M67" s="103">
        <f t="shared" si="21"/>
        <v>-1394.45</v>
      </c>
      <c r="N67" s="103">
        <f t="shared" si="22"/>
        <v>0</v>
      </c>
      <c r="O67" s="104">
        <v>7</v>
      </c>
      <c r="P67" s="104"/>
      <c r="Q67" s="104">
        <v>789.51</v>
      </c>
      <c r="R67" s="104">
        <v>359.07</v>
      </c>
      <c r="S67" s="103">
        <f t="shared" si="23"/>
        <v>0</v>
      </c>
      <c r="T67" s="104">
        <v>26.25</v>
      </c>
      <c r="U67" s="105"/>
      <c r="V67" s="105">
        <v>0.8</v>
      </c>
      <c r="W67" s="105">
        <v>95</v>
      </c>
    </row>
    <row r="68" spans="1:23" ht="15">
      <c r="A68" s="101" t="s">
        <v>88</v>
      </c>
      <c r="B68" s="101">
        <v>465183</v>
      </c>
      <c r="C68" s="117">
        <v>6</v>
      </c>
      <c r="D68" s="108">
        <v>10700</v>
      </c>
      <c r="E68" s="113">
        <v>3877</v>
      </c>
      <c r="F68" s="108">
        <v>2949.9</v>
      </c>
      <c r="G68" s="108">
        <v>198.72</v>
      </c>
      <c r="H68" s="108"/>
      <c r="I68" s="108">
        <v>200</v>
      </c>
      <c r="J68" s="110"/>
      <c r="K68" s="108">
        <v>168.41</v>
      </c>
      <c r="L68" s="103">
        <f t="shared" si="20"/>
        <v>90.95</v>
      </c>
      <c r="M68" s="103">
        <f t="shared" si="21"/>
        <v>2946.91</v>
      </c>
      <c r="N68" s="103">
        <f t="shared" si="22"/>
        <v>3101.6000000000004</v>
      </c>
      <c r="O68" s="104">
        <v>7</v>
      </c>
      <c r="P68" s="104"/>
      <c r="Q68" s="104">
        <v>789.51</v>
      </c>
      <c r="R68" s="104">
        <v>359.07</v>
      </c>
      <c r="S68" s="103">
        <f t="shared" si="23"/>
        <v>387.70000000000005</v>
      </c>
      <c r="T68" s="104">
        <v>40</v>
      </c>
      <c r="U68" s="105"/>
      <c r="V68" s="105">
        <v>0.8</v>
      </c>
      <c r="W68" s="105">
        <v>95</v>
      </c>
    </row>
    <row r="69" spans="1:23" ht="15">
      <c r="A69" s="100" t="s">
        <v>40</v>
      </c>
      <c r="B69" s="101">
        <v>465184</v>
      </c>
      <c r="C69" s="117">
        <v>7</v>
      </c>
      <c r="D69" s="108">
        <v>6650</v>
      </c>
      <c r="E69" s="115" t="s">
        <v>337</v>
      </c>
      <c r="F69" s="108">
        <v>3614.74</v>
      </c>
      <c r="G69" s="108">
        <v>198.63</v>
      </c>
      <c r="H69" s="108"/>
      <c r="I69" s="108">
        <v>200</v>
      </c>
      <c r="J69" s="110"/>
      <c r="K69" s="108">
        <v>89.85</v>
      </c>
      <c r="L69" s="103">
        <f t="shared" si="20"/>
        <v>56.525000000000006</v>
      </c>
      <c r="M69" s="103">
        <f t="shared" si="21"/>
        <v>1653.7456999999997</v>
      </c>
      <c r="N69" s="103">
        <f t="shared" si="22"/>
        <v>2.5815999999999999</v>
      </c>
      <c r="O69" s="104">
        <v>7</v>
      </c>
      <c r="P69" s="104"/>
      <c r="Q69" s="104">
        <v>789.51</v>
      </c>
      <c r="R69" s="104">
        <v>359.07</v>
      </c>
      <c r="S69" s="103">
        <f t="shared" si="23"/>
        <v>0.32269999999999999</v>
      </c>
      <c r="T69" s="104">
        <v>26.25</v>
      </c>
      <c r="U69" s="105"/>
      <c r="V69" s="105">
        <v>0.8</v>
      </c>
      <c r="W69" s="105">
        <v>95</v>
      </c>
    </row>
    <row r="70" spans="1:23" ht="15">
      <c r="A70" s="101" t="s">
        <v>75</v>
      </c>
      <c r="B70" s="101">
        <v>465185</v>
      </c>
      <c r="C70" s="117">
        <v>7</v>
      </c>
      <c r="D70" s="108">
        <v>11900</v>
      </c>
      <c r="E70" s="115" t="s">
        <v>338</v>
      </c>
      <c r="F70" s="108">
        <v>3409.6</v>
      </c>
      <c r="G70" s="108">
        <v>351.46</v>
      </c>
      <c r="H70" s="108"/>
      <c r="I70" s="108">
        <v>200</v>
      </c>
      <c r="J70" s="110"/>
      <c r="K70" s="108">
        <v>189.02</v>
      </c>
      <c r="L70" s="103">
        <f t="shared" si="20"/>
        <v>101.15</v>
      </c>
      <c r="M70" s="103">
        <f t="shared" si="21"/>
        <v>7040.3434999999999</v>
      </c>
      <c r="N70" s="103">
        <f t="shared" si="22"/>
        <v>3.5880000000000005</v>
      </c>
      <c r="O70" s="104">
        <v>7</v>
      </c>
      <c r="P70" s="104"/>
      <c r="Q70" s="104">
        <v>789.51</v>
      </c>
      <c r="R70" s="104">
        <v>359.07</v>
      </c>
      <c r="S70" s="103">
        <f t="shared" si="23"/>
        <v>0.44850000000000007</v>
      </c>
      <c r="T70" s="104">
        <v>40</v>
      </c>
      <c r="U70" s="105"/>
      <c r="V70" s="105">
        <v>0.8</v>
      </c>
      <c r="W70" s="105">
        <v>95</v>
      </c>
    </row>
    <row r="71" spans="1:23" ht="15">
      <c r="A71" s="101" t="s">
        <v>329</v>
      </c>
      <c r="B71" s="101">
        <v>465186</v>
      </c>
      <c r="C71" s="117">
        <v>5</v>
      </c>
      <c r="D71" s="108">
        <v>4500</v>
      </c>
      <c r="E71" s="115" t="s">
        <v>339</v>
      </c>
      <c r="F71" s="108">
        <v>1678.05</v>
      </c>
      <c r="G71" s="108"/>
      <c r="H71" s="108"/>
      <c r="I71" s="108"/>
      <c r="J71" s="110"/>
      <c r="K71" s="108">
        <v>27.43</v>
      </c>
      <c r="L71" s="103">
        <f t="shared" si="20"/>
        <v>38.25</v>
      </c>
      <c r="M71" s="103">
        <f t="shared" si="21"/>
        <v>1578.1617499999995</v>
      </c>
      <c r="N71" s="103">
        <f t="shared" si="22"/>
        <v>1.2031499999999999</v>
      </c>
      <c r="O71" s="104">
        <v>7</v>
      </c>
      <c r="P71" s="104"/>
      <c r="Q71" s="104">
        <v>789.51</v>
      </c>
      <c r="R71" s="104">
        <v>359.07</v>
      </c>
      <c r="S71" s="103">
        <f t="shared" si="23"/>
        <v>0.18510000000000001</v>
      </c>
      <c r="T71" s="104">
        <v>26.25</v>
      </c>
      <c r="U71" s="105"/>
      <c r="V71" s="105">
        <v>0.65</v>
      </c>
      <c r="W71" s="105">
        <v>95</v>
      </c>
    </row>
    <row r="72" spans="1:23" ht="15">
      <c r="A72" s="101" t="s">
        <v>192</v>
      </c>
      <c r="B72" s="101">
        <v>465187</v>
      </c>
      <c r="C72" s="117">
        <v>5</v>
      </c>
      <c r="D72" s="108">
        <v>8800</v>
      </c>
      <c r="E72" s="113">
        <v>3889</v>
      </c>
      <c r="F72" s="108">
        <v>4212.96</v>
      </c>
      <c r="G72" s="108">
        <v>89.61</v>
      </c>
      <c r="H72" s="108"/>
      <c r="I72" s="108">
        <v>200</v>
      </c>
      <c r="J72" s="110"/>
      <c r="K72" s="108">
        <v>394.1</v>
      </c>
      <c r="L72" s="103">
        <f t="shared" si="20"/>
        <v>74.800000000000011</v>
      </c>
      <c r="M72" s="103">
        <f t="shared" si="21"/>
        <v>107.84999999999957</v>
      </c>
      <c r="N72" s="103">
        <f t="shared" si="22"/>
        <v>3111.2000000000003</v>
      </c>
      <c r="O72" s="104">
        <v>7</v>
      </c>
      <c r="P72" s="104"/>
      <c r="Q72" s="104">
        <v>789.51</v>
      </c>
      <c r="R72" s="104">
        <v>359.07</v>
      </c>
      <c r="S72" s="103">
        <f t="shared" si="23"/>
        <v>388.90000000000003</v>
      </c>
      <c r="T72" s="104">
        <v>40</v>
      </c>
      <c r="U72" s="105"/>
      <c r="V72" s="105">
        <v>0.8</v>
      </c>
      <c r="W72" s="105">
        <v>95</v>
      </c>
    </row>
    <row r="73" spans="1:23" ht="15">
      <c r="A73" s="111"/>
      <c r="B73" s="101">
        <v>465188</v>
      </c>
      <c r="C73" s="117"/>
      <c r="D73" s="108"/>
      <c r="E73" s="109"/>
      <c r="F73" s="108"/>
      <c r="G73" s="108"/>
      <c r="H73" s="108"/>
      <c r="I73" s="108"/>
      <c r="J73" s="110"/>
      <c r="K73" s="108"/>
      <c r="L73" s="103">
        <f t="shared" si="20"/>
        <v>0</v>
      </c>
      <c r="M73" s="103">
        <f t="shared" si="21"/>
        <v>-1243.58</v>
      </c>
      <c r="N73" s="103">
        <f t="shared" si="22"/>
        <v>0</v>
      </c>
      <c r="O73" s="104">
        <v>7</v>
      </c>
      <c r="P73" s="104"/>
      <c r="Q73" s="104">
        <v>789.51</v>
      </c>
      <c r="R73" s="104">
        <v>359.07</v>
      </c>
      <c r="S73" s="103">
        <f t="shared" si="23"/>
        <v>0</v>
      </c>
      <c r="T73" s="104"/>
      <c r="U73" s="105"/>
      <c r="V73" s="105">
        <v>0.75</v>
      </c>
      <c r="W73" s="105">
        <v>95</v>
      </c>
    </row>
    <row r="74" spans="1:23" ht="15">
      <c r="A74" s="111"/>
      <c r="B74" s="101">
        <v>465189</v>
      </c>
      <c r="C74" s="117"/>
      <c r="D74" s="108"/>
      <c r="E74" s="109"/>
      <c r="F74" s="108"/>
      <c r="G74" s="108"/>
      <c r="H74" s="108"/>
      <c r="I74" s="108"/>
      <c r="J74" s="110"/>
      <c r="K74" s="108"/>
      <c r="L74" s="103">
        <f t="shared" si="20"/>
        <v>0</v>
      </c>
      <c r="M74" s="103">
        <f t="shared" si="21"/>
        <v>-1243.58</v>
      </c>
      <c r="N74" s="103">
        <f t="shared" si="22"/>
        <v>0</v>
      </c>
      <c r="O74" s="104">
        <v>7</v>
      </c>
      <c r="P74" s="104"/>
      <c r="Q74" s="104">
        <v>789.51</v>
      </c>
      <c r="R74" s="104">
        <v>359.07</v>
      </c>
      <c r="S74" s="103">
        <f t="shared" si="23"/>
        <v>0</v>
      </c>
      <c r="T74" s="104"/>
      <c r="U74" s="105"/>
      <c r="V74" s="105">
        <v>0.75</v>
      </c>
      <c r="W74" s="105">
        <v>95</v>
      </c>
    </row>
    <row r="75" spans="1:23" ht="15">
      <c r="A75" s="71" t="s">
        <v>89</v>
      </c>
      <c r="B75" s="72">
        <v>20</v>
      </c>
      <c r="C75" s="73">
        <f>AVERAGE(C55:C74)</f>
        <v>5.7272727272727275</v>
      </c>
      <c r="D75" s="74">
        <f t="shared" ref="D75:F75" si="24">SUM(D55:D74)</f>
        <v>88425</v>
      </c>
      <c r="E75" s="119">
        <f t="shared" si="24"/>
        <v>20498</v>
      </c>
      <c r="F75" s="74">
        <f t="shared" si="24"/>
        <v>34224.159999999996</v>
      </c>
      <c r="G75" s="73">
        <f>AVERAGE(G55:G74)</f>
        <v>120.44699999999997</v>
      </c>
      <c r="H75" s="74"/>
      <c r="I75" s="74">
        <f t="shared" ref="I75:O75" si="25">SUM(I55:I74)</f>
        <v>1600</v>
      </c>
      <c r="J75" s="74">
        <f t="shared" si="25"/>
        <v>0</v>
      </c>
      <c r="K75" s="74">
        <f t="shared" si="25"/>
        <v>1663.17</v>
      </c>
      <c r="L75" s="74">
        <f t="shared" si="25"/>
        <v>751.61249999999995</v>
      </c>
      <c r="M75" s="74">
        <f t="shared" si="25"/>
        <v>12346.695149999998</v>
      </c>
      <c r="N75" s="74">
        <f t="shared" si="25"/>
        <v>15967.80025</v>
      </c>
      <c r="O75" s="74">
        <f t="shared" si="25"/>
        <v>140</v>
      </c>
      <c r="P75" s="74"/>
      <c r="Q75" s="74">
        <f t="shared" ref="Q75:T75" si="26">SUM(Q55:Q74)</f>
        <v>14789.500000000004</v>
      </c>
      <c r="R75" s="74">
        <f t="shared" si="26"/>
        <v>7181.3999999999987</v>
      </c>
      <c r="S75" s="74">
        <f t="shared" si="26"/>
        <v>2051.6445999999996</v>
      </c>
      <c r="T75" s="74">
        <f t="shared" si="26"/>
        <v>422.5</v>
      </c>
      <c r="U75" s="74"/>
      <c r="V75" s="74">
        <f>AVERAGE(V55:V74)</f>
        <v>0.76250000000000029</v>
      </c>
      <c r="W75" s="74">
        <f>SUM(W55:W74)</f>
        <v>1900</v>
      </c>
    </row>
    <row r="79" spans="1:23" ht="15">
      <c r="A79" s="457" t="s">
        <v>340</v>
      </c>
      <c r="B79" s="458"/>
      <c r="C79" s="458"/>
      <c r="D79" s="458"/>
      <c r="E79" s="458"/>
      <c r="F79" s="458"/>
      <c r="G79" s="458"/>
      <c r="H79" s="458"/>
      <c r="I79" s="458"/>
      <c r="J79" s="458"/>
      <c r="K79" s="458"/>
      <c r="L79" s="458"/>
      <c r="M79" s="458"/>
      <c r="N79" s="458"/>
      <c r="O79" s="458"/>
      <c r="P79" s="458"/>
      <c r="Q79" s="458"/>
      <c r="R79" s="458"/>
      <c r="S79" s="458"/>
      <c r="T79" s="458"/>
      <c r="U79" s="458"/>
      <c r="V79" s="458"/>
      <c r="W79" s="459"/>
    </row>
    <row r="80" spans="1:23" ht="15">
      <c r="A80" s="95" t="s">
        <v>0</v>
      </c>
      <c r="B80" s="96" t="s">
        <v>1</v>
      </c>
      <c r="C80" s="96" t="s">
        <v>3</v>
      </c>
      <c r="D80" s="96" t="s">
        <v>2</v>
      </c>
      <c r="E80" s="96" t="s">
        <v>9</v>
      </c>
      <c r="F80" s="96" t="s">
        <v>7</v>
      </c>
      <c r="G80" s="96" t="s">
        <v>8</v>
      </c>
      <c r="H80" s="96"/>
      <c r="I80" s="97" t="s">
        <v>287</v>
      </c>
      <c r="J80" s="97" t="s">
        <v>288</v>
      </c>
      <c r="K80" s="98" t="s">
        <v>257</v>
      </c>
      <c r="L80" s="96" t="s">
        <v>341</v>
      </c>
      <c r="M80" s="96" t="s">
        <v>13</v>
      </c>
      <c r="N80" s="97" t="s">
        <v>98</v>
      </c>
      <c r="O80" s="99" t="s">
        <v>185</v>
      </c>
      <c r="P80" s="96"/>
      <c r="Q80" s="96" t="s">
        <v>4</v>
      </c>
      <c r="R80" s="96" t="s">
        <v>5</v>
      </c>
      <c r="S80" s="96" t="s">
        <v>12</v>
      </c>
      <c r="T80" s="96" t="s">
        <v>184</v>
      </c>
      <c r="U80" s="96"/>
      <c r="V80" s="96" t="s">
        <v>183</v>
      </c>
      <c r="W80" s="96" t="s">
        <v>333</v>
      </c>
    </row>
    <row r="81" spans="1:23" ht="15">
      <c r="A81" s="100"/>
      <c r="B81" s="101">
        <v>352368</v>
      </c>
      <c r="C81" s="112" t="s">
        <v>342</v>
      </c>
      <c r="D81" s="103"/>
      <c r="E81" s="102"/>
      <c r="F81" s="103"/>
      <c r="G81" s="103"/>
      <c r="H81" s="103"/>
      <c r="I81" s="103"/>
      <c r="J81" s="103"/>
      <c r="K81" s="103"/>
      <c r="L81" s="103">
        <f t="shared" ref="L81:L100" si="27">D81*0.0085</f>
        <v>0</v>
      </c>
      <c r="M81" s="103">
        <f t="shared" ref="M81:M100" si="28">D81-F81-G81-T81-S81-R81-Q81-N81+K81-W81</f>
        <v>-1169.76</v>
      </c>
      <c r="N81" s="103">
        <f t="shared" ref="N81:N100" si="29">E81*V81</f>
        <v>0</v>
      </c>
      <c r="O81" s="104">
        <v>7</v>
      </c>
      <c r="P81" s="104"/>
      <c r="Q81" s="104">
        <v>689.44</v>
      </c>
      <c r="R81" s="104">
        <v>359.07</v>
      </c>
      <c r="S81" s="103">
        <f t="shared" ref="S81:S100" si="30">E81*0.1</f>
        <v>0</v>
      </c>
      <c r="T81" s="104">
        <v>26.25</v>
      </c>
      <c r="U81" s="105"/>
      <c r="V81" s="105">
        <v>0.75</v>
      </c>
      <c r="W81" s="105">
        <v>95</v>
      </c>
    </row>
    <row r="82" spans="1:23" ht="15">
      <c r="A82" s="100" t="s">
        <v>334</v>
      </c>
      <c r="B82" s="101">
        <v>352371</v>
      </c>
      <c r="C82" s="112">
        <v>7</v>
      </c>
      <c r="D82" s="103">
        <v>9334</v>
      </c>
      <c r="E82" s="120">
        <v>3975</v>
      </c>
      <c r="F82" s="103">
        <v>2820.69</v>
      </c>
      <c r="G82" s="103">
        <v>14</v>
      </c>
      <c r="H82" s="103"/>
      <c r="I82" s="103">
        <v>200</v>
      </c>
      <c r="J82" s="103"/>
      <c r="K82" s="103">
        <v>52.06</v>
      </c>
      <c r="L82" s="103">
        <f t="shared" si="27"/>
        <v>79.338999999999999</v>
      </c>
      <c r="M82" s="103">
        <f t="shared" si="28"/>
        <v>2029.1099999999992</v>
      </c>
      <c r="N82" s="103">
        <f t="shared" si="29"/>
        <v>2981.25</v>
      </c>
      <c r="O82" s="104">
        <v>7</v>
      </c>
      <c r="P82" s="104"/>
      <c r="Q82" s="104">
        <v>689.44</v>
      </c>
      <c r="R82" s="104">
        <v>359.07</v>
      </c>
      <c r="S82" s="103">
        <f t="shared" si="30"/>
        <v>397.5</v>
      </c>
      <c r="T82" s="104"/>
      <c r="U82" s="105"/>
      <c r="V82" s="105">
        <v>0.75</v>
      </c>
      <c r="W82" s="105">
        <v>95</v>
      </c>
    </row>
    <row r="83" spans="1:23" ht="15">
      <c r="A83" s="101"/>
      <c r="B83" s="101">
        <v>352372</v>
      </c>
      <c r="C83" s="112" t="s">
        <v>343</v>
      </c>
      <c r="D83" s="103"/>
      <c r="E83" s="120"/>
      <c r="F83" s="103"/>
      <c r="G83" s="103"/>
      <c r="H83" s="103"/>
      <c r="I83" s="103"/>
      <c r="J83" s="103"/>
      <c r="K83" s="103"/>
      <c r="L83" s="103">
        <f t="shared" si="27"/>
        <v>0</v>
      </c>
      <c r="M83" s="103">
        <f t="shared" si="28"/>
        <v>-1169.76</v>
      </c>
      <c r="N83" s="103">
        <f t="shared" si="29"/>
        <v>0</v>
      </c>
      <c r="O83" s="104">
        <v>7</v>
      </c>
      <c r="P83" s="104"/>
      <c r="Q83" s="104">
        <v>689.44</v>
      </c>
      <c r="R83" s="104">
        <v>359.07</v>
      </c>
      <c r="S83" s="103">
        <f t="shared" si="30"/>
        <v>0</v>
      </c>
      <c r="T83" s="104">
        <v>26.25</v>
      </c>
      <c r="U83" s="105"/>
      <c r="V83" s="105">
        <v>0.75</v>
      </c>
      <c r="W83" s="105">
        <v>95</v>
      </c>
    </row>
    <row r="84" spans="1:23" ht="15">
      <c r="A84" s="101" t="s">
        <v>344</v>
      </c>
      <c r="B84" s="101">
        <v>352373</v>
      </c>
      <c r="C84" s="112"/>
      <c r="D84" s="103"/>
      <c r="E84" s="121"/>
      <c r="F84" s="103"/>
      <c r="G84" s="103">
        <v>70.5</v>
      </c>
      <c r="H84" s="103"/>
      <c r="I84" s="103"/>
      <c r="J84" s="103"/>
      <c r="K84" s="103"/>
      <c r="L84" s="103">
        <f t="shared" si="27"/>
        <v>0</v>
      </c>
      <c r="M84" s="103">
        <f t="shared" si="28"/>
        <v>-1214.01</v>
      </c>
      <c r="N84" s="103">
        <f t="shared" si="29"/>
        <v>0</v>
      </c>
      <c r="O84" s="104">
        <v>7</v>
      </c>
      <c r="P84" s="104"/>
      <c r="Q84" s="104">
        <v>689.44</v>
      </c>
      <c r="R84" s="104">
        <v>359.07</v>
      </c>
      <c r="S84" s="103">
        <f t="shared" si="30"/>
        <v>0</v>
      </c>
      <c r="T84" s="104"/>
      <c r="U84" s="105"/>
      <c r="V84" s="105">
        <v>0.75</v>
      </c>
      <c r="W84" s="105">
        <v>95</v>
      </c>
    </row>
    <row r="85" spans="1:23" ht="15">
      <c r="A85" s="101" t="s">
        <v>191</v>
      </c>
      <c r="B85" s="101">
        <v>352374</v>
      </c>
      <c r="C85" s="112">
        <v>7</v>
      </c>
      <c r="D85" s="103">
        <v>7150</v>
      </c>
      <c r="E85" s="121">
        <v>2639</v>
      </c>
      <c r="F85" s="106">
        <v>3578.71</v>
      </c>
      <c r="G85" s="103">
        <v>332.91</v>
      </c>
      <c r="H85" s="103"/>
      <c r="I85" s="103"/>
      <c r="J85" s="103"/>
      <c r="K85" s="103">
        <v>186.1</v>
      </c>
      <c r="L85" s="103">
        <f t="shared" si="27"/>
        <v>60.775000000000006</v>
      </c>
      <c r="M85" s="103">
        <f t="shared" si="28"/>
        <v>-134.13000000000048</v>
      </c>
      <c r="N85" s="103">
        <f t="shared" si="29"/>
        <v>2111.2000000000003</v>
      </c>
      <c r="O85" s="104">
        <v>7</v>
      </c>
      <c r="P85" s="104"/>
      <c r="Q85" s="104">
        <v>689.44</v>
      </c>
      <c r="R85" s="104">
        <v>359.07</v>
      </c>
      <c r="S85" s="103">
        <f t="shared" si="30"/>
        <v>263.90000000000003</v>
      </c>
      <c r="T85" s="104">
        <v>40</v>
      </c>
      <c r="U85" s="105"/>
      <c r="V85" s="105">
        <v>0.8</v>
      </c>
      <c r="W85" s="105">
        <v>95</v>
      </c>
    </row>
    <row r="86" spans="1:23" ht="15">
      <c r="A86" s="101"/>
      <c r="B86" s="101">
        <v>352375</v>
      </c>
      <c r="C86" s="112" t="s">
        <v>342</v>
      </c>
      <c r="D86" s="103"/>
      <c r="E86" s="122"/>
      <c r="F86" s="103"/>
      <c r="G86" s="103"/>
      <c r="H86" s="103"/>
      <c r="I86" s="103"/>
      <c r="J86" s="103"/>
      <c r="K86" s="103"/>
      <c r="L86" s="103">
        <f t="shared" si="27"/>
        <v>0</v>
      </c>
      <c r="M86" s="103">
        <f t="shared" si="28"/>
        <v>-1169.76</v>
      </c>
      <c r="N86" s="103">
        <f t="shared" si="29"/>
        <v>0</v>
      </c>
      <c r="O86" s="104">
        <v>7</v>
      </c>
      <c r="P86" s="104"/>
      <c r="Q86" s="104">
        <v>689.44</v>
      </c>
      <c r="R86" s="104">
        <v>359.07</v>
      </c>
      <c r="S86" s="103">
        <f t="shared" si="30"/>
        <v>0</v>
      </c>
      <c r="T86" s="104">
        <v>26.25</v>
      </c>
      <c r="U86" s="105"/>
      <c r="V86" s="105">
        <v>0.75</v>
      </c>
      <c r="W86" s="105">
        <v>95</v>
      </c>
    </row>
    <row r="87" spans="1:23" ht="15">
      <c r="A87" s="101" t="s">
        <v>62</v>
      </c>
      <c r="B87" s="101">
        <v>352376</v>
      </c>
      <c r="C87" s="112">
        <v>3</v>
      </c>
      <c r="D87" s="103">
        <v>2400</v>
      </c>
      <c r="E87" s="123">
        <v>1071</v>
      </c>
      <c r="F87" s="103">
        <v>1087.1400000000001</v>
      </c>
      <c r="G87" s="103"/>
      <c r="H87" s="103"/>
      <c r="I87" s="103"/>
      <c r="J87" s="103"/>
      <c r="K87" s="103">
        <v>21.75</v>
      </c>
      <c r="L87" s="103">
        <f t="shared" si="27"/>
        <v>20.400000000000002</v>
      </c>
      <c r="M87" s="103">
        <f t="shared" si="28"/>
        <v>-745.5</v>
      </c>
      <c r="N87" s="103">
        <f t="shared" si="29"/>
        <v>803.25</v>
      </c>
      <c r="O87" s="104">
        <v>7</v>
      </c>
      <c r="P87" s="104"/>
      <c r="Q87" s="104">
        <v>689.44</v>
      </c>
      <c r="R87" s="104">
        <v>359.07</v>
      </c>
      <c r="S87" s="103">
        <f t="shared" si="30"/>
        <v>107.10000000000001</v>
      </c>
      <c r="T87" s="104">
        <v>26.25</v>
      </c>
      <c r="U87" s="105"/>
      <c r="V87" s="105">
        <v>0.75</v>
      </c>
      <c r="W87" s="105">
        <v>95</v>
      </c>
    </row>
    <row r="88" spans="1:23" ht="15">
      <c r="A88" s="101"/>
      <c r="B88" s="101">
        <v>352377</v>
      </c>
      <c r="C88" s="112" t="s">
        <v>342</v>
      </c>
      <c r="D88" s="103"/>
      <c r="E88" s="120"/>
      <c r="F88" s="103"/>
      <c r="G88" s="103"/>
      <c r="H88" s="103"/>
      <c r="I88" s="103"/>
      <c r="J88" s="103"/>
      <c r="K88" s="103"/>
      <c r="L88" s="103">
        <f t="shared" si="27"/>
        <v>0</v>
      </c>
      <c r="M88" s="103">
        <f t="shared" si="28"/>
        <v>-1143.51</v>
      </c>
      <c r="N88" s="103">
        <f t="shared" si="29"/>
        <v>0</v>
      </c>
      <c r="O88" s="104">
        <v>7</v>
      </c>
      <c r="P88" s="104"/>
      <c r="Q88" s="104">
        <v>689.44</v>
      </c>
      <c r="R88" s="104">
        <v>359.07</v>
      </c>
      <c r="S88" s="103">
        <f t="shared" si="30"/>
        <v>0</v>
      </c>
      <c r="T88" s="104"/>
      <c r="U88" s="105"/>
      <c r="V88" s="105">
        <v>0.75</v>
      </c>
      <c r="W88" s="105">
        <v>95</v>
      </c>
    </row>
    <row r="89" spans="1:23" ht="15">
      <c r="A89" s="101" t="s">
        <v>345</v>
      </c>
      <c r="B89" s="101">
        <v>359885</v>
      </c>
      <c r="C89" s="112"/>
      <c r="D89" s="103"/>
      <c r="E89" s="120"/>
      <c r="F89" s="103">
        <v>1266.1199999999999</v>
      </c>
      <c r="G89" s="103">
        <v>26.6</v>
      </c>
      <c r="H89" s="103"/>
      <c r="I89" s="103"/>
      <c r="J89" s="103"/>
      <c r="K89" s="103">
        <v>22.44</v>
      </c>
      <c r="L89" s="103">
        <f t="shared" si="27"/>
        <v>0</v>
      </c>
      <c r="M89" s="103">
        <f t="shared" si="28"/>
        <v>-2440.0399999999995</v>
      </c>
      <c r="N89" s="103">
        <f t="shared" si="29"/>
        <v>0</v>
      </c>
      <c r="O89" s="104">
        <v>7</v>
      </c>
      <c r="P89" s="104"/>
      <c r="Q89" s="104">
        <v>689.44</v>
      </c>
      <c r="R89" s="104">
        <v>359.07</v>
      </c>
      <c r="S89" s="103">
        <f t="shared" si="30"/>
        <v>0</v>
      </c>
      <c r="T89" s="104">
        <v>26.25</v>
      </c>
      <c r="U89" s="105"/>
      <c r="V89" s="105">
        <v>0.75</v>
      </c>
      <c r="W89" s="105">
        <v>95</v>
      </c>
    </row>
    <row r="90" spans="1:23" ht="15">
      <c r="A90" s="100" t="s">
        <v>308</v>
      </c>
      <c r="B90" s="101">
        <v>359886</v>
      </c>
      <c r="C90" s="112">
        <v>6</v>
      </c>
      <c r="D90" s="103">
        <v>8991</v>
      </c>
      <c r="E90" s="120">
        <v>3307</v>
      </c>
      <c r="F90" s="103">
        <v>2646.37</v>
      </c>
      <c r="G90" s="103">
        <v>75.95</v>
      </c>
      <c r="H90" s="103"/>
      <c r="I90" s="103"/>
      <c r="J90" s="103"/>
      <c r="K90" s="103">
        <v>48.39</v>
      </c>
      <c r="L90" s="103">
        <f t="shared" si="27"/>
        <v>76.423500000000004</v>
      </c>
      <c r="M90" s="103">
        <f t="shared" si="28"/>
        <v>2362.610000000001</v>
      </c>
      <c r="N90" s="103">
        <f t="shared" si="29"/>
        <v>2480.25</v>
      </c>
      <c r="O90" s="104">
        <v>7</v>
      </c>
      <c r="P90" s="104"/>
      <c r="Q90" s="104">
        <v>689.44</v>
      </c>
      <c r="R90" s="104">
        <v>359.07</v>
      </c>
      <c r="S90" s="103">
        <f t="shared" si="30"/>
        <v>330.70000000000005</v>
      </c>
      <c r="T90" s="104"/>
      <c r="U90" s="105"/>
      <c r="V90" s="105">
        <v>0.75</v>
      </c>
      <c r="W90" s="105">
        <v>95</v>
      </c>
    </row>
    <row r="91" spans="1:23" ht="15">
      <c r="A91" s="101" t="s">
        <v>319</v>
      </c>
      <c r="B91" s="101">
        <v>465180</v>
      </c>
      <c r="C91" s="112">
        <v>3</v>
      </c>
      <c r="D91" s="103">
        <v>2500</v>
      </c>
      <c r="E91" s="120">
        <v>1040</v>
      </c>
      <c r="F91" s="103">
        <v>799.83</v>
      </c>
      <c r="G91" s="103">
        <v>101.48</v>
      </c>
      <c r="H91" s="103"/>
      <c r="I91" s="103"/>
      <c r="J91" s="103"/>
      <c r="K91" s="103">
        <v>48.8</v>
      </c>
      <c r="L91" s="103">
        <f t="shared" si="27"/>
        <v>21.25</v>
      </c>
      <c r="M91" s="103">
        <f t="shared" si="28"/>
        <v>-506.33999999999986</v>
      </c>
      <c r="N91" s="103">
        <f t="shared" si="29"/>
        <v>780</v>
      </c>
      <c r="O91" s="104">
        <v>7</v>
      </c>
      <c r="P91" s="104"/>
      <c r="Q91" s="104">
        <v>789.51</v>
      </c>
      <c r="R91" s="104">
        <v>359.07</v>
      </c>
      <c r="S91" s="103">
        <f t="shared" si="30"/>
        <v>104</v>
      </c>
      <c r="T91" s="104">
        <v>26.25</v>
      </c>
      <c r="U91" s="105"/>
      <c r="V91" s="105">
        <v>0.75</v>
      </c>
      <c r="W91" s="105">
        <v>95</v>
      </c>
    </row>
    <row r="92" spans="1:23" ht="15">
      <c r="A92" s="101" t="s">
        <v>322</v>
      </c>
      <c r="B92" s="101">
        <v>465181</v>
      </c>
      <c r="C92" s="117">
        <v>7</v>
      </c>
      <c r="D92" s="108">
        <v>11900</v>
      </c>
      <c r="E92" s="120">
        <v>5026</v>
      </c>
      <c r="F92" s="108">
        <v>3968.97</v>
      </c>
      <c r="G92" s="108">
        <v>6.64</v>
      </c>
      <c r="H92" s="108"/>
      <c r="I92" s="108"/>
      <c r="J92" s="110"/>
      <c r="K92" s="108">
        <v>226.26</v>
      </c>
      <c r="L92" s="103">
        <f t="shared" si="27"/>
        <v>101.15</v>
      </c>
      <c r="M92" s="103">
        <f t="shared" si="28"/>
        <v>2357.42</v>
      </c>
      <c r="N92" s="103">
        <f t="shared" si="29"/>
        <v>4020.8</v>
      </c>
      <c r="O92" s="104">
        <v>7</v>
      </c>
      <c r="P92" s="104"/>
      <c r="Q92" s="104">
        <v>789.51</v>
      </c>
      <c r="R92" s="104">
        <v>359.07</v>
      </c>
      <c r="S92" s="103">
        <f t="shared" si="30"/>
        <v>502.6</v>
      </c>
      <c r="T92" s="104">
        <v>26.25</v>
      </c>
      <c r="U92" s="105"/>
      <c r="V92" s="105">
        <v>0.8</v>
      </c>
      <c r="W92" s="105">
        <v>95</v>
      </c>
    </row>
    <row r="93" spans="1:23" ht="15">
      <c r="A93" s="101"/>
      <c r="B93" s="101">
        <v>465182</v>
      </c>
      <c r="C93" s="117" t="s">
        <v>343</v>
      </c>
      <c r="D93" s="108"/>
      <c r="E93" s="120"/>
      <c r="F93" s="108"/>
      <c r="G93" s="108"/>
      <c r="H93" s="108"/>
      <c r="I93" s="108"/>
      <c r="J93" s="110"/>
      <c r="K93" s="108"/>
      <c r="L93" s="103">
        <f t="shared" si="27"/>
        <v>0</v>
      </c>
      <c r="M93" s="103">
        <f t="shared" si="28"/>
        <v>-1269.83</v>
      </c>
      <c r="N93" s="103">
        <f t="shared" si="29"/>
        <v>0</v>
      </c>
      <c r="O93" s="104">
        <v>7</v>
      </c>
      <c r="P93" s="104"/>
      <c r="Q93" s="104">
        <v>789.51</v>
      </c>
      <c r="R93" s="104">
        <v>359.07</v>
      </c>
      <c r="S93" s="103">
        <f t="shared" si="30"/>
        <v>0</v>
      </c>
      <c r="T93" s="104">
        <v>26.25</v>
      </c>
      <c r="U93" s="105"/>
      <c r="V93" s="105">
        <v>0.8</v>
      </c>
      <c r="W93" s="105">
        <v>95</v>
      </c>
    </row>
    <row r="94" spans="1:23" ht="15">
      <c r="A94" s="101" t="s">
        <v>88</v>
      </c>
      <c r="B94" s="101">
        <v>465183</v>
      </c>
      <c r="C94" s="117"/>
      <c r="D94" s="108"/>
      <c r="E94" s="120"/>
      <c r="F94" s="108"/>
      <c r="G94" s="108"/>
      <c r="H94" s="108"/>
      <c r="I94" s="108"/>
      <c r="J94" s="110"/>
      <c r="K94" s="108"/>
      <c r="L94" s="103">
        <f t="shared" si="27"/>
        <v>0</v>
      </c>
      <c r="M94" s="103">
        <f t="shared" si="28"/>
        <v>-1283.58</v>
      </c>
      <c r="N94" s="103">
        <f t="shared" si="29"/>
        <v>0</v>
      </c>
      <c r="O94" s="104">
        <v>7</v>
      </c>
      <c r="P94" s="104"/>
      <c r="Q94" s="104">
        <v>789.51</v>
      </c>
      <c r="R94" s="104">
        <v>359.07</v>
      </c>
      <c r="S94" s="103">
        <f t="shared" si="30"/>
        <v>0</v>
      </c>
      <c r="T94" s="104">
        <v>40</v>
      </c>
      <c r="U94" s="105"/>
      <c r="V94" s="105">
        <v>0.8</v>
      </c>
      <c r="W94" s="105">
        <v>95</v>
      </c>
    </row>
    <row r="95" spans="1:23" ht="15">
      <c r="A95" s="100" t="s">
        <v>40</v>
      </c>
      <c r="B95" s="101">
        <v>465184</v>
      </c>
      <c r="C95" s="117">
        <v>4</v>
      </c>
      <c r="D95" s="108">
        <v>4300</v>
      </c>
      <c r="E95" s="120">
        <v>1821</v>
      </c>
      <c r="F95" s="108">
        <v>1160.23</v>
      </c>
      <c r="G95" s="108"/>
      <c r="H95" s="108"/>
      <c r="I95" s="108">
        <v>200</v>
      </c>
      <c r="J95" s="110"/>
      <c r="K95" s="108">
        <v>20.11</v>
      </c>
      <c r="L95" s="103">
        <f t="shared" si="27"/>
        <v>36.550000000000004</v>
      </c>
      <c r="M95" s="103">
        <f t="shared" si="28"/>
        <v>251.14999999999975</v>
      </c>
      <c r="N95" s="103">
        <f t="shared" si="29"/>
        <v>1456.8000000000002</v>
      </c>
      <c r="O95" s="104">
        <v>7</v>
      </c>
      <c r="P95" s="104"/>
      <c r="Q95" s="104">
        <v>789.51</v>
      </c>
      <c r="R95" s="104">
        <v>359.07</v>
      </c>
      <c r="S95" s="103">
        <f t="shared" si="30"/>
        <v>182.10000000000002</v>
      </c>
      <c r="T95" s="104">
        <v>26.25</v>
      </c>
      <c r="U95" s="105"/>
      <c r="V95" s="105">
        <v>0.8</v>
      </c>
      <c r="W95" s="105">
        <v>95</v>
      </c>
    </row>
    <row r="96" spans="1:23" ht="15">
      <c r="A96" s="101" t="s">
        <v>75</v>
      </c>
      <c r="B96" s="101">
        <v>465185</v>
      </c>
      <c r="C96" s="117"/>
      <c r="D96" s="108"/>
      <c r="E96" s="120"/>
      <c r="F96" s="108"/>
      <c r="G96" s="108">
        <v>30.23</v>
      </c>
      <c r="H96" s="108"/>
      <c r="I96" s="108"/>
      <c r="J96" s="110"/>
      <c r="K96" s="108"/>
      <c r="L96" s="103">
        <f t="shared" si="27"/>
        <v>0</v>
      </c>
      <c r="M96" s="103">
        <f t="shared" si="28"/>
        <v>-1313.81</v>
      </c>
      <c r="N96" s="103">
        <f t="shared" si="29"/>
        <v>0</v>
      </c>
      <c r="O96" s="104">
        <v>7</v>
      </c>
      <c r="P96" s="104"/>
      <c r="Q96" s="104">
        <v>789.51</v>
      </c>
      <c r="R96" s="104">
        <v>359.07</v>
      </c>
      <c r="S96" s="103">
        <f t="shared" si="30"/>
        <v>0</v>
      </c>
      <c r="T96" s="104">
        <v>40</v>
      </c>
      <c r="U96" s="105"/>
      <c r="V96" s="105">
        <v>0.8</v>
      </c>
      <c r="W96" s="105">
        <v>95</v>
      </c>
    </row>
    <row r="97" spans="1:23" ht="15">
      <c r="A97" s="101" t="s">
        <v>329</v>
      </c>
      <c r="B97" s="101">
        <v>465186</v>
      </c>
      <c r="C97" s="117"/>
      <c r="D97" s="108"/>
      <c r="E97" s="120"/>
      <c r="F97" s="108"/>
      <c r="G97" s="108">
        <v>0.66</v>
      </c>
      <c r="H97" s="108"/>
      <c r="I97" s="108"/>
      <c r="J97" s="110"/>
      <c r="K97" s="108"/>
      <c r="L97" s="103">
        <f t="shared" si="27"/>
        <v>0</v>
      </c>
      <c r="M97" s="103">
        <f t="shared" si="28"/>
        <v>-1270.49</v>
      </c>
      <c r="N97" s="103">
        <f t="shared" si="29"/>
        <v>0</v>
      </c>
      <c r="O97" s="104">
        <v>7</v>
      </c>
      <c r="P97" s="104"/>
      <c r="Q97" s="104">
        <v>789.51</v>
      </c>
      <c r="R97" s="104">
        <v>359.07</v>
      </c>
      <c r="S97" s="103">
        <f t="shared" si="30"/>
        <v>0</v>
      </c>
      <c r="T97" s="104">
        <v>26.25</v>
      </c>
      <c r="U97" s="105"/>
      <c r="V97" s="105">
        <v>0.65</v>
      </c>
      <c r="W97" s="105">
        <v>95</v>
      </c>
    </row>
    <row r="98" spans="1:23" ht="15">
      <c r="A98" s="101" t="s">
        <v>192</v>
      </c>
      <c r="B98" s="101">
        <v>465187</v>
      </c>
      <c r="C98" s="117">
        <v>4</v>
      </c>
      <c r="D98" s="108">
        <v>3118</v>
      </c>
      <c r="E98" s="120"/>
      <c r="F98" s="108">
        <v>1301.3399999999999</v>
      </c>
      <c r="G98" s="108">
        <v>207.52</v>
      </c>
      <c r="H98" s="108"/>
      <c r="I98" s="108"/>
      <c r="J98" s="110"/>
      <c r="K98" s="108">
        <v>77.61</v>
      </c>
      <c r="L98" s="103">
        <f t="shared" si="27"/>
        <v>26.503000000000004</v>
      </c>
      <c r="M98" s="103">
        <f t="shared" si="28"/>
        <v>403.17000000000019</v>
      </c>
      <c r="N98" s="103">
        <f t="shared" si="29"/>
        <v>0</v>
      </c>
      <c r="O98" s="104">
        <v>7</v>
      </c>
      <c r="P98" s="104"/>
      <c r="Q98" s="104">
        <v>789.51</v>
      </c>
      <c r="R98" s="104">
        <v>359.07</v>
      </c>
      <c r="S98" s="103">
        <f t="shared" si="30"/>
        <v>0</v>
      </c>
      <c r="T98" s="104">
        <v>40</v>
      </c>
      <c r="U98" s="105"/>
      <c r="V98" s="105">
        <v>0.8</v>
      </c>
      <c r="W98" s="105">
        <v>95</v>
      </c>
    </row>
    <row r="99" spans="1:23" ht="15">
      <c r="A99" s="101" t="s">
        <v>14</v>
      </c>
      <c r="B99" s="101">
        <v>465188</v>
      </c>
      <c r="C99" s="117">
        <v>7</v>
      </c>
      <c r="D99" s="108">
        <v>8005</v>
      </c>
      <c r="E99" s="120">
        <v>3537</v>
      </c>
      <c r="F99" s="108">
        <v>2105.46</v>
      </c>
      <c r="G99" s="108">
        <v>75.599999999999994</v>
      </c>
      <c r="H99" s="108"/>
      <c r="I99" s="108">
        <v>200</v>
      </c>
      <c r="J99" s="110"/>
      <c r="K99" s="108">
        <v>133.54</v>
      </c>
      <c r="L99" s="103">
        <f t="shared" si="27"/>
        <v>68.042500000000004</v>
      </c>
      <c r="M99" s="103">
        <f t="shared" si="28"/>
        <v>1707.4499999999998</v>
      </c>
      <c r="N99" s="103">
        <f t="shared" si="29"/>
        <v>2652.75</v>
      </c>
      <c r="O99" s="104">
        <v>7</v>
      </c>
      <c r="P99" s="104"/>
      <c r="Q99" s="104">
        <v>789.51</v>
      </c>
      <c r="R99" s="104">
        <v>359.07</v>
      </c>
      <c r="S99" s="103">
        <f t="shared" si="30"/>
        <v>353.70000000000005</v>
      </c>
      <c r="T99" s="104"/>
      <c r="U99" s="105"/>
      <c r="V99" s="105">
        <v>0.75</v>
      </c>
      <c r="W99" s="105">
        <v>95</v>
      </c>
    </row>
    <row r="100" spans="1:23" ht="15">
      <c r="A100" s="101" t="s">
        <v>318</v>
      </c>
      <c r="B100" s="101">
        <v>465189</v>
      </c>
      <c r="C100" s="112" t="s">
        <v>342</v>
      </c>
      <c r="D100" s="108"/>
      <c r="E100" s="109"/>
      <c r="F100" s="108">
        <v>72.66</v>
      </c>
      <c r="G100" s="108"/>
      <c r="H100" s="108"/>
      <c r="I100" s="108"/>
      <c r="J100" s="110"/>
      <c r="K100" s="108">
        <v>0.57999999999999996</v>
      </c>
      <c r="L100" s="103">
        <f t="shared" si="27"/>
        <v>0</v>
      </c>
      <c r="M100" s="103">
        <f t="shared" si="28"/>
        <v>-1315.66</v>
      </c>
      <c r="N100" s="103">
        <f t="shared" si="29"/>
        <v>0</v>
      </c>
      <c r="O100" s="104">
        <v>7</v>
      </c>
      <c r="P100" s="104"/>
      <c r="Q100" s="104">
        <v>789.51</v>
      </c>
      <c r="R100" s="104">
        <v>359.07</v>
      </c>
      <c r="S100" s="103">
        <f t="shared" si="30"/>
        <v>0</v>
      </c>
      <c r="T100" s="104"/>
      <c r="U100" s="105"/>
      <c r="V100" s="105">
        <v>0.75</v>
      </c>
      <c r="W100" s="105">
        <v>95</v>
      </c>
    </row>
    <row r="101" spans="1:23" ht="15">
      <c r="A101" s="71" t="s">
        <v>89</v>
      </c>
      <c r="B101" s="72">
        <v>20</v>
      </c>
      <c r="C101" s="73">
        <f>AVERAGE(C81:C100)</f>
        <v>5.333333333333333</v>
      </c>
      <c r="D101" s="74">
        <f t="shared" ref="D101:G101" si="31">SUM(D81:D100)</f>
        <v>57698</v>
      </c>
      <c r="E101" s="119">
        <f t="shared" si="31"/>
        <v>22416</v>
      </c>
      <c r="F101" s="74">
        <f t="shared" si="31"/>
        <v>20807.519999999997</v>
      </c>
      <c r="G101" s="73">
        <f t="shared" si="31"/>
        <v>942.09</v>
      </c>
      <c r="H101" s="74"/>
      <c r="I101" s="74">
        <f t="shared" ref="I101:O101" si="32">SUM(I81:I100)</f>
        <v>600</v>
      </c>
      <c r="J101" s="74">
        <f t="shared" si="32"/>
        <v>0</v>
      </c>
      <c r="K101" s="74">
        <f t="shared" si="32"/>
        <v>837.64</v>
      </c>
      <c r="L101" s="74">
        <f t="shared" si="32"/>
        <v>490.43299999999999</v>
      </c>
      <c r="M101" s="74">
        <f t="shared" si="32"/>
        <v>-7035.2699999999995</v>
      </c>
      <c r="N101" s="74">
        <f t="shared" si="32"/>
        <v>17286.3</v>
      </c>
      <c r="O101" s="74">
        <f t="shared" si="32"/>
        <v>140</v>
      </c>
      <c r="P101" s="74"/>
      <c r="Q101" s="74">
        <f t="shared" ref="Q101:T101" si="33">SUM(Q81:Q100)</f>
        <v>14789.500000000004</v>
      </c>
      <c r="R101" s="74">
        <f t="shared" si="33"/>
        <v>7181.3999999999987</v>
      </c>
      <c r="S101" s="74">
        <f t="shared" si="33"/>
        <v>2241.6000000000004</v>
      </c>
      <c r="T101" s="74">
        <f t="shared" si="33"/>
        <v>422.5</v>
      </c>
      <c r="U101" s="74"/>
      <c r="V101" s="74">
        <f>AVERAGE(V81:V100)</f>
        <v>0.76250000000000029</v>
      </c>
      <c r="W101" s="74">
        <f>SUM(W81:W100)</f>
        <v>1900</v>
      </c>
    </row>
    <row r="102" spans="1:23" ht="14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</row>
    <row r="103" spans="1:23" ht="14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</row>
    <row r="104" spans="1:23" ht="14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</row>
    <row r="105" spans="1:23" ht="15">
      <c r="A105" s="457" t="s">
        <v>346</v>
      </c>
      <c r="B105" s="458"/>
      <c r="C105" s="458"/>
      <c r="D105" s="458"/>
      <c r="E105" s="458"/>
      <c r="F105" s="458"/>
      <c r="G105" s="458"/>
      <c r="H105" s="458"/>
      <c r="I105" s="458"/>
      <c r="J105" s="458"/>
      <c r="K105" s="458"/>
      <c r="L105" s="458"/>
      <c r="M105" s="458"/>
      <c r="N105" s="458"/>
      <c r="O105" s="458"/>
      <c r="P105" s="458"/>
      <c r="Q105" s="458"/>
      <c r="R105" s="458"/>
      <c r="S105" s="458"/>
      <c r="T105" s="458"/>
      <c r="U105" s="458"/>
      <c r="V105" s="458"/>
      <c r="W105" s="459"/>
    </row>
    <row r="106" spans="1:23" ht="15">
      <c r="A106" s="95" t="s">
        <v>0</v>
      </c>
      <c r="B106" s="96" t="s">
        <v>1</v>
      </c>
      <c r="C106" s="96" t="s">
        <v>3</v>
      </c>
      <c r="D106" s="96" t="s">
        <v>2</v>
      </c>
      <c r="E106" s="96" t="s">
        <v>9</v>
      </c>
      <c r="F106" s="96" t="s">
        <v>7</v>
      </c>
      <c r="G106" s="96" t="s">
        <v>8</v>
      </c>
      <c r="H106" s="96"/>
      <c r="I106" s="97" t="s">
        <v>287</v>
      </c>
      <c r="J106" s="97" t="s">
        <v>288</v>
      </c>
      <c r="K106" s="98" t="s">
        <v>257</v>
      </c>
      <c r="L106" s="96" t="s">
        <v>341</v>
      </c>
      <c r="M106" s="96" t="s">
        <v>13</v>
      </c>
      <c r="N106" s="97" t="s">
        <v>98</v>
      </c>
      <c r="O106" s="99" t="s">
        <v>185</v>
      </c>
      <c r="P106" s="96"/>
      <c r="Q106" s="96" t="s">
        <v>4</v>
      </c>
      <c r="R106" s="96" t="s">
        <v>5</v>
      </c>
      <c r="S106" s="96" t="s">
        <v>12</v>
      </c>
      <c r="T106" s="96" t="s">
        <v>184</v>
      </c>
      <c r="U106" s="96"/>
      <c r="V106" s="96" t="s">
        <v>183</v>
      </c>
      <c r="W106" s="96" t="s">
        <v>333</v>
      </c>
    </row>
    <row r="107" spans="1:23" ht="15">
      <c r="A107" s="100"/>
      <c r="B107" s="101">
        <v>352368</v>
      </c>
      <c r="C107" s="112" t="s">
        <v>342</v>
      </c>
      <c r="D107" s="103"/>
      <c r="E107" s="113"/>
      <c r="F107" s="103"/>
      <c r="G107" s="103"/>
      <c r="H107" s="103"/>
      <c r="I107" s="103"/>
      <c r="J107" s="103"/>
      <c r="K107" s="103"/>
      <c r="L107" s="103">
        <f t="shared" ref="L107:L126" si="34">D107*0.0085</f>
        <v>0</v>
      </c>
      <c r="M107" s="103">
        <f t="shared" ref="M107:M122" si="35">D107-F107-G107-T107-S107-R107-Q107-N107+K107-W107-I107</f>
        <v>-1143.51</v>
      </c>
      <c r="N107" s="103">
        <f t="shared" ref="N107:N126" si="36">E107*V107</f>
        <v>0</v>
      </c>
      <c r="O107" s="104">
        <v>7</v>
      </c>
      <c r="P107" s="104"/>
      <c r="Q107" s="104">
        <v>689.44</v>
      </c>
      <c r="R107" s="104">
        <v>359.07</v>
      </c>
      <c r="S107" s="103">
        <f t="shared" ref="S107:S126" si="37">E107*0.1</f>
        <v>0</v>
      </c>
      <c r="T107" s="104"/>
      <c r="U107" s="105"/>
      <c r="V107" s="105">
        <v>0.75</v>
      </c>
      <c r="W107" s="105">
        <v>95</v>
      </c>
    </row>
    <row r="108" spans="1:23" ht="15">
      <c r="A108" s="100" t="s">
        <v>334</v>
      </c>
      <c r="B108" s="101">
        <v>352371</v>
      </c>
      <c r="C108" s="112">
        <v>4</v>
      </c>
      <c r="D108" s="103">
        <v>3100</v>
      </c>
      <c r="E108" s="120">
        <v>1292</v>
      </c>
      <c r="F108" s="103">
        <v>2086.0500000000002</v>
      </c>
      <c r="G108" s="103">
        <v>465.63</v>
      </c>
      <c r="H108" s="103"/>
      <c r="I108" s="103"/>
      <c r="J108" s="103"/>
      <c r="K108" s="103"/>
      <c r="L108" s="103">
        <f t="shared" si="34"/>
        <v>26.35</v>
      </c>
      <c r="M108" s="103">
        <f t="shared" si="35"/>
        <v>-1725.8900000000003</v>
      </c>
      <c r="N108" s="103">
        <f t="shared" si="36"/>
        <v>969</v>
      </c>
      <c r="O108" s="104">
        <v>7</v>
      </c>
      <c r="P108" s="104"/>
      <c r="Q108" s="104">
        <v>689.44</v>
      </c>
      <c r="R108" s="104">
        <v>359.07</v>
      </c>
      <c r="S108" s="103">
        <f t="shared" si="37"/>
        <v>129.20000000000002</v>
      </c>
      <c r="T108" s="104">
        <v>32.5</v>
      </c>
      <c r="U108" s="105"/>
      <c r="V108" s="105">
        <v>0.75</v>
      </c>
      <c r="W108" s="105">
        <v>95</v>
      </c>
    </row>
    <row r="109" spans="1:23" ht="15">
      <c r="A109" s="101"/>
      <c r="B109" s="101">
        <v>352372</v>
      </c>
      <c r="C109" s="112" t="s">
        <v>343</v>
      </c>
      <c r="D109" s="103"/>
      <c r="E109" s="120"/>
      <c r="F109" s="103"/>
      <c r="G109" s="103"/>
      <c r="H109" s="103"/>
      <c r="I109" s="103"/>
      <c r="J109" s="103"/>
      <c r="K109" s="103"/>
      <c r="L109" s="103">
        <f t="shared" si="34"/>
        <v>0</v>
      </c>
      <c r="M109" s="103">
        <f t="shared" si="35"/>
        <v>-1143.51</v>
      </c>
      <c r="N109" s="103">
        <f t="shared" si="36"/>
        <v>0</v>
      </c>
      <c r="O109" s="104">
        <v>7</v>
      </c>
      <c r="P109" s="104"/>
      <c r="Q109" s="104">
        <v>689.44</v>
      </c>
      <c r="R109" s="104">
        <v>359.07</v>
      </c>
      <c r="S109" s="103">
        <f t="shared" si="37"/>
        <v>0</v>
      </c>
      <c r="T109" s="104"/>
      <c r="U109" s="105"/>
      <c r="V109" s="105">
        <v>0.75</v>
      </c>
      <c r="W109" s="105">
        <v>95</v>
      </c>
    </row>
    <row r="110" spans="1:23" ht="15">
      <c r="A110" s="101" t="s">
        <v>347</v>
      </c>
      <c r="B110" s="101">
        <v>352373</v>
      </c>
      <c r="C110" s="112">
        <v>5</v>
      </c>
      <c r="D110" s="103">
        <v>2450</v>
      </c>
      <c r="E110" s="121">
        <v>1152</v>
      </c>
      <c r="F110" s="103">
        <v>1339.43</v>
      </c>
      <c r="G110" s="103">
        <v>49.4</v>
      </c>
      <c r="H110" s="103"/>
      <c r="I110" s="103"/>
      <c r="J110" s="103"/>
      <c r="K110" s="103"/>
      <c r="L110" s="103">
        <f t="shared" si="34"/>
        <v>20.825000000000003</v>
      </c>
      <c r="M110" s="103">
        <f t="shared" si="35"/>
        <v>-1061.5400000000002</v>
      </c>
      <c r="N110" s="103">
        <f t="shared" si="36"/>
        <v>864</v>
      </c>
      <c r="O110" s="104">
        <v>7</v>
      </c>
      <c r="P110" s="104"/>
      <c r="Q110" s="104">
        <v>689.44</v>
      </c>
      <c r="R110" s="104">
        <v>359.07</v>
      </c>
      <c r="S110" s="103">
        <f t="shared" si="37"/>
        <v>115.2</v>
      </c>
      <c r="T110" s="104"/>
      <c r="U110" s="105"/>
      <c r="V110" s="105">
        <v>0.75</v>
      </c>
      <c r="W110" s="105">
        <v>95</v>
      </c>
    </row>
    <row r="111" spans="1:23" ht="15">
      <c r="A111" s="101" t="s">
        <v>191</v>
      </c>
      <c r="B111" s="101" t="s">
        <v>348</v>
      </c>
      <c r="C111" s="112">
        <v>5</v>
      </c>
      <c r="D111" s="103">
        <v>4900</v>
      </c>
      <c r="E111" s="121">
        <v>1629</v>
      </c>
      <c r="F111" s="106">
        <v>1178.76</v>
      </c>
      <c r="G111" s="103">
        <v>107.94</v>
      </c>
      <c r="H111" s="103"/>
      <c r="I111" s="103"/>
      <c r="J111" s="103"/>
      <c r="K111" s="103"/>
      <c r="L111" s="103">
        <f t="shared" si="34"/>
        <v>41.650000000000006</v>
      </c>
      <c r="M111" s="103">
        <f t="shared" si="35"/>
        <v>963.68999999999937</v>
      </c>
      <c r="N111" s="103">
        <f t="shared" si="36"/>
        <v>1303.2</v>
      </c>
      <c r="O111" s="104">
        <v>7</v>
      </c>
      <c r="P111" s="104"/>
      <c r="Q111" s="104">
        <v>689.44</v>
      </c>
      <c r="R111" s="104">
        <v>359.07</v>
      </c>
      <c r="S111" s="103">
        <f t="shared" si="37"/>
        <v>162.9</v>
      </c>
      <c r="T111" s="104">
        <v>40</v>
      </c>
      <c r="U111" s="105"/>
      <c r="V111" s="105">
        <v>0.8</v>
      </c>
      <c r="W111" s="105">
        <v>95</v>
      </c>
    </row>
    <row r="112" spans="1:23" ht="15">
      <c r="A112" s="101" t="s">
        <v>349</v>
      </c>
      <c r="B112" s="101" t="s">
        <v>350</v>
      </c>
      <c r="C112" s="112" t="s">
        <v>343</v>
      </c>
      <c r="D112" s="103">
        <v>7100</v>
      </c>
      <c r="E112" s="122">
        <v>3332</v>
      </c>
      <c r="F112" s="103">
        <v>2491.6799999999998</v>
      </c>
      <c r="G112" s="103">
        <v>87.34</v>
      </c>
      <c r="H112" s="103"/>
      <c r="I112" s="103"/>
      <c r="J112" s="103"/>
      <c r="K112" s="103"/>
      <c r="L112" s="103">
        <f t="shared" si="34"/>
        <v>60.35</v>
      </c>
      <c r="M112" s="103">
        <f t="shared" si="35"/>
        <v>545.26999999999953</v>
      </c>
      <c r="N112" s="103">
        <f t="shared" si="36"/>
        <v>2499</v>
      </c>
      <c r="O112" s="104">
        <v>7</v>
      </c>
      <c r="P112" s="104"/>
      <c r="Q112" s="104">
        <v>689.44</v>
      </c>
      <c r="R112" s="104">
        <v>359.07</v>
      </c>
      <c r="S112" s="103">
        <f t="shared" si="37"/>
        <v>333.20000000000005</v>
      </c>
      <c r="T112" s="104"/>
      <c r="U112" s="105"/>
      <c r="V112" s="105">
        <v>0.75</v>
      </c>
      <c r="W112" s="105">
        <v>95</v>
      </c>
    </row>
    <row r="113" spans="1:23" ht="15">
      <c r="A113" s="101"/>
      <c r="B113" s="101">
        <v>352377</v>
      </c>
      <c r="C113" s="112" t="s">
        <v>342</v>
      </c>
      <c r="D113" s="103"/>
      <c r="E113" s="120"/>
      <c r="F113" s="103"/>
      <c r="G113" s="103"/>
      <c r="H113" s="103"/>
      <c r="I113" s="103"/>
      <c r="J113" s="103"/>
      <c r="K113" s="103"/>
      <c r="L113" s="103">
        <f t="shared" si="34"/>
        <v>0</v>
      </c>
      <c r="M113" s="103">
        <f t="shared" si="35"/>
        <v>-1143.51</v>
      </c>
      <c r="N113" s="103">
        <f t="shared" si="36"/>
        <v>0</v>
      </c>
      <c r="O113" s="104">
        <v>7</v>
      </c>
      <c r="P113" s="104"/>
      <c r="Q113" s="104">
        <v>689.44</v>
      </c>
      <c r="R113" s="104">
        <v>359.07</v>
      </c>
      <c r="S113" s="103">
        <f t="shared" si="37"/>
        <v>0</v>
      </c>
      <c r="T113" s="104"/>
      <c r="U113" s="105"/>
      <c r="V113" s="105">
        <v>0.75</v>
      </c>
      <c r="W113" s="105">
        <v>95</v>
      </c>
    </row>
    <row r="114" spans="1:23" ht="15">
      <c r="A114" s="101" t="s">
        <v>62</v>
      </c>
      <c r="B114" s="101">
        <v>352376</v>
      </c>
      <c r="C114" s="112">
        <v>2</v>
      </c>
      <c r="D114" s="103">
        <v>4900</v>
      </c>
      <c r="E114" s="123">
        <v>1728</v>
      </c>
      <c r="F114" s="103">
        <v>1340.21</v>
      </c>
      <c r="G114" s="103"/>
      <c r="H114" s="103"/>
      <c r="I114" s="103">
        <v>400</v>
      </c>
      <c r="J114" s="103"/>
      <c r="K114" s="103"/>
      <c r="L114" s="103">
        <f t="shared" si="34"/>
        <v>41.650000000000006</v>
      </c>
      <c r="M114" s="103">
        <f t="shared" si="35"/>
        <v>521.22999999999956</v>
      </c>
      <c r="N114" s="103">
        <f t="shared" si="36"/>
        <v>1296</v>
      </c>
      <c r="O114" s="104">
        <v>7</v>
      </c>
      <c r="P114" s="104"/>
      <c r="Q114" s="104">
        <v>689.44</v>
      </c>
      <c r="R114" s="104">
        <v>359.07</v>
      </c>
      <c r="S114" s="103">
        <f t="shared" si="37"/>
        <v>172.8</v>
      </c>
      <c r="T114" s="104">
        <v>26.25</v>
      </c>
      <c r="U114" s="105"/>
      <c r="V114" s="105">
        <v>0.75</v>
      </c>
      <c r="W114" s="105">
        <v>95</v>
      </c>
    </row>
    <row r="115" spans="1:23" ht="15">
      <c r="A115" s="101" t="s">
        <v>345</v>
      </c>
      <c r="B115" s="101">
        <v>359885</v>
      </c>
      <c r="C115" s="112">
        <v>6</v>
      </c>
      <c r="D115" s="103">
        <v>6911</v>
      </c>
      <c r="E115" s="120">
        <v>3106</v>
      </c>
      <c r="F115" s="103">
        <v>2338.91</v>
      </c>
      <c r="G115" s="103">
        <v>12.65</v>
      </c>
      <c r="H115" s="103"/>
      <c r="I115" s="103"/>
      <c r="J115" s="103"/>
      <c r="K115" s="103"/>
      <c r="L115" s="103">
        <f t="shared" si="34"/>
        <v>58.743500000000004</v>
      </c>
      <c r="M115" s="103">
        <f t="shared" si="35"/>
        <v>749.57999999999993</v>
      </c>
      <c r="N115" s="103">
        <f t="shared" si="36"/>
        <v>2329.5</v>
      </c>
      <c r="O115" s="104">
        <v>7</v>
      </c>
      <c r="P115" s="104"/>
      <c r="Q115" s="104">
        <v>689.44</v>
      </c>
      <c r="R115" s="104">
        <v>359.07</v>
      </c>
      <c r="S115" s="103">
        <f t="shared" si="37"/>
        <v>310.60000000000002</v>
      </c>
      <c r="T115" s="104">
        <v>26.25</v>
      </c>
      <c r="U115" s="105"/>
      <c r="V115" s="105">
        <v>0.75</v>
      </c>
      <c r="W115" s="105">
        <v>95</v>
      </c>
    </row>
    <row r="116" spans="1:23" ht="15">
      <c r="A116" s="100" t="s">
        <v>308</v>
      </c>
      <c r="B116" s="101">
        <v>359886</v>
      </c>
      <c r="C116" s="112">
        <v>6</v>
      </c>
      <c r="D116" s="103">
        <v>12900</v>
      </c>
      <c r="E116" s="120">
        <v>4984</v>
      </c>
      <c r="F116" s="103">
        <v>4101.8900000000003</v>
      </c>
      <c r="G116" s="103">
        <v>7.15</v>
      </c>
      <c r="H116" s="103"/>
      <c r="I116" s="103"/>
      <c r="J116" s="103"/>
      <c r="K116" s="103"/>
      <c r="L116" s="103">
        <f t="shared" si="34"/>
        <v>109.65</v>
      </c>
      <c r="M116" s="103">
        <f t="shared" si="35"/>
        <v>3378.5500000000011</v>
      </c>
      <c r="N116" s="103">
        <f t="shared" si="36"/>
        <v>3738</v>
      </c>
      <c r="O116" s="104">
        <v>7</v>
      </c>
      <c r="P116" s="104"/>
      <c r="Q116" s="104">
        <v>689.44</v>
      </c>
      <c r="R116" s="104">
        <v>359.07</v>
      </c>
      <c r="S116" s="103">
        <f t="shared" si="37"/>
        <v>498.40000000000003</v>
      </c>
      <c r="T116" s="104">
        <v>32.5</v>
      </c>
      <c r="U116" s="105"/>
      <c r="V116" s="105">
        <v>0.75</v>
      </c>
      <c r="W116" s="105">
        <v>95</v>
      </c>
    </row>
    <row r="117" spans="1:23" ht="15">
      <c r="A117" s="101" t="s">
        <v>319</v>
      </c>
      <c r="B117" s="101">
        <v>465180</v>
      </c>
      <c r="C117" s="112">
        <v>5</v>
      </c>
      <c r="D117" s="103">
        <v>10525</v>
      </c>
      <c r="E117" s="120">
        <v>3447</v>
      </c>
      <c r="F117" s="103">
        <v>3037.36</v>
      </c>
      <c r="G117" s="103">
        <v>24</v>
      </c>
      <c r="H117" s="103"/>
      <c r="I117" s="103">
        <v>200</v>
      </c>
      <c r="J117" s="103"/>
      <c r="K117" s="103"/>
      <c r="L117" s="103">
        <f t="shared" si="34"/>
        <v>89.462500000000006</v>
      </c>
      <c r="M117" s="103">
        <f t="shared" si="35"/>
        <v>3063.8599999999997</v>
      </c>
      <c r="N117" s="103">
        <f t="shared" si="36"/>
        <v>2585.25</v>
      </c>
      <c r="O117" s="104">
        <v>7</v>
      </c>
      <c r="P117" s="104"/>
      <c r="Q117" s="104">
        <v>789.51</v>
      </c>
      <c r="R117" s="104">
        <v>359.07</v>
      </c>
      <c r="S117" s="103">
        <f t="shared" si="37"/>
        <v>344.70000000000005</v>
      </c>
      <c r="T117" s="104">
        <v>26.25</v>
      </c>
      <c r="U117" s="105"/>
      <c r="V117" s="105">
        <v>0.75</v>
      </c>
      <c r="W117" s="105">
        <v>95</v>
      </c>
    </row>
    <row r="118" spans="1:23" ht="15">
      <c r="A118" s="101" t="s">
        <v>322</v>
      </c>
      <c r="B118" s="101">
        <v>465181</v>
      </c>
      <c r="C118" s="117">
        <v>3</v>
      </c>
      <c r="D118" s="108">
        <v>1967</v>
      </c>
      <c r="E118" s="120">
        <v>1280</v>
      </c>
      <c r="F118" s="108">
        <v>1237.31</v>
      </c>
      <c r="G118" s="108">
        <v>44</v>
      </c>
      <c r="H118" s="108"/>
      <c r="I118" s="108">
        <v>200</v>
      </c>
      <c r="J118" s="110"/>
      <c r="K118" s="108"/>
      <c r="L118" s="103">
        <f t="shared" si="34"/>
        <v>16.7195</v>
      </c>
      <c r="M118" s="103">
        <f t="shared" si="35"/>
        <v>-1936.1399999999999</v>
      </c>
      <c r="N118" s="103">
        <f t="shared" si="36"/>
        <v>1024</v>
      </c>
      <c r="O118" s="104">
        <v>7</v>
      </c>
      <c r="P118" s="104"/>
      <c r="Q118" s="104">
        <v>789.51</v>
      </c>
      <c r="R118" s="104">
        <v>359.07</v>
      </c>
      <c r="S118" s="103">
        <f t="shared" si="37"/>
        <v>128</v>
      </c>
      <c r="T118" s="104">
        <v>26.25</v>
      </c>
      <c r="U118" s="105"/>
      <c r="V118" s="105">
        <v>0.8</v>
      </c>
      <c r="W118" s="105">
        <v>95</v>
      </c>
    </row>
    <row r="119" spans="1:23" ht="15">
      <c r="A119" s="101"/>
      <c r="B119" s="101">
        <v>465182</v>
      </c>
      <c r="C119" s="117" t="s">
        <v>343</v>
      </c>
      <c r="D119" s="108"/>
      <c r="E119" s="120"/>
      <c r="F119" s="108"/>
      <c r="G119" s="108"/>
      <c r="H119" s="108"/>
      <c r="I119" s="108"/>
      <c r="J119" s="110"/>
      <c r="K119" s="108"/>
      <c r="L119" s="103">
        <f t="shared" si="34"/>
        <v>0</v>
      </c>
      <c r="M119" s="103">
        <f t="shared" si="35"/>
        <v>-1269.83</v>
      </c>
      <c r="N119" s="103">
        <f t="shared" si="36"/>
        <v>0</v>
      </c>
      <c r="O119" s="104">
        <v>7</v>
      </c>
      <c r="P119" s="104"/>
      <c r="Q119" s="104">
        <v>789.51</v>
      </c>
      <c r="R119" s="104">
        <v>359.07</v>
      </c>
      <c r="S119" s="103">
        <f t="shared" si="37"/>
        <v>0</v>
      </c>
      <c r="T119" s="104">
        <v>26.25</v>
      </c>
      <c r="U119" s="105"/>
      <c r="V119" s="105">
        <v>0.8</v>
      </c>
      <c r="W119" s="105">
        <v>95</v>
      </c>
    </row>
    <row r="120" spans="1:23" ht="15">
      <c r="A120" s="101" t="s">
        <v>88</v>
      </c>
      <c r="B120" s="101">
        <v>465183</v>
      </c>
      <c r="C120" s="117">
        <v>5</v>
      </c>
      <c r="D120" s="108">
        <v>2775</v>
      </c>
      <c r="E120" s="120">
        <v>1914</v>
      </c>
      <c r="F120" s="108">
        <v>1679.58</v>
      </c>
      <c r="G120" s="108">
        <v>2.12</v>
      </c>
      <c r="H120" s="108"/>
      <c r="I120" s="108"/>
      <c r="J120" s="110"/>
      <c r="K120" s="108"/>
      <c r="L120" s="103">
        <f t="shared" si="34"/>
        <v>23.587500000000002</v>
      </c>
      <c r="M120" s="103">
        <f t="shared" si="35"/>
        <v>-1912.8799999999999</v>
      </c>
      <c r="N120" s="103">
        <f t="shared" si="36"/>
        <v>1531.2</v>
      </c>
      <c r="O120" s="104">
        <v>7</v>
      </c>
      <c r="P120" s="104"/>
      <c r="Q120" s="104">
        <v>789.51</v>
      </c>
      <c r="R120" s="104">
        <v>359.07</v>
      </c>
      <c r="S120" s="103">
        <f t="shared" si="37"/>
        <v>191.4</v>
      </c>
      <c r="T120" s="104">
        <v>40</v>
      </c>
      <c r="U120" s="105"/>
      <c r="V120" s="105">
        <v>0.8</v>
      </c>
      <c r="W120" s="105">
        <v>95</v>
      </c>
    </row>
    <row r="121" spans="1:23" ht="15">
      <c r="A121" s="100" t="s">
        <v>40</v>
      </c>
      <c r="B121" s="101">
        <v>465184</v>
      </c>
      <c r="C121" s="117">
        <v>5</v>
      </c>
      <c r="D121" s="108">
        <v>10700</v>
      </c>
      <c r="E121" s="120">
        <v>4187</v>
      </c>
      <c r="F121" s="108">
        <v>3917.24</v>
      </c>
      <c r="G121" s="108">
        <v>88.5</v>
      </c>
      <c r="H121" s="108"/>
      <c r="I121" s="108"/>
      <c r="J121" s="110"/>
      <c r="K121" s="108"/>
      <c r="L121" s="103">
        <f t="shared" si="34"/>
        <v>90.95</v>
      </c>
      <c r="M121" s="103">
        <f t="shared" si="35"/>
        <v>1656.13</v>
      </c>
      <c r="N121" s="103">
        <f t="shared" si="36"/>
        <v>3349.6000000000004</v>
      </c>
      <c r="O121" s="104">
        <v>7</v>
      </c>
      <c r="P121" s="104"/>
      <c r="Q121" s="104">
        <v>789.51</v>
      </c>
      <c r="R121" s="104">
        <v>359.07</v>
      </c>
      <c r="S121" s="103">
        <f t="shared" si="37"/>
        <v>418.70000000000005</v>
      </c>
      <c r="T121" s="104">
        <v>26.25</v>
      </c>
      <c r="U121" s="105"/>
      <c r="V121" s="105">
        <v>0.8</v>
      </c>
      <c r="W121" s="105">
        <v>95</v>
      </c>
    </row>
    <row r="122" spans="1:23" ht="15">
      <c r="A122" s="101" t="s">
        <v>75</v>
      </c>
      <c r="B122" s="101">
        <v>465185</v>
      </c>
      <c r="C122" s="117">
        <v>6</v>
      </c>
      <c r="D122" s="108">
        <v>6700</v>
      </c>
      <c r="E122" s="120">
        <v>2952</v>
      </c>
      <c r="F122" s="108">
        <v>2829.11</v>
      </c>
      <c r="G122" s="108">
        <v>3.18</v>
      </c>
      <c r="H122" s="108"/>
      <c r="I122" s="108">
        <v>400</v>
      </c>
      <c r="J122" s="110"/>
      <c r="K122" s="108"/>
      <c r="L122" s="103">
        <f t="shared" si="34"/>
        <v>56.95</v>
      </c>
      <c r="M122" s="103">
        <f t="shared" si="35"/>
        <v>-472.66999999999962</v>
      </c>
      <c r="N122" s="103">
        <f t="shared" si="36"/>
        <v>2361.6</v>
      </c>
      <c r="O122" s="104">
        <v>7</v>
      </c>
      <c r="P122" s="104"/>
      <c r="Q122" s="104">
        <v>789.51</v>
      </c>
      <c r="R122" s="104">
        <v>359.07</v>
      </c>
      <c r="S122" s="103">
        <f t="shared" si="37"/>
        <v>295.2</v>
      </c>
      <c r="T122" s="104">
        <v>40</v>
      </c>
      <c r="U122" s="105"/>
      <c r="V122" s="105">
        <v>0.8</v>
      </c>
      <c r="W122" s="105">
        <v>95</v>
      </c>
    </row>
    <row r="123" spans="1:23" ht="15">
      <c r="A123" s="101" t="s">
        <v>329</v>
      </c>
      <c r="B123" s="101">
        <v>465186</v>
      </c>
      <c r="C123" s="117"/>
      <c r="D123" s="108"/>
      <c r="E123" s="120"/>
      <c r="F123" s="108">
        <v>441.8</v>
      </c>
      <c r="G123" s="108"/>
      <c r="H123" s="108"/>
      <c r="I123" s="108"/>
      <c r="J123" s="110"/>
      <c r="K123" s="108"/>
      <c r="L123" s="103">
        <f t="shared" si="34"/>
        <v>0</v>
      </c>
      <c r="M123" s="103">
        <f>D123-F123-G123-T123-S123-R123-Q123-N123-K123-W123-I123</f>
        <v>-1711.63</v>
      </c>
      <c r="N123" s="103">
        <f t="shared" si="36"/>
        <v>0</v>
      </c>
      <c r="O123" s="104">
        <v>7</v>
      </c>
      <c r="P123" s="104"/>
      <c r="Q123" s="104">
        <v>789.51</v>
      </c>
      <c r="R123" s="104">
        <v>359.07</v>
      </c>
      <c r="S123" s="103">
        <f t="shared" si="37"/>
        <v>0</v>
      </c>
      <c r="T123" s="104">
        <v>26.25</v>
      </c>
      <c r="U123" s="105"/>
      <c r="V123" s="105">
        <v>0.65</v>
      </c>
      <c r="W123" s="105">
        <v>95</v>
      </c>
    </row>
    <row r="124" spans="1:23" ht="15">
      <c r="A124" s="101" t="s">
        <v>192</v>
      </c>
      <c r="B124" s="101">
        <v>465187</v>
      </c>
      <c r="C124" s="117">
        <v>6</v>
      </c>
      <c r="D124" s="108">
        <v>7022</v>
      </c>
      <c r="E124" s="120">
        <v>3056</v>
      </c>
      <c r="F124" s="108">
        <v>3133.84</v>
      </c>
      <c r="G124" s="108">
        <v>29.35</v>
      </c>
      <c r="H124" s="108"/>
      <c r="I124" s="108">
        <v>400</v>
      </c>
      <c r="J124" s="110"/>
      <c r="K124" s="108"/>
      <c r="L124" s="103">
        <f t="shared" si="34"/>
        <v>59.687000000000005</v>
      </c>
      <c r="M124" s="103">
        <f t="shared" ref="M124:M126" si="38">D124-F124-G124-T124-S124-R124-Q124-N124+K124-W124-I124</f>
        <v>-575.17000000000007</v>
      </c>
      <c r="N124" s="103">
        <f t="shared" si="36"/>
        <v>2444.8000000000002</v>
      </c>
      <c r="O124" s="104">
        <v>7</v>
      </c>
      <c r="P124" s="104"/>
      <c r="Q124" s="104">
        <v>789.51</v>
      </c>
      <c r="R124" s="104">
        <v>359.07</v>
      </c>
      <c r="S124" s="103">
        <f t="shared" si="37"/>
        <v>305.60000000000002</v>
      </c>
      <c r="T124" s="104">
        <v>40</v>
      </c>
      <c r="U124" s="105"/>
      <c r="V124" s="105">
        <v>0.8</v>
      </c>
      <c r="W124" s="105">
        <v>95</v>
      </c>
    </row>
    <row r="125" spans="1:23" ht="15">
      <c r="A125" s="101" t="s">
        <v>14</v>
      </c>
      <c r="B125" s="101">
        <v>465188</v>
      </c>
      <c r="C125" s="117">
        <v>5</v>
      </c>
      <c r="D125" s="108">
        <v>10511</v>
      </c>
      <c r="E125" s="120">
        <v>4727</v>
      </c>
      <c r="F125" s="108">
        <v>4613.6099999999997</v>
      </c>
      <c r="G125" s="108">
        <v>250.78</v>
      </c>
      <c r="H125" s="108"/>
      <c r="I125" s="108"/>
      <c r="J125" s="110"/>
      <c r="K125" s="108"/>
      <c r="L125" s="103">
        <f t="shared" si="34"/>
        <v>89.343500000000006</v>
      </c>
      <c r="M125" s="103">
        <f t="shared" si="38"/>
        <v>352.58000000000084</v>
      </c>
      <c r="N125" s="103">
        <f t="shared" si="36"/>
        <v>3545.25</v>
      </c>
      <c r="O125" s="104">
        <v>7</v>
      </c>
      <c r="P125" s="104"/>
      <c r="Q125" s="104">
        <v>789.51</v>
      </c>
      <c r="R125" s="104">
        <v>359.07</v>
      </c>
      <c r="S125" s="103">
        <f t="shared" si="37"/>
        <v>472.70000000000005</v>
      </c>
      <c r="T125" s="104">
        <v>32.5</v>
      </c>
      <c r="U125" s="105"/>
      <c r="V125" s="105">
        <v>0.75</v>
      </c>
      <c r="W125" s="105">
        <v>95</v>
      </c>
    </row>
    <row r="126" spans="1:23" ht="15">
      <c r="A126" s="101" t="s">
        <v>318</v>
      </c>
      <c r="B126" s="101">
        <v>465189</v>
      </c>
      <c r="C126" s="112" t="s">
        <v>342</v>
      </c>
      <c r="D126" s="108">
        <v>1436</v>
      </c>
      <c r="E126" s="125">
        <v>952</v>
      </c>
      <c r="F126" s="108"/>
      <c r="G126" s="108">
        <v>35.9</v>
      </c>
      <c r="H126" s="108"/>
      <c r="I126" s="108"/>
      <c r="J126" s="110"/>
      <c r="K126" s="108"/>
      <c r="L126" s="103">
        <f t="shared" si="34"/>
        <v>12.206000000000001</v>
      </c>
      <c r="M126" s="103">
        <f t="shared" si="38"/>
        <v>-685.18000000000006</v>
      </c>
      <c r="N126" s="103">
        <f t="shared" si="36"/>
        <v>714</v>
      </c>
      <c r="O126" s="104">
        <v>7</v>
      </c>
      <c r="P126" s="104"/>
      <c r="Q126" s="104">
        <v>789.51</v>
      </c>
      <c r="R126" s="104">
        <v>359.07</v>
      </c>
      <c r="S126" s="103">
        <f t="shared" si="37"/>
        <v>95.2</v>
      </c>
      <c r="T126" s="104">
        <v>32.5</v>
      </c>
      <c r="U126" s="105"/>
      <c r="V126" s="105">
        <v>0.75</v>
      </c>
      <c r="W126" s="105">
        <v>95</v>
      </c>
    </row>
    <row r="127" spans="1:23" ht="15">
      <c r="A127" s="71" t="s">
        <v>89</v>
      </c>
      <c r="B127" s="72">
        <v>20</v>
      </c>
      <c r="C127" s="73">
        <f>AVERAGE(C107:C126)</f>
        <v>4.8461538461538458</v>
      </c>
      <c r="D127" s="74">
        <f t="shared" ref="D127:G127" si="39">SUM(D107:D126)</f>
        <v>93897</v>
      </c>
      <c r="E127" s="75">
        <f t="shared" si="39"/>
        <v>39738</v>
      </c>
      <c r="F127" s="74">
        <f t="shared" si="39"/>
        <v>35766.78</v>
      </c>
      <c r="G127" s="73">
        <f t="shared" si="39"/>
        <v>1207.94</v>
      </c>
      <c r="H127" s="74"/>
      <c r="I127" s="74">
        <f t="shared" ref="I127:O127" si="40">SUM(I107:I126)</f>
        <v>1600</v>
      </c>
      <c r="J127" s="74">
        <f t="shared" si="40"/>
        <v>0</v>
      </c>
      <c r="K127" s="74">
        <f t="shared" si="40"/>
        <v>0</v>
      </c>
      <c r="L127" s="74">
        <f t="shared" si="40"/>
        <v>798.12450000000001</v>
      </c>
      <c r="M127" s="74">
        <f t="shared" si="40"/>
        <v>-3550.5699999999997</v>
      </c>
      <c r="N127" s="74">
        <f t="shared" si="40"/>
        <v>30554.399999999998</v>
      </c>
      <c r="O127" s="74">
        <f t="shared" si="40"/>
        <v>140</v>
      </c>
      <c r="P127" s="74"/>
      <c r="Q127" s="74">
        <f t="shared" ref="Q127:T127" si="41">SUM(Q107:Q126)</f>
        <v>14789.500000000004</v>
      </c>
      <c r="R127" s="74">
        <f t="shared" si="41"/>
        <v>7181.3999999999987</v>
      </c>
      <c r="S127" s="74">
        <f t="shared" si="41"/>
        <v>3973.8</v>
      </c>
      <c r="T127" s="74">
        <f t="shared" si="41"/>
        <v>473.75</v>
      </c>
      <c r="U127" s="74"/>
      <c r="V127" s="74">
        <f>AVERAGE(V107:V126)</f>
        <v>0.76250000000000029</v>
      </c>
      <c r="W127" s="74">
        <f>SUM(W107:W126)</f>
        <v>1900</v>
      </c>
    </row>
  </sheetData>
  <customSheetViews>
    <customSheetView guid="{A64C97BC-AE2C-4C56-9A9A-CCB58ADC1319}" filter="1" showAutoFilter="1">
      <pageMargins left="0.7" right="0.7" top="0.75" bottom="0.75" header="0.3" footer="0.3"/>
      <autoFilter ref="A79:W101" xr:uid="{2EB6E000-BDD1-E444-9745-0FBA474C294E}"/>
    </customSheetView>
  </customSheetViews>
  <mergeCells count="5">
    <mergeCell ref="A1:V1"/>
    <mergeCell ref="A27:V27"/>
    <mergeCell ref="A53:W53"/>
    <mergeCell ref="A79:W79"/>
    <mergeCell ref="A105:W10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D118"/>
  <sheetViews>
    <sheetView workbookViewId="0"/>
  </sheetViews>
  <sheetFormatPr baseColWidth="10" defaultColWidth="12.6640625" defaultRowHeight="15.75" customHeight="1"/>
  <sheetData>
    <row r="1" spans="1:26">
      <c r="A1" s="457" t="s">
        <v>351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9"/>
    </row>
    <row r="2" spans="1:26">
      <c r="A2" s="95" t="s">
        <v>0</v>
      </c>
      <c r="B2" s="96" t="s">
        <v>1</v>
      </c>
      <c r="C2" s="96" t="s">
        <v>3</v>
      </c>
      <c r="D2" s="96" t="s">
        <v>2</v>
      </c>
      <c r="E2" s="96" t="s">
        <v>9</v>
      </c>
      <c r="F2" s="96" t="s">
        <v>7</v>
      </c>
      <c r="G2" s="96" t="s">
        <v>8</v>
      </c>
      <c r="H2" s="96"/>
      <c r="I2" s="97" t="s">
        <v>287</v>
      </c>
      <c r="J2" s="97" t="s">
        <v>288</v>
      </c>
      <c r="K2" s="98" t="s">
        <v>257</v>
      </c>
      <c r="L2" s="96" t="s">
        <v>341</v>
      </c>
      <c r="M2" s="99" t="s">
        <v>185</v>
      </c>
      <c r="N2" s="96" t="s">
        <v>4</v>
      </c>
      <c r="O2" s="96" t="s">
        <v>352</v>
      </c>
      <c r="P2" s="96"/>
      <c r="Q2" s="96" t="s">
        <v>353</v>
      </c>
      <c r="R2" s="96" t="s">
        <v>354</v>
      </c>
      <c r="S2" s="96" t="s">
        <v>5</v>
      </c>
      <c r="T2" s="96" t="s">
        <v>12</v>
      </c>
      <c r="U2" s="96"/>
      <c r="V2" s="96" t="s">
        <v>184</v>
      </c>
      <c r="W2" s="96" t="s">
        <v>183</v>
      </c>
      <c r="X2" s="96" t="s">
        <v>333</v>
      </c>
      <c r="Y2" s="96" t="s">
        <v>13</v>
      </c>
      <c r="Z2" s="97" t="s">
        <v>98</v>
      </c>
    </row>
    <row r="3" spans="1:26">
      <c r="A3" s="100"/>
      <c r="B3" s="101">
        <v>352368</v>
      </c>
      <c r="C3" s="112" t="s">
        <v>342</v>
      </c>
      <c r="D3" s="103"/>
      <c r="E3" s="113"/>
      <c r="F3" s="103"/>
      <c r="G3" s="103"/>
      <c r="H3" s="103"/>
      <c r="I3" s="103"/>
      <c r="J3" s="103"/>
      <c r="K3" s="103"/>
      <c r="L3" s="103">
        <f t="shared" ref="L3:L22" si="0">D3*0.0085</f>
        <v>0</v>
      </c>
      <c r="M3" s="104">
        <v>7</v>
      </c>
      <c r="N3" s="104">
        <v>689.44</v>
      </c>
      <c r="O3" s="104">
        <f t="shared" ref="O3:O22" si="1">R3*Q3</f>
        <v>7.4900000000000001E-3</v>
      </c>
      <c r="P3" s="126"/>
      <c r="Q3" s="126">
        <v>7.4899999999999994E-2</v>
      </c>
      <c r="R3" s="127">
        <v>0.1</v>
      </c>
      <c r="S3" s="104">
        <v>359.07</v>
      </c>
      <c r="T3" s="103">
        <f t="shared" ref="T3:T22" si="2">E3*0.1</f>
        <v>0</v>
      </c>
      <c r="U3" s="104"/>
      <c r="V3" s="104"/>
      <c r="W3" s="105"/>
      <c r="X3" s="104">
        <v>95</v>
      </c>
      <c r="Y3" s="103">
        <f t="shared" ref="Y3:Y19" si="3">D3-F3-G3-V3-T3-S3-N3-Z3+K3-X3-I3-O3-M3-L3</f>
        <v>-1150.51749</v>
      </c>
      <c r="Z3" s="103">
        <f t="shared" ref="Z3:Z22" si="4">E3*W3</f>
        <v>0</v>
      </c>
    </row>
    <row r="4" spans="1:26">
      <c r="A4" s="100" t="s">
        <v>355</v>
      </c>
      <c r="B4" s="101">
        <v>352371</v>
      </c>
      <c r="C4" s="112">
        <v>3</v>
      </c>
      <c r="D4" s="103">
        <v>4200</v>
      </c>
      <c r="E4" s="120">
        <v>1805</v>
      </c>
      <c r="F4" s="103">
        <v>1395.45</v>
      </c>
      <c r="G4" s="103">
        <v>9.6999999999999993</v>
      </c>
      <c r="H4" s="103"/>
      <c r="I4" s="103"/>
      <c r="J4" s="103"/>
      <c r="K4" s="103">
        <v>98.06</v>
      </c>
      <c r="L4" s="103">
        <f t="shared" si="0"/>
        <v>35.700000000000003</v>
      </c>
      <c r="M4" s="104">
        <v>7</v>
      </c>
      <c r="N4" s="104">
        <v>689.44</v>
      </c>
      <c r="O4" s="104">
        <f t="shared" si="1"/>
        <v>131.93634999999998</v>
      </c>
      <c r="P4" s="126"/>
      <c r="Q4" s="126">
        <v>7.4899999999999994E-2</v>
      </c>
      <c r="R4" s="127">
        <v>1761.5</v>
      </c>
      <c r="S4" s="104">
        <v>359.07</v>
      </c>
      <c r="T4" s="103">
        <f t="shared" si="2"/>
        <v>180.5</v>
      </c>
      <c r="U4" s="104"/>
      <c r="V4" s="104"/>
      <c r="W4" s="105">
        <v>0.75</v>
      </c>
      <c r="X4" s="104">
        <v>95</v>
      </c>
      <c r="Y4" s="103">
        <f t="shared" si="3"/>
        <v>40.513650000000169</v>
      </c>
      <c r="Z4" s="103">
        <f t="shared" si="4"/>
        <v>1353.75</v>
      </c>
    </row>
    <row r="5" spans="1:26">
      <c r="A5" s="101"/>
      <c r="B5" s="101">
        <v>352372</v>
      </c>
      <c r="C5" s="112" t="s">
        <v>343</v>
      </c>
      <c r="D5" s="103"/>
      <c r="E5" s="120"/>
      <c r="F5" s="103"/>
      <c r="G5" s="103"/>
      <c r="H5" s="103"/>
      <c r="I5" s="103"/>
      <c r="J5" s="103"/>
      <c r="K5" s="103"/>
      <c r="L5" s="103">
        <f t="shared" si="0"/>
        <v>0</v>
      </c>
      <c r="M5" s="104">
        <v>7</v>
      </c>
      <c r="N5" s="104">
        <v>689.44</v>
      </c>
      <c r="O5" s="104">
        <f t="shared" si="1"/>
        <v>0</v>
      </c>
      <c r="P5" s="126"/>
      <c r="Q5" s="126">
        <v>7.4899999999999994E-2</v>
      </c>
      <c r="R5" s="127"/>
      <c r="S5" s="104">
        <v>359.07</v>
      </c>
      <c r="T5" s="103">
        <f t="shared" si="2"/>
        <v>0</v>
      </c>
      <c r="U5" s="104"/>
      <c r="V5" s="104"/>
      <c r="W5" s="105"/>
      <c r="X5" s="104">
        <v>95</v>
      </c>
      <c r="Y5" s="103">
        <f t="shared" si="3"/>
        <v>-1150.51</v>
      </c>
      <c r="Z5" s="103">
        <f t="shared" si="4"/>
        <v>0</v>
      </c>
    </row>
    <row r="6" spans="1:26">
      <c r="A6" s="101" t="s">
        <v>347</v>
      </c>
      <c r="B6" s="101">
        <v>352373</v>
      </c>
      <c r="C6" s="112">
        <v>7</v>
      </c>
      <c r="D6" s="103">
        <v>11604</v>
      </c>
      <c r="E6" s="123">
        <v>3984</v>
      </c>
      <c r="F6" s="103">
        <v>2339.9</v>
      </c>
      <c r="G6" s="103">
        <v>45.05</v>
      </c>
      <c r="H6" s="103"/>
      <c r="I6" s="103"/>
      <c r="J6" s="103"/>
      <c r="K6" s="103">
        <v>81.88</v>
      </c>
      <c r="L6" s="103">
        <f t="shared" si="0"/>
        <v>98.634</v>
      </c>
      <c r="M6" s="104">
        <v>7</v>
      </c>
      <c r="N6" s="104">
        <v>689.44</v>
      </c>
      <c r="O6" s="104">
        <f t="shared" si="1"/>
        <v>260.68944999999997</v>
      </c>
      <c r="P6" s="126"/>
      <c r="Q6" s="126">
        <v>7.4899999999999994E-2</v>
      </c>
      <c r="R6" s="127">
        <v>3480.5</v>
      </c>
      <c r="S6" s="104">
        <v>359.07</v>
      </c>
      <c r="T6" s="103">
        <f t="shared" si="2"/>
        <v>398.40000000000003</v>
      </c>
      <c r="U6" s="104"/>
      <c r="V6" s="104">
        <v>32.5</v>
      </c>
      <c r="W6" s="105">
        <v>0.75</v>
      </c>
      <c r="X6" s="104">
        <v>95</v>
      </c>
      <c r="Y6" s="103">
        <f t="shared" si="3"/>
        <v>4372.1965500000015</v>
      </c>
      <c r="Z6" s="103">
        <f t="shared" si="4"/>
        <v>2988</v>
      </c>
    </row>
    <row r="7" spans="1:26">
      <c r="A7" s="101" t="s">
        <v>191</v>
      </c>
      <c r="B7" s="101" t="s">
        <v>348</v>
      </c>
      <c r="C7" s="112">
        <v>2</v>
      </c>
      <c r="D7" s="103">
        <v>2400</v>
      </c>
      <c r="E7" s="123">
        <v>974</v>
      </c>
      <c r="F7" s="128">
        <v>365.89</v>
      </c>
      <c r="G7" s="103">
        <v>1.88</v>
      </c>
      <c r="H7" s="103"/>
      <c r="I7" s="103"/>
      <c r="J7" s="103"/>
      <c r="K7" s="103">
        <v>0</v>
      </c>
      <c r="L7" s="103">
        <f t="shared" si="0"/>
        <v>20.400000000000002</v>
      </c>
      <c r="M7" s="104">
        <v>7</v>
      </c>
      <c r="N7" s="104">
        <v>689.44</v>
      </c>
      <c r="O7" s="104">
        <f t="shared" si="1"/>
        <v>72.95259999999999</v>
      </c>
      <c r="P7" s="126"/>
      <c r="Q7" s="126">
        <v>7.4899999999999994E-2</v>
      </c>
      <c r="R7" s="127">
        <v>974</v>
      </c>
      <c r="S7" s="104">
        <v>359.07</v>
      </c>
      <c r="T7" s="103">
        <f t="shared" si="2"/>
        <v>97.4</v>
      </c>
      <c r="U7" s="104"/>
      <c r="V7" s="104">
        <v>40</v>
      </c>
      <c r="W7" s="105">
        <v>0.8</v>
      </c>
      <c r="X7" s="104">
        <v>95</v>
      </c>
      <c r="Y7" s="103">
        <f t="shared" si="3"/>
        <v>-128.2326000000001</v>
      </c>
      <c r="Z7" s="103">
        <f t="shared" si="4"/>
        <v>779.2</v>
      </c>
    </row>
    <row r="8" spans="1:26">
      <c r="A8" s="101" t="s">
        <v>349</v>
      </c>
      <c r="B8" s="101" t="s">
        <v>350</v>
      </c>
      <c r="C8" s="112">
        <v>4</v>
      </c>
      <c r="D8" s="103">
        <v>6343</v>
      </c>
      <c r="E8" s="120">
        <v>2590</v>
      </c>
      <c r="F8" s="103">
        <v>2181.85</v>
      </c>
      <c r="G8" s="103">
        <v>4.68</v>
      </c>
      <c r="H8" s="103"/>
      <c r="I8" s="103"/>
      <c r="J8" s="103"/>
      <c r="K8" s="103">
        <v>98.55</v>
      </c>
      <c r="L8" s="103">
        <f t="shared" si="0"/>
        <v>53.915500000000002</v>
      </c>
      <c r="M8" s="104">
        <v>7</v>
      </c>
      <c r="N8" s="104">
        <v>689.44</v>
      </c>
      <c r="O8" s="104">
        <f t="shared" si="1"/>
        <v>193.99099999999999</v>
      </c>
      <c r="P8" s="126"/>
      <c r="Q8" s="126">
        <v>7.4899999999999994E-2</v>
      </c>
      <c r="R8" s="127">
        <v>2590</v>
      </c>
      <c r="S8" s="104">
        <v>359.07</v>
      </c>
      <c r="T8" s="103">
        <f t="shared" si="2"/>
        <v>259</v>
      </c>
      <c r="U8" s="104"/>
      <c r="V8" s="104">
        <v>32.5</v>
      </c>
      <c r="W8" s="105">
        <v>0.75</v>
      </c>
      <c r="X8" s="104">
        <v>95</v>
      </c>
      <c r="Y8" s="103">
        <f t="shared" si="3"/>
        <v>622.60349999999914</v>
      </c>
      <c r="Z8" s="103">
        <f t="shared" si="4"/>
        <v>1942.5</v>
      </c>
    </row>
    <row r="9" spans="1:26">
      <c r="A9" s="101" t="s">
        <v>356</v>
      </c>
      <c r="B9" s="101">
        <v>352377</v>
      </c>
      <c r="C9" s="112">
        <v>1</v>
      </c>
      <c r="D9" s="103">
        <v>2259</v>
      </c>
      <c r="E9" s="120">
        <v>566</v>
      </c>
      <c r="F9" s="103">
        <v>771.13</v>
      </c>
      <c r="G9" s="103">
        <v>24.4</v>
      </c>
      <c r="H9" s="103"/>
      <c r="I9" s="103"/>
      <c r="J9" s="103"/>
      <c r="K9" s="103">
        <v>46.89</v>
      </c>
      <c r="L9" s="103">
        <f t="shared" si="0"/>
        <v>19.201500000000003</v>
      </c>
      <c r="M9" s="104">
        <v>7</v>
      </c>
      <c r="N9" s="104">
        <v>689.44</v>
      </c>
      <c r="O9" s="104">
        <f t="shared" si="1"/>
        <v>63.275519999999993</v>
      </c>
      <c r="P9" s="126"/>
      <c r="Q9" s="126">
        <v>7.4899999999999994E-2</v>
      </c>
      <c r="R9" s="127">
        <v>844.8</v>
      </c>
      <c r="S9" s="104">
        <v>359.07</v>
      </c>
      <c r="T9" s="103">
        <f t="shared" si="2"/>
        <v>56.6</v>
      </c>
      <c r="U9" s="104"/>
      <c r="V9" s="104"/>
      <c r="W9" s="105">
        <v>0.7</v>
      </c>
      <c r="X9" s="104">
        <v>95</v>
      </c>
      <c r="Y9" s="103">
        <f t="shared" si="3"/>
        <v>-175.42702000000008</v>
      </c>
      <c r="Z9" s="103">
        <f t="shared" si="4"/>
        <v>396.2</v>
      </c>
    </row>
    <row r="10" spans="1:26">
      <c r="A10" s="101" t="s">
        <v>62</v>
      </c>
      <c r="B10" s="101">
        <v>352376</v>
      </c>
      <c r="C10" s="112">
        <v>6</v>
      </c>
      <c r="D10" s="103">
        <v>11184</v>
      </c>
      <c r="E10" s="123">
        <v>3634</v>
      </c>
      <c r="F10" s="103">
        <v>3196.98</v>
      </c>
      <c r="G10" s="103"/>
      <c r="H10" s="103"/>
      <c r="I10" s="103">
        <v>200</v>
      </c>
      <c r="J10" s="103"/>
      <c r="K10" s="103">
        <v>150.4</v>
      </c>
      <c r="L10" s="103">
        <f t="shared" si="0"/>
        <v>95.064000000000007</v>
      </c>
      <c r="M10" s="104">
        <v>7</v>
      </c>
      <c r="N10" s="104">
        <v>689.44</v>
      </c>
      <c r="O10" s="104">
        <f t="shared" si="1"/>
        <v>331.76205999999996</v>
      </c>
      <c r="P10" s="126"/>
      <c r="Q10" s="126">
        <v>7.4899999999999994E-2</v>
      </c>
      <c r="R10" s="127">
        <v>4429.3999999999996</v>
      </c>
      <c r="S10" s="104">
        <v>359.07</v>
      </c>
      <c r="T10" s="103">
        <f t="shared" si="2"/>
        <v>363.40000000000003</v>
      </c>
      <c r="U10" s="104"/>
      <c r="V10" s="104">
        <v>26.25</v>
      </c>
      <c r="W10" s="105">
        <v>0.75</v>
      </c>
      <c r="X10" s="104">
        <v>95</v>
      </c>
      <c r="Y10" s="103">
        <f t="shared" si="3"/>
        <v>3244.9339400000008</v>
      </c>
      <c r="Z10" s="103">
        <f t="shared" si="4"/>
        <v>2725.5</v>
      </c>
    </row>
    <row r="11" spans="1:26">
      <c r="A11" s="101" t="s">
        <v>345</v>
      </c>
      <c r="B11" s="101">
        <v>359885</v>
      </c>
      <c r="C11" s="112">
        <v>5</v>
      </c>
      <c r="D11" s="103">
        <v>5978</v>
      </c>
      <c r="E11" s="120">
        <v>2309</v>
      </c>
      <c r="F11" s="103">
        <v>2274.69</v>
      </c>
      <c r="G11" s="103"/>
      <c r="H11" s="103"/>
      <c r="I11" s="103"/>
      <c r="J11" s="103"/>
      <c r="K11" s="103">
        <v>68.150000000000006</v>
      </c>
      <c r="L11" s="103">
        <f t="shared" si="0"/>
        <v>50.813000000000002</v>
      </c>
      <c r="M11" s="104">
        <v>7</v>
      </c>
      <c r="N11" s="104">
        <v>689.44</v>
      </c>
      <c r="O11" s="104">
        <f t="shared" si="1"/>
        <v>190.48567999999997</v>
      </c>
      <c r="P11" s="126"/>
      <c r="Q11" s="126">
        <v>7.4899999999999994E-2</v>
      </c>
      <c r="R11" s="127">
        <v>2543.1999999999998</v>
      </c>
      <c r="S11" s="104">
        <v>359.07</v>
      </c>
      <c r="T11" s="103">
        <f t="shared" si="2"/>
        <v>230.9</v>
      </c>
      <c r="U11" s="104"/>
      <c r="V11" s="104">
        <v>26.25</v>
      </c>
      <c r="W11" s="105">
        <v>0.75</v>
      </c>
      <c r="X11" s="104">
        <v>95</v>
      </c>
      <c r="Y11" s="103">
        <f t="shared" si="3"/>
        <v>390.75131999999962</v>
      </c>
      <c r="Z11" s="103">
        <f t="shared" si="4"/>
        <v>1731.75</v>
      </c>
    </row>
    <row r="12" spans="1:26">
      <c r="A12" s="100" t="s">
        <v>308</v>
      </c>
      <c r="B12" s="101">
        <v>359886</v>
      </c>
      <c r="C12" s="112">
        <v>6</v>
      </c>
      <c r="D12" s="103">
        <v>7398</v>
      </c>
      <c r="E12" s="120">
        <v>3008</v>
      </c>
      <c r="F12" s="103">
        <v>2800.6</v>
      </c>
      <c r="G12" s="103">
        <v>110.09</v>
      </c>
      <c r="H12" s="103"/>
      <c r="I12" s="103"/>
      <c r="J12" s="103"/>
      <c r="K12" s="103">
        <v>89.09</v>
      </c>
      <c r="L12" s="103">
        <f t="shared" si="0"/>
        <v>62.883000000000003</v>
      </c>
      <c r="M12" s="104">
        <v>7</v>
      </c>
      <c r="N12" s="104">
        <v>689.44</v>
      </c>
      <c r="O12" s="104">
        <f t="shared" si="1"/>
        <v>301.74213999999995</v>
      </c>
      <c r="P12" s="126"/>
      <c r="Q12" s="126">
        <v>7.4899999999999994E-2</v>
      </c>
      <c r="R12" s="127">
        <v>4028.6</v>
      </c>
      <c r="S12" s="104">
        <v>359.07</v>
      </c>
      <c r="T12" s="103">
        <f t="shared" si="2"/>
        <v>300.8</v>
      </c>
      <c r="U12" s="104"/>
      <c r="V12" s="104">
        <v>32.5</v>
      </c>
      <c r="W12" s="105">
        <v>0.75</v>
      </c>
      <c r="X12" s="104">
        <v>95</v>
      </c>
      <c r="Y12" s="103">
        <f t="shared" si="3"/>
        <v>471.96485999999919</v>
      </c>
      <c r="Z12" s="103">
        <f t="shared" si="4"/>
        <v>2256</v>
      </c>
    </row>
    <row r="13" spans="1:26">
      <c r="A13" s="101" t="s">
        <v>319</v>
      </c>
      <c r="B13" s="101">
        <v>465180</v>
      </c>
      <c r="C13" s="112">
        <v>6</v>
      </c>
      <c r="D13" s="103">
        <v>10700</v>
      </c>
      <c r="E13" s="120">
        <v>3786</v>
      </c>
      <c r="F13" s="103">
        <v>2931.17</v>
      </c>
      <c r="G13" s="103">
        <v>50.81</v>
      </c>
      <c r="H13" s="103"/>
      <c r="I13" s="103">
        <v>200</v>
      </c>
      <c r="J13" s="103"/>
      <c r="K13" s="103">
        <v>204.39</v>
      </c>
      <c r="L13" s="103">
        <f t="shared" si="0"/>
        <v>90.95</v>
      </c>
      <c r="M13" s="104">
        <v>7</v>
      </c>
      <c r="N13" s="104">
        <v>789.51</v>
      </c>
      <c r="O13" s="104">
        <f t="shared" si="1"/>
        <v>356.36509000000001</v>
      </c>
      <c r="P13" s="126"/>
      <c r="Q13" s="126">
        <v>7.4300000000000005E-2</v>
      </c>
      <c r="R13" s="127">
        <v>4796.3</v>
      </c>
      <c r="S13" s="104">
        <v>359.07</v>
      </c>
      <c r="T13" s="103">
        <f t="shared" si="2"/>
        <v>378.6</v>
      </c>
      <c r="U13" s="104"/>
      <c r="V13" s="104">
        <v>26.25</v>
      </c>
      <c r="W13" s="105">
        <v>0.75</v>
      </c>
      <c r="X13" s="104">
        <v>95</v>
      </c>
      <c r="Y13" s="103">
        <f t="shared" si="3"/>
        <v>2780.1649099999995</v>
      </c>
      <c r="Z13" s="103">
        <f t="shared" si="4"/>
        <v>2839.5</v>
      </c>
    </row>
    <row r="14" spans="1:26">
      <c r="A14" s="101" t="s">
        <v>322</v>
      </c>
      <c r="B14" s="101">
        <v>465181</v>
      </c>
      <c r="C14" s="117">
        <v>6</v>
      </c>
      <c r="D14" s="108">
        <v>11828</v>
      </c>
      <c r="E14" s="120">
        <v>4129</v>
      </c>
      <c r="F14" s="108">
        <v>3544.69</v>
      </c>
      <c r="G14" s="108"/>
      <c r="H14" s="108"/>
      <c r="I14" s="108">
        <v>200</v>
      </c>
      <c r="J14" s="110"/>
      <c r="K14" s="108">
        <v>219.75</v>
      </c>
      <c r="L14" s="103">
        <f t="shared" si="0"/>
        <v>100.53800000000001</v>
      </c>
      <c r="M14" s="104">
        <v>7</v>
      </c>
      <c r="N14" s="104">
        <v>789.51</v>
      </c>
      <c r="O14" s="104">
        <f t="shared" si="1"/>
        <v>327.96020000000004</v>
      </c>
      <c r="P14" s="126"/>
      <c r="Q14" s="126">
        <v>7.4300000000000005E-2</v>
      </c>
      <c r="R14" s="127">
        <v>4414</v>
      </c>
      <c r="S14" s="104">
        <v>359.07</v>
      </c>
      <c r="T14" s="103">
        <f t="shared" si="2"/>
        <v>412.90000000000003</v>
      </c>
      <c r="U14" s="104"/>
      <c r="V14" s="104">
        <v>26.25</v>
      </c>
      <c r="W14" s="105">
        <v>0.8</v>
      </c>
      <c r="X14" s="104">
        <v>95</v>
      </c>
      <c r="Y14" s="103">
        <f t="shared" si="3"/>
        <v>2881.6317999999997</v>
      </c>
      <c r="Z14" s="103">
        <f t="shared" si="4"/>
        <v>3303.2000000000003</v>
      </c>
    </row>
    <row r="15" spans="1:26">
      <c r="A15" s="101"/>
      <c r="B15" s="101">
        <v>465182</v>
      </c>
      <c r="C15" s="112" t="s">
        <v>342</v>
      </c>
      <c r="D15" s="108"/>
      <c r="E15" s="120"/>
      <c r="F15" s="108"/>
      <c r="G15" s="108"/>
      <c r="H15" s="108"/>
      <c r="I15" s="108"/>
      <c r="J15" s="110"/>
      <c r="K15" s="108"/>
      <c r="L15" s="103">
        <f t="shared" si="0"/>
        <v>0</v>
      </c>
      <c r="M15" s="104">
        <v>7</v>
      </c>
      <c r="N15" s="104">
        <v>789.51</v>
      </c>
      <c r="O15" s="104">
        <f t="shared" si="1"/>
        <v>1.9986699999999999</v>
      </c>
      <c r="P15" s="126"/>
      <c r="Q15" s="126">
        <v>7.4300000000000005E-2</v>
      </c>
      <c r="R15" s="127">
        <v>26.9</v>
      </c>
      <c r="S15" s="104">
        <v>359.07</v>
      </c>
      <c r="T15" s="103">
        <f t="shared" si="2"/>
        <v>0</v>
      </c>
      <c r="U15" s="104"/>
      <c r="V15" s="104">
        <v>26.25</v>
      </c>
      <c r="W15" s="105"/>
      <c r="X15" s="104">
        <v>95</v>
      </c>
      <c r="Y15" s="103">
        <f t="shared" si="3"/>
        <v>-1278.8286699999999</v>
      </c>
      <c r="Z15" s="103">
        <f t="shared" si="4"/>
        <v>0</v>
      </c>
    </row>
    <row r="16" spans="1:26">
      <c r="A16" s="101" t="s">
        <v>88</v>
      </c>
      <c r="B16" s="101">
        <v>465183</v>
      </c>
      <c r="C16" s="117">
        <v>6</v>
      </c>
      <c r="D16" s="108">
        <v>12218</v>
      </c>
      <c r="E16" s="120">
        <v>4147</v>
      </c>
      <c r="F16" s="108">
        <v>3202.63</v>
      </c>
      <c r="G16" s="108">
        <v>18.45</v>
      </c>
      <c r="H16" s="108"/>
      <c r="I16" s="108">
        <v>200</v>
      </c>
      <c r="J16" s="110"/>
      <c r="K16" s="108">
        <v>370.98</v>
      </c>
      <c r="L16" s="103">
        <f t="shared" si="0"/>
        <v>103.85300000000001</v>
      </c>
      <c r="M16" s="104">
        <v>7</v>
      </c>
      <c r="N16" s="104">
        <v>789.51</v>
      </c>
      <c r="O16" s="104">
        <f t="shared" si="1"/>
        <v>324.48295999999999</v>
      </c>
      <c r="P16" s="126"/>
      <c r="Q16" s="126">
        <v>7.4300000000000005E-2</v>
      </c>
      <c r="R16" s="127">
        <v>4367.2</v>
      </c>
      <c r="S16" s="104">
        <v>359.07</v>
      </c>
      <c r="T16" s="103">
        <f t="shared" si="2"/>
        <v>414.70000000000005</v>
      </c>
      <c r="U16" s="104"/>
      <c r="V16" s="104">
        <v>40</v>
      </c>
      <c r="W16" s="105">
        <v>0.8</v>
      </c>
      <c r="X16" s="104">
        <v>95</v>
      </c>
      <c r="Y16" s="103">
        <f t="shared" si="3"/>
        <v>3716.6840399999969</v>
      </c>
      <c r="Z16" s="103">
        <f t="shared" si="4"/>
        <v>3317.6000000000004</v>
      </c>
    </row>
    <row r="17" spans="1:26">
      <c r="A17" s="100" t="s">
        <v>40</v>
      </c>
      <c r="B17" s="101">
        <v>465184</v>
      </c>
      <c r="C17" s="117">
        <v>7</v>
      </c>
      <c r="D17" s="108">
        <v>12459</v>
      </c>
      <c r="E17" s="120">
        <v>4450</v>
      </c>
      <c r="F17" s="108">
        <v>3290.67</v>
      </c>
      <c r="G17" s="108">
        <v>18.05</v>
      </c>
      <c r="H17" s="108"/>
      <c r="I17" s="108">
        <v>200</v>
      </c>
      <c r="J17" s="110"/>
      <c r="K17" s="108">
        <v>65.87</v>
      </c>
      <c r="L17" s="103">
        <f t="shared" si="0"/>
        <v>105.90150000000001</v>
      </c>
      <c r="M17" s="104">
        <v>7</v>
      </c>
      <c r="N17" s="104">
        <v>789.51</v>
      </c>
      <c r="O17" s="104">
        <f t="shared" si="1"/>
        <v>352.86556000000002</v>
      </c>
      <c r="P17" s="126"/>
      <c r="Q17" s="126">
        <v>7.4300000000000005E-2</v>
      </c>
      <c r="R17" s="127">
        <v>4749.2</v>
      </c>
      <c r="S17" s="104">
        <v>359.07</v>
      </c>
      <c r="T17" s="103">
        <f t="shared" si="2"/>
        <v>445</v>
      </c>
      <c r="U17" s="104"/>
      <c r="V17" s="104">
        <v>26.25</v>
      </c>
      <c r="W17" s="105">
        <v>0.8</v>
      </c>
      <c r="X17" s="104">
        <v>95</v>
      </c>
      <c r="Y17" s="103">
        <f t="shared" si="3"/>
        <v>3275.5529400000005</v>
      </c>
      <c r="Z17" s="103">
        <f t="shared" si="4"/>
        <v>3560</v>
      </c>
    </row>
    <row r="18" spans="1:26">
      <c r="A18" s="101" t="s">
        <v>75</v>
      </c>
      <c r="B18" s="101">
        <v>465185</v>
      </c>
      <c r="C18" s="117">
        <v>7</v>
      </c>
      <c r="D18" s="108">
        <v>10814</v>
      </c>
      <c r="E18" s="120">
        <v>3760</v>
      </c>
      <c r="F18" s="108">
        <v>3164.07</v>
      </c>
      <c r="G18" s="108">
        <v>181.22</v>
      </c>
      <c r="H18" s="108"/>
      <c r="I18" s="108">
        <v>200</v>
      </c>
      <c r="J18" s="110"/>
      <c r="K18" s="108">
        <v>195.84</v>
      </c>
      <c r="L18" s="103">
        <f t="shared" si="0"/>
        <v>91.919000000000011</v>
      </c>
      <c r="M18" s="104">
        <v>7</v>
      </c>
      <c r="N18" s="104">
        <v>789.51</v>
      </c>
      <c r="O18" s="104">
        <f t="shared" si="1"/>
        <v>313.18936000000002</v>
      </c>
      <c r="P18" s="126"/>
      <c r="Q18" s="126">
        <v>7.4300000000000005E-2</v>
      </c>
      <c r="R18" s="127">
        <v>4215.2</v>
      </c>
      <c r="S18" s="104">
        <v>359.07</v>
      </c>
      <c r="T18" s="103">
        <f t="shared" si="2"/>
        <v>376</v>
      </c>
      <c r="U18" s="104"/>
      <c r="V18" s="104">
        <v>40</v>
      </c>
      <c r="W18" s="105">
        <v>0.8</v>
      </c>
      <c r="X18" s="104">
        <v>95</v>
      </c>
      <c r="Y18" s="103">
        <f t="shared" si="3"/>
        <v>2384.8616400000005</v>
      </c>
      <c r="Z18" s="103">
        <f t="shared" si="4"/>
        <v>3008</v>
      </c>
    </row>
    <row r="19" spans="1:26">
      <c r="A19" s="101"/>
      <c r="B19" s="101">
        <v>465186</v>
      </c>
      <c r="C19" s="112" t="s">
        <v>342</v>
      </c>
      <c r="D19" s="108"/>
      <c r="E19" s="120"/>
      <c r="F19" s="108"/>
      <c r="G19" s="108"/>
      <c r="H19" s="108"/>
      <c r="I19" s="108"/>
      <c r="J19" s="110"/>
      <c r="K19" s="108"/>
      <c r="L19" s="103">
        <f t="shared" si="0"/>
        <v>0</v>
      </c>
      <c r="M19" s="104">
        <v>7</v>
      </c>
      <c r="N19" s="104">
        <v>789.51</v>
      </c>
      <c r="O19" s="104">
        <f t="shared" si="1"/>
        <v>0</v>
      </c>
      <c r="P19" s="126"/>
      <c r="Q19" s="126">
        <v>7.4300000000000005E-2</v>
      </c>
      <c r="R19" s="127"/>
      <c r="S19" s="104">
        <v>359.07</v>
      </c>
      <c r="T19" s="103">
        <f t="shared" si="2"/>
        <v>0</v>
      </c>
      <c r="U19" s="104"/>
      <c r="V19" s="104"/>
      <c r="W19" s="105"/>
      <c r="X19" s="104">
        <v>95</v>
      </c>
      <c r="Y19" s="103">
        <f t="shared" si="3"/>
        <v>-1250.58</v>
      </c>
      <c r="Z19" s="103">
        <f t="shared" si="4"/>
        <v>0</v>
      </c>
    </row>
    <row r="20" spans="1:26">
      <c r="A20" s="101" t="s">
        <v>192</v>
      </c>
      <c r="B20" s="101">
        <v>465187</v>
      </c>
      <c r="C20" s="117">
        <v>6</v>
      </c>
      <c r="D20" s="108">
        <v>11400</v>
      </c>
      <c r="E20" s="120">
        <v>3869</v>
      </c>
      <c r="F20" s="108">
        <v>3015.81</v>
      </c>
      <c r="G20" s="108">
        <v>390.65</v>
      </c>
      <c r="H20" s="108"/>
      <c r="I20" s="108"/>
      <c r="J20" s="110"/>
      <c r="K20" s="108">
        <v>182.72</v>
      </c>
      <c r="L20" s="103">
        <f t="shared" si="0"/>
        <v>96.9</v>
      </c>
      <c r="M20" s="104">
        <v>7</v>
      </c>
      <c r="N20" s="104">
        <v>789.51</v>
      </c>
      <c r="O20" s="104">
        <f t="shared" si="1"/>
        <v>319.95809000000003</v>
      </c>
      <c r="P20" s="126"/>
      <c r="Q20" s="126">
        <v>7.4300000000000005E-2</v>
      </c>
      <c r="R20" s="127">
        <v>4306.3</v>
      </c>
      <c r="S20" s="104">
        <v>359.07</v>
      </c>
      <c r="T20" s="103">
        <f t="shared" si="2"/>
        <v>386.90000000000003</v>
      </c>
      <c r="U20" s="104"/>
      <c r="V20" s="104">
        <v>40</v>
      </c>
      <c r="W20" s="105">
        <v>0.8</v>
      </c>
      <c r="X20" s="104">
        <v>95</v>
      </c>
      <c r="Y20" s="103">
        <f>D20-F20-G20-V20-T20-S20-N20-Z20+K20-X20-I14-O20-M20-L20</f>
        <v>2786.7219100000007</v>
      </c>
      <c r="Z20" s="103">
        <f t="shared" si="4"/>
        <v>3095.2000000000003</v>
      </c>
    </row>
    <row r="21" spans="1:26">
      <c r="A21" s="101" t="s">
        <v>14</v>
      </c>
      <c r="B21" s="101">
        <v>465188</v>
      </c>
      <c r="C21" s="117">
        <v>5</v>
      </c>
      <c r="D21" s="108">
        <v>11206</v>
      </c>
      <c r="E21" s="120">
        <v>4597</v>
      </c>
      <c r="F21" s="108">
        <v>3016.17</v>
      </c>
      <c r="G21" s="108">
        <v>51.15</v>
      </c>
      <c r="H21" s="108"/>
      <c r="I21" s="108">
        <v>200</v>
      </c>
      <c r="J21" s="110"/>
      <c r="K21" s="108">
        <v>200.04</v>
      </c>
      <c r="L21" s="103">
        <f t="shared" si="0"/>
        <v>95.251000000000005</v>
      </c>
      <c r="M21" s="104">
        <v>7</v>
      </c>
      <c r="N21" s="104">
        <v>789.51</v>
      </c>
      <c r="O21" s="104">
        <f t="shared" si="1"/>
        <v>302.63132999999999</v>
      </c>
      <c r="P21" s="126"/>
      <c r="Q21" s="126">
        <v>7.4300000000000005E-2</v>
      </c>
      <c r="R21" s="127">
        <v>4073.1</v>
      </c>
      <c r="S21" s="104">
        <v>359.07</v>
      </c>
      <c r="T21" s="103">
        <f t="shared" si="2"/>
        <v>459.70000000000005</v>
      </c>
      <c r="U21" s="104"/>
      <c r="V21" s="104">
        <v>32.5</v>
      </c>
      <c r="W21" s="105">
        <v>0.8</v>
      </c>
      <c r="X21" s="104">
        <v>95</v>
      </c>
      <c r="Y21" s="103">
        <f t="shared" ref="Y21:Y22" si="5">D21-F21-G21-V21-T21-S21-N21-Z21+K21-X21-I21-O21-M21-L21</f>
        <v>2320.4576699999998</v>
      </c>
      <c r="Z21" s="103">
        <f t="shared" si="4"/>
        <v>3677.6000000000004</v>
      </c>
    </row>
    <row r="22" spans="1:26">
      <c r="A22" s="101" t="s">
        <v>318</v>
      </c>
      <c r="B22" s="101">
        <v>465189</v>
      </c>
      <c r="C22" s="112" t="s">
        <v>342</v>
      </c>
      <c r="D22" s="108"/>
      <c r="E22" s="129"/>
      <c r="F22" s="108"/>
      <c r="G22" s="108">
        <v>14</v>
      </c>
      <c r="H22" s="108"/>
      <c r="I22" s="108"/>
      <c r="J22" s="110"/>
      <c r="K22" s="108"/>
      <c r="L22" s="103">
        <f t="shared" si="0"/>
        <v>0</v>
      </c>
      <c r="M22" s="104">
        <v>7</v>
      </c>
      <c r="N22" s="104">
        <v>789.51</v>
      </c>
      <c r="O22" s="104">
        <f t="shared" si="1"/>
        <v>1.9986699999999999</v>
      </c>
      <c r="P22" s="126"/>
      <c r="Q22" s="126">
        <v>7.4300000000000005E-2</v>
      </c>
      <c r="R22" s="127">
        <v>26.9</v>
      </c>
      <c r="S22" s="104">
        <v>359.07</v>
      </c>
      <c r="T22" s="103">
        <f t="shared" si="2"/>
        <v>0</v>
      </c>
      <c r="U22" s="104"/>
      <c r="V22" s="104">
        <v>32.5</v>
      </c>
      <c r="W22" s="105">
        <v>0.75</v>
      </c>
      <c r="X22" s="104">
        <v>95</v>
      </c>
      <c r="Y22" s="103">
        <f t="shared" si="5"/>
        <v>-1299.0786699999999</v>
      </c>
      <c r="Z22" s="103">
        <f t="shared" si="4"/>
        <v>0</v>
      </c>
    </row>
    <row r="23" spans="1:26">
      <c r="A23" s="71" t="s">
        <v>89</v>
      </c>
      <c r="B23" s="72">
        <v>20</v>
      </c>
      <c r="C23" s="73">
        <f>AVERAGE(C3:C22)</f>
        <v>5.1333333333333337</v>
      </c>
      <c r="D23" s="74">
        <f t="shared" ref="D23:G23" si="6">SUM(D3:D22)</f>
        <v>131991</v>
      </c>
      <c r="E23" s="75">
        <f t="shared" si="6"/>
        <v>47608</v>
      </c>
      <c r="F23" s="74">
        <f t="shared" si="6"/>
        <v>37491.699999999997</v>
      </c>
      <c r="G23" s="73">
        <f t="shared" si="6"/>
        <v>920.13</v>
      </c>
      <c r="H23" s="74"/>
      <c r="I23" s="74">
        <f t="shared" ref="I23:O23" si="7">SUM(I3:I22)</f>
        <v>1400</v>
      </c>
      <c r="J23" s="74">
        <f t="shared" si="7"/>
        <v>0</v>
      </c>
      <c r="K23" s="74">
        <f t="shared" si="7"/>
        <v>2072.6099999999997</v>
      </c>
      <c r="L23" s="74">
        <f t="shared" si="7"/>
        <v>1121.9235000000001</v>
      </c>
      <c r="M23" s="74">
        <f t="shared" si="7"/>
        <v>140</v>
      </c>
      <c r="N23" s="74">
        <f t="shared" si="7"/>
        <v>14789.500000000004</v>
      </c>
      <c r="O23" s="74">
        <f t="shared" si="7"/>
        <v>3848.2922200000003</v>
      </c>
      <c r="P23" s="130"/>
      <c r="Q23" s="130">
        <f>AVERAGE(Q3:Q22)</f>
        <v>7.46E-2</v>
      </c>
      <c r="R23" s="75">
        <f>SUM(R2:R22)</f>
        <v>51627.199999999997</v>
      </c>
      <c r="S23" s="74">
        <f t="shared" ref="S23:T23" si="8">SUM(S3:S22)</f>
        <v>7181.3999999999987</v>
      </c>
      <c r="T23" s="74">
        <f t="shared" si="8"/>
        <v>4760.8</v>
      </c>
      <c r="U23" s="74"/>
      <c r="V23" s="74">
        <f>SUM(V3:V22)</f>
        <v>480</v>
      </c>
      <c r="W23" s="73">
        <f>AVERAGE(W3:W22)</f>
        <v>0.76875000000000016</v>
      </c>
      <c r="X23" s="74">
        <f t="shared" ref="X23:Z23" si="9">SUM(X3:X22)</f>
        <v>1900</v>
      </c>
      <c r="Y23" s="74">
        <f t="shared" si="9"/>
        <v>22855.864279999994</v>
      </c>
      <c r="Z23" s="74">
        <f t="shared" si="9"/>
        <v>36974</v>
      </c>
    </row>
    <row r="27" spans="1:26">
      <c r="A27" s="457" t="s">
        <v>357</v>
      </c>
      <c r="B27" s="458"/>
      <c r="C27" s="458"/>
      <c r="D27" s="458"/>
      <c r="E27" s="458"/>
      <c r="F27" s="458"/>
      <c r="G27" s="458"/>
      <c r="H27" s="458"/>
      <c r="I27" s="458"/>
      <c r="J27" s="458"/>
      <c r="K27" s="458"/>
      <c r="L27" s="458"/>
      <c r="M27" s="458"/>
      <c r="N27" s="458"/>
      <c r="O27" s="458"/>
      <c r="P27" s="458"/>
      <c r="Q27" s="458"/>
      <c r="R27" s="458"/>
      <c r="S27" s="458"/>
      <c r="T27" s="458"/>
      <c r="U27" s="458"/>
      <c r="V27" s="458"/>
      <c r="W27" s="458"/>
      <c r="X27" s="458"/>
      <c r="Y27" s="458"/>
      <c r="Z27" s="459"/>
    </row>
    <row r="28" spans="1:26">
      <c r="A28" s="95" t="s">
        <v>0</v>
      </c>
      <c r="B28" s="96" t="s">
        <v>1</v>
      </c>
      <c r="C28" s="96" t="s">
        <v>3</v>
      </c>
      <c r="D28" s="96" t="s">
        <v>2</v>
      </c>
      <c r="E28" s="96" t="s">
        <v>9</v>
      </c>
      <c r="F28" s="96" t="s">
        <v>7</v>
      </c>
      <c r="G28" s="96" t="s">
        <v>8</v>
      </c>
      <c r="H28" s="96"/>
      <c r="I28" s="97" t="s">
        <v>287</v>
      </c>
      <c r="J28" s="97" t="s">
        <v>288</v>
      </c>
      <c r="K28" s="98" t="s">
        <v>257</v>
      </c>
      <c r="L28" s="96" t="s">
        <v>341</v>
      </c>
      <c r="M28" s="99" t="s">
        <v>185</v>
      </c>
      <c r="N28" s="96" t="s">
        <v>4</v>
      </c>
      <c r="O28" s="96" t="s">
        <v>352</v>
      </c>
      <c r="P28" s="96"/>
      <c r="Q28" s="96" t="s">
        <v>353</v>
      </c>
      <c r="R28" s="96" t="s">
        <v>354</v>
      </c>
      <c r="S28" s="96" t="s">
        <v>5</v>
      </c>
      <c r="T28" s="96" t="s">
        <v>12</v>
      </c>
      <c r="U28" s="96"/>
      <c r="V28" s="96" t="s">
        <v>184</v>
      </c>
      <c r="W28" s="96" t="s">
        <v>183</v>
      </c>
      <c r="X28" s="96" t="s">
        <v>333</v>
      </c>
      <c r="Y28" s="96" t="s">
        <v>13</v>
      </c>
      <c r="Z28" s="97" t="s">
        <v>98</v>
      </c>
    </row>
    <row r="29" spans="1:26">
      <c r="A29" s="131" t="s">
        <v>349</v>
      </c>
      <c r="B29" s="101">
        <v>352368</v>
      </c>
      <c r="C29" s="112">
        <v>6</v>
      </c>
      <c r="D29" s="103">
        <v>14445</v>
      </c>
      <c r="E29" s="120">
        <v>5308</v>
      </c>
      <c r="F29" s="132">
        <v>3161.45</v>
      </c>
      <c r="G29" s="103">
        <v>75.319999999999993</v>
      </c>
      <c r="H29" s="103"/>
      <c r="I29" s="103">
        <v>200</v>
      </c>
      <c r="J29" s="103"/>
      <c r="K29" s="133">
        <v>43.04</v>
      </c>
      <c r="L29" s="103">
        <f t="shared" ref="L29:L48" si="10">D29*0.0085</f>
        <v>122.78250000000001</v>
      </c>
      <c r="M29" s="104">
        <v>7</v>
      </c>
      <c r="N29" s="104">
        <v>689.44</v>
      </c>
      <c r="O29" s="104">
        <f t="shared" ref="O29:O48" si="11">R29*Q29</f>
        <v>326.17451999999997</v>
      </c>
      <c r="P29" s="126"/>
      <c r="Q29" s="126">
        <v>7.4899999999999994E-2</v>
      </c>
      <c r="R29" s="127">
        <v>4354.8</v>
      </c>
      <c r="S29" s="104">
        <v>359.07</v>
      </c>
      <c r="T29" s="103">
        <f t="shared" ref="T29:T48" si="12">E29*0.1</f>
        <v>530.80000000000007</v>
      </c>
      <c r="U29" s="104"/>
      <c r="V29" s="104"/>
      <c r="W29" s="105">
        <v>0.8</v>
      </c>
      <c r="X29" s="104">
        <v>95</v>
      </c>
      <c r="Y29" s="103">
        <f t="shared" ref="Y29:Y45" si="13">D29-F29-G29-V29-T29-S29-N29-Z29+K29-X29-I29-O29-M29-L29</f>
        <v>4674.6029799999997</v>
      </c>
      <c r="Z29" s="103">
        <f t="shared" ref="Z29:Z48" si="14">E29*W29</f>
        <v>4246.4000000000005</v>
      </c>
    </row>
    <row r="30" spans="1:26">
      <c r="A30" s="100" t="s">
        <v>355</v>
      </c>
      <c r="B30" s="101">
        <v>352371</v>
      </c>
      <c r="C30" s="112">
        <v>5</v>
      </c>
      <c r="D30" s="103">
        <v>8108</v>
      </c>
      <c r="E30" s="120">
        <v>3499</v>
      </c>
      <c r="F30" s="132">
        <v>2520.8000000000002</v>
      </c>
      <c r="G30" s="103">
        <v>44.75</v>
      </c>
      <c r="H30" s="103"/>
      <c r="I30" s="103"/>
      <c r="J30" s="103"/>
      <c r="K30" s="133">
        <v>117.52</v>
      </c>
      <c r="L30" s="103">
        <f t="shared" si="10"/>
        <v>68.918000000000006</v>
      </c>
      <c r="M30" s="104">
        <v>7</v>
      </c>
      <c r="N30" s="104">
        <v>689.44</v>
      </c>
      <c r="O30" s="104">
        <f t="shared" si="11"/>
        <v>285.43640999999997</v>
      </c>
      <c r="P30" s="126"/>
      <c r="Q30" s="126">
        <v>7.4899999999999994E-2</v>
      </c>
      <c r="R30" s="127">
        <v>3810.9</v>
      </c>
      <c r="S30" s="104">
        <v>359.07</v>
      </c>
      <c r="T30" s="103">
        <f t="shared" si="12"/>
        <v>349.90000000000003</v>
      </c>
      <c r="U30" s="104"/>
      <c r="V30" s="104"/>
      <c r="W30" s="105">
        <v>0.75</v>
      </c>
      <c r="X30" s="104">
        <v>95</v>
      </c>
      <c r="Y30" s="103">
        <f t="shared" si="13"/>
        <v>1180.9555900000009</v>
      </c>
      <c r="Z30" s="103">
        <f t="shared" si="14"/>
        <v>2624.25</v>
      </c>
    </row>
    <row r="31" spans="1:26">
      <c r="A31" s="101"/>
      <c r="B31" s="101">
        <v>352372</v>
      </c>
      <c r="C31" s="112" t="s">
        <v>343</v>
      </c>
      <c r="D31" s="103"/>
      <c r="E31" s="120"/>
      <c r="F31" s="103"/>
      <c r="G31" s="103"/>
      <c r="H31" s="103"/>
      <c r="I31" s="103"/>
      <c r="J31" s="103"/>
      <c r="K31" s="103"/>
      <c r="L31" s="103">
        <f t="shared" si="10"/>
        <v>0</v>
      </c>
      <c r="M31" s="104">
        <v>7</v>
      </c>
      <c r="N31" s="104">
        <v>689.44</v>
      </c>
      <c r="O31" s="104">
        <f t="shared" si="11"/>
        <v>0</v>
      </c>
      <c r="P31" s="126"/>
      <c r="Q31" s="126">
        <v>7.4899999999999994E-2</v>
      </c>
      <c r="R31" s="127"/>
      <c r="S31" s="104">
        <v>359.07</v>
      </c>
      <c r="T31" s="103">
        <f t="shared" si="12"/>
        <v>0</v>
      </c>
      <c r="U31" s="104"/>
      <c r="V31" s="104"/>
      <c r="W31" s="105"/>
      <c r="X31" s="104">
        <v>95</v>
      </c>
      <c r="Y31" s="103">
        <f t="shared" si="13"/>
        <v>-1150.51</v>
      </c>
      <c r="Z31" s="103">
        <f t="shared" si="14"/>
        <v>0</v>
      </c>
    </row>
    <row r="32" spans="1:26">
      <c r="A32" s="101" t="s">
        <v>347</v>
      </c>
      <c r="B32" s="101">
        <v>352373</v>
      </c>
      <c r="C32" s="112">
        <v>6</v>
      </c>
      <c r="D32" s="103">
        <v>7142</v>
      </c>
      <c r="E32" s="123">
        <v>2503</v>
      </c>
      <c r="F32" s="132">
        <v>2487.3000000000002</v>
      </c>
      <c r="G32" s="103">
        <v>30</v>
      </c>
      <c r="H32" s="103"/>
      <c r="I32" s="103"/>
      <c r="J32" s="103"/>
      <c r="K32" s="133">
        <v>109.23</v>
      </c>
      <c r="L32" s="103">
        <f t="shared" si="10"/>
        <v>60.707000000000008</v>
      </c>
      <c r="M32" s="104">
        <v>7</v>
      </c>
      <c r="N32" s="104">
        <v>689.44</v>
      </c>
      <c r="O32" s="104">
        <f t="shared" si="11"/>
        <v>281.26447999999999</v>
      </c>
      <c r="P32" s="126"/>
      <c r="Q32" s="126">
        <v>7.4899999999999994E-2</v>
      </c>
      <c r="R32" s="127">
        <v>3755.2</v>
      </c>
      <c r="S32" s="104">
        <v>359.07</v>
      </c>
      <c r="T32" s="103">
        <f t="shared" si="12"/>
        <v>250.3</v>
      </c>
      <c r="U32" s="104"/>
      <c r="V32" s="104">
        <v>32.5</v>
      </c>
      <c r="W32" s="105">
        <v>0.8</v>
      </c>
      <c r="X32" s="104">
        <v>95</v>
      </c>
      <c r="Y32" s="103">
        <f t="shared" si="13"/>
        <v>956.2485199999993</v>
      </c>
      <c r="Z32" s="103">
        <f t="shared" si="14"/>
        <v>2002.4</v>
      </c>
    </row>
    <row r="33" spans="1:26">
      <c r="A33" s="101" t="s">
        <v>191</v>
      </c>
      <c r="B33" s="101" t="s">
        <v>348</v>
      </c>
      <c r="C33" s="112">
        <v>7</v>
      </c>
      <c r="D33" s="103">
        <v>12400</v>
      </c>
      <c r="E33" s="123">
        <v>5328</v>
      </c>
      <c r="F33" s="132">
        <v>4319.43</v>
      </c>
      <c r="G33" s="103">
        <v>159.61000000000001</v>
      </c>
      <c r="H33" s="103"/>
      <c r="I33" s="103">
        <v>200</v>
      </c>
      <c r="J33" s="103"/>
      <c r="K33" s="133">
        <v>382.95</v>
      </c>
      <c r="L33" s="103">
        <f t="shared" si="10"/>
        <v>105.4</v>
      </c>
      <c r="M33" s="104">
        <v>7</v>
      </c>
      <c r="N33" s="104">
        <v>689.44</v>
      </c>
      <c r="O33" s="104">
        <f t="shared" si="11"/>
        <v>2.5690699999999995</v>
      </c>
      <c r="P33" s="126"/>
      <c r="Q33" s="126">
        <v>7.4899999999999994E-2</v>
      </c>
      <c r="R33" s="127">
        <v>34.299999999999997</v>
      </c>
      <c r="S33" s="104">
        <v>359.07</v>
      </c>
      <c r="T33" s="103">
        <f t="shared" si="12"/>
        <v>532.80000000000007</v>
      </c>
      <c r="U33" s="104"/>
      <c r="V33" s="104">
        <v>40</v>
      </c>
      <c r="W33" s="105">
        <v>0.8</v>
      </c>
      <c r="X33" s="104">
        <v>95</v>
      </c>
      <c r="Y33" s="103">
        <f t="shared" si="13"/>
        <v>2010.2309299999988</v>
      </c>
      <c r="Z33" s="103">
        <f t="shared" si="14"/>
        <v>4262.4000000000005</v>
      </c>
    </row>
    <row r="34" spans="1:26">
      <c r="A34" s="101"/>
      <c r="B34" s="101" t="s">
        <v>350</v>
      </c>
      <c r="C34" s="112"/>
      <c r="D34" s="103"/>
      <c r="E34" s="120"/>
      <c r="F34" s="132"/>
      <c r="G34" s="103"/>
      <c r="H34" s="103"/>
      <c r="I34" s="103"/>
      <c r="J34" s="103"/>
      <c r="K34" s="133"/>
      <c r="L34" s="103">
        <f t="shared" si="10"/>
        <v>0</v>
      </c>
      <c r="M34" s="104">
        <v>7</v>
      </c>
      <c r="N34" s="104">
        <v>689.44</v>
      </c>
      <c r="O34" s="104">
        <f t="shared" si="11"/>
        <v>0</v>
      </c>
      <c r="P34" s="126"/>
      <c r="Q34" s="126">
        <v>7.4899999999999994E-2</v>
      </c>
      <c r="R34" s="127"/>
      <c r="S34" s="104">
        <v>359.07</v>
      </c>
      <c r="T34" s="103">
        <f t="shared" si="12"/>
        <v>0</v>
      </c>
      <c r="U34" s="104"/>
      <c r="V34" s="104">
        <v>32.5</v>
      </c>
      <c r="W34" s="105"/>
      <c r="X34" s="104">
        <v>95</v>
      </c>
      <c r="Y34" s="103">
        <f t="shared" si="13"/>
        <v>-1183.01</v>
      </c>
      <c r="Z34" s="103">
        <f t="shared" si="14"/>
        <v>0</v>
      </c>
    </row>
    <row r="35" spans="1:26">
      <c r="A35" s="101" t="s">
        <v>62</v>
      </c>
      <c r="B35" s="101">
        <v>352376</v>
      </c>
      <c r="C35" s="112">
        <v>5</v>
      </c>
      <c r="D35" s="103">
        <v>7500</v>
      </c>
      <c r="E35" s="123">
        <v>3738</v>
      </c>
      <c r="F35" s="132">
        <v>3003.26</v>
      </c>
      <c r="G35" s="103"/>
      <c r="H35" s="103"/>
      <c r="I35" s="103">
        <v>200</v>
      </c>
      <c r="J35" s="103"/>
      <c r="K35" s="133">
        <v>180.22</v>
      </c>
      <c r="L35" s="103">
        <f t="shared" si="10"/>
        <v>63.750000000000007</v>
      </c>
      <c r="M35" s="104">
        <v>7</v>
      </c>
      <c r="N35" s="104">
        <v>689.44</v>
      </c>
      <c r="O35" s="104">
        <f t="shared" si="11"/>
        <v>301.15791999999999</v>
      </c>
      <c r="P35" s="126"/>
      <c r="Q35" s="126">
        <v>7.4899999999999994E-2</v>
      </c>
      <c r="R35" s="127">
        <v>4020.8</v>
      </c>
      <c r="S35" s="104">
        <v>359.07</v>
      </c>
      <c r="T35" s="103">
        <f t="shared" si="12"/>
        <v>373.8</v>
      </c>
      <c r="U35" s="104"/>
      <c r="V35" s="104">
        <v>26.25</v>
      </c>
      <c r="W35" s="105">
        <v>0.75</v>
      </c>
      <c r="X35" s="104">
        <v>95</v>
      </c>
      <c r="Y35" s="103">
        <f t="shared" si="13"/>
        <v>-242.00792000000058</v>
      </c>
      <c r="Z35" s="103">
        <f t="shared" si="14"/>
        <v>2803.5</v>
      </c>
    </row>
    <row r="36" spans="1:26">
      <c r="A36" s="101" t="s">
        <v>356</v>
      </c>
      <c r="B36" s="101">
        <v>352377</v>
      </c>
      <c r="C36" s="112">
        <v>6</v>
      </c>
      <c r="D36" s="103">
        <v>7100</v>
      </c>
      <c r="E36" s="120">
        <v>2861</v>
      </c>
      <c r="F36" s="132">
        <v>2619.69</v>
      </c>
      <c r="G36" s="103"/>
      <c r="H36" s="103"/>
      <c r="I36" s="103"/>
      <c r="J36" s="103"/>
      <c r="K36" s="133">
        <v>162.37</v>
      </c>
      <c r="L36" s="103">
        <f t="shared" si="10"/>
        <v>60.35</v>
      </c>
      <c r="M36" s="104">
        <v>7</v>
      </c>
      <c r="N36" s="104">
        <v>689.44</v>
      </c>
      <c r="O36" s="104">
        <f t="shared" si="11"/>
        <v>256.76468999999997</v>
      </c>
      <c r="P36" s="126"/>
      <c r="Q36" s="126">
        <v>7.4899999999999994E-2</v>
      </c>
      <c r="R36" s="127">
        <v>3428.1</v>
      </c>
      <c r="S36" s="104">
        <v>359.07</v>
      </c>
      <c r="T36" s="103">
        <f t="shared" si="12"/>
        <v>286.10000000000002</v>
      </c>
      <c r="U36" s="104"/>
      <c r="V36" s="104"/>
      <c r="W36" s="105">
        <v>0.7</v>
      </c>
      <c r="X36" s="104">
        <v>95</v>
      </c>
      <c r="Y36" s="103">
        <f t="shared" si="13"/>
        <v>886.25530999999899</v>
      </c>
      <c r="Z36" s="103">
        <f t="shared" si="14"/>
        <v>2002.6999999999998</v>
      </c>
    </row>
    <row r="37" spans="1:26">
      <c r="A37" s="101" t="s">
        <v>345</v>
      </c>
      <c r="B37" s="101">
        <v>359885</v>
      </c>
      <c r="C37" s="112">
        <v>6</v>
      </c>
      <c r="D37" s="103">
        <v>6000</v>
      </c>
      <c r="E37" s="120">
        <v>2375</v>
      </c>
      <c r="F37" s="132">
        <v>1998.2</v>
      </c>
      <c r="G37" s="103"/>
      <c r="H37" s="103"/>
      <c r="I37" s="103"/>
      <c r="J37" s="103"/>
      <c r="K37" s="133">
        <v>225.86</v>
      </c>
      <c r="L37" s="103">
        <f t="shared" si="10"/>
        <v>51.000000000000007</v>
      </c>
      <c r="M37" s="104">
        <v>7</v>
      </c>
      <c r="N37" s="104">
        <v>689.44</v>
      </c>
      <c r="O37" s="104">
        <f t="shared" si="11"/>
        <v>197.03193999999999</v>
      </c>
      <c r="P37" s="126"/>
      <c r="Q37" s="126">
        <v>7.4899999999999994E-2</v>
      </c>
      <c r="R37" s="127">
        <v>2630.6</v>
      </c>
      <c r="S37" s="104">
        <v>359.07</v>
      </c>
      <c r="T37" s="103">
        <f t="shared" si="12"/>
        <v>237.5</v>
      </c>
      <c r="U37" s="104"/>
      <c r="V37" s="104">
        <v>26.25</v>
      </c>
      <c r="W37" s="105">
        <v>0.75</v>
      </c>
      <c r="X37" s="104">
        <v>95</v>
      </c>
      <c r="Y37" s="103">
        <f t="shared" si="13"/>
        <v>784.11806000000013</v>
      </c>
      <c r="Z37" s="103">
        <f t="shared" si="14"/>
        <v>1781.25</v>
      </c>
    </row>
    <row r="38" spans="1:26">
      <c r="A38" s="100" t="s">
        <v>308</v>
      </c>
      <c r="B38" s="101">
        <v>359886</v>
      </c>
      <c r="C38" s="112">
        <v>7</v>
      </c>
      <c r="D38" s="103">
        <v>10450</v>
      </c>
      <c r="E38" s="120">
        <v>4200</v>
      </c>
      <c r="F38" s="132">
        <v>3279.28</v>
      </c>
      <c r="G38" s="103">
        <v>194.23</v>
      </c>
      <c r="H38" s="103"/>
      <c r="I38" s="103"/>
      <c r="J38" s="103"/>
      <c r="K38" s="133">
        <v>119.33</v>
      </c>
      <c r="L38" s="103">
        <f t="shared" si="10"/>
        <v>88.825000000000003</v>
      </c>
      <c r="M38" s="104">
        <v>7</v>
      </c>
      <c r="N38" s="104">
        <v>689.44</v>
      </c>
      <c r="O38" s="104">
        <f t="shared" si="11"/>
        <v>355.01101999999997</v>
      </c>
      <c r="P38" s="126"/>
      <c r="Q38" s="126">
        <v>7.4899999999999994E-2</v>
      </c>
      <c r="R38" s="127">
        <v>4739.8</v>
      </c>
      <c r="S38" s="104">
        <v>359.07</v>
      </c>
      <c r="T38" s="103">
        <f t="shared" si="12"/>
        <v>420</v>
      </c>
      <c r="U38" s="104"/>
      <c r="V38" s="104">
        <v>32.5</v>
      </c>
      <c r="W38" s="105">
        <v>0.75</v>
      </c>
      <c r="X38" s="104">
        <v>95</v>
      </c>
      <c r="Y38" s="103">
        <f t="shared" si="13"/>
        <v>1898.9739799999995</v>
      </c>
      <c r="Z38" s="103">
        <f t="shared" si="14"/>
        <v>3150</v>
      </c>
    </row>
    <row r="39" spans="1:26">
      <c r="A39" s="101" t="s">
        <v>319</v>
      </c>
      <c r="B39" s="101">
        <v>465180</v>
      </c>
      <c r="C39" s="112">
        <v>7</v>
      </c>
      <c r="D39" s="103">
        <v>8000</v>
      </c>
      <c r="E39" s="120">
        <v>3508</v>
      </c>
      <c r="F39" s="132">
        <v>1262.3499999999999</v>
      </c>
      <c r="G39" s="103">
        <v>5.47</v>
      </c>
      <c r="H39" s="103"/>
      <c r="I39" s="103">
        <v>200</v>
      </c>
      <c r="J39" s="103"/>
      <c r="K39" s="133">
        <v>33.9</v>
      </c>
      <c r="L39" s="103">
        <f t="shared" si="10"/>
        <v>68</v>
      </c>
      <c r="M39" s="104">
        <v>7</v>
      </c>
      <c r="N39" s="104">
        <v>789.51</v>
      </c>
      <c r="O39" s="104">
        <f t="shared" si="11"/>
        <v>205.83329000000003</v>
      </c>
      <c r="P39" s="126"/>
      <c r="Q39" s="126">
        <v>7.4300000000000005E-2</v>
      </c>
      <c r="R39" s="127">
        <v>2770.3</v>
      </c>
      <c r="S39" s="104">
        <v>359.07</v>
      </c>
      <c r="T39" s="103">
        <f t="shared" si="12"/>
        <v>350.8</v>
      </c>
      <c r="U39" s="104"/>
      <c r="V39" s="104">
        <v>26.25</v>
      </c>
      <c r="W39" s="105">
        <v>0.75</v>
      </c>
      <c r="X39" s="104">
        <v>95</v>
      </c>
      <c r="Y39" s="103">
        <f t="shared" si="13"/>
        <v>2033.6167099999993</v>
      </c>
      <c r="Z39" s="103">
        <f t="shared" si="14"/>
        <v>2631</v>
      </c>
    </row>
    <row r="40" spans="1:26">
      <c r="A40" s="101" t="s">
        <v>322</v>
      </c>
      <c r="B40" s="101">
        <v>465181</v>
      </c>
      <c r="C40" s="117">
        <v>5</v>
      </c>
      <c r="D40" s="108">
        <v>3887</v>
      </c>
      <c r="E40" s="120">
        <v>1791</v>
      </c>
      <c r="F40" s="132">
        <v>1139.96</v>
      </c>
      <c r="G40" s="108"/>
      <c r="H40" s="108"/>
      <c r="I40" s="108">
        <v>600</v>
      </c>
      <c r="J40" s="110"/>
      <c r="K40" s="133">
        <v>221.07</v>
      </c>
      <c r="L40" s="103">
        <f t="shared" si="10"/>
        <v>33.039500000000004</v>
      </c>
      <c r="M40" s="104">
        <v>7</v>
      </c>
      <c r="N40" s="104">
        <v>789.51</v>
      </c>
      <c r="O40" s="104">
        <f t="shared" si="11"/>
        <v>170.92715000000001</v>
      </c>
      <c r="P40" s="126"/>
      <c r="Q40" s="126">
        <v>7.4300000000000005E-2</v>
      </c>
      <c r="R40" s="127">
        <v>2300.5</v>
      </c>
      <c r="S40" s="104">
        <v>359.07</v>
      </c>
      <c r="T40" s="103">
        <f t="shared" si="12"/>
        <v>179.10000000000002</v>
      </c>
      <c r="U40" s="104"/>
      <c r="V40" s="104">
        <v>26.25</v>
      </c>
      <c r="W40" s="105">
        <v>0.8</v>
      </c>
      <c r="X40" s="104">
        <v>95</v>
      </c>
      <c r="Y40" s="103">
        <f t="shared" si="13"/>
        <v>-724.5866500000003</v>
      </c>
      <c r="Z40" s="103">
        <f t="shared" si="14"/>
        <v>1432.8000000000002</v>
      </c>
    </row>
    <row r="41" spans="1:26">
      <c r="A41" s="101" t="s">
        <v>358</v>
      </c>
      <c r="B41" s="101">
        <v>465182</v>
      </c>
      <c r="C41" s="112">
        <v>6</v>
      </c>
      <c r="D41" s="108">
        <v>9748</v>
      </c>
      <c r="E41" s="120">
        <v>3408</v>
      </c>
      <c r="F41" s="132">
        <v>2287.08</v>
      </c>
      <c r="G41" s="108">
        <v>12.55</v>
      </c>
      <c r="H41" s="108"/>
      <c r="I41" s="108"/>
      <c r="J41" s="110"/>
      <c r="K41" s="133">
        <v>331.11</v>
      </c>
      <c r="L41" s="103">
        <f t="shared" si="10"/>
        <v>82.858000000000004</v>
      </c>
      <c r="M41" s="104">
        <v>7</v>
      </c>
      <c r="N41" s="104">
        <v>789.51</v>
      </c>
      <c r="O41" s="104">
        <f t="shared" si="11"/>
        <v>276.30684000000002</v>
      </c>
      <c r="P41" s="126"/>
      <c r="Q41" s="126">
        <v>7.4300000000000005E-2</v>
      </c>
      <c r="R41" s="127">
        <v>3718.8</v>
      </c>
      <c r="S41" s="104">
        <v>359.07</v>
      </c>
      <c r="T41" s="103">
        <f t="shared" si="12"/>
        <v>340.8</v>
      </c>
      <c r="U41" s="104"/>
      <c r="V41" s="104">
        <v>26.25</v>
      </c>
      <c r="W41" s="105">
        <v>0.75</v>
      </c>
      <c r="X41" s="104">
        <v>95</v>
      </c>
      <c r="Y41" s="103">
        <f t="shared" si="13"/>
        <v>3246.6851599999995</v>
      </c>
      <c r="Z41" s="103">
        <f t="shared" si="14"/>
        <v>2556</v>
      </c>
    </row>
    <row r="42" spans="1:26">
      <c r="A42" s="101" t="s">
        <v>88</v>
      </c>
      <c r="B42" s="101">
        <v>465183</v>
      </c>
      <c r="C42" s="117">
        <v>5</v>
      </c>
      <c r="D42" s="108">
        <v>7000</v>
      </c>
      <c r="E42" s="120">
        <v>2918</v>
      </c>
      <c r="F42" s="132">
        <v>3567.54</v>
      </c>
      <c r="G42" s="108">
        <v>6.9</v>
      </c>
      <c r="H42" s="108"/>
      <c r="I42" s="108">
        <v>200</v>
      </c>
      <c r="J42" s="110"/>
      <c r="K42" s="133">
        <v>439.38</v>
      </c>
      <c r="L42" s="103">
        <f t="shared" si="10"/>
        <v>59.500000000000007</v>
      </c>
      <c r="M42" s="104">
        <v>7</v>
      </c>
      <c r="N42" s="104">
        <v>789.51</v>
      </c>
      <c r="O42" s="104">
        <f t="shared" si="11"/>
        <v>342.04005000000001</v>
      </c>
      <c r="P42" s="126"/>
      <c r="Q42" s="126">
        <v>7.4300000000000005E-2</v>
      </c>
      <c r="R42" s="127">
        <v>4603.5</v>
      </c>
      <c r="S42" s="104">
        <v>359.07</v>
      </c>
      <c r="T42" s="103">
        <f t="shared" si="12"/>
        <v>291.8</v>
      </c>
      <c r="U42" s="104"/>
      <c r="V42" s="104">
        <v>40</v>
      </c>
      <c r="W42" s="105">
        <v>0.8</v>
      </c>
      <c r="X42" s="104">
        <v>95</v>
      </c>
      <c r="Y42" s="103">
        <f t="shared" si="13"/>
        <v>-653.38005000000044</v>
      </c>
      <c r="Z42" s="103">
        <f t="shared" si="14"/>
        <v>2334.4</v>
      </c>
    </row>
    <row r="43" spans="1:26">
      <c r="A43" s="100" t="s">
        <v>40</v>
      </c>
      <c r="B43" s="101">
        <v>465184</v>
      </c>
      <c r="C43" s="117">
        <v>5</v>
      </c>
      <c r="D43" s="108">
        <v>11930</v>
      </c>
      <c r="E43" s="120">
        <v>3617</v>
      </c>
      <c r="F43" s="132">
        <v>3608.89</v>
      </c>
      <c r="G43" s="108">
        <v>44.65</v>
      </c>
      <c r="H43" s="108"/>
      <c r="I43" s="108">
        <v>200</v>
      </c>
      <c r="J43" s="110"/>
      <c r="K43" s="133">
        <v>48.73</v>
      </c>
      <c r="L43" s="103">
        <f t="shared" si="10"/>
        <v>101.405</v>
      </c>
      <c r="M43" s="104">
        <v>7</v>
      </c>
      <c r="N43" s="104">
        <v>789.51</v>
      </c>
      <c r="O43" s="104">
        <f t="shared" si="11"/>
        <v>382.60041999999999</v>
      </c>
      <c r="P43" s="126"/>
      <c r="Q43" s="126">
        <v>7.4300000000000005E-2</v>
      </c>
      <c r="R43" s="127">
        <v>5149.3999999999996</v>
      </c>
      <c r="S43" s="104">
        <v>359.07</v>
      </c>
      <c r="T43" s="103">
        <f t="shared" si="12"/>
        <v>361.70000000000005</v>
      </c>
      <c r="U43" s="104"/>
      <c r="V43" s="104">
        <v>26.25</v>
      </c>
      <c r="W43" s="105">
        <v>0.8</v>
      </c>
      <c r="X43" s="104">
        <v>95</v>
      </c>
      <c r="Y43" s="103">
        <f t="shared" si="13"/>
        <v>3109.0545800000004</v>
      </c>
      <c r="Z43" s="103">
        <f t="shared" si="14"/>
        <v>2893.6000000000004</v>
      </c>
    </row>
    <row r="44" spans="1:26">
      <c r="A44" s="101" t="s">
        <v>75</v>
      </c>
      <c r="B44" s="101">
        <v>465185</v>
      </c>
      <c r="C44" s="117">
        <v>7</v>
      </c>
      <c r="D44" s="108">
        <v>6822</v>
      </c>
      <c r="E44" s="120">
        <v>2807</v>
      </c>
      <c r="F44" s="132">
        <v>2434.61</v>
      </c>
      <c r="G44" s="108">
        <v>61.44</v>
      </c>
      <c r="H44" s="108"/>
      <c r="I44" s="108"/>
      <c r="J44" s="110"/>
      <c r="K44" s="133">
        <v>225.13</v>
      </c>
      <c r="L44" s="103">
        <f t="shared" si="10"/>
        <v>57.987000000000002</v>
      </c>
      <c r="M44" s="104">
        <v>7</v>
      </c>
      <c r="N44" s="104">
        <v>789.51</v>
      </c>
      <c r="O44" s="104">
        <f t="shared" si="11"/>
        <v>249.99721</v>
      </c>
      <c r="P44" s="126"/>
      <c r="Q44" s="126">
        <v>7.4300000000000005E-2</v>
      </c>
      <c r="R44" s="127">
        <v>3364.7</v>
      </c>
      <c r="S44" s="104">
        <v>359.07</v>
      </c>
      <c r="T44" s="103">
        <f t="shared" si="12"/>
        <v>280.7</v>
      </c>
      <c r="U44" s="104"/>
      <c r="V44" s="104">
        <v>40</v>
      </c>
      <c r="W44" s="105">
        <v>0.8</v>
      </c>
      <c r="X44" s="104">
        <v>95</v>
      </c>
      <c r="Y44" s="103">
        <f t="shared" si="13"/>
        <v>426.21579000000014</v>
      </c>
      <c r="Z44" s="103">
        <f t="shared" si="14"/>
        <v>2245.6</v>
      </c>
    </row>
    <row r="45" spans="1:26">
      <c r="A45" s="101"/>
      <c r="B45" s="101">
        <v>465186</v>
      </c>
      <c r="C45" s="112" t="s">
        <v>342</v>
      </c>
      <c r="D45" s="108"/>
      <c r="E45" s="120"/>
      <c r="F45" s="108"/>
      <c r="G45" s="108"/>
      <c r="H45" s="108"/>
      <c r="I45" s="108"/>
      <c r="J45" s="110"/>
      <c r="K45" s="108"/>
      <c r="L45" s="103">
        <f t="shared" si="10"/>
        <v>0</v>
      </c>
      <c r="M45" s="104">
        <v>7</v>
      </c>
      <c r="N45" s="104">
        <v>789.51</v>
      </c>
      <c r="O45" s="104">
        <f t="shared" si="11"/>
        <v>0</v>
      </c>
      <c r="P45" s="126"/>
      <c r="Q45" s="126">
        <v>7.4300000000000005E-2</v>
      </c>
      <c r="R45" s="127"/>
      <c r="S45" s="104">
        <v>359.07</v>
      </c>
      <c r="T45" s="103">
        <f t="shared" si="12"/>
        <v>0</v>
      </c>
      <c r="U45" s="104"/>
      <c r="V45" s="104"/>
      <c r="W45" s="105"/>
      <c r="X45" s="104">
        <v>95</v>
      </c>
      <c r="Y45" s="103">
        <f t="shared" si="13"/>
        <v>-1250.58</v>
      </c>
      <c r="Z45" s="103">
        <f t="shared" si="14"/>
        <v>0</v>
      </c>
    </row>
    <row r="46" spans="1:26">
      <c r="A46" s="101" t="s">
        <v>192</v>
      </c>
      <c r="B46" s="101">
        <v>465187</v>
      </c>
      <c r="C46" s="117">
        <v>6</v>
      </c>
      <c r="D46" s="108">
        <v>10450</v>
      </c>
      <c r="E46" s="120">
        <v>4549</v>
      </c>
      <c r="F46" s="132">
        <v>4325.25</v>
      </c>
      <c r="G46" s="108">
        <v>12.65</v>
      </c>
      <c r="H46" s="108"/>
      <c r="I46" s="108"/>
      <c r="J46" s="110"/>
      <c r="K46" s="133">
        <v>214.68</v>
      </c>
      <c r="L46" s="103">
        <f t="shared" si="10"/>
        <v>88.825000000000003</v>
      </c>
      <c r="M46" s="104">
        <v>7</v>
      </c>
      <c r="N46" s="104">
        <v>789.51</v>
      </c>
      <c r="O46" s="104">
        <f t="shared" si="11"/>
        <v>373.90731999999997</v>
      </c>
      <c r="P46" s="126"/>
      <c r="Q46" s="126">
        <v>7.4300000000000005E-2</v>
      </c>
      <c r="R46" s="127">
        <v>5032.3999999999996</v>
      </c>
      <c r="S46" s="104">
        <v>359.07</v>
      </c>
      <c r="T46" s="103">
        <f t="shared" si="12"/>
        <v>454.90000000000003</v>
      </c>
      <c r="U46" s="104"/>
      <c r="V46" s="104">
        <v>40</v>
      </c>
      <c r="W46" s="105">
        <v>0.8</v>
      </c>
      <c r="X46" s="104">
        <v>95</v>
      </c>
      <c r="Y46" s="103">
        <f>D46-F46-G46-V46-T46-S46-N46-Z46+K46-X46-I40-O46-M46-L46</f>
        <v>-120.63231999999938</v>
      </c>
      <c r="Z46" s="103">
        <f t="shared" si="14"/>
        <v>3639.2000000000003</v>
      </c>
    </row>
    <row r="47" spans="1:26">
      <c r="A47" s="101" t="s">
        <v>14</v>
      </c>
      <c r="B47" s="101">
        <v>465188</v>
      </c>
      <c r="C47" s="117">
        <v>6</v>
      </c>
      <c r="D47" s="108">
        <v>12455</v>
      </c>
      <c r="E47" s="120">
        <v>5163</v>
      </c>
      <c r="F47" s="132">
        <v>4062.01</v>
      </c>
      <c r="G47" s="108"/>
      <c r="H47" s="108"/>
      <c r="I47" s="108"/>
      <c r="J47" s="110"/>
      <c r="K47" s="133">
        <v>331.19</v>
      </c>
      <c r="L47" s="103">
        <f t="shared" si="10"/>
        <v>105.86750000000001</v>
      </c>
      <c r="M47" s="104">
        <v>7</v>
      </c>
      <c r="N47" s="104">
        <v>789.51</v>
      </c>
      <c r="O47" s="104">
        <f t="shared" si="11"/>
        <v>422.87845000000004</v>
      </c>
      <c r="P47" s="126"/>
      <c r="Q47" s="126">
        <v>7.4300000000000005E-2</v>
      </c>
      <c r="R47" s="127">
        <v>5691.5</v>
      </c>
      <c r="S47" s="104">
        <v>359.07</v>
      </c>
      <c r="T47" s="103">
        <f t="shared" si="12"/>
        <v>516.30000000000007</v>
      </c>
      <c r="U47" s="104"/>
      <c r="V47" s="104">
        <v>32.5</v>
      </c>
      <c r="W47" s="105">
        <v>0.8</v>
      </c>
      <c r="X47" s="104">
        <v>95</v>
      </c>
      <c r="Y47" s="103">
        <f t="shared" ref="Y47:Y48" si="15">D47-F47-G47-V47-T47-S47-N47-Z47+K47-X47-I47-O47-M47-L47</f>
        <v>2265.6540499999992</v>
      </c>
      <c r="Z47" s="103">
        <f t="shared" si="14"/>
        <v>4130.4000000000005</v>
      </c>
    </row>
    <row r="48" spans="1:26">
      <c r="A48" s="101"/>
      <c r="B48" s="101">
        <v>465189</v>
      </c>
      <c r="C48" s="112"/>
      <c r="D48" s="108"/>
      <c r="E48" s="129"/>
      <c r="F48" s="108"/>
      <c r="G48" s="108"/>
      <c r="H48" s="108"/>
      <c r="I48" s="108"/>
      <c r="J48" s="110"/>
      <c r="K48" s="108"/>
      <c r="L48" s="103">
        <f t="shared" si="10"/>
        <v>0</v>
      </c>
      <c r="M48" s="104">
        <v>7</v>
      </c>
      <c r="N48" s="104">
        <v>789.51</v>
      </c>
      <c r="O48" s="104">
        <f t="shared" si="11"/>
        <v>0</v>
      </c>
      <c r="P48" s="126"/>
      <c r="Q48" s="126">
        <v>7.4300000000000005E-2</v>
      </c>
      <c r="R48" s="127"/>
      <c r="S48" s="104">
        <v>359.07</v>
      </c>
      <c r="T48" s="103">
        <f t="shared" si="12"/>
        <v>0</v>
      </c>
      <c r="U48" s="104"/>
      <c r="V48" s="104">
        <v>32.5</v>
      </c>
      <c r="W48" s="105">
        <v>0.75</v>
      </c>
      <c r="X48" s="104">
        <v>95</v>
      </c>
      <c r="Y48" s="103">
        <f t="shared" si="15"/>
        <v>-1283.08</v>
      </c>
      <c r="Z48" s="103">
        <f t="shared" si="14"/>
        <v>0</v>
      </c>
    </row>
    <row r="49" spans="1:26">
      <c r="A49" s="134" t="s">
        <v>359</v>
      </c>
      <c r="B49" s="135" t="s">
        <v>360</v>
      </c>
      <c r="C49" s="136"/>
      <c r="D49" s="137"/>
      <c r="E49" s="138"/>
      <c r="F49" s="137">
        <v>780.34</v>
      </c>
      <c r="G49" s="137">
        <v>48.75</v>
      </c>
      <c r="H49" s="137"/>
      <c r="I49" s="137"/>
      <c r="J49" s="137"/>
      <c r="K49" s="137"/>
      <c r="L49" s="139"/>
      <c r="M49" s="140"/>
      <c r="N49" s="140"/>
      <c r="O49" s="140"/>
      <c r="P49" s="141"/>
      <c r="Q49" s="141"/>
      <c r="R49" s="142"/>
      <c r="S49" s="140"/>
      <c r="T49" s="139"/>
      <c r="U49" s="140"/>
      <c r="V49" s="140"/>
      <c r="W49" s="143"/>
      <c r="X49" s="140"/>
      <c r="Y49" s="139"/>
      <c r="Z49" s="139">
        <f t="shared" ref="Z49:Z50" si="16">D49*W49-F49-G49</f>
        <v>-829.09</v>
      </c>
    </row>
    <row r="50" spans="1:26">
      <c r="A50" s="134" t="s">
        <v>361</v>
      </c>
      <c r="B50" s="135" t="s">
        <v>362</v>
      </c>
      <c r="C50" s="136">
        <v>3</v>
      </c>
      <c r="D50" s="137">
        <v>4200</v>
      </c>
      <c r="E50" s="138">
        <v>1855</v>
      </c>
      <c r="F50" s="137">
        <v>2200</v>
      </c>
      <c r="G50" s="137">
        <v>34.15</v>
      </c>
      <c r="H50" s="137"/>
      <c r="I50" s="137"/>
      <c r="J50" s="137"/>
      <c r="K50" s="137"/>
      <c r="L50" s="139">
        <f t="shared" ref="L50:L51" si="17">D50*0.0085</f>
        <v>35.700000000000003</v>
      </c>
      <c r="M50" s="140">
        <v>0</v>
      </c>
      <c r="N50" s="140">
        <v>0</v>
      </c>
      <c r="O50" s="140">
        <v>0</v>
      </c>
      <c r="P50" s="141"/>
      <c r="Q50" s="141">
        <v>0</v>
      </c>
      <c r="R50" s="142"/>
      <c r="S50" s="140">
        <v>0</v>
      </c>
      <c r="T50" s="139">
        <v>300</v>
      </c>
      <c r="U50" s="140"/>
      <c r="V50" s="140"/>
      <c r="W50" s="143">
        <v>0.87</v>
      </c>
      <c r="X50" s="140">
        <v>0</v>
      </c>
      <c r="Y50" s="139">
        <f t="shared" ref="Y50:Y51" si="18">D50*0.13-T50-L50-I50</f>
        <v>210.3</v>
      </c>
      <c r="Z50" s="139">
        <f t="shared" si="16"/>
        <v>1419.85</v>
      </c>
    </row>
    <row r="51" spans="1:26">
      <c r="A51" s="134" t="s">
        <v>363</v>
      </c>
      <c r="B51" s="134">
        <v>1118</v>
      </c>
      <c r="C51" s="136">
        <v>4</v>
      </c>
      <c r="D51" s="137">
        <v>3550</v>
      </c>
      <c r="E51" s="138">
        <v>1243</v>
      </c>
      <c r="F51" s="137">
        <v>652.98</v>
      </c>
      <c r="G51" s="137"/>
      <c r="H51" s="137"/>
      <c r="I51" s="137"/>
      <c r="J51" s="137"/>
      <c r="K51" s="137">
        <v>0</v>
      </c>
      <c r="L51" s="139">
        <f t="shared" si="17"/>
        <v>30.175000000000001</v>
      </c>
      <c r="M51" s="140">
        <v>0</v>
      </c>
      <c r="N51" s="140">
        <v>0</v>
      </c>
      <c r="O51" s="140">
        <v>0</v>
      </c>
      <c r="P51" s="141"/>
      <c r="Q51" s="141">
        <v>0</v>
      </c>
      <c r="R51" s="142"/>
      <c r="S51" s="140">
        <v>0</v>
      </c>
      <c r="T51" s="139">
        <v>300</v>
      </c>
      <c r="U51" s="140"/>
      <c r="V51" s="140"/>
      <c r="W51" s="143">
        <v>0.8</v>
      </c>
      <c r="X51" s="140">
        <v>0</v>
      </c>
      <c r="Y51" s="139">
        <f t="shared" si="18"/>
        <v>131.32499999999999</v>
      </c>
      <c r="Z51" s="139">
        <f>D51*W51-F51</f>
        <v>2187.02</v>
      </c>
    </row>
    <row r="52" spans="1:26">
      <c r="A52" s="134"/>
      <c r="B52" s="134"/>
      <c r="C52" s="136"/>
      <c r="D52" s="137"/>
      <c r="E52" s="138"/>
      <c r="F52" s="137"/>
      <c r="G52" s="137"/>
      <c r="H52" s="137"/>
      <c r="I52" s="137"/>
      <c r="J52" s="137"/>
      <c r="K52" s="137"/>
      <c r="L52" s="139"/>
      <c r="M52" s="140"/>
      <c r="N52" s="140"/>
      <c r="O52" s="140"/>
      <c r="P52" s="141"/>
      <c r="Q52" s="141"/>
      <c r="R52" s="142"/>
      <c r="S52" s="140"/>
      <c r="T52" s="139"/>
      <c r="U52" s="140"/>
      <c r="V52" s="140"/>
      <c r="W52" s="143"/>
      <c r="X52" s="140"/>
      <c r="Y52" s="139"/>
      <c r="Z52" s="139"/>
    </row>
    <row r="53" spans="1:26">
      <c r="A53" s="134" t="s">
        <v>364</v>
      </c>
      <c r="B53" s="134">
        <v>2013</v>
      </c>
      <c r="C53" s="136">
        <v>1</v>
      </c>
      <c r="D53" s="137">
        <v>1800</v>
      </c>
      <c r="E53" s="138">
        <v>655</v>
      </c>
      <c r="F53" s="137"/>
      <c r="G53" s="137"/>
      <c r="H53" s="137"/>
      <c r="I53" s="137"/>
      <c r="J53" s="137"/>
      <c r="K53" s="137"/>
      <c r="L53" s="139">
        <f>D53*0.0085</f>
        <v>15.3</v>
      </c>
      <c r="M53" s="140">
        <v>0</v>
      </c>
      <c r="N53" s="140">
        <v>0</v>
      </c>
      <c r="O53" s="140">
        <v>0</v>
      </c>
      <c r="P53" s="141"/>
      <c r="Q53" s="141">
        <v>0</v>
      </c>
      <c r="R53" s="142"/>
      <c r="S53" s="140">
        <v>0</v>
      </c>
      <c r="T53" s="139">
        <v>300</v>
      </c>
      <c r="U53" s="140"/>
      <c r="V53" s="140"/>
      <c r="W53" s="143">
        <v>0.87</v>
      </c>
      <c r="X53" s="140">
        <v>0</v>
      </c>
      <c r="Y53" s="139">
        <f>D53*0.13-T53-L53-I53</f>
        <v>-81.3</v>
      </c>
      <c r="Z53" s="139">
        <f>D53*W53-F53</f>
        <v>1566</v>
      </c>
    </row>
    <row r="54" spans="1:26">
      <c r="A54" s="71" t="s">
        <v>89</v>
      </c>
      <c r="B54" s="72">
        <v>23</v>
      </c>
      <c r="C54" s="73">
        <f>AVERAGE(C29:C48)</f>
        <v>5.9375</v>
      </c>
      <c r="D54" s="74">
        <f t="shared" ref="D54:G54" si="19">SUM(D29:D53)</f>
        <v>152987</v>
      </c>
      <c r="E54" s="144">
        <f t="shared" si="19"/>
        <v>61326</v>
      </c>
      <c r="F54" s="74">
        <f t="shared" si="19"/>
        <v>49710.42</v>
      </c>
      <c r="G54" s="74">
        <f t="shared" si="19"/>
        <v>730.4699999999998</v>
      </c>
      <c r="H54" s="74"/>
      <c r="I54" s="74">
        <f t="shared" ref="I54:O54" si="20">SUM(I29:I53)</f>
        <v>1800</v>
      </c>
      <c r="J54" s="74">
        <f t="shared" si="20"/>
        <v>0</v>
      </c>
      <c r="K54" s="74">
        <f t="shared" si="20"/>
        <v>3185.71</v>
      </c>
      <c r="L54" s="74">
        <f t="shared" si="20"/>
        <v>1300.3895000000002</v>
      </c>
      <c r="M54" s="74">
        <f t="shared" si="20"/>
        <v>140</v>
      </c>
      <c r="N54" s="74">
        <f t="shared" si="20"/>
        <v>14789.500000000004</v>
      </c>
      <c r="O54" s="74">
        <f t="shared" si="20"/>
        <v>4429.9007799999999</v>
      </c>
      <c r="P54" s="130"/>
      <c r="Q54" s="130">
        <f>AVERAGE(Q29:Q53)</f>
        <v>6.4869565217391303E-2</v>
      </c>
      <c r="R54" s="75">
        <f>SUM(R28:R53)</f>
        <v>59405.599999999999</v>
      </c>
      <c r="S54" s="74">
        <f t="shared" ref="S54:T54" si="21">SUM(S29:S53)</f>
        <v>7181.3999999999987</v>
      </c>
      <c r="T54" s="74">
        <f t="shared" si="21"/>
        <v>6657.3</v>
      </c>
      <c r="U54" s="74"/>
      <c r="V54" s="74">
        <f>SUM(V29:V53)</f>
        <v>480</v>
      </c>
      <c r="W54" s="73">
        <f>AVERAGE(W29:W53)</f>
        <v>0.7845000000000002</v>
      </c>
      <c r="X54" s="145">
        <f t="shared" ref="X54:Z54" si="22">SUM(X29:X53)</f>
        <v>1900</v>
      </c>
      <c r="Y54" s="74">
        <f t="shared" si="22"/>
        <v>17125.14971999999</v>
      </c>
      <c r="Z54" s="74">
        <f t="shared" si="22"/>
        <v>49079.68</v>
      </c>
    </row>
    <row r="55" spans="1:26"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</row>
    <row r="56" spans="1:26"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</row>
    <row r="57" spans="1:26"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</row>
    <row r="58" spans="1:26">
      <c r="A58" s="457" t="s">
        <v>365</v>
      </c>
      <c r="B58" s="458"/>
      <c r="C58" s="458"/>
      <c r="D58" s="458"/>
      <c r="E58" s="458"/>
      <c r="F58" s="458"/>
      <c r="G58" s="458"/>
      <c r="H58" s="458"/>
      <c r="I58" s="458"/>
      <c r="J58" s="458"/>
      <c r="K58" s="458"/>
      <c r="L58" s="458"/>
      <c r="M58" s="458"/>
      <c r="N58" s="458"/>
      <c r="O58" s="458"/>
      <c r="P58" s="458"/>
      <c r="Q58" s="458"/>
      <c r="R58" s="458"/>
      <c r="S58" s="458"/>
      <c r="T58" s="458"/>
      <c r="U58" s="458"/>
      <c r="V58" s="458"/>
      <c r="W58" s="458"/>
      <c r="X58" s="458"/>
      <c r="Y58" s="458"/>
      <c r="Z58" s="459"/>
    </row>
    <row r="59" spans="1:26">
      <c r="A59" s="95" t="s">
        <v>0</v>
      </c>
      <c r="B59" s="96" t="s">
        <v>1</v>
      </c>
      <c r="C59" s="96" t="s">
        <v>3</v>
      </c>
      <c r="D59" s="96" t="s">
        <v>2</v>
      </c>
      <c r="E59" s="96" t="s">
        <v>9</v>
      </c>
      <c r="F59" s="96" t="s">
        <v>7</v>
      </c>
      <c r="G59" s="96" t="s">
        <v>8</v>
      </c>
      <c r="H59" s="96"/>
      <c r="I59" s="97" t="s">
        <v>287</v>
      </c>
      <c r="J59" s="97" t="s">
        <v>288</v>
      </c>
      <c r="K59" s="98" t="s">
        <v>257</v>
      </c>
      <c r="L59" s="96" t="s">
        <v>341</v>
      </c>
      <c r="M59" s="99" t="s">
        <v>185</v>
      </c>
      <c r="N59" s="96" t="s">
        <v>4</v>
      </c>
      <c r="O59" s="96" t="s">
        <v>352</v>
      </c>
      <c r="P59" s="96"/>
      <c r="Q59" s="96" t="s">
        <v>353</v>
      </c>
      <c r="R59" s="96" t="s">
        <v>354</v>
      </c>
      <c r="S59" s="96" t="s">
        <v>5</v>
      </c>
      <c r="T59" s="96" t="s">
        <v>12</v>
      </c>
      <c r="U59" s="96"/>
      <c r="V59" s="96" t="s">
        <v>184</v>
      </c>
      <c r="W59" s="96" t="s">
        <v>183</v>
      </c>
      <c r="X59" s="96" t="s">
        <v>333</v>
      </c>
      <c r="Y59" s="96" t="s">
        <v>13</v>
      </c>
      <c r="Z59" s="97" t="s">
        <v>98</v>
      </c>
    </row>
    <row r="60" spans="1:26">
      <c r="A60" s="131" t="s">
        <v>349</v>
      </c>
      <c r="B60" s="101">
        <v>352368</v>
      </c>
      <c r="C60" s="112">
        <v>3</v>
      </c>
      <c r="D60" s="103">
        <v>2400</v>
      </c>
      <c r="E60" s="120">
        <v>939</v>
      </c>
      <c r="F60" s="128">
        <f>962.58+625+400</f>
        <v>1987.58</v>
      </c>
      <c r="G60" s="103">
        <v>136.99</v>
      </c>
      <c r="H60" s="103"/>
      <c r="I60" s="103"/>
      <c r="J60" s="103"/>
      <c r="K60" s="133">
        <v>22.69</v>
      </c>
      <c r="L60" s="103">
        <f t="shared" ref="L60:L85" si="23">D60*0.0085</f>
        <v>20.400000000000002</v>
      </c>
      <c r="M60" s="104">
        <v>7</v>
      </c>
      <c r="N60" s="104">
        <v>689.44</v>
      </c>
      <c r="O60" s="104">
        <f t="shared" ref="O60:O79" si="24">R60*Q60</f>
        <v>229.88307999999998</v>
      </c>
      <c r="P60" s="126"/>
      <c r="Q60" s="126">
        <v>7.4899999999999994E-2</v>
      </c>
      <c r="R60" s="127">
        <v>3069.2</v>
      </c>
      <c r="S60" s="104">
        <v>359.07</v>
      </c>
      <c r="T60" s="103">
        <f t="shared" ref="T60:T79" si="25">E60*0.1</f>
        <v>93.9</v>
      </c>
      <c r="U60" s="104"/>
      <c r="V60" s="104">
        <v>32.5</v>
      </c>
      <c r="W60" s="105">
        <v>0.8</v>
      </c>
      <c r="X60" s="104">
        <v>95</v>
      </c>
      <c r="Y60" s="103">
        <f t="shared" ref="Y60:Y76" si="26">D60-F60-G60-V60-T60-S60-N60-Z60+K60-X60-I60-O60-M60-L60</f>
        <v>-1980.2730800000002</v>
      </c>
      <c r="Z60" s="103">
        <f t="shared" ref="Z60:Z79" si="27">E60*W60</f>
        <v>751.2</v>
      </c>
    </row>
    <row r="61" spans="1:26">
      <c r="A61" s="100" t="s">
        <v>355</v>
      </c>
      <c r="B61" s="101">
        <v>352371</v>
      </c>
      <c r="C61" s="112">
        <v>5</v>
      </c>
      <c r="D61" s="103">
        <v>5500</v>
      </c>
      <c r="E61" s="120">
        <v>2046</v>
      </c>
      <c r="F61" s="146">
        <f>1164.58+700</f>
        <v>1864.58</v>
      </c>
      <c r="G61" s="103"/>
      <c r="H61" s="103"/>
      <c r="I61" s="103"/>
      <c r="J61" s="103"/>
      <c r="K61" s="133">
        <v>319.83</v>
      </c>
      <c r="L61" s="103">
        <f t="shared" si="23"/>
        <v>46.75</v>
      </c>
      <c r="M61" s="104">
        <v>7</v>
      </c>
      <c r="N61" s="104">
        <v>689.44</v>
      </c>
      <c r="O61" s="104">
        <f t="shared" si="24"/>
        <v>152.63121999999998</v>
      </c>
      <c r="P61" s="126"/>
      <c r="Q61" s="126">
        <v>7.4899999999999994E-2</v>
      </c>
      <c r="R61" s="127">
        <v>2037.8</v>
      </c>
      <c r="S61" s="104">
        <v>359.07</v>
      </c>
      <c r="T61" s="103">
        <f t="shared" si="25"/>
        <v>204.60000000000002</v>
      </c>
      <c r="U61" s="104"/>
      <c r="V61" s="104">
        <v>32.5</v>
      </c>
      <c r="W61" s="105">
        <v>0.75</v>
      </c>
      <c r="X61" s="104">
        <v>95</v>
      </c>
      <c r="Y61" s="103">
        <f t="shared" si="26"/>
        <v>833.75877999999989</v>
      </c>
      <c r="Z61" s="103">
        <f t="shared" si="27"/>
        <v>1534.5</v>
      </c>
    </row>
    <row r="62" spans="1:26">
      <c r="A62" s="101"/>
      <c r="B62" s="101">
        <v>352372</v>
      </c>
      <c r="C62" s="112" t="s">
        <v>343</v>
      </c>
      <c r="D62" s="103"/>
      <c r="E62" s="120"/>
      <c r="F62" s="147"/>
      <c r="G62" s="103"/>
      <c r="H62" s="103"/>
      <c r="I62" s="103"/>
      <c r="J62" s="103"/>
      <c r="K62" s="103"/>
      <c r="L62" s="103">
        <f t="shared" si="23"/>
        <v>0</v>
      </c>
      <c r="M62" s="104">
        <v>7</v>
      </c>
      <c r="N62" s="104">
        <v>689.44</v>
      </c>
      <c r="O62" s="104">
        <f t="shared" si="24"/>
        <v>0</v>
      </c>
      <c r="P62" s="126"/>
      <c r="Q62" s="126">
        <v>7.4899999999999994E-2</v>
      </c>
      <c r="R62" s="127"/>
      <c r="S62" s="104">
        <v>359.07</v>
      </c>
      <c r="T62" s="103">
        <f t="shared" si="25"/>
        <v>0</v>
      </c>
      <c r="U62" s="104"/>
      <c r="V62" s="104"/>
      <c r="W62" s="105"/>
      <c r="X62" s="104">
        <v>95</v>
      </c>
      <c r="Y62" s="103">
        <f t="shared" si="26"/>
        <v>-1150.51</v>
      </c>
      <c r="Z62" s="103">
        <f t="shared" si="27"/>
        <v>0</v>
      </c>
    </row>
    <row r="63" spans="1:26">
      <c r="A63" s="101" t="s">
        <v>347</v>
      </c>
      <c r="B63" s="101">
        <v>352373</v>
      </c>
      <c r="C63" s="112">
        <v>7</v>
      </c>
      <c r="D63" s="103">
        <v>8000</v>
      </c>
      <c r="E63" s="123">
        <v>3694</v>
      </c>
      <c r="F63" s="146">
        <f>1522.2+650+474.43</f>
        <v>2646.6299999999997</v>
      </c>
      <c r="G63" s="103"/>
      <c r="H63" s="103"/>
      <c r="I63" s="103"/>
      <c r="J63" s="103"/>
      <c r="K63" s="133">
        <v>80.040000000000006</v>
      </c>
      <c r="L63" s="103">
        <f t="shared" si="23"/>
        <v>68</v>
      </c>
      <c r="M63" s="104">
        <v>7</v>
      </c>
      <c r="N63" s="104">
        <v>689.44</v>
      </c>
      <c r="O63" s="104">
        <f t="shared" si="24"/>
        <v>288.38747000000001</v>
      </c>
      <c r="P63" s="126"/>
      <c r="Q63" s="126">
        <v>7.4899999999999994E-2</v>
      </c>
      <c r="R63" s="127">
        <v>3850.3</v>
      </c>
      <c r="S63" s="104">
        <v>359.07</v>
      </c>
      <c r="T63" s="103">
        <f t="shared" si="25"/>
        <v>369.40000000000003</v>
      </c>
      <c r="U63" s="104"/>
      <c r="V63" s="104">
        <v>32.5</v>
      </c>
      <c r="W63" s="105">
        <v>0.8</v>
      </c>
      <c r="X63" s="104">
        <v>95</v>
      </c>
      <c r="Y63" s="103">
        <f t="shared" si="26"/>
        <v>569.41253000000108</v>
      </c>
      <c r="Z63" s="103">
        <f t="shared" si="27"/>
        <v>2955.2000000000003</v>
      </c>
    </row>
    <row r="64" spans="1:26">
      <c r="A64" s="101" t="s">
        <v>191</v>
      </c>
      <c r="B64" s="101" t="s">
        <v>366</v>
      </c>
      <c r="C64" s="112">
        <v>2</v>
      </c>
      <c r="D64" s="103">
        <v>2800</v>
      </c>
      <c r="E64" s="123">
        <v>1042</v>
      </c>
      <c r="F64" s="146">
        <f>700+400</f>
        <v>1100</v>
      </c>
      <c r="G64" s="103">
        <v>211.6</v>
      </c>
      <c r="H64" s="103"/>
      <c r="I64" s="103"/>
      <c r="J64" s="103"/>
      <c r="K64" s="133"/>
      <c r="L64" s="103">
        <f t="shared" si="23"/>
        <v>23.8</v>
      </c>
      <c r="M64" s="104">
        <v>7</v>
      </c>
      <c r="N64" s="104">
        <v>689.44</v>
      </c>
      <c r="O64" s="104">
        <f t="shared" si="24"/>
        <v>0</v>
      </c>
      <c r="P64" s="126"/>
      <c r="Q64" s="126">
        <v>7.4899999999999994E-2</v>
      </c>
      <c r="R64" s="127"/>
      <c r="S64" s="104">
        <v>359.07</v>
      </c>
      <c r="T64" s="103">
        <f t="shared" si="25"/>
        <v>104.2</v>
      </c>
      <c r="U64" s="104"/>
      <c r="V64" s="104">
        <v>40</v>
      </c>
      <c r="W64" s="105">
        <v>0.8</v>
      </c>
      <c r="X64" s="104">
        <v>95</v>
      </c>
      <c r="Y64" s="103">
        <f t="shared" si="26"/>
        <v>-663.70999999999992</v>
      </c>
      <c r="Z64" s="103">
        <f t="shared" si="27"/>
        <v>833.6</v>
      </c>
    </row>
    <row r="65" spans="1:26">
      <c r="A65" s="101"/>
      <c r="B65" s="101">
        <v>352375</v>
      </c>
      <c r="C65" s="112"/>
      <c r="D65" s="103"/>
      <c r="E65" s="120"/>
      <c r="F65" s="146"/>
      <c r="G65" s="103"/>
      <c r="H65" s="103"/>
      <c r="I65" s="103"/>
      <c r="J65" s="103"/>
      <c r="K65" s="133"/>
      <c r="L65" s="103">
        <f t="shared" si="23"/>
        <v>0</v>
      </c>
      <c r="M65" s="104">
        <v>7</v>
      </c>
      <c r="N65" s="104">
        <v>689.44</v>
      </c>
      <c r="O65" s="104">
        <f t="shared" si="24"/>
        <v>0</v>
      </c>
      <c r="P65" s="126"/>
      <c r="Q65" s="126">
        <v>7.4899999999999994E-2</v>
      </c>
      <c r="R65" s="127"/>
      <c r="S65" s="104">
        <v>359.07</v>
      </c>
      <c r="T65" s="103">
        <f t="shared" si="25"/>
        <v>0</v>
      </c>
      <c r="U65" s="104"/>
      <c r="V65" s="104">
        <v>32.5</v>
      </c>
      <c r="W65" s="105"/>
      <c r="X65" s="104">
        <v>95</v>
      </c>
      <c r="Y65" s="103">
        <f t="shared" si="26"/>
        <v>-1183.01</v>
      </c>
      <c r="Z65" s="103">
        <f t="shared" si="27"/>
        <v>0</v>
      </c>
    </row>
    <row r="66" spans="1:26">
      <c r="A66" s="101" t="s">
        <v>62</v>
      </c>
      <c r="B66" s="101">
        <v>352376</v>
      </c>
      <c r="C66" s="112">
        <v>3</v>
      </c>
      <c r="D66" s="103">
        <v>4500</v>
      </c>
      <c r="E66" s="123">
        <v>1854</v>
      </c>
      <c r="F66" s="146">
        <f>1579.4+650</f>
        <v>2229.4</v>
      </c>
      <c r="G66" s="103"/>
      <c r="H66" s="103"/>
      <c r="I66" s="103">
        <v>200</v>
      </c>
      <c r="J66" s="103"/>
      <c r="K66" s="133">
        <v>133.59</v>
      </c>
      <c r="L66" s="103">
        <f t="shared" si="23"/>
        <v>38.25</v>
      </c>
      <c r="M66" s="104">
        <v>7</v>
      </c>
      <c r="N66" s="104">
        <v>689.44</v>
      </c>
      <c r="O66" s="104">
        <f t="shared" si="24"/>
        <v>226.34779999999998</v>
      </c>
      <c r="P66" s="126"/>
      <c r="Q66" s="126">
        <v>7.4899999999999994E-2</v>
      </c>
      <c r="R66" s="127">
        <v>3022</v>
      </c>
      <c r="S66" s="104">
        <v>359.07</v>
      </c>
      <c r="T66" s="103">
        <f t="shared" si="25"/>
        <v>185.4</v>
      </c>
      <c r="U66" s="104"/>
      <c r="V66" s="104">
        <v>26.25</v>
      </c>
      <c r="W66" s="105">
        <v>0.75</v>
      </c>
      <c r="X66" s="104">
        <v>95</v>
      </c>
      <c r="Y66" s="103">
        <f t="shared" si="26"/>
        <v>-813.06780000000015</v>
      </c>
      <c r="Z66" s="103">
        <f t="shared" si="27"/>
        <v>1390.5</v>
      </c>
    </row>
    <row r="67" spans="1:26">
      <c r="A67" s="101" t="s">
        <v>356</v>
      </c>
      <c r="B67" s="101">
        <v>352377</v>
      </c>
      <c r="C67" s="112">
        <v>2</v>
      </c>
      <c r="D67" s="103">
        <v>1850</v>
      </c>
      <c r="E67" s="120">
        <v>928</v>
      </c>
      <c r="F67" s="146">
        <v>1142.83</v>
      </c>
      <c r="G67" s="103">
        <v>50.84</v>
      </c>
      <c r="H67" s="103"/>
      <c r="I67" s="103"/>
      <c r="J67" s="103"/>
      <c r="K67" s="133">
        <v>263.22000000000003</v>
      </c>
      <c r="L67" s="103">
        <f t="shared" si="23"/>
        <v>15.725000000000001</v>
      </c>
      <c r="M67" s="104">
        <v>7</v>
      </c>
      <c r="N67" s="104">
        <v>689.44</v>
      </c>
      <c r="O67" s="104">
        <f t="shared" si="24"/>
        <v>0</v>
      </c>
      <c r="P67" s="126"/>
      <c r="Q67" s="126">
        <v>7.4899999999999994E-2</v>
      </c>
      <c r="R67" s="127"/>
      <c r="S67" s="104">
        <v>359.07</v>
      </c>
      <c r="T67" s="103">
        <f t="shared" si="25"/>
        <v>92.800000000000011</v>
      </c>
      <c r="U67" s="104"/>
      <c r="V67" s="104"/>
      <c r="W67" s="105">
        <v>0.7</v>
      </c>
      <c r="X67" s="104">
        <v>95</v>
      </c>
      <c r="Y67" s="103">
        <f t="shared" si="26"/>
        <v>-989.08499999999992</v>
      </c>
      <c r="Z67" s="103">
        <f t="shared" si="27"/>
        <v>649.59999999999991</v>
      </c>
    </row>
    <row r="68" spans="1:26">
      <c r="A68" s="101" t="s">
        <v>345</v>
      </c>
      <c r="B68" s="101">
        <v>359885</v>
      </c>
      <c r="C68" s="112">
        <v>3</v>
      </c>
      <c r="D68" s="103">
        <v>1550</v>
      </c>
      <c r="E68" s="120">
        <v>778</v>
      </c>
      <c r="F68" s="146">
        <f>618.86+713.85</f>
        <v>1332.71</v>
      </c>
      <c r="G68" s="103">
        <v>37.15</v>
      </c>
      <c r="H68" s="103"/>
      <c r="I68" s="103"/>
      <c r="J68" s="103"/>
      <c r="K68" s="133">
        <v>158.79</v>
      </c>
      <c r="L68" s="103">
        <f t="shared" si="23"/>
        <v>13.175000000000001</v>
      </c>
      <c r="M68" s="104">
        <v>7</v>
      </c>
      <c r="N68" s="104">
        <v>689.44</v>
      </c>
      <c r="O68" s="104">
        <f t="shared" si="24"/>
        <v>88.082399999999993</v>
      </c>
      <c r="P68" s="126"/>
      <c r="Q68" s="126">
        <v>7.4899999999999994E-2</v>
      </c>
      <c r="R68" s="127">
        <v>1176</v>
      </c>
      <c r="S68" s="104">
        <v>359.07</v>
      </c>
      <c r="T68" s="103">
        <f t="shared" si="25"/>
        <v>77.800000000000011</v>
      </c>
      <c r="U68" s="104"/>
      <c r="V68" s="104">
        <v>26.25</v>
      </c>
      <c r="W68" s="105">
        <v>0.75</v>
      </c>
      <c r="X68" s="104">
        <v>95</v>
      </c>
      <c r="Y68" s="103">
        <f t="shared" si="26"/>
        <v>-1600.3874000000001</v>
      </c>
      <c r="Z68" s="103">
        <f t="shared" si="27"/>
        <v>583.5</v>
      </c>
    </row>
    <row r="69" spans="1:26">
      <c r="A69" s="100" t="s">
        <v>308</v>
      </c>
      <c r="B69" s="101">
        <v>359886</v>
      </c>
      <c r="C69" s="112">
        <v>4</v>
      </c>
      <c r="D69" s="103">
        <v>4500</v>
      </c>
      <c r="E69" s="120">
        <v>1931</v>
      </c>
      <c r="F69" s="146">
        <v>1707.22</v>
      </c>
      <c r="G69" s="103">
        <v>43.5</v>
      </c>
      <c r="H69" s="103"/>
      <c r="I69" s="103">
        <v>200</v>
      </c>
      <c r="J69" s="103"/>
      <c r="K69" s="133">
        <v>81.03</v>
      </c>
      <c r="L69" s="103">
        <f t="shared" si="23"/>
        <v>38.25</v>
      </c>
      <c r="M69" s="104">
        <v>7</v>
      </c>
      <c r="N69" s="104">
        <v>689.44</v>
      </c>
      <c r="O69" s="104">
        <f t="shared" si="24"/>
        <v>167.06444999999999</v>
      </c>
      <c r="P69" s="126"/>
      <c r="Q69" s="126">
        <v>7.4899999999999994E-2</v>
      </c>
      <c r="R69" s="127">
        <v>2230.5</v>
      </c>
      <c r="S69" s="104">
        <v>359.07</v>
      </c>
      <c r="T69" s="103">
        <f t="shared" si="25"/>
        <v>193.10000000000002</v>
      </c>
      <c r="U69" s="104"/>
      <c r="V69" s="104">
        <v>32.5</v>
      </c>
      <c r="W69" s="105">
        <v>0.75</v>
      </c>
      <c r="X69" s="104">
        <v>95</v>
      </c>
      <c r="Y69" s="103">
        <f t="shared" si="26"/>
        <v>-399.36445000000037</v>
      </c>
      <c r="Z69" s="103">
        <f t="shared" si="27"/>
        <v>1448.25</v>
      </c>
    </row>
    <row r="70" spans="1:26">
      <c r="A70" s="101" t="s">
        <v>319</v>
      </c>
      <c r="B70" s="101">
        <v>465180</v>
      </c>
      <c r="C70" s="112">
        <v>3</v>
      </c>
      <c r="D70" s="103">
        <v>4100</v>
      </c>
      <c r="E70" s="120">
        <v>1826</v>
      </c>
      <c r="F70" s="146">
        <f>563.67+300+550+300</f>
        <v>1713.67</v>
      </c>
      <c r="G70" s="103"/>
      <c r="H70" s="103"/>
      <c r="I70" s="103">
        <v>800</v>
      </c>
      <c r="J70" s="103"/>
      <c r="K70" s="133"/>
      <c r="L70" s="103">
        <f t="shared" si="23"/>
        <v>34.85</v>
      </c>
      <c r="M70" s="104">
        <v>7</v>
      </c>
      <c r="N70" s="104">
        <v>789.51</v>
      </c>
      <c r="O70" s="104">
        <f t="shared" si="24"/>
        <v>180.95765</v>
      </c>
      <c r="P70" s="126"/>
      <c r="Q70" s="126">
        <v>7.4300000000000005E-2</v>
      </c>
      <c r="R70" s="127">
        <v>2435.5</v>
      </c>
      <c r="S70" s="104">
        <v>359.07</v>
      </c>
      <c r="T70" s="103">
        <f t="shared" si="25"/>
        <v>182.60000000000002</v>
      </c>
      <c r="U70" s="104"/>
      <c r="V70" s="104">
        <v>26.25</v>
      </c>
      <c r="W70" s="105">
        <v>0.75</v>
      </c>
      <c r="X70" s="104">
        <v>95</v>
      </c>
      <c r="Y70" s="103">
        <f t="shared" si="26"/>
        <v>-1458.4076499999999</v>
      </c>
      <c r="Z70" s="103">
        <f t="shared" si="27"/>
        <v>1369.5</v>
      </c>
    </row>
    <row r="71" spans="1:26">
      <c r="A71" s="101" t="s">
        <v>322</v>
      </c>
      <c r="B71" s="101">
        <v>465181</v>
      </c>
      <c r="C71" s="117">
        <v>7</v>
      </c>
      <c r="D71" s="108">
        <v>11400</v>
      </c>
      <c r="E71" s="120">
        <v>4404</v>
      </c>
      <c r="F71" s="146">
        <f>2163.53+400+500</f>
        <v>3063.53</v>
      </c>
      <c r="G71" s="108">
        <v>9.1300000000000008</v>
      </c>
      <c r="H71" s="108"/>
      <c r="I71" s="108"/>
      <c r="J71" s="110"/>
      <c r="K71" s="133">
        <v>306.91000000000003</v>
      </c>
      <c r="L71" s="103">
        <f t="shared" si="23"/>
        <v>96.9</v>
      </c>
      <c r="M71" s="104">
        <v>7</v>
      </c>
      <c r="N71" s="104">
        <v>789.51</v>
      </c>
      <c r="O71" s="104">
        <f t="shared" si="24"/>
        <v>318.32349000000005</v>
      </c>
      <c r="P71" s="126"/>
      <c r="Q71" s="126">
        <v>7.4300000000000005E-2</v>
      </c>
      <c r="R71" s="127">
        <v>4284.3</v>
      </c>
      <c r="S71" s="104">
        <v>359.07</v>
      </c>
      <c r="T71" s="103">
        <f t="shared" si="25"/>
        <v>440.40000000000003</v>
      </c>
      <c r="U71" s="104"/>
      <c r="V71" s="104">
        <v>26.25</v>
      </c>
      <c r="W71" s="105">
        <v>0.8</v>
      </c>
      <c r="X71" s="104">
        <v>95</v>
      </c>
      <c r="Y71" s="103">
        <f t="shared" si="26"/>
        <v>2978.5965099999999</v>
      </c>
      <c r="Z71" s="103">
        <f t="shared" si="27"/>
        <v>3523.2000000000003</v>
      </c>
    </row>
    <row r="72" spans="1:26">
      <c r="A72" s="101" t="s">
        <v>358</v>
      </c>
      <c r="B72" s="101">
        <v>465182</v>
      </c>
      <c r="C72" s="112">
        <v>3</v>
      </c>
      <c r="D72" s="108">
        <v>5700</v>
      </c>
      <c r="E72" s="120">
        <v>1908</v>
      </c>
      <c r="F72" s="146">
        <f>1540.32+250</f>
        <v>1790.32</v>
      </c>
      <c r="G72" s="108">
        <v>82.95</v>
      </c>
      <c r="H72" s="108"/>
      <c r="I72" s="108"/>
      <c r="J72" s="110"/>
      <c r="K72" s="133">
        <v>245.26</v>
      </c>
      <c r="L72" s="103">
        <f t="shared" si="23"/>
        <v>48.45</v>
      </c>
      <c r="M72" s="104">
        <v>7</v>
      </c>
      <c r="N72" s="104">
        <v>789.51</v>
      </c>
      <c r="O72" s="104">
        <f t="shared" si="24"/>
        <v>256.79566</v>
      </c>
      <c r="P72" s="126"/>
      <c r="Q72" s="126">
        <v>7.4300000000000005E-2</v>
      </c>
      <c r="R72" s="127">
        <v>3456.2</v>
      </c>
      <c r="S72" s="104">
        <v>359.07</v>
      </c>
      <c r="T72" s="103">
        <f t="shared" si="25"/>
        <v>190.8</v>
      </c>
      <c r="U72" s="104"/>
      <c r="V72" s="104">
        <v>26.25</v>
      </c>
      <c r="W72" s="105">
        <v>0.75</v>
      </c>
      <c r="X72" s="104">
        <v>95</v>
      </c>
      <c r="Y72" s="103">
        <f t="shared" si="26"/>
        <v>868.11434000000031</v>
      </c>
      <c r="Z72" s="103">
        <f t="shared" si="27"/>
        <v>1431</v>
      </c>
    </row>
    <row r="73" spans="1:26">
      <c r="A73" s="101" t="s">
        <v>88</v>
      </c>
      <c r="B73" s="101">
        <v>465183</v>
      </c>
      <c r="C73" s="117">
        <v>2</v>
      </c>
      <c r="D73" s="108">
        <v>2900</v>
      </c>
      <c r="E73" s="120">
        <v>1131</v>
      </c>
      <c r="F73" s="146">
        <f>500</f>
        <v>500</v>
      </c>
      <c r="G73" s="108">
        <v>202.22</v>
      </c>
      <c r="H73" s="108"/>
      <c r="I73" s="108">
        <v>200</v>
      </c>
      <c r="J73" s="110"/>
      <c r="K73" s="133"/>
      <c r="L73" s="103">
        <f t="shared" si="23"/>
        <v>24.650000000000002</v>
      </c>
      <c r="M73" s="104">
        <v>7</v>
      </c>
      <c r="N73" s="104">
        <v>789.51</v>
      </c>
      <c r="O73" s="104">
        <f t="shared" si="24"/>
        <v>96.63458</v>
      </c>
      <c r="P73" s="126"/>
      <c r="Q73" s="126">
        <v>7.4300000000000005E-2</v>
      </c>
      <c r="R73" s="127">
        <v>1300.5999999999999</v>
      </c>
      <c r="S73" s="104">
        <v>359.07</v>
      </c>
      <c r="T73" s="103">
        <f t="shared" si="25"/>
        <v>113.10000000000001</v>
      </c>
      <c r="U73" s="104"/>
      <c r="V73" s="104">
        <v>40</v>
      </c>
      <c r="W73" s="105">
        <v>0.8</v>
      </c>
      <c r="X73" s="104">
        <v>95</v>
      </c>
      <c r="Y73" s="103">
        <f t="shared" si="26"/>
        <v>-431.98457999999971</v>
      </c>
      <c r="Z73" s="103">
        <f t="shared" si="27"/>
        <v>904.80000000000007</v>
      </c>
    </row>
    <row r="74" spans="1:26">
      <c r="A74" s="100" t="s">
        <v>40</v>
      </c>
      <c r="B74" s="101">
        <v>465184</v>
      </c>
      <c r="C74" s="117">
        <v>4</v>
      </c>
      <c r="D74" s="108">
        <v>6050</v>
      </c>
      <c r="E74" s="120">
        <v>2452</v>
      </c>
      <c r="F74" s="146">
        <f>683.42+500+500</f>
        <v>1683.42</v>
      </c>
      <c r="G74" s="108"/>
      <c r="H74" s="108"/>
      <c r="I74" s="108"/>
      <c r="J74" s="110"/>
      <c r="K74" s="133">
        <v>16.059999999999999</v>
      </c>
      <c r="L74" s="103">
        <f t="shared" si="23"/>
        <v>51.425000000000004</v>
      </c>
      <c r="M74" s="104">
        <v>7</v>
      </c>
      <c r="N74" s="104">
        <v>789.51</v>
      </c>
      <c r="O74" s="104">
        <f t="shared" si="24"/>
        <v>212.23795000000001</v>
      </c>
      <c r="P74" s="126"/>
      <c r="Q74" s="126">
        <v>7.4300000000000005E-2</v>
      </c>
      <c r="R74" s="127">
        <v>2856.5</v>
      </c>
      <c r="S74" s="104">
        <v>359.07</v>
      </c>
      <c r="T74" s="103">
        <f t="shared" si="25"/>
        <v>245.20000000000002</v>
      </c>
      <c r="U74" s="104"/>
      <c r="V74" s="104">
        <v>26.25</v>
      </c>
      <c r="W74" s="105">
        <v>0.8</v>
      </c>
      <c r="X74" s="104">
        <v>95</v>
      </c>
      <c r="Y74" s="103">
        <f t="shared" si="26"/>
        <v>635.34705000000008</v>
      </c>
      <c r="Z74" s="103">
        <f t="shared" si="27"/>
        <v>1961.6000000000001</v>
      </c>
    </row>
    <row r="75" spans="1:26">
      <c r="A75" s="101" t="s">
        <v>75</v>
      </c>
      <c r="B75" s="101">
        <v>465185</v>
      </c>
      <c r="C75" s="117">
        <v>2</v>
      </c>
      <c r="D75" s="108">
        <v>3000</v>
      </c>
      <c r="E75" s="120">
        <v>1130</v>
      </c>
      <c r="F75" s="146">
        <f>400</f>
        <v>400</v>
      </c>
      <c r="G75" s="108">
        <v>81.97</v>
      </c>
      <c r="H75" s="108"/>
      <c r="I75" s="108"/>
      <c r="J75" s="110"/>
      <c r="K75" s="133"/>
      <c r="L75" s="103">
        <f t="shared" si="23"/>
        <v>25.500000000000004</v>
      </c>
      <c r="M75" s="104">
        <v>7</v>
      </c>
      <c r="N75" s="104">
        <v>789.51</v>
      </c>
      <c r="O75" s="104">
        <f t="shared" si="24"/>
        <v>96.775750000000002</v>
      </c>
      <c r="P75" s="126"/>
      <c r="Q75" s="126">
        <v>7.4300000000000005E-2</v>
      </c>
      <c r="R75" s="127">
        <v>1302.5</v>
      </c>
      <c r="S75" s="104">
        <v>359.07</v>
      </c>
      <c r="T75" s="103">
        <f t="shared" si="25"/>
        <v>113</v>
      </c>
      <c r="U75" s="104"/>
      <c r="V75" s="104">
        <v>40</v>
      </c>
      <c r="W75" s="105">
        <v>0.8</v>
      </c>
      <c r="X75" s="104">
        <v>95</v>
      </c>
      <c r="Y75" s="103">
        <f t="shared" si="26"/>
        <v>88.174250000000271</v>
      </c>
      <c r="Z75" s="103">
        <f t="shared" si="27"/>
        <v>904</v>
      </c>
    </row>
    <row r="76" spans="1:26">
      <c r="A76" s="101"/>
      <c r="B76" s="101">
        <v>465186</v>
      </c>
      <c r="C76" s="112" t="s">
        <v>342</v>
      </c>
      <c r="D76" s="108"/>
      <c r="E76" s="120"/>
      <c r="F76" s="146"/>
      <c r="G76" s="108"/>
      <c r="H76" s="108"/>
      <c r="I76" s="108"/>
      <c r="J76" s="110"/>
      <c r="K76" s="108"/>
      <c r="L76" s="103">
        <f t="shared" si="23"/>
        <v>0</v>
      </c>
      <c r="M76" s="104">
        <v>7</v>
      </c>
      <c r="N76" s="104">
        <v>789.51</v>
      </c>
      <c r="O76" s="104">
        <f t="shared" si="24"/>
        <v>0</v>
      </c>
      <c r="P76" s="126"/>
      <c r="Q76" s="126">
        <v>7.4300000000000005E-2</v>
      </c>
      <c r="R76" s="127"/>
      <c r="S76" s="104">
        <v>359.07</v>
      </c>
      <c r="T76" s="103">
        <f t="shared" si="25"/>
        <v>0</v>
      </c>
      <c r="U76" s="104"/>
      <c r="V76" s="104"/>
      <c r="W76" s="105"/>
      <c r="X76" s="104">
        <v>95</v>
      </c>
      <c r="Y76" s="103">
        <f t="shared" si="26"/>
        <v>-1250.58</v>
      </c>
      <c r="Z76" s="103">
        <f t="shared" si="27"/>
        <v>0</v>
      </c>
    </row>
    <row r="77" spans="1:26">
      <c r="A77" s="101" t="s">
        <v>192</v>
      </c>
      <c r="B77" s="101">
        <v>465187</v>
      </c>
      <c r="C77" s="117">
        <v>3</v>
      </c>
      <c r="D77" s="108">
        <v>2500</v>
      </c>
      <c r="E77" s="120">
        <v>932</v>
      </c>
      <c r="F77" s="146">
        <f>500</f>
        <v>500</v>
      </c>
      <c r="G77" s="108">
        <v>61.15</v>
      </c>
      <c r="H77" s="108"/>
      <c r="I77" s="108"/>
      <c r="J77" s="110"/>
      <c r="K77" s="133"/>
      <c r="L77" s="103">
        <f t="shared" si="23"/>
        <v>21.25</v>
      </c>
      <c r="M77" s="104">
        <v>7</v>
      </c>
      <c r="N77" s="104">
        <v>789.51</v>
      </c>
      <c r="O77" s="104">
        <f t="shared" si="24"/>
        <v>104.08687000000002</v>
      </c>
      <c r="P77" s="126"/>
      <c r="Q77" s="126">
        <v>7.4300000000000005E-2</v>
      </c>
      <c r="R77" s="127">
        <v>1400.9</v>
      </c>
      <c r="S77" s="104">
        <v>359.07</v>
      </c>
      <c r="T77" s="103">
        <f t="shared" si="25"/>
        <v>93.2</v>
      </c>
      <c r="U77" s="104"/>
      <c r="V77" s="104">
        <v>40</v>
      </c>
      <c r="W77" s="105">
        <v>0.8</v>
      </c>
      <c r="X77" s="104">
        <v>95</v>
      </c>
      <c r="Y77" s="103">
        <f>D77-F77-G77-V77-T77-S77-N77-Z77+K77-X77-I71-O77-M77-L77</f>
        <v>-315.86687000000012</v>
      </c>
      <c r="Z77" s="103">
        <f t="shared" si="27"/>
        <v>745.6</v>
      </c>
    </row>
    <row r="78" spans="1:26">
      <c r="A78" s="101" t="s">
        <v>14</v>
      </c>
      <c r="B78" s="101">
        <v>465188</v>
      </c>
      <c r="C78" s="117">
        <v>6</v>
      </c>
      <c r="D78" s="108">
        <v>5685</v>
      </c>
      <c r="E78" s="120">
        <v>2022</v>
      </c>
      <c r="F78" s="146">
        <f>1854.65+400+500</f>
        <v>2754.65</v>
      </c>
      <c r="G78" s="108">
        <v>246.61</v>
      </c>
      <c r="H78" s="108"/>
      <c r="I78" s="108">
        <v>200</v>
      </c>
      <c r="J78" s="110"/>
      <c r="K78" s="133">
        <v>415.31</v>
      </c>
      <c r="L78" s="103">
        <f t="shared" si="23"/>
        <v>48.322500000000005</v>
      </c>
      <c r="M78" s="104">
        <v>7</v>
      </c>
      <c r="N78" s="104">
        <v>789.51</v>
      </c>
      <c r="O78" s="104">
        <f t="shared" si="24"/>
        <v>229.54985000000002</v>
      </c>
      <c r="P78" s="126"/>
      <c r="Q78" s="126">
        <v>7.4300000000000005E-2</v>
      </c>
      <c r="R78" s="127">
        <v>3089.5</v>
      </c>
      <c r="S78" s="104">
        <v>359.07</v>
      </c>
      <c r="T78" s="103">
        <f t="shared" si="25"/>
        <v>202.20000000000002</v>
      </c>
      <c r="U78" s="104"/>
      <c r="V78" s="104">
        <v>32.5</v>
      </c>
      <c r="W78" s="105">
        <v>0.8</v>
      </c>
      <c r="X78" s="104">
        <v>95</v>
      </c>
      <c r="Y78" s="103">
        <f t="shared" ref="Y78:Y79" si="28">D78-F78-G78-V78-T78-S78-N78-Z78+K78-X78-I78-O78-M78-L78</f>
        <v>-481.70235000000037</v>
      </c>
      <c r="Z78" s="103">
        <f t="shared" si="27"/>
        <v>1617.6000000000001</v>
      </c>
    </row>
    <row r="79" spans="1:26">
      <c r="A79" s="101"/>
      <c r="B79" s="101">
        <v>465189</v>
      </c>
      <c r="C79" s="112"/>
      <c r="D79" s="108"/>
      <c r="E79" s="129"/>
      <c r="F79" s="146"/>
      <c r="G79" s="108"/>
      <c r="H79" s="108"/>
      <c r="I79" s="108"/>
      <c r="J79" s="110"/>
      <c r="K79" s="108"/>
      <c r="L79" s="103">
        <f t="shared" si="23"/>
        <v>0</v>
      </c>
      <c r="M79" s="104">
        <v>7</v>
      </c>
      <c r="N79" s="104">
        <v>789.51</v>
      </c>
      <c r="O79" s="104">
        <f t="shared" si="24"/>
        <v>0</v>
      </c>
      <c r="P79" s="126"/>
      <c r="Q79" s="126">
        <v>7.4300000000000005E-2</v>
      </c>
      <c r="R79" s="127"/>
      <c r="S79" s="104">
        <v>359.07</v>
      </c>
      <c r="T79" s="103">
        <f t="shared" si="25"/>
        <v>0</v>
      </c>
      <c r="U79" s="104"/>
      <c r="V79" s="104">
        <v>32.5</v>
      </c>
      <c r="W79" s="105">
        <v>0.75</v>
      </c>
      <c r="X79" s="104">
        <v>95</v>
      </c>
      <c r="Y79" s="103">
        <f t="shared" si="28"/>
        <v>-1283.08</v>
      </c>
      <c r="Z79" s="103">
        <f t="shared" si="27"/>
        <v>0</v>
      </c>
    </row>
    <row r="80" spans="1:26">
      <c r="A80" s="134" t="s">
        <v>359</v>
      </c>
      <c r="B80" s="135" t="s">
        <v>360</v>
      </c>
      <c r="C80" s="136">
        <v>6</v>
      </c>
      <c r="D80" s="137">
        <v>8400</v>
      </c>
      <c r="E80" s="138">
        <v>3645</v>
      </c>
      <c r="F80" s="137">
        <f>1424.42+790</f>
        <v>2214.42</v>
      </c>
      <c r="G80" s="137">
        <v>65.900000000000006</v>
      </c>
      <c r="H80" s="137"/>
      <c r="I80" s="137"/>
      <c r="J80" s="137"/>
      <c r="K80" s="137">
        <v>32.17</v>
      </c>
      <c r="L80" s="139">
        <f t="shared" si="23"/>
        <v>71.400000000000006</v>
      </c>
      <c r="M80" s="140">
        <v>0</v>
      </c>
      <c r="N80" s="140">
        <v>0</v>
      </c>
      <c r="O80" s="140">
        <v>0</v>
      </c>
      <c r="P80" s="141"/>
      <c r="Q80" s="141">
        <v>0</v>
      </c>
      <c r="R80" s="142">
        <v>3815.1</v>
      </c>
      <c r="S80" s="140">
        <v>0</v>
      </c>
      <c r="T80" s="139">
        <v>300</v>
      </c>
      <c r="U80" s="140"/>
      <c r="V80" s="140"/>
      <c r="W80" s="143">
        <v>0.87</v>
      </c>
      <c r="X80" s="140">
        <v>199</v>
      </c>
      <c r="Y80" s="139">
        <f t="shared" ref="Y80:Y81" si="29">D80*0.13-T80-L80-I80</f>
        <v>720.6</v>
      </c>
      <c r="Z80" s="139">
        <f t="shared" ref="Z80:Z81" si="30">D80*W80-F80-G80-T80-X80</f>
        <v>4528.68</v>
      </c>
    </row>
    <row r="81" spans="1:30">
      <c r="A81" s="134" t="s">
        <v>367</v>
      </c>
      <c r="B81" s="135" t="s">
        <v>362</v>
      </c>
      <c r="C81" s="136">
        <v>7</v>
      </c>
      <c r="D81" s="137">
        <v>5850</v>
      </c>
      <c r="E81" s="138">
        <v>2812</v>
      </c>
      <c r="F81" s="137">
        <f>624.01+900+600</f>
        <v>2124.0100000000002</v>
      </c>
      <c r="G81" s="137">
        <v>44.15</v>
      </c>
      <c r="H81" s="137"/>
      <c r="I81" s="137"/>
      <c r="J81" s="137"/>
      <c r="K81" s="137">
        <v>198.98</v>
      </c>
      <c r="L81" s="139">
        <f t="shared" si="23"/>
        <v>49.725000000000001</v>
      </c>
      <c r="M81" s="140">
        <v>7</v>
      </c>
      <c r="N81" s="140">
        <v>0</v>
      </c>
      <c r="O81" s="140">
        <v>0</v>
      </c>
      <c r="P81" s="141"/>
      <c r="Q81" s="141">
        <v>0</v>
      </c>
      <c r="R81" s="142">
        <v>3272.5</v>
      </c>
      <c r="S81" s="140">
        <v>0</v>
      </c>
      <c r="T81" s="139">
        <v>300</v>
      </c>
      <c r="U81" s="140"/>
      <c r="V81" s="140"/>
      <c r="W81" s="143">
        <v>0.87</v>
      </c>
      <c r="X81" s="140">
        <v>199</v>
      </c>
      <c r="Y81" s="139">
        <f t="shared" si="29"/>
        <v>410.77499999999998</v>
      </c>
      <c r="Z81" s="139">
        <f t="shared" si="30"/>
        <v>2422.3399999999997</v>
      </c>
    </row>
    <row r="82" spans="1:30">
      <c r="A82" s="134" t="s">
        <v>363</v>
      </c>
      <c r="B82" s="134">
        <v>1118</v>
      </c>
      <c r="C82" s="136">
        <v>3</v>
      </c>
      <c r="D82" s="137">
        <v>3400</v>
      </c>
      <c r="E82" s="138">
        <v>1330</v>
      </c>
      <c r="F82" s="137">
        <v>760</v>
      </c>
      <c r="G82" s="137"/>
      <c r="H82" s="137"/>
      <c r="I82" s="137"/>
      <c r="J82" s="137"/>
      <c r="K82" s="137"/>
      <c r="L82" s="139">
        <f t="shared" si="23"/>
        <v>28.900000000000002</v>
      </c>
      <c r="M82" s="140">
        <v>0</v>
      </c>
      <c r="N82" s="140">
        <v>0</v>
      </c>
      <c r="O82" s="140">
        <v>0</v>
      </c>
      <c r="P82" s="141"/>
      <c r="Q82" s="141">
        <v>0</v>
      </c>
      <c r="R82" s="142">
        <v>1958.6</v>
      </c>
      <c r="S82" s="140">
        <v>0</v>
      </c>
      <c r="T82" s="139">
        <v>300</v>
      </c>
      <c r="U82" s="140"/>
      <c r="V82" s="140"/>
      <c r="W82" s="143">
        <v>0.8</v>
      </c>
      <c r="X82" s="140">
        <v>199</v>
      </c>
      <c r="Y82" s="139">
        <f>D82*0.2-T82-L82-I82-X82</f>
        <v>152.10000000000002</v>
      </c>
      <c r="Z82" s="139">
        <f>D82*W82-F82-G82</f>
        <v>1960</v>
      </c>
    </row>
    <row r="83" spans="1:30">
      <c r="A83" s="134" t="s">
        <v>368</v>
      </c>
      <c r="B83" s="134" t="s">
        <v>369</v>
      </c>
      <c r="C83" s="136">
        <v>6</v>
      </c>
      <c r="D83" s="137">
        <v>4800</v>
      </c>
      <c r="E83" s="138">
        <v>2111</v>
      </c>
      <c r="F83" s="137">
        <v>830.61</v>
      </c>
      <c r="G83" s="137"/>
      <c r="H83" s="137"/>
      <c r="I83" s="137"/>
      <c r="J83" s="137"/>
      <c r="K83" s="137">
        <v>18.329999999999998</v>
      </c>
      <c r="L83" s="139">
        <f t="shared" si="23"/>
        <v>40.800000000000004</v>
      </c>
      <c r="M83" s="140">
        <v>7</v>
      </c>
      <c r="N83" s="140">
        <v>0</v>
      </c>
      <c r="O83" s="140">
        <v>0</v>
      </c>
      <c r="P83" s="141"/>
      <c r="Q83" s="141">
        <v>0</v>
      </c>
      <c r="R83" s="142">
        <v>2469.8000000000002</v>
      </c>
      <c r="S83" s="140">
        <v>0</v>
      </c>
      <c r="T83" s="139">
        <v>300</v>
      </c>
      <c r="U83" s="140"/>
      <c r="V83" s="140"/>
      <c r="W83" s="143">
        <v>0.89</v>
      </c>
      <c r="X83" s="140">
        <v>199</v>
      </c>
      <c r="Y83" s="139">
        <f>D83*0.11-T83-L83-I83</f>
        <v>187.2</v>
      </c>
      <c r="Z83" s="139">
        <f t="shared" ref="Z83:Z85" si="31">D83*W83-F83-G83-T83-X83</f>
        <v>2942.39</v>
      </c>
    </row>
    <row r="84" spans="1:30">
      <c r="A84" s="134" t="s">
        <v>364</v>
      </c>
      <c r="B84" s="134">
        <v>2013</v>
      </c>
      <c r="C84" s="136">
        <v>7</v>
      </c>
      <c r="D84" s="137">
        <v>6900</v>
      </c>
      <c r="E84" s="138">
        <v>2699</v>
      </c>
      <c r="F84" s="137">
        <f>1821.77+700</f>
        <v>2521.77</v>
      </c>
      <c r="G84" s="137"/>
      <c r="H84" s="137"/>
      <c r="I84" s="137"/>
      <c r="J84" s="137"/>
      <c r="K84" s="137">
        <v>116.71</v>
      </c>
      <c r="L84" s="139">
        <f t="shared" si="23"/>
        <v>58.650000000000006</v>
      </c>
      <c r="M84" s="140">
        <v>0</v>
      </c>
      <c r="N84" s="140">
        <v>0</v>
      </c>
      <c r="O84" s="140">
        <v>0</v>
      </c>
      <c r="P84" s="141"/>
      <c r="Q84" s="141">
        <v>0</v>
      </c>
      <c r="R84" s="142">
        <v>3285.8</v>
      </c>
      <c r="S84" s="140">
        <v>0</v>
      </c>
      <c r="T84" s="139">
        <v>300</v>
      </c>
      <c r="U84" s="140"/>
      <c r="V84" s="140"/>
      <c r="W84" s="143">
        <v>0.87</v>
      </c>
      <c r="X84" s="140">
        <v>199</v>
      </c>
      <c r="Y84" s="139">
        <f t="shared" ref="Y84:Y85" si="32">D84*0.13-T84-L84-I84</f>
        <v>538.35</v>
      </c>
      <c r="Z84" s="139">
        <f t="shared" si="31"/>
        <v>2982.23</v>
      </c>
    </row>
    <row r="85" spans="1:30">
      <c r="A85" s="134" t="s">
        <v>370</v>
      </c>
      <c r="B85" s="134">
        <v>1</v>
      </c>
      <c r="C85" s="136">
        <v>4</v>
      </c>
      <c r="D85" s="137">
        <v>3600</v>
      </c>
      <c r="E85" s="138">
        <v>1334</v>
      </c>
      <c r="F85" s="137">
        <f>410</f>
        <v>410</v>
      </c>
      <c r="G85" s="137"/>
      <c r="H85" s="137"/>
      <c r="I85" s="137"/>
      <c r="J85" s="137"/>
      <c r="K85" s="137"/>
      <c r="L85" s="139">
        <f t="shared" si="23"/>
        <v>30.6</v>
      </c>
      <c r="M85" s="140">
        <v>7</v>
      </c>
      <c r="N85" s="140">
        <v>0</v>
      </c>
      <c r="O85" s="140">
        <v>0</v>
      </c>
      <c r="P85" s="141"/>
      <c r="Q85" s="141">
        <v>0</v>
      </c>
      <c r="R85" s="142">
        <v>1101.5</v>
      </c>
      <c r="S85" s="140">
        <v>0</v>
      </c>
      <c r="T85" s="139">
        <v>300</v>
      </c>
      <c r="U85" s="140"/>
      <c r="V85" s="140"/>
      <c r="W85" s="143">
        <v>0.87</v>
      </c>
      <c r="X85" s="140">
        <v>199</v>
      </c>
      <c r="Y85" s="139">
        <f t="shared" si="32"/>
        <v>137.4</v>
      </c>
      <c r="Z85" s="139">
        <f t="shared" si="31"/>
        <v>2223</v>
      </c>
    </row>
    <row r="86" spans="1:30">
      <c r="A86" s="71" t="s">
        <v>89</v>
      </c>
      <c r="B86" s="72">
        <v>26</v>
      </c>
      <c r="C86" s="73">
        <f>AVERAGE(C60:C79)</f>
        <v>3.6875</v>
      </c>
      <c r="D86" s="74">
        <f t="shared" ref="D86:G86" si="33">SUM(D60:D85)</f>
        <v>105385</v>
      </c>
      <c r="E86" s="144">
        <f t="shared" si="33"/>
        <v>42948</v>
      </c>
      <c r="F86" s="74">
        <f t="shared" si="33"/>
        <v>35277.35</v>
      </c>
      <c r="G86" s="74">
        <f t="shared" si="33"/>
        <v>1274.1600000000003</v>
      </c>
      <c r="H86" s="74"/>
      <c r="I86" s="74">
        <f t="shared" ref="I86:O86" si="34">SUM(I60:I85)</f>
        <v>1600</v>
      </c>
      <c r="J86" s="74">
        <f t="shared" si="34"/>
        <v>0</v>
      </c>
      <c r="K86" s="74">
        <f t="shared" si="34"/>
        <v>2408.92</v>
      </c>
      <c r="L86" s="74">
        <f t="shared" si="34"/>
        <v>895.77249999999992</v>
      </c>
      <c r="M86" s="74">
        <f t="shared" si="34"/>
        <v>161</v>
      </c>
      <c r="N86" s="74">
        <f t="shared" si="34"/>
        <v>14789.500000000004</v>
      </c>
      <c r="O86" s="74">
        <f t="shared" si="34"/>
        <v>2647.7582199999997</v>
      </c>
      <c r="P86" s="130"/>
      <c r="Q86" s="130">
        <f>AVERAGE(Q60:Q85)</f>
        <v>5.7384615384615381E-2</v>
      </c>
      <c r="R86" s="75">
        <f>SUM(R59:R85)</f>
        <v>51415.100000000006</v>
      </c>
      <c r="S86" s="74">
        <f t="shared" ref="S86:T86" si="35">SUM(S60:S85)</f>
        <v>7181.3999999999987</v>
      </c>
      <c r="T86" s="74">
        <f t="shared" si="35"/>
        <v>4701.7</v>
      </c>
      <c r="U86" s="74"/>
      <c r="V86" s="74">
        <f>SUM(V60:V85)</f>
        <v>545</v>
      </c>
      <c r="W86" s="73">
        <f>AVERAGE(W60:W85)</f>
        <v>0.796521739130435</v>
      </c>
      <c r="X86" s="145">
        <f t="shared" ref="X86:Z86" si="36">SUM(X60:X85)</f>
        <v>3094</v>
      </c>
      <c r="Y86" s="74">
        <f t="shared" si="36"/>
        <v>-5881.200719999998</v>
      </c>
      <c r="Z86" s="74">
        <f t="shared" si="36"/>
        <v>39662.29</v>
      </c>
    </row>
    <row r="87" spans="1:30"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</row>
    <row r="90" spans="1:30">
      <c r="A90" s="457" t="s">
        <v>371</v>
      </c>
      <c r="B90" s="458"/>
      <c r="C90" s="458"/>
      <c r="D90" s="458"/>
      <c r="E90" s="458"/>
      <c r="F90" s="458"/>
      <c r="G90" s="458"/>
      <c r="H90" s="458"/>
      <c r="I90" s="458"/>
      <c r="J90" s="458"/>
      <c r="K90" s="458"/>
      <c r="L90" s="458"/>
      <c r="M90" s="458"/>
      <c r="N90" s="458"/>
      <c r="O90" s="458"/>
      <c r="P90" s="458"/>
      <c r="Q90" s="458"/>
      <c r="R90" s="458"/>
      <c r="S90" s="458"/>
      <c r="T90" s="458"/>
      <c r="U90" s="458"/>
      <c r="V90" s="458"/>
      <c r="W90" s="458"/>
      <c r="X90" s="458"/>
      <c r="Y90" s="458"/>
      <c r="Z90" s="458"/>
      <c r="AA90" s="148"/>
      <c r="AB90" s="148"/>
      <c r="AC90" s="148"/>
      <c r="AD90" s="149"/>
    </row>
    <row r="91" spans="1:30">
      <c r="A91" s="95" t="s">
        <v>0</v>
      </c>
      <c r="B91" s="95" t="s">
        <v>1</v>
      </c>
      <c r="C91" s="95" t="s">
        <v>372</v>
      </c>
      <c r="D91" s="95" t="s">
        <v>2</v>
      </c>
      <c r="E91" s="95" t="s">
        <v>9</v>
      </c>
      <c r="F91" s="95" t="s">
        <v>7</v>
      </c>
      <c r="G91" s="95" t="s">
        <v>8</v>
      </c>
      <c r="H91" s="95"/>
      <c r="I91" s="95" t="s">
        <v>287</v>
      </c>
      <c r="J91" s="95" t="s">
        <v>288</v>
      </c>
      <c r="K91" s="95" t="s">
        <v>257</v>
      </c>
      <c r="L91" s="95" t="s">
        <v>373</v>
      </c>
      <c r="M91" s="95" t="s">
        <v>374</v>
      </c>
      <c r="N91" s="95" t="s">
        <v>375</v>
      </c>
      <c r="O91" s="95" t="s">
        <v>376</v>
      </c>
      <c r="P91" s="95"/>
      <c r="Q91" s="95" t="s">
        <v>377</v>
      </c>
      <c r="R91" s="150" t="s">
        <v>378</v>
      </c>
      <c r="S91" s="150" t="s">
        <v>379</v>
      </c>
      <c r="T91" s="150" t="s">
        <v>352</v>
      </c>
      <c r="U91" s="95"/>
      <c r="V91" s="95" t="s">
        <v>380</v>
      </c>
      <c r="W91" s="95" t="s">
        <v>381</v>
      </c>
      <c r="X91" s="95" t="s">
        <v>382</v>
      </c>
      <c r="Y91" s="95" t="s">
        <v>383</v>
      </c>
      <c r="Z91" s="95" t="s">
        <v>384</v>
      </c>
      <c r="AA91" s="95" t="s">
        <v>385</v>
      </c>
      <c r="AB91" s="95" t="s">
        <v>333</v>
      </c>
      <c r="AC91" s="95" t="s">
        <v>13</v>
      </c>
      <c r="AD91" s="95" t="s">
        <v>98</v>
      </c>
    </row>
    <row r="92" spans="1:30">
      <c r="A92" s="100" t="s">
        <v>349</v>
      </c>
      <c r="B92" s="101">
        <v>352368</v>
      </c>
      <c r="C92" s="112">
        <v>0</v>
      </c>
      <c r="D92" s="103">
        <v>0</v>
      </c>
      <c r="E92" s="151"/>
      <c r="F92" s="128"/>
      <c r="G92" s="103">
        <v>7</v>
      </c>
      <c r="H92" s="103"/>
      <c r="I92" s="103"/>
      <c r="J92" s="103"/>
      <c r="K92" s="128"/>
      <c r="L92" s="103">
        <f t="shared" ref="L92:L117" si="37">D92*0.0085</f>
        <v>0</v>
      </c>
      <c r="M92" s="103">
        <v>7</v>
      </c>
      <c r="N92" s="103">
        <v>689.44</v>
      </c>
      <c r="O92" s="103"/>
      <c r="P92" s="103"/>
      <c r="Q92" s="103">
        <v>0</v>
      </c>
      <c r="R92" s="103"/>
      <c r="S92" s="103"/>
      <c r="T92" s="103">
        <f t="shared" ref="T92:T111" si="38">W92*V92</f>
        <v>0</v>
      </c>
      <c r="U92" s="152"/>
      <c r="V92" s="152">
        <v>7.4899999999999994E-2</v>
      </c>
      <c r="W92" s="153"/>
      <c r="X92" s="103">
        <v>359.07</v>
      </c>
      <c r="Y92" s="103">
        <f t="shared" ref="Y92:Y117" si="39">E92*0.1</f>
        <v>0</v>
      </c>
      <c r="Z92" s="103">
        <v>32.5</v>
      </c>
      <c r="AA92" s="154">
        <v>0.8</v>
      </c>
      <c r="AB92" s="103">
        <v>95</v>
      </c>
      <c r="AC92" s="103">
        <f t="shared" ref="AC92:AC108" si="40">D92-F92-G92-Z92-Y92-X92-N92-AD92+K92-AB92-I92-T92-M92-L92</f>
        <v>-1190.01</v>
      </c>
      <c r="AD92" s="103">
        <f t="shared" ref="AD92:AD111" si="41">E92*AA92</f>
        <v>0</v>
      </c>
    </row>
    <row r="93" spans="1:30">
      <c r="A93" s="100" t="s">
        <v>355</v>
      </c>
      <c r="B93" s="101">
        <v>352371</v>
      </c>
      <c r="C93" s="112">
        <v>5</v>
      </c>
      <c r="D93" s="103">
        <v>5850</v>
      </c>
      <c r="E93" s="151">
        <v>2214</v>
      </c>
      <c r="F93" s="128">
        <v>2708.11</v>
      </c>
      <c r="G93" s="103">
        <v>364.16</v>
      </c>
      <c r="H93" s="103"/>
      <c r="I93" s="103"/>
      <c r="J93" s="103"/>
      <c r="K93" s="128">
        <v>464.58</v>
      </c>
      <c r="L93" s="103">
        <f t="shared" si="37"/>
        <v>49.725000000000001</v>
      </c>
      <c r="M93" s="103">
        <v>7</v>
      </c>
      <c r="N93" s="103">
        <v>689.44</v>
      </c>
      <c r="O93" s="103"/>
      <c r="P93" s="103"/>
      <c r="Q93" s="103">
        <v>0</v>
      </c>
      <c r="R93" s="103"/>
      <c r="S93" s="103"/>
      <c r="T93" s="103">
        <f t="shared" si="38"/>
        <v>210.32668999999999</v>
      </c>
      <c r="U93" s="152"/>
      <c r="V93" s="152">
        <v>7.4899999999999994E-2</v>
      </c>
      <c r="W93" s="153">
        <v>2808.1</v>
      </c>
      <c r="X93" s="103">
        <v>359.07</v>
      </c>
      <c r="Y93" s="103">
        <f t="shared" si="39"/>
        <v>221.4</v>
      </c>
      <c r="Z93" s="103">
        <v>32.5</v>
      </c>
      <c r="AA93" s="154">
        <v>0.75</v>
      </c>
      <c r="AB93" s="103">
        <v>95</v>
      </c>
      <c r="AC93" s="103">
        <f t="shared" si="40"/>
        <v>-82.651690000000286</v>
      </c>
      <c r="AD93" s="103">
        <f t="shared" si="41"/>
        <v>1660.5</v>
      </c>
    </row>
    <row r="94" spans="1:30">
      <c r="A94" s="101"/>
      <c r="B94" s="101">
        <v>352372</v>
      </c>
      <c r="C94" s="112" t="s">
        <v>343</v>
      </c>
      <c r="D94" s="103">
        <v>0</v>
      </c>
      <c r="E94" s="151"/>
      <c r="F94" s="117"/>
      <c r="G94" s="103"/>
      <c r="H94" s="103"/>
      <c r="I94" s="103"/>
      <c r="J94" s="103"/>
      <c r="K94" s="103"/>
      <c r="L94" s="103">
        <f t="shared" si="37"/>
        <v>0</v>
      </c>
      <c r="M94" s="103">
        <v>7</v>
      </c>
      <c r="N94" s="103">
        <v>689.44</v>
      </c>
      <c r="O94" s="103"/>
      <c r="P94" s="103"/>
      <c r="Q94" s="103">
        <v>0</v>
      </c>
      <c r="R94" s="103"/>
      <c r="S94" s="103"/>
      <c r="T94" s="103">
        <f t="shared" si="38"/>
        <v>0</v>
      </c>
      <c r="U94" s="152"/>
      <c r="V94" s="152">
        <v>7.4899999999999994E-2</v>
      </c>
      <c r="W94" s="153"/>
      <c r="X94" s="103">
        <v>359.07</v>
      </c>
      <c r="Y94" s="103">
        <f t="shared" si="39"/>
        <v>0</v>
      </c>
      <c r="Z94" s="103"/>
      <c r="AA94" s="154"/>
      <c r="AB94" s="103">
        <v>95</v>
      </c>
      <c r="AC94" s="103">
        <f t="shared" si="40"/>
        <v>-1150.51</v>
      </c>
      <c r="AD94" s="103">
        <f t="shared" si="41"/>
        <v>0</v>
      </c>
    </row>
    <row r="95" spans="1:30">
      <c r="A95" s="101" t="s">
        <v>347</v>
      </c>
      <c r="B95" s="101">
        <v>352373</v>
      </c>
      <c r="C95" s="112">
        <v>0</v>
      </c>
      <c r="D95" s="103">
        <v>0</v>
      </c>
      <c r="E95" s="155"/>
      <c r="F95" s="128"/>
      <c r="G95" s="103">
        <v>23.8</v>
      </c>
      <c r="H95" s="103"/>
      <c r="I95" s="103"/>
      <c r="J95" s="103"/>
      <c r="K95" s="128"/>
      <c r="L95" s="103">
        <f t="shared" si="37"/>
        <v>0</v>
      </c>
      <c r="M95" s="103">
        <v>7</v>
      </c>
      <c r="N95" s="103">
        <v>689.44</v>
      </c>
      <c r="O95" s="103"/>
      <c r="P95" s="103"/>
      <c r="Q95" s="103">
        <v>0</v>
      </c>
      <c r="R95" s="103"/>
      <c r="S95" s="103"/>
      <c r="T95" s="103">
        <f t="shared" si="38"/>
        <v>32.536559999999994</v>
      </c>
      <c r="U95" s="152"/>
      <c r="V95" s="152">
        <v>7.4899999999999994E-2</v>
      </c>
      <c r="W95" s="153">
        <v>434.4</v>
      </c>
      <c r="X95" s="103">
        <v>359.07</v>
      </c>
      <c r="Y95" s="103">
        <f t="shared" si="39"/>
        <v>0</v>
      </c>
      <c r="Z95" s="103">
        <v>32.5</v>
      </c>
      <c r="AA95" s="154">
        <v>0.8</v>
      </c>
      <c r="AB95" s="103">
        <v>95</v>
      </c>
      <c r="AC95" s="103">
        <f t="shared" si="40"/>
        <v>-1239.34656</v>
      </c>
      <c r="AD95" s="103">
        <f t="shared" si="41"/>
        <v>0</v>
      </c>
    </row>
    <row r="96" spans="1:30">
      <c r="A96" s="101" t="s">
        <v>191</v>
      </c>
      <c r="B96" s="101" t="s">
        <v>366</v>
      </c>
      <c r="C96" s="112">
        <v>0</v>
      </c>
      <c r="D96" s="103">
        <v>0</v>
      </c>
      <c r="E96" s="155"/>
      <c r="F96" s="128"/>
      <c r="G96" s="103"/>
      <c r="H96" s="103"/>
      <c r="I96" s="103"/>
      <c r="J96" s="103"/>
      <c r="K96" s="128"/>
      <c r="L96" s="103">
        <f t="shared" si="37"/>
        <v>0</v>
      </c>
      <c r="M96" s="103">
        <v>7</v>
      </c>
      <c r="N96" s="103">
        <v>689.44</v>
      </c>
      <c r="O96" s="103"/>
      <c r="P96" s="103"/>
      <c r="Q96" s="103">
        <v>0</v>
      </c>
      <c r="R96" s="103"/>
      <c r="S96" s="103"/>
      <c r="T96" s="103">
        <f t="shared" si="38"/>
        <v>0</v>
      </c>
      <c r="U96" s="152"/>
      <c r="V96" s="152">
        <v>7.4899999999999994E-2</v>
      </c>
      <c r="W96" s="153"/>
      <c r="X96" s="103">
        <v>359.07</v>
      </c>
      <c r="Y96" s="103">
        <f t="shared" si="39"/>
        <v>0</v>
      </c>
      <c r="Z96" s="103">
        <v>40</v>
      </c>
      <c r="AA96" s="154">
        <v>0.8</v>
      </c>
      <c r="AB96" s="103">
        <v>95</v>
      </c>
      <c r="AC96" s="103">
        <f t="shared" si="40"/>
        <v>-1190.51</v>
      </c>
      <c r="AD96" s="103">
        <f t="shared" si="41"/>
        <v>0</v>
      </c>
    </row>
    <row r="97" spans="1:30">
      <c r="A97" s="101"/>
      <c r="B97" s="101">
        <v>352375</v>
      </c>
      <c r="C97" s="112">
        <v>0</v>
      </c>
      <c r="D97" s="103">
        <v>0</v>
      </c>
      <c r="E97" s="151"/>
      <c r="F97" s="128"/>
      <c r="G97" s="103"/>
      <c r="H97" s="103"/>
      <c r="I97" s="103"/>
      <c r="J97" s="103"/>
      <c r="K97" s="128"/>
      <c r="L97" s="103">
        <f t="shared" si="37"/>
        <v>0</v>
      </c>
      <c r="M97" s="103">
        <v>7</v>
      </c>
      <c r="N97" s="103">
        <v>689.44</v>
      </c>
      <c r="O97" s="103"/>
      <c r="P97" s="103"/>
      <c r="Q97" s="103">
        <v>0</v>
      </c>
      <c r="R97" s="103"/>
      <c r="S97" s="103"/>
      <c r="T97" s="103">
        <f t="shared" si="38"/>
        <v>0</v>
      </c>
      <c r="U97" s="152"/>
      <c r="V97" s="152">
        <v>7.4899999999999994E-2</v>
      </c>
      <c r="W97" s="153"/>
      <c r="X97" s="103">
        <v>359.07</v>
      </c>
      <c r="Y97" s="103">
        <f t="shared" si="39"/>
        <v>0</v>
      </c>
      <c r="Z97" s="103">
        <v>32.5</v>
      </c>
      <c r="AA97" s="154"/>
      <c r="AB97" s="103">
        <v>95</v>
      </c>
      <c r="AC97" s="103">
        <f t="shared" si="40"/>
        <v>-1183.01</v>
      </c>
      <c r="AD97" s="103">
        <f t="shared" si="41"/>
        <v>0</v>
      </c>
    </row>
    <row r="98" spans="1:30">
      <c r="A98" s="101" t="s">
        <v>62</v>
      </c>
      <c r="B98" s="101">
        <v>352376</v>
      </c>
      <c r="C98" s="112">
        <v>0</v>
      </c>
      <c r="D98" s="103">
        <v>0</v>
      </c>
      <c r="E98" s="155"/>
      <c r="F98" s="128"/>
      <c r="G98" s="103"/>
      <c r="H98" s="103"/>
      <c r="I98" s="103"/>
      <c r="J98" s="103"/>
      <c r="K98" s="128"/>
      <c r="L98" s="103">
        <f t="shared" si="37"/>
        <v>0</v>
      </c>
      <c r="M98" s="103">
        <v>7</v>
      </c>
      <c r="N98" s="103">
        <v>689.44</v>
      </c>
      <c r="O98" s="103"/>
      <c r="P98" s="103"/>
      <c r="Q98" s="103">
        <v>0</v>
      </c>
      <c r="R98" s="103"/>
      <c r="S98" s="103"/>
      <c r="T98" s="103">
        <f t="shared" si="38"/>
        <v>0</v>
      </c>
      <c r="U98" s="152"/>
      <c r="V98" s="152">
        <v>7.4899999999999994E-2</v>
      </c>
      <c r="W98" s="153"/>
      <c r="X98" s="103">
        <v>359.07</v>
      </c>
      <c r="Y98" s="103">
        <f t="shared" si="39"/>
        <v>0</v>
      </c>
      <c r="Z98" s="103">
        <v>26.25</v>
      </c>
      <c r="AA98" s="154">
        <v>0.75</v>
      </c>
      <c r="AB98" s="103">
        <v>95</v>
      </c>
      <c r="AC98" s="103">
        <f t="shared" si="40"/>
        <v>-1176.76</v>
      </c>
      <c r="AD98" s="103">
        <f t="shared" si="41"/>
        <v>0</v>
      </c>
    </row>
    <row r="99" spans="1:30">
      <c r="A99" s="101"/>
      <c r="B99" s="101">
        <v>352377</v>
      </c>
      <c r="C99" s="112">
        <v>0</v>
      </c>
      <c r="D99" s="103">
        <v>0</v>
      </c>
      <c r="E99" s="151"/>
      <c r="F99" s="128"/>
      <c r="G99" s="103"/>
      <c r="H99" s="103"/>
      <c r="I99" s="103"/>
      <c r="J99" s="103"/>
      <c r="K99" s="128"/>
      <c r="L99" s="103">
        <f t="shared" si="37"/>
        <v>0</v>
      </c>
      <c r="M99" s="103">
        <v>7</v>
      </c>
      <c r="N99" s="103">
        <v>689.44</v>
      </c>
      <c r="O99" s="103"/>
      <c r="P99" s="103"/>
      <c r="Q99" s="103">
        <v>0</v>
      </c>
      <c r="R99" s="103"/>
      <c r="S99" s="103"/>
      <c r="T99" s="103">
        <f t="shared" si="38"/>
        <v>5.2429999999999991E-2</v>
      </c>
      <c r="U99" s="152"/>
      <c r="V99" s="152">
        <v>7.4899999999999994E-2</v>
      </c>
      <c r="W99" s="153">
        <v>0.7</v>
      </c>
      <c r="X99" s="103">
        <v>359.07</v>
      </c>
      <c r="Y99" s="103">
        <f t="shared" si="39"/>
        <v>0</v>
      </c>
      <c r="Z99" s="103"/>
      <c r="AA99" s="154">
        <v>0.7</v>
      </c>
      <c r="AB99" s="103">
        <v>95</v>
      </c>
      <c r="AC99" s="103">
        <f t="shared" si="40"/>
        <v>-1150.5624299999999</v>
      </c>
      <c r="AD99" s="103">
        <f t="shared" si="41"/>
        <v>0</v>
      </c>
    </row>
    <row r="100" spans="1:30">
      <c r="A100" s="101" t="s">
        <v>345</v>
      </c>
      <c r="B100" s="101">
        <v>359885</v>
      </c>
      <c r="C100" s="112">
        <v>0</v>
      </c>
      <c r="D100" s="103">
        <v>0</v>
      </c>
      <c r="E100" s="151"/>
      <c r="F100" s="128"/>
      <c r="G100" s="103"/>
      <c r="H100" s="103"/>
      <c r="I100" s="103"/>
      <c r="J100" s="103"/>
      <c r="K100" s="128"/>
      <c r="L100" s="103">
        <f t="shared" si="37"/>
        <v>0</v>
      </c>
      <c r="M100" s="103">
        <v>7</v>
      </c>
      <c r="N100" s="103">
        <v>689.44</v>
      </c>
      <c r="O100" s="103"/>
      <c r="P100" s="103"/>
      <c r="Q100" s="103">
        <v>0</v>
      </c>
      <c r="R100" s="103"/>
      <c r="S100" s="103"/>
      <c r="T100" s="103">
        <f t="shared" si="38"/>
        <v>0</v>
      </c>
      <c r="U100" s="152"/>
      <c r="V100" s="152">
        <v>7.4899999999999994E-2</v>
      </c>
      <c r="W100" s="153"/>
      <c r="X100" s="103">
        <v>359.07</v>
      </c>
      <c r="Y100" s="103">
        <f t="shared" si="39"/>
        <v>0</v>
      </c>
      <c r="Z100" s="103">
        <v>26.25</v>
      </c>
      <c r="AA100" s="154">
        <v>0.75</v>
      </c>
      <c r="AB100" s="103">
        <v>95</v>
      </c>
      <c r="AC100" s="103">
        <f t="shared" si="40"/>
        <v>-1176.76</v>
      </c>
      <c r="AD100" s="103">
        <f t="shared" si="41"/>
        <v>0</v>
      </c>
    </row>
    <row r="101" spans="1:30">
      <c r="A101" s="100"/>
      <c r="B101" s="101">
        <v>359886</v>
      </c>
      <c r="C101" s="112">
        <v>0</v>
      </c>
      <c r="D101" s="103">
        <v>0</v>
      </c>
      <c r="E101" s="151"/>
      <c r="F101" s="128"/>
      <c r="G101" s="103"/>
      <c r="H101" s="103"/>
      <c r="I101" s="103"/>
      <c r="J101" s="103"/>
      <c r="K101" s="128"/>
      <c r="L101" s="103">
        <f t="shared" si="37"/>
        <v>0</v>
      </c>
      <c r="M101" s="103">
        <v>7</v>
      </c>
      <c r="N101" s="103">
        <v>689.44</v>
      </c>
      <c r="O101" s="103"/>
      <c r="P101" s="103"/>
      <c r="Q101" s="103">
        <v>0</v>
      </c>
      <c r="R101" s="103"/>
      <c r="S101" s="103"/>
      <c r="T101" s="103">
        <f t="shared" si="38"/>
        <v>0.81640999999999997</v>
      </c>
      <c r="U101" s="152"/>
      <c r="V101" s="152">
        <v>7.4899999999999994E-2</v>
      </c>
      <c r="W101" s="153">
        <v>10.9</v>
      </c>
      <c r="X101" s="103">
        <v>359.07</v>
      </c>
      <c r="Y101" s="103">
        <f t="shared" si="39"/>
        <v>0</v>
      </c>
      <c r="Z101" s="103">
        <v>32.5</v>
      </c>
      <c r="AA101" s="154">
        <v>0.75</v>
      </c>
      <c r="AB101" s="103">
        <v>95</v>
      </c>
      <c r="AC101" s="103">
        <f t="shared" si="40"/>
        <v>-1183.8264099999999</v>
      </c>
      <c r="AD101" s="103">
        <f t="shared" si="41"/>
        <v>0</v>
      </c>
    </row>
    <row r="102" spans="1:30">
      <c r="A102" s="101" t="s">
        <v>319</v>
      </c>
      <c r="B102" s="101">
        <v>465180</v>
      </c>
      <c r="C102" s="112">
        <v>2</v>
      </c>
      <c r="D102" s="103">
        <v>1511</v>
      </c>
      <c r="E102" s="151">
        <v>728</v>
      </c>
      <c r="F102" s="128">
        <v>1163.5999999999999</v>
      </c>
      <c r="G102" s="103"/>
      <c r="H102" s="103"/>
      <c r="I102" s="103"/>
      <c r="J102" s="103"/>
      <c r="K102" s="128">
        <v>153.93</v>
      </c>
      <c r="L102" s="103">
        <f t="shared" si="37"/>
        <v>12.843500000000001</v>
      </c>
      <c r="M102" s="103">
        <v>7</v>
      </c>
      <c r="N102" s="103">
        <v>789.51</v>
      </c>
      <c r="O102" s="103"/>
      <c r="P102" s="103"/>
      <c r="Q102" s="103">
        <v>0</v>
      </c>
      <c r="R102" s="103"/>
      <c r="S102" s="103"/>
      <c r="T102" s="103">
        <f t="shared" si="38"/>
        <v>7.4300000000000008E-3</v>
      </c>
      <c r="U102" s="152"/>
      <c r="V102" s="152">
        <v>7.4300000000000005E-2</v>
      </c>
      <c r="W102" s="153">
        <v>0.1</v>
      </c>
      <c r="X102" s="103">
        <v>359.07</v>
      </c>
      <c r="Y102" s="103">
        <f t="shared" si="39"/>
        <v>72.8</v>
      </c>
      <c r="Z102" s="103">
        <v>26.25</v>
      </c>
      <c r="AA102" s="154">
        <v>0.75</v>
      </c>
      <c r="AB102" s="103">
        <v>95</v>
      </c>
      <c r="AC102" s="103">
        <f t="shared" si="40"/>
        <v>-1407.15093</v>
      </c>
      <c r="AD102" s="103">
        <f t="shared" si="41"/>
        <v>546</v>
      </c>
    </row>
    <row r="103" spans="1:30">
      <c r="A103" s="101" t="s">
        <v>322</v>
      </c>
      <c r="B103" s="101">
        <v>465181</v>
      </c>
      <c r="C103" s="117">
        <v>6</v>
      </c>
      <c r="D103" s="128">
        <v>5919</v>
      </c>
      <c r="E103" s="151">
        <v>1765</v>
      </c>
      <c r="F103" s="128">
        <v>2342.65</v>
      </c>
      <c r="G103" s="128"/>
      <c r="H103" s="128"/>
      <c r="I103" s="128"/>
      <c r="J103" s="156"/>
      <c r="K103" s="128">
        <v>463.32</v>
      </c>
      <c r="L103" s="103">
        <f t="shared" si="37"/>
        <v>50.311500000000002</v>
      </c>
      <c r="M103" s="103">
        <v>7</v>
      </c>
      <c r="N103" s="103">
        <v>789.51</v>
      </c>
      <c r="O103" s="103"/>
      <c r="P103" s="103"/>
      <c r="Q103" s="103">
        <v>0</v>
      </c>
      <c r="R103" s="103"/>
      <c r="S103" s="103"/>
      <c r="T103" s="103">
        <f t="shared" si="38"/>
        <v>254.59638000000001</v>
      </c>
      <c r="U103" s="152"/>
      <c r="V103" s="152">
        <v>7.4300000000000005E-2</v>
      </c>
      <c r="W103" s="153">
        <v>3426.6</v>
      </c>
      <c r="X103" s="103">
        <v>359.07</v>
      </c>
      <c r="Y103" s="103">
        <f t="shared" si="39"/>
        <v>176.5</v>
      </c>
      <c r="Z103" s="103">
        <v>26.25</v>
      </c>
      <c r="AA103" s="154">
        <v>0.8</v>
      </c>
      <c r="AB103" s="103">
        <v>95</v>
      </c>
      <c r="AC103" s="103">
        <f t="shared" si="40"/>
        <v>869.43211999999949</v>
      </c>
      <c r="AD103" s="103">
        <f t="shared" si="41"/>
        <v>1412</v>
      </c>
    </row>
    <row r="104" spans="1:30">
      <c r="A104" s="101" t="s">
        <v>358</v>
      </c>
      <c r="B104" s="101">
        <v>465182</v>
      </c>
      <c r="C104" s="112">
        <v>0</v>
      </c>
      <c r="D104" s="103">
        <v>0</v>
      </c>
      <c r="E104" s="151"/>
      <c r="F104" s="128">
        <v>121.45</v>
      </c>
      <c r="G104" s="128"/>
      <c r="H104" s="128"/>
      <c r="I104" s="128"/>
      <c r="J104" s="156"/>
      <c r="K104" s="128"/>
      <c r="L104" s="103">
        <f t="shared" si="37"/>
        <v>0</v>
      </c>
      <c r="M104" s="103">
        <v>7</v>
      </c>
      <c r="N104" s="103">
        <v>789.51</v>
      </c>
      <c r="O104" s="103"/>
      <c r="P104" s="103"/>
      <c r="Q104" s="103">
        <v>0</v>
      </c>
      <c r="R104" s="103"/>
      <c r="S104" s="103"/>
      <c r="T104" s="103">
        <f t="shared" si="38"/>
        <v>0</v>
      </c>
      <c r="U104" s="152"/>
      <c r="V104" s="152">
        <v>7.4300000000000005E-2</v>
      </c>
      <c r="W104" s="153"/>
      <c r="X104" s="103">
        <v>359.07</v>
      </c>
      <c r="Y104" s="103">
        <f t="shared" si="39"/>
        <v>0</v>
      </c>
      <c r="Z104" s="103">
        <v>26.25</v>
      </c>
      <c r="AA104" s="154">
        <v>0.75</v>
      </c>
      <c r="AB104" s="103">
        <v>95</v>
      </c>
      <c r="AC104" s="103">
        <f t="shared" si="40"/>
        <v>-1398.28</v>
      </c>
      <c r="AD104" s="103">
        <f t="shared" si="41"/>
        <v>0</v>
      </c>
    </row>
    <row r="105" spans="1:30">
      <c r="A105" s="101" t="s">
        <v>88</v>
      </c>
      <c r="B105" s="101">
        <v>465183</v>
      </c>
      <c r="C105" s="117">
        <v>0</v>
      </c>
      <c r="D105" s="103">
        <v>0</v>
      </c>
      <c r="E105" s="151"/>
      <c r="F105" s="128"/>
      <c r="G105" s="128"/>
      <c r="H105" s="128"/>
      <c r="I105" s="128"/>
      <c r="J105" s="156"/>
      <c r="K105" s="128"/>
      <c r="L105" s="103">
        <f t="shared" si="37"/>
        <v>0</v>
      </c>
      <c r="M105" s="103">
        <v>7</v>
      </c>
      <c r="N105" s="103">
        <v>789.51</v>
      </c>
      <c r="O105" s="103"/>
      <c r="P105" s="103"/>
      <c r="Q105" s="103">
        <v>0</v>
      </c>
      <c r="R105" s="103"/>
      <c r="S105" s="103"/>
      <c r="T105" s="103">
        <f t="shared" si="38"/>
        <v>2.2290000000000001E-2</v>
      </c>
      <c r="U105" s="152"/>
      <c r="V105" s="152">
        <v>7.4300000000000005E-2</v>
      </c>
      <c r="W105" s="153">
        <v>0.3</v>
      </c>
      <c r="X105" s="103">
        <v>359.07</v>
      </c>
      <c r="Y105" s="103">
        <f t="shared" si="39"/>
        <v>0</v>
      </c>
      <c r="Z105" s="103">
        <v>40</v>
      </c>
      <c r="AA105" s="154">
        <v>0.8</v>
      </c>
      <c r="AB105" s="103">
        <v>95</v>
      </c>
      <c r="AC105" s="103">
        <f t="shared" si="40"/>
        <v>-1290.60229</v>
      </c>
      <c r="AD105" s="103">
        <f t="shared" si="41"/>
        <v>0</v>
      </c>
    </row>
    <row r="106" spans="1:30">
      <c r="A106" s="100" t="s">
        <v>40</v>
      </c>
      <c r="B106" s="101">
        <v>465184</v>
      </c>
      <c r="C106" s="117">
        <v>0</v>
      </c>
      <c r="D106" s="103">
        <v>0</v>
      </c>
      <c r="E106" s="151"/>
      <c r="F106" s="128"/>
      <c r="G106" s="128"/>
      <c r="H106" s="128"/>
      <c r="I106" s="128"/>
      <c r="J106" s="156"/>
      <c r="K106" s="128"/>
      <c r="L106" s="103">
        <f t="shared" si="37"/>
        <v>0</v>
      </c>
      <c r="M106" s="103">
        <v>7</v>
      </c>
      <c r="N106" s="103">
        <v>789.51</v>
      </c>
      <c r="O106" s="103"/>
      <c r="P106" s="103"/>
      <c r="Q106" s="103">
        <v>0</v>
      </c>
      <c r="R106" s="103"/>
      <c r="S106" s="103"/>
      <c r="T106" s="103">
        <f t="shared" si="38"/>
        <v>3.7150000000000003</v>
      </c>
      <c r="U106" s="152"/>
      <c r="V106" s="152">
        <v>7.4300000000000005E-2</v>
      </c>
      <c r="W106" s="153">
        <v>50</v>
      </c>
      <c r="X106" s="103">
        <v>359.07</v>
      </c>
      <c r="Y106" s="103">
        <f t="shared" si="39"/>
        <v>0</v>
      </c>
      <c r="Z106" s="103">
        <v>26.25</v>
      </c>
      <c r="AA106" s="154">
        <v>0.8</v>
      </c>
      <c r="AB106" s="103">
        <v>95</v>
      </c>
      <c r="AC106" s="103">
        <f t="shared" si="40"/>
        <v>-1280.5449999999998</v>
      </c>
      <c r="AD106" s="103">
        <f t="shared" si="41"/>
        <v>0</v>
      </c>
    </row>
    <row r="107" spans="1:30">
      <c r="A107" s="101" t="s">
        <v>75</v>
      </c>
      <c r="B107" s="101">
        <v>465185</v>
      </c>
      <c r="C107" s="117">
        <v>0</v>
      </c>
      <c r="D107" s="103">
        <v>0</v>
      </c>
      <c r="E107" s="151"/>
      <c r="F107" s="128"/>
      <c r="G107" s="128"/>
      <c r="H107" s="128"/>
      <c r="I107" s="128"/>
      <c r="J107" s="156"/>
      <c r="K107" s="128"/>
      <c r="L107" s="103">
        <f t="shared" si="37"/>
        <v>0</v>
      </c>
      <c r="M107" s="103">
        <v>7</v>
      </c>
      <c r="N107" s="103">
        <v>789.51</v>
      </c>
      <c r="O107" s="103"/>
      <c r="P107" s="103"/>
      <c r="Q107" s="103">
        <v>0</v>
      </c>
      <c r="R107" s="103"/>
      <c r="S107" s="103"/>
      <c r="T107" s="103">
        <f t="shared" si="38"/>
        <v>0</v>
      </c>
      <c r="U107" s="152"/>
      <c r="V107" s="152">
        <v>7.4300000000000005E-2</v>
      </c>
      <c r="W107" s="153"/>
      <c r="X107" s="103">
        <v>359.07</v>
      </c>
      <c r="Y107" s="103">
        <f t="shared" si="39"/>
        <v>0</v>
      </c>
      <c r="Z107" s="103">
        <v>40</v>
      </c>
      <c r="AA107" s="154">
        <v>0.8</v>
      </c>
      <c r="AB107" s="103">
        <v>95</v>
      </c>
      <c r="AC107" s="103">
        <f t="shared" si="40"/>
        <v>-1290.58</v>
      </c>
      <c r="AD107" s="103">
        <f t="shared" si="41"/>
        <v>0</v>
      </c>
    </row>
    <row r="108" spans="1:30">
      <c r="A108" s="101" t="s">
        <v>386</v>
      </c>
      <c r="B108" s="101">
        <v>465186</v>
      </c>
      <c r="C108" s="112">
        <v>5</v>
      </c>
      <c r="D108" s="103">
        <v>5235</v>
      </c>
      <c r="E108" s="151">
        <v>1836</v>
      </c>
      <c r="F108" s="128">
        <v>2252.69</v>
      </c>
      <c r="G108" s="128">
        <v>22.05</v>
      </c>
      <c r="H108" s="128"/>
      <c r="I108" s="128"/>
      <c r="J108" s="156"/>
      <c r="K108" s="128">
        <v>76.09</v>
      </c>
      <c r="L108" s="103">
        <f t="shared" si="37"/>
        <v>44.497500000000002</v>
      </c>
      <c r="M108" s="103">
        <v>7</v>
      </c>
      <c r="N108" s="103">
        <v>789.51</v>
      </c>
      <c r="O108" s="103"/>
      <c r="P108" s="103"/>
      <c r="Q108" s="103">
        <v>0</v>
      </c>
      <c r="R108" s="103"/>
      <c r="S108" s="103"/>
      <c r="T108" s="103">
        <f t="shared" si="38"/>
        <v>222.58051</v>
      </c>
      <c r="U108" s="152"/>
      <c r="V108" s="152">
        <v>7.4300000000000005E-2</v>
      </c>
      <c r="W108" s="153">
        <v>2995.7</v>
      </c>
      <c r="X108" s="103">
        <v>359.07</v>
      </c>
      <c r="Y108" s="103">
        <f t="shared" si="39"/>
        <v>183.60000000000002</v>
      </c>
      <c r="Z108" s="103"/>
      <c r="AA108" s="154"/>
      <c r="AB108" s="103">
        <v>95</v>
      </c>
      <c r="AC108" s="103">
        <f t="shared" si="40"/>
        <v>1335.0919899999997</v>
      </c>
      <c r="AD108" s="103">
        <f t="shared" si="41"/>
        <v>0</v>
      </c>
    </row>
    <row r="109" spans="1:30">
      <c r="A109" s="101" t="s">
        <v>192</v>
      </c>
      <c r="B109" s="101">
        <v>465187</v>
      </c>
      <c r="C109" s="117">
        <v>0</v>
      </c>
      <c r="D109" s="103">
        <v>0</v>
      </c>
      <c r="E109" s="151"/>
      <c r="F109" s="128"/>
      <c r="G109" s="128"/>
      <c r="H109" s="128"/>
      <c r="I109" s="128"/>
      <c r="J109" s="156"/>
      <c r="K109" s="128"/>
      <c r="L109" s="103">
        <f t="shared" si="37"/>
        <v>0</v>
      </c>
      <c r="M109" s="103">
        <v>7</v>
      </c>
      <c r="N109" s="103">
        <v>789.51</v>
      </c>
      <c r="O109" s="103"/>
      <c r="P109" s="103"/>
      <c r="Q109" s="103">
        <v>0</v>
      </c>
      <c r="R109" s="103"/>
      <c r="S109" s="103"/>
      <c r="T109" s="103">
        <f t="shared" si="38"/>
        <v>2.2290000000000001E-2</v>
      </c>
      <c r="U109" s="152"/>
      <c r="V109" s="152">
        <v>7.4300000000000005E-2</v>
      </c>
      <c r="W109" s="153">
        <v>0.3</v>
      </c>
      <c r="X109" s="103">
        <v>359.07</v>
      </c>
      <c r="Y109" s="103">
        <f t="shared" si="39"/>
        <v>0</v>
      </c>
      <c r="Z109" s="103">
        <v>40</v>
      </c>
      <c r="AA109" s="154">
        <v>0.8</v>
      </c>
      <c r="AB109" s="103">
        <v>95</v>
      </c>
      <c r="AC109" s="103">
        <f>D109-F109-G109-Z109-Y109-X109-N109-AD109+K109-AB109-I103-T109-M109-L109</f>
        <v>-1290.60229</v>
      </c>
      <c r="AD109" s="103">
        <f t="shared" si="41"/>
        <v>0</v>
      </c>
    </row>
    <row r="110" spans="1:30">
      <c r="A110" s="101" t="s">
        <v>14</v>
      </c>
      <c r="B110" s="101">
        <v>465188</v>
      </c>
      <c r="C110" s="117">
        <v>2</v>
      </c>
      <c r="D110" s="128">
        <v>950</v>
      </c>
      <c r="E110" s="151">
        <v>290</v>
      </c>
      <c r="F110" s="128">
        <v>798.74</v>
      </c>
      <c r="G110" s="128">
        <v>18.98</v>
      </c>
      <c r="H110" s="128"/>
      <c r="I110" s="128"/>
      <c r="J110" s="156"/>
      <c r="K110" s="128">
        <v>68.91</v>
      </c>
      <c r="L110" s="103">
        <f t="shared" si="37"/>
        <v>8.0750000000000011</v>
      </c>
      <c r="M110" s="103">
        <v>7</v>
      </c>
      <c r="N110" s="103">
        <v>789.51</v>
      </c>
      <c r="O110" s="103"/>
      <c r="P110" s="103"/>
      <c r="Q110" s="103">
        <v>0</v>
      </c>
      <c r="R110" s="103"/>
      <c r="S110" s="103"/>
      <c r="T110" s="103">
        <f t="shared" si="38"/>
        <v>75.786000000000001</v>
      </c>
      <c r="U110" s="152"/>
      <c r="V110" s="152">
        <v>7.4300000000000005E-2</v>
      </c>
      <c r="W110" s="153">
        <v>1020</v>
      </c>
      <c r="X110" s="103">
        <v>359.07</v>
      </c>
      <c r="Y110" s="103">
        <f t="shared" si="39"/>
        <v>29</v>
      </c>
      <c r="Z110" s="103">
        <v>32.5</v>
      </c>
      <c r="AA110" s="154">
        <v>0.8</v>
      </c>
      <c r="AB110" s="103">
        <v>95</v>
      </c>
      <c r="AC110" s="103">
        <f t="shared" ref="AC110:AC111" si="42">D110-F110-G110-Z110-Y110-X110-N110-AD110+K110-AB110-I110-T110-M110-L110</f>
        <v>-1426.751</v>
      </c>
      <c r="AD110" s="103">
        <f t="shared" si="41"/>
        <v>232</v>
      </c>
    </row>
    <row r="111" spans="1:30">
      <c r="A111" s="101"/>
      <c r="B111" s="101">
        <v>465189</v>
      </c>
      <c r="C111" s="112">
        <v>0</v>
      </c>
      <c r="D111" s="103">
        <v>0</v>
      </c>
      <c r="E111" s="157"/>
      <c r="F111" s="128"/>
      <c r="G111" s="128"/>
      <c r="H111" s="128"/>
      <c r="I111" s="128"/>
      <c r="J111" s="156"/>
      <c r="K111" s="128"/>
      <c r="L111" s="103">
        <f t="shared" si="37"/>
        <v>0</v>
      </c>
      <c r="M111" s="103">
        <v>7</v>
      </c>
      <c r="N111" s="103">
        <v>789.51</v>
      </c>
      <c r="O111" s="103"/>
      <c r="P111" s="103"/>
      <c r="Q111" s="103">
        <v>0</v>
      </c>
      <c r="R111" s="103"/>
      <c r="S111" s="103"/>
      <c r="T111" s="103">
        <f t="shared" si="38"/>
        <v>0.32692000000000004</v>
      </c>
      <c r="U111" s="152"/>
      <c r="V111" s="152">
        <v>7.4300000000000005E-2</v>
      </c>
      <c r="W111" s="153">
        <v>4.4000000000000004</v>
      </c>
      <c r="X111" s="103">
        <v>359.07</v>
      </c>
      <c r="Y111" s="103">
        <f t="shared" si="39"/>
        <v>0</v>
      </c>
      <c r="Z111" s="103">
        <v>32.5</v>
      </c>
      <c r="AA111" s="154">
        <v>0.75</v>
      </c>
      <c r="AB111" s="103">
        <v>95</v>
      </c>
      <c r="AC111" s="103">
        <f t="shared" si="42"/>
        <v>-1283.4069199999999</v>
      </c>
      <c r="AD111" s="103">
        <f t="shared" si="41"/>
        <v>0</v>
      </c>
    </row>
    <row r="112" spans="1:30">
      <c r="A112" s="134" t="s">
        <v>359</v>
      </c>
      <c r="B112" s="135" t="s">
        <v>360</v>
      </c>
      <c r="C112" s="136">
        <v>7</v>
      </c>
      <c r="D112" s="139">
        <v>11710</v>
      </c>
      <c r="E112" s="158">
        <v>4498</v>
      </c>
      <c r="F112" s="139">
        <v>1957.27</v>
      </c>
      <c r="G112" s="139">
        <v>225.6</v>
      </c>
      <c r="H112" s="139"/>
      <c r="I112" s="139"/>
      <c r="J112" s="139"/>
      <c r="K112" s="139">
        <v>41.21</v>
      </c>
      <c r="L112" s="139">
        <f t="shared" si="37"/>
        <v>99.535000000000011</v>
      </c>
      <c r="M112" s="139">
        <v>0</v>
      </c>
      <c r="N112" s="139">
        <v>0</v>
      </c>
      <c r="O112" s="139">
        <v>50</v>
      </c>
      <c r="P112" s="139"/>
      <c r="Q112" s="139">
        <v>199</v>
      </c>
      <c r="R112" s="139">
        <v>30</v>
      </c>
      <c r="S112" s="139">
        <v>300</v>
      </c>
      <c r="T112" s="139">
        <v>0</v>
      </c>
      <c r="U112" s="159"/>
      <c r="V112" s="159">
        <v>0</v>
      </c>
      <c r="W112" s="136">
        <v>3099.1</v>
      </c>
      <c r="X112" s="139">
        <v>0</v>
      </c>
      <c r="Y112" s="139">
        <f t="shared" si="39"/>
        <v>449.8</v>
      </c>
      <c r="Z112" s="139"/>
      <c r="AA112" s="160">
        <v>0.87</v>
      </c>
      <c r="AB112" s="139">
        <v>95</v>
      </c>
      <c r="AC112" s="139">
        <f>D112*0.13+S112+R112+Q112+O112-Y112-L112</f>
        <v>1551.9650000000001</v>
      </c>
      <c r="AD112" s="139">
        <f t="shared" ref="AD112:AD113" si="43">D112*0.87-F112-G112-O112-Q112-R112-S112</f>
        <v>7425.83</v>
      </c>
    </row>
    <row r="113" spans="1:30">
      <c r="A113" s="134" t="s">
        <v>387</v>
      </c>
      <c r="B113" s="135" t="s">
        <v>362</v>
      </c>
      <c r="C113" s="136">
        <v>4</v>
      </c>
      <c r="D113" s="139">
        <v>5250</v>
      </c>
      <c r="E113" s="158">
        <v>1899</v>
      </c>
      <c r="F113" s="139">
        <v>1890</v>
      </c>
      <c r="G113" s="139">
        <v>18.05</v>
      </c>
      <c r="H113" s="139"/>
      <c r="I113" s="139"/>
      <c r="J113" s="139"/>
      <c r="K113" s="139">
        <v>245.7</v>
      </c>
      <c r="L113" s="139">
        <f t="shared" si="37"/>
        <v>44.625</v>
      </c>
      <c r="M113" s="139">
        <v>7</v>
      </c>
      <c r="N113" s="139">
        <v>0</v>
      </c>
      <c r="O113" s="139">
        <v>50</v>
      </c>
      <c r="P113" s="139"/>
      <c r="Q113" s="139">
        <v>199</v>
      </c>
      <c r="R113" s="139">
        <v>30</v>
      </c>
      <c r="S113" s="139">
        <v>300</v>
      </c>
      <c r="T113" s="139">
        <v>0</v>
      </c>
      <c r="U113" s="159"/>
      <c r="V113" s="159">
        <v>0</v>
      </c>
      <c r="W113" s="136">
        <v>2288.1999999999998</v>
      </c>
      <c r="X113" s="139">
        <v>0</v>
      </c>
      <c r="Y113" s="139">
        <f t="shared" si="39"/>
        <v>189.9</v>
      </c>
      <c r="Z113" s="139"/>
      <c r="AA113" s="160">
        <v>0.87</v>
      </c>
      <c r="AB113" s="139">
        <v>95</v>
      </c>
      <c r="AC113" s="139">
        <f>D113*0.13+S113-Y113-L113</f>
        <v>747.97500000000002</v>
      </c>
      <c r="AD113" s="139">
        <f t="shared" si="43"/>
        <v>2080.4499999999998</v>
      </c>
    </row>
    <row r="114" spans="1:30">
      <c r="A114" s="134" t="s">
        <v>363</v>
      </c>
      <c r="B114" s="134">
        <v>1118</v>
      </c>
      <c r="C114" s="136">
        <v>4</v>
      </c>
      <c r="D114" s="139">
        <v>5700</v>
      </c>
      <c r="E114" s="158">
        <v>2035</v>
      </c>
      <c r="F114" s="139">
        <v>1483.38</v>
      </c>
      <c r="G114" s="139"/>
      <c r="H114" s="139"/>
      <c r="I114" s="139"/>
      <c r="J114" s="139"/>
      <c r="K114" s="139">
        <v>33.61</v>
      </c>
      <c r="L114" s="139">
        <f t="shared" si="37"/>
        <v>48.45</v>
      </c>
      <c r="M114" s="139">
        <v>0</v>
      </c>
      <c r="N114" s="139">
        <v>0</v>
      </c>
      <c r="O114" s="139">
        <v>0</v>
      </c>
      <c r="P114" s="139"/>
      <c r="Q114" s="139">
        <v>0</v>
      </c>
      <c r="R114" s="139">
        <v>0</v>
      </c>
      <c r="S114" s="139">
        <v>0</v>
      </c>
      <c r="T114" s="139">
        <v>0</v>
      </c>
      <c r="U114" s="159"/>
      <c r="V114" s="159">
        <v>0</v>
      </c>
      <c r="W114" s="136">
        <v>2282</v>
      </c>
      <c r="X114" s="139">
        <v>0</v>
      </c>
      <c r="Y114" s="139">
        <f t="shared" si="39"/>
        <v>203.5</v>
      </c>
      <c r="Z114" s="139"/>
      <c r="AA114" s="160">
        <v>0.8</v>
      </c>
      <c r="AB114" s="139">
        <v>95</v>
      </c>
      <c r="AC114" s="139">
        <f>D114*0.2-Y114-L114-I114-AB114</f>
        <v>793.05</v>
      </c>
      <c r="AD114" s="139">
        <f>D114*AA114-F114-G114</f>
        <v>3076.62</v>
      </c>
    </row>
    <row r="115" spans="1:30">
      <c r="A115" s="134" t="s">
        <v>368</v>
      </c>
      <c r="B115" s="134" t="s">
        <v>369</v>
      </c>
      <c r="C115" s="136">
        <v>7</v>
      </c>
      <c r="D115" s="139">
        <v>8900</v>
      </c>
      <c r="E115" s="158">
        <v>2610</v>
      </c>
      <c r="F115" s="139">
        <v>2171.92</v>
      </c>
      <c r="G115" s="139">
        <v>151.13</v>
      </c>
      <c r="H115" s="139"/>
      <c r="I115" s="139"/>
      <c r="J115" s="139"/>
      <c r="K115" s="139">
        <v>128.44999999999999</v>
      </c>
      <c r="L115" s="139">
        <f t="shared" si="37"/>
        <v>75.650000000000006</v>
      </c>
      <c r="M115" s="139">
        <v>7</v>
      </c>
      <c r="N115" s="139">
        <v>0</v>
      </c>
      <c r="O115" s="139">
        <v>50</v>
      </c>
      <c r="P115" s="139"/>
      <c r="Q115" s="139">
        <v>199</v>
      </c>
      <c r="R115" s="139">
        <v>30</v>
      </c>
      <c r="S115" s="139">
        <v>300</v>
      </c>
      <c r="T115" s="139">
        <v>0</v>
      </c>
      <c r="U115" s="159"/>
      <c r="V115" s="159">
        <v>0</v>
      </c>
      <c r="W115" s="136">
        <v>2923.6</v>
      </c>
      <c r="X115" s="139">
        <v>0</v>
      </c>
      <c r="Y115" s="139">
        <f t="shared" si="39"/>
        <v>261</v>
      </c>
      <c r="Z115" s="139"/>
      <c r="AA115" s="160">
        <v>0.89</v>
      </c>
      <c r="AB115" s="139">
        <v>95</v>
      </c>
      <c r="AC115" s="139">
        <f>D115*0.11-AB115-Y115+S115+R115+Q115+O115</f>
        <v>1202</v>
      </c>
      <c r="AD115" s="139">
        <f>D115*AA115-F115-G115-O115-Q115-R115-S115</f>
        <v>5018.95</v>
      </c>
    </row>
    <row r="116" spans="1:30">
      <c r="A116" s="134" t="s">
        <v>364</v>
      </c>
      <c r="B116" s="134">
        <v>2013</v>
      </c>
      <c r="C116" s="136">
        <v>0</v>
      </c>
      <c r="D116" s="139">
        <v>0</v>
      </c>
      <c r="E116" s="158"/>
      <c r="F116" s="139"/>
      <c r="G116" s="139"/>
      <c r="H116" s="139"/>
      <c r="I116" s="139"/>
      <c r="J116" s="139"/>
      <c r="K116" s="139"/>
      <c r="L116" s="139">
        <f t="shared" si="37"/>
        <v>0</v>
      </c>
      <c r="M116" s="139">
        <v>0</v>
      </c>
      <c r="N116" s="139">
        <v>0</v>
      </c>
      <c r="O116" s="139">
        <v>50</v>
      </c>
      <c r="P116" s="139"/>
      <c r="Q116" s="139">
        <v>199</v>
      </c>
      <c r="R116" s="139">
        <v>30</v>
      </c>
      <c r="S116" s="139">
        <v>300</v>
      </c>
      <c r="T116" s="139">
        <v>0</v>
      </c>
      <c r="U116" s="159"/>
      <c r="V116" s="159">
        <v>0</v>
      </c>
      <c r="W116" s="136">
        <v>122.4</v>
      </c>
      <c r="X116" s="139">
        <v>0</v>
      </c>
      <c r="Y116" s="139">
        <f t="shared" si="39"/>
        <v>0</v>
      </c>
      <c r="Z116" s="139"/>
      <c r="AA116" s="160">
        <v>0.87</v>
      </c>
      <c r="AB116" s="139">
        <v>95</v>
      </c>
      <c r="AC116" s="139">
        <f t="shared" ref="AC116:AC117" si="44">D116*0.13-Y116-L116-I116</f>
        <v>0</v>
      </c>
      <c r="AD116" s="139">
        <f t="shared" ref="AD116:AD117" si="45">D116*AA116-F116-G116-S116-R116-Q116-O116</f>
        <v>-579</v>
      </c>
    </row>
    <row r="117" spans="1:30">
      <c r="A117" s="134" t="s">
        <v>370</v>
      </c>
      <c r="B117" s="134">
        <v>1</v>
      </c>
      <c r="C117" s="136">
        <v>0</v>
      </c>
      <c r="D117" s="139">
        <v>0</v>
      </c>
      <c r="E117" s="158"/>
      <c r="F117" s="139">
        <v>496.34</v>
      </c>
      <c r="G117" s="139"/>
      <c r="H117" s="139"/>
      <c r="I117" s="139"/>
      <c r="J117" s="139"/>
      <c r="K117" s="139">
        <v>10.130000000000001</v>
      </c>
      <c r="L117" s="139">
        <f t="shared" si="37"/>
        <v>0</v>
      </c>
      <c r="M117" s="139">
        <v>7</v>
      </c>
      <c r="N117" s="139">
        <v>0</v>
      </c>
      <c r="O117" s="139">
        <v>0</v>
      </c>
      <c r="P117" s="139"/>
      <c r="Q117" s="139">
        <v>0</v>
      </c>
      <c r="R117" s="139">
        <v>0</v>
      </c>
      <c r="S117" s="139">
        <v>0</v>
      </c>
      <c r="T117" s="139">
        <v>0</v>
      </c>
      <c r="U117" s="159"/>
      <c r="V117" s="159">
        <v>0</v>
      </c>
      <c r="W117" s="136">
        <v>195.5</v>
      </c>
      <c r="X117" s="139">
        <v>0</v>
      </c>
      <c r="Y117" s="139">
        <f t="shared" si="39"/>
        <v>0</v>
      </c>
      <c r="Z117" s="139"/>
      <c r="AA117" s="160">
        <v>0.8</v>
      </c>
      <c r="AB117" s="139">
        <v>95</v>
      </c>
      <c r="AC117" s="139">
        <f t="shared" si="44"/>
        <v>0</v>
      </c>
      <c r="AD117" s="139">
        <f t="shared" si="45"/>
        <v>-496.34</v>
      </c>
    </row>
    <row r="118" spans="1:30">
      <c r="A118" s="71" t="s">
        <v>89</v>
      </c>
      <c r="B118" s="72">
        <v>26</v>
      </c>
      <c r="C118" s="161">
        <f>AVERAGE(C92:C111)</f>
        <v>1.0526315789473684</v>
      </c>
      <c r="D118" s="162">
        <f t="shared" ref="D118:G118" si="46">SUM(D92:D117)</f>
        <v>51025</v>
      </c>
      <c r="E118" s="163">
        <f t="shared" si="46"/>
        <v>17875</v>
      </c>
      <c r="F118" s="162">
        <f t="shared" si="46"/>
        <v>17386.149999999998</v>
      </c>
      <c r="G118" s="162">
        <f t="shared" si="46"/>
        <v>830.77</v>
      </c>
      <c r="H118" s="162"/>
      <c r="I118" s="162">
        <f t="shared" ref="I118:O118" si="47">SUM(I92:I117)</f>
        <v>0</v>
      </c>
      <c r="J118" s="162">
        <f t="shared" si="47"/>
        <v>0</v>
      </c>
      <c r="K118" s="162">
        <f t="shared" si="47"/>
        <v>1685.93</v>
      </c>
      <c r="L118" s="162">
        <f t="shared" si="47"/>
        <v>433.71249999999998</v>
      </c>
      <c r="M118" s="162">
        <f t="shared" si="47"/>
        <v>161</v>
      </c>
      <c r="N118" s="162">
        <f t="shared" si="47"/>
        <v>14789.500000000004</v>
      </c>
      <c r="O118" s="162">
        <f t="shared" si="47"/>
        <v>200</v>
      </c>
      <c r="P118" s="162"/>
      <c r="Q118" s="162">
        <f t="shared" ref="Q118:T118" si="48">SUM(Q92:Q117)</f>
        <v>796</v>
      </c>
      <c r="R118" s="162">
        <f t="shared" si="48"/>
        <v>120</v>
      </c>
      <c r="S118" s="162">
        <f t="shared" si="48"/>
        <v>1200</v>
      </c>
      <c r="T118" s="162">
        <f t="shared" si="48"/>
        <v>800.78890999999999</v>
      </c>
      <c r="U118" s="164"/>
      <c r="V118" s="164">
        <f>AVERAGE(V92:V117)</f>
        <v>5.7384615384615381E-2</v>
      </c>
      <c r="W118" s="165">
        <f>SUM(W91:W117)</f>
        <v>21662.3</v>
      </c>
      <c r="X118" s="162">
        <f t="shared" ref="X118:Z118" si="49">SUM(X92:X117)</f>
        <v>7181.3999999999987</v>
      </c>
      <c r="Y118" s="162">
        <f t="shared" si="49"/>
        <v>1787.5</v>
      </c>
      <c r="Z118" s="162">
        <f t="shared" si="49"/>
        <v>545</v>
      </c>
      <c r="AA118" s="161">
        <f>AVERAGE(AA92:AA117)</f>
        <v>0.79347826086956541</v>
      </c>
      <c r="AB118" s="166">
        <f t="shared" ref="AB118:AD118" si="50">SUM(AB92:AB117)</f>
        <v>2470</v>
      </c>
      <c r="AC118" s="162">
        <f t="shared" si="50"/>
        <v>-14892.351410000007</v>
      </c>
      <c r="AD118" s="162">
        <f t="shared" si="50"/>
        <v>20377.009999999998</v>
      </c>
    </row>
  </sheetData>
  <mergeCells count="4">
    <mergeCell ref="A1:Z1"/>
    <mergeCell ref="A27:Z27"/>
    <mergeCell ref="A58:Z58"/>
    <mergeCell ref="A90:Z9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April 2022</vt:lpstr>
      <vt:lpstr>May 2022</vt:lpstr>
      <vt:lpstr>June 2022</vt:lpstr>
      <vt:lpstr>July 2022</vt:lpstr>
      <vt:lpstr>August 2022</vt:lpstr>
      <vt:lpstr>September 2022</vt:lpstr>
      <vt:lpstr>October 2022</vt:lpstr>
      <vt:lpstr>November 2022</vt:lpstr>
      <vt:lpstr>December 2022</vt:lpstr>
      <vt:lpstr>January 2023</vt:lpstr>
      <vt:lpstr>February 2023</vt:lpstr>
      <vt:lpstr>March 2023</vt:lpstr>
      <vt:lpstr>April 2023</vt:lpstr>
      <vt:lpstr>May 2023</vt:lpstr>
      <vt:lpstr>June 2023</vt:lpstr>
      <vt:lpstr>July 2023</vt:lpstr>
      <vt:lpstr>August 2023</vt:lpstr>
      <vt:lpstr>September 2023</vt:lpstr>
      <vt:lpstr>MAINTENANCE CHARGES</vt:lpstr>
      <vt:lpstr>FUEL AND DISCOUNTS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2023-09-10T15:03:15Z</dcterms:modified>
</cp:coreProperties>
</file>