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 2023" sheetId="1" r:id="rId4"/>
    <sheet state="visible" name="December 2023" sheetId="2" r:id="rId5"/>
    <sheet state="visible" name="January 2024" sheetId="3" r:id="rId6"/>
    <sheet state="visible" name="Other Expenses" sheetId="4" r:id="rId7"/>
  </sheets>
  <definedNames/>
  <calcPr/>
</workbook>
</file>

<file path=xl/sharedStrings.xml><?xml version="1.0" encoding="utf-8"?>
<sst xmlns="http://schemas.openxmlformats.org/spreadsheetml/2006/main" count="608" uniqueCount="137">
  <si>
    <t>From November 5 to November 11</t>
  </si>
  <si>
    <t>Driver(s)</t>
  </si>
  <si>
    <t>Unit</t>
  </si>
  <si>
    <t>Days worked</t>
  </si>
  <si>
    <t>P/M</t>
  </si>
  <si>
    <t>Gross</t>
  </si>
  <si>
    <t>All Miles</t>
  </si>
  <si>
    <t>Loaded</t>
  </si>
  <si>
    <t>Empty</t>
  </si>
  <si>
    <t>Fuel</t>
  </si>
  <si>
    <t>Tolls</t>
  </si>
  <si>
    <t xml:space="preserve">Layover </t>
  </si>
  <si>
    <t>Detention</t>
  </si>
  <si>
    <t>Factoring fee 1%</t>
  </si>
  <si>
    <t>Dispatch Fee 3%</t>
  </si>
  <si>
    <t>Accounting</t>
  </si>
  <si>
    <t>Safety</t>
  </si>
  <si>
    <t>Mobile Expenses</t>
  </si>
  <si>
    <t>Truck Payment</t>
  </si>
  <si>
    <t>IFTA Permits</t>
  </si>
  <si>
    <t>ELD</t>
  </si>
  <si>
    <t>ELD for company</t>
  </si>
  <si>
    <t>Administration Fee</t>
  </si>
  <si>
    <t>Truck payment per mile</t>
  </si>
  <si>
    <t>Per Mile Penske</t>
  </si>
  <si>
    <t>Odom</t>
  </si>
  <si>
    <t>PD ins</t>
  </si>
  <si>
    <t>Rate</t>
  </si>
  <si>
    <t>Escrow</t>
  </si>
  <si>
    <t>Company Profit</t>
  </si>
  <si>
    <t>Drivers Profit</t>
  </si>
  <si>
    <t>Scodrick Obrien C/D</t>
  </si>
  <si>
    <t>Hudson Markeith Laville C/D</t>
  </si>
  <si>
    <t>James Allen C/D</t>
  </si>
  <si>
    <t>Bahman Nizamov C/D</t>
  </si>
  <si>
    <t>Dennis Hollenback C/D</t>
  </si>
  <si>
    <t>Abshiro Abdi Arbo C/D</t>
  </si>
  <si>
    <t>Jonathan Cardoso O/O</t>
  </si>
  <si>
    <t>Hamid Menaghlazi O/O</t>
  </si>
  <si>
    <t>TOTAL</t>
  </si>
  <si>
    <t>From November 12 to November 18</t>
  </si>
  <si>
    <t>From November 19 to November 25</t>
  </si>
  <si>
    <t>From November 26 to December 2</t>
  </si>
  <si>
    <t>Soxib Abbosxon C/D</t>
  </si>
  <si>
    <t>Harris Damonte C/D</t>
  </si>
  <si>
    <t>From December 3 to December 9</t>
  </si>
  <si>
    <t>Louis Emmanuel C/D</t>
  </si>
  <si>
    <t>From December 10 to December 16</t>
  </si>
  <si>
    <t>From December 17 to December 23</t>
  </si>
  <si>
    <t>Abdullahi Yahya C/D</t>
  </si>
  <si>
    <t>From December 24 to December 30</t>
  </si>
  <si>
    <t>From December 31 to January 6</t>
  </si>
  <si>
    <t>From  January 7 to January 13</t>
  </si>
  <si>
    <t>Turner Brandon C/D</t>
  </si>
  <si>
    <t>Abdullahi Yahya &amp; I. Hassan T/D</t>
  </si>
  <si>
    <t>From  January 14 to January 20</t>
  </si>
  <si>
    <t>Ernest Cooper C/D</t>
  </si>
  <si>
    <t>From  January 21 to January 27</t>
  </si>
  <si>
    <t>Ketrea &amp; Chiemere T/D</t>
  </si>
  <si>
    <t>Audrey Grinion C/D</t>
  </si>
  <si>
    <t>Week 12/24 - 12/30</t>
  </si>
  <si>
    <t>Description</t>
  </si>
  <si>
    <t>Amount</t>
  </si>
  <si>
    <t>Date</t>
  </si>
  <si>
    <t>Comments</t>
  </si>
  <si>
    <t>SPRINGHILL SUITES WLM WILLIAMSBURG VA 12/22</t>
  </si>
  <si>
    <t>Jasur aka</t>
  </si>
  <si>
    <t>PREPASS SAFETY ALLIAN 800-773-7277 AZ 12/22</t>
  </si>
  <si>
    <t>NEW YORK STATE OSCAR 518-4022180 NY 12/22</t>
  </si>
  <si>
    <t>COMFORT INNS JACKSONVILLE FL 12/22</t>
  </si>
  <si>
    <t>ATT*BILL PAYMENT 800-288-2020 TX 12/23</t>
  </si>
  <si>
    <t>COSTCO GAS #1615 ST. AUGUSTINE FL 018762 12/23</t>
  </si>
  <si>
    <t>TST* CARAVAN UZBEK &amp; TU ORLANDO FL 12/24</t>
  </si>
  <si>
    <t>Zelle payment to Abshiro</t>
  </si>
  <si>
    <t>Zelle payment to Sunnatillo Abdukhakimov</t>
  </si>
  <si>
    <t>ONLINE US DOLLAR INTL WIRE FEE</t>
  </si>
  <si>
    <t>Zelle payment to Abror</t>
  </si>
  <si>
    <t>MONTHLY SERVICE FEE</t>
  </si>
  <si>
    <t>Total Amount</t>
  </si>
  <si>
    <t>Week 12/31 - 01/06/2024</t>
  </si>
  <si>
    <t>TRANSLAB 224-238-3155 IL 12/30</t>
  </si>
  <si>
    <t>THE UPS STORE 6657 407-4364050 FL 12/30</t>
  </si>
  <si>
    <t xml:space="preserve">PUBLIX SUPER MAR 7880 WINDERMERE FL 452961 </t>
  </si>
  <si>
    <t>SQ *FIRST AM. FIREWORKS Orlando FL 12/31</t>
  </si>
  <si>
    <t>PREPASS SAFETY ALLIAN 800-773-7277 AZ 01/01</t>
  </si>
  <si>
    <t>Zelle payment to Jasur</t>
  </si>
  <si>
    <t>RTP/Same Day - High Value</t>
  </si>
  <si>
    <t>STANDARD ACH PMNTS INITIAL FEE QTY = 10</t>
  </si>
  <si>
    <t>STD ACH PMNTS VOLUME FEE QTY = 33</t>
  </si>
  <si>
    <t>RTP/Same Day - Low Value</t>
  </si>
  <si>
    <t>USPS PO 11693608 7707 ORLANDO FL 365375 01/03</t>
  </si>
  <si>
    <t>OFFICIAL CHECKS CHARGE</t>
  </si>
  <si>
    <t>TRANSLAB 224-238-3155 IL 01/04</t>
  </si>
  <si>
    <t>FMCSA D&amp;A CLEARINGHOU 202-366-0928 DC 01/04</t>
  </si>
  <si>
    <t>TRANSLAB 224-238-3155 IL 01/05</t>
  </si>
  <si>
    <t>TST* CARAVAN UZBEK &amp; TU ORLANDO FL 01/04</t>
  </si>
  <si>
    <t>TT ELD INC HTTPSTTELD.CO OH 01/05</t>
  </si>
  <si>
    <t>Company expenses</t>
  </si>
  <si>
    <t>Week 01/07 - 01/13</t>
  </si>
  <si>
    <t>MVRCHECK.COM 999-9999999 FL 01/05</t>
  </si>
  <si>
    <t>truck hire</t>
  </si>
  <si>
    <t>TRANSLAB 224-238-3155 IL 01/06</t>
  </si>
  <si>
    <t>TST* CARAVAN UZBEK &amp; TU ORLANDO FL 01/05</t>
  </si>
  <si>
    <t xml:space="preserve">TRANSLAB 224-238-3155 IL 01/07 </t>
  </si>
  <si>
    <t>FRONTIER AI WHNZGN DENVER CO 01/07</t>
  </si>
  <si>
    <t>Failed Ticket</t>
  </si>
  <si>
    <t>SAMSCLUB #8290 ORLANDO FL 01/08</t>
  </si>
  <si>
    <t>SAM'S Club ORLANDO FL 01/08</t>
  </si>
  <si>
    <t>Green Hills Foo/730 W orlando FL 310891 01/08</t>
  </si>
  <si>
    <t>WAL-MART #0908 ORLANDO FL 01/08</t>
  </si>
  <si>
    <t>SPIRIT AIRL 4870376784 800-7727117 FL 01/07</t>
  </si>
  <si>
    <t>WAWA 5209 ORLANDO FL 01/08</t>
  </si>
  <si>
    <t>ANQOR LOUNGE ORLANDO FL 01/08</t>
  </si>
  <si>
    <t>TT ELD INC - ST OH ABU DHABI 01/08</t>
  </si>
  <si>
    <t>ODOT CCD 503-3786691 OR 01/08</t>
  </si>
  <si>
    <t>SVC FEE ODOT MCTD REG 503-3786691 TN 01/08</t>
  </si>
  <si>
    <t>TST* CARAVAN UZBEK &amp; TU ORLANDO FL 01/08</t>
  </si>
  <si>
    <t xml:space="preserve">RINGCENTRAL INC. 888-898-4591 CA 01/09 </t>
  </si>
  <si>
    <t xml:space="preserve">UNIFIED CARRIER REGIS 833-827-7526 DC 01/09 </t>
  </si>
  <si>
    <t xml:space="preserve">SPI*DUKE-ENERGY 800-777-9898 NC 01/10 </t>
  </si>
  <si>
    <t>PREPASS SAFETY ALLIAN 800-773-7277 AZ 01/09</t>
  </si>
  <si>
    <t>Zelle payment to Jasur JPM99a7rcd9v</t>
  </si>
  <si>
    <t>Failed Taxi</t>
  </si>
  <si>
    <t>Zelle payment to Jasur JPM99a7rchh3</t>
  </si>
  <si>
    <t>Zelle payment to Abdullah JPM99a7s50ht</t>
  </si>
  <si>
    <t>For Chains</t>
  </si>
  <si>
    <t>AT&amp;T 5KZO 70750 JACKSONVILLE FL 339955 01/10</t>
  </si>
  <si>
    <t>PILOT # 1047 JACKSONVILLE FL 482350 01/10</t>
  </si>
  <si>
    <t>Jacksonville Trip</t>
  </si>
  <si>
    <t>MVRCHECK.COM 999-9999999 FL 01/09</t>
  </si>
  <si>
    <t>Partners on Booking BV Amsterdam 01/10</t>
  </si>
  <si>
    <t>Failed Hotel</t>
  </si>
  <si>
    <t>LA QUINTA MOTOR INNS 407-2400500 FL 01/10</t>
  </si>
  <si>
    <t>TRANSLAB 224-238-3155 IL 01/11</t>
  </si>
  <si>
    <t>TST* CARAVAN UZBEK &amp; TU ORLANDO FL 01/10</t>
  </si>
  <si>
    <t xml:space="preserve">NEW YORK STATE OSCAR 518-4022180 NY 01/10 </t>
  </si>
  <si>
    <t>LOVE'S #0316 OUTSIDE ORMOND BEACH FL 224705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</si>
</sst>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(&quot;$&quot;* #,##0.00_);_(&quot;$&quot;* \(#,##0.00\);_(&quot;$&quot;* &quot;-&quot;??_);_(@_)"/>
    <numFmt numFmtId="166" formatCode="M/d/yyyy"/>
    <numFmt numFmtId="167" formatCode="[$$]#,##0.00"/>
  </numFmts>
  <fonts count="5">
    <font>
      <sz val="10.0"/>
      <color rgb="FF000000"/>
      <name val="Arial"/>
      <scheme val="minor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center" readingOrder="0" vertical="center"/>
    </xf>
    <xf borderId="4" fillId="3" fontId="1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9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5" fontId="3" numFmtId="0" xfId="0" applyAlignment="1" applyBorder="1" applyFill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horizontal="center" vertical="center"/>
    </xf>
    <xf borderId="4" fillId="6" fontId="3" numFmtId="164" xfId="0" applyAlignment="1" applyBorder="1" applyFont="1" applyNumberFormat="1">
      <alignment horizontal="center" vertical="center"/>
    </xf>
    <xf borderId="4" fillId="6" fontId="3" numFmtId="164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horizontal="center" readingOrder="0"/>
    </xf>
    <xf borderId="0" fillId="0" fontId="4" numFmtId="165" xfId="0" applyFont="1" applyNumberFormat="1"/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5"/>
    <col customWidth="1" min="12" max="12" width="11.5"/>
    <col customWidth="1" min="13" max="13" width="16.25"/>
    <col customWidth="1" min="14" max="18" width="16.5"/>
    <col customWidth="1" min="21" max="22" width="16.13"/>
    <col customWidth="1" min="23" max="23" width="11.8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/>
      <c r="AF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7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5"/>
      <c r="AF2" s="5"/>
    </row>
    <row r="3">
      <c r="A3" s="8" t="s">
        <v>31</v>
      </c>
      <c r="B3" s="8">
        <v>386931.0</v>
      </c>
      <c r="C3" s="9">
        <v>0.0</v>
      </c>
      <c r="D3" s="10"/>
      <c r="E3" s="10"/>
      <c r="F3" s="9">
        <f t="shared" ref="F3:F10" si="1">SUM(G3:H3)</f>
        <v>0</v>
      </c>
      <c r="G3" s="11"/>
      <c r="H3" s="11"/>
      <c r="I3" s="12"/>
      <c r="J3" s="12"/>
      <c r="K3" s="12"/>
      <c r="L3" s="12"/>
      <c r="M3" s="12">
        <f t="shared" ref="M3:M10" si="2">E3*1%</f>
        <v>0</v>
      </c>
      <c r="N3" s="12">
        <f t="shared" ref="N3:N10" si="3">E3*3%</f>
        <v>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2"/>
      <c r="U3" s="10">
        <v>0.0</v>
      </c>
      <c r="V3" s="10"/>
      <c r="W3" s="10">
        <v>0.0</v>
      </c>
      <c r="X3" s="9">
        <v>0.0</v>
      </c>
      <c r="Y3" s="9"/>
      <c r="Z3" s="10">
        <v>0.0</v>
      </c>
      <c r="AA3" s="9">
        <v>0.0</v>
      </c>
      <c r="AB3" s="10">
        <v>0.0</v>
      </c>
      <c r="AC3" s="9">
        <v>0.0</v>
      </c>
      <c r="AD3" s="10">
        <v>0.0</v>
      </c>
      <c r="AE3" s="5"/>
      <c r="AF3" s="5"/>
    </row>
    <row r="4">
      <c r="A4" s="8" t="s">
        <v>32</v>
      </c>
      <c r="B4" s="8">
        <v>273294.0</v>
      </c>
      <c r="C4" s="9">
        <v>2.0</v>
      </c>
      <c r="D4" s="10">
        <f>E4/F4</f>
        <v>1.833333333</v>
      </c>
      <c r="E4" s="10">
        <v>1100.0</v>
      </c>
      <c r="F4" s="9">
        <f t="shared" si="1"/>
        <v>600</v>
      </c>
      <c r="G4" s="9">
        <v>600.0</v>
      </c>
      <c r="H4" s="11"/>
      <c r="I4" s="12"/>
      <c r="J4" s="12"/>
      <c r="K4" s="12"/>
      <c r="L4" s="12"/>
      <c r="M4" s="12">
        <f t="shared" si="2"/>
        <v>11</v>
      </c>
      <c r="N4" s="12">
        <f t="shared" si="3"/>
        <v>33</v>
      </c>
      <c r="O4" s="10">
        <v>25.0</v>
      </c>
      <c r="P4" s="10">
        <v>25.0</v>
      </c>
      <c r="Q4" s="10">
        <v>7.0</v>
      </c>
      <c r="R4" s="10">
        <v>994.01</v>
      </c>
      <c r="S4" s="10">
        <v>35.0</v>
      </c>
      <c r="T4" s="12"/>
      <c r="U4" s="10">
        <v>35.0</v>
      </c>
      <c r="V4" s="10"/>
      <c r="W4" s="12">
        <f t="shared" ref="W4:W7" si="4">Y4*X4</f>
        <v>161.2</v>
      </c>
      <c r="X4" s="9">
        <v>0.1</v>
      </c>
      <c r="Y4" s="9">
        <v>1612.0</v>
      </c>
      <c r="Z4" s="10">
        <v>346.0</v>
      </c>
      <c r="AA4" s="9">
        <v>0.65</v>
      </c>
      <c r="AB4" s="10">
        <v>0.0</v>
      </c>
      <c r="AC4" s="12">
        <f t="shared" ref="AC4:AC8" si="5">E4-I4-J4-K4-M4-N4-O4-P4-Q4-R4-S4-U4-W4-Z4-AD4</f>
        <v>-962.21</v>
      </c>
      <c r="AD4" s="12">
        <f>F4*AA4</f>
        <v>390</v>
      </c>
      <c r="AE4" s="5"/>
      <c r="AF4" s="5"/>
    </row>
    <row r="5">
      <c r="A5" s="8" t="s">
        <v>33</v>
      </c>
      <c r="B5" s="8">
        <v>344942.0</v>
      </c>
      <c r="C5" s="9">
        <v>0.0</v>
      </c>
      <c r="D5" s="12"/>
      <c r="E5" s="12"/>
      <c r="F5" s="9">
        <f t="shared" si="1"/>
        <v>0</v>
      </c>
      <c r="G5" s="11"/>
      <c r="H5" s="11"/>
      <c r="I5" s="12"/>
      <c r="J5" s="12"/>
      <c r="K5" s="12"/>
      <c r="L5" s="12"/>
      <c r="M5" s="12">
        <f t="shared" si="2"/>
        <v>0</v>
      </c>
      <c r="N5" s="12">
        <f t="shared" si="3"/>
        <v>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2"/>
      <c r="U5" s="10">
        <v>0.0</v>
      </c>
      <c r="V5" s="10"/>
      <c r="W5" s="12">
        <f t="shared" si="4"/>
        <v>0</v>
      </c>
      <c r="X5" s="9">
        <v>0.0</v>
      </c>
      <c r="Y5" s="11"/>
      <c r="Z5" s="10">
        <v>0.0</v>
      </c>
      <c r="AA5" s="13">
        <v>0.0</v>
      </c>
      <c r="AB5" s="10">
        <v>0.0</v>
      </c>
      <c r="AC5" s="12">
        <f t="shared" si="5"/>
        <v>0</v>
      </c>
      <c r="AD5" s="12">
        <f t="shared" ref="AD5:AD6" si="6">E5*AA5</f>
        <v>0</v>
      </c>
      <c r="AE5" s="5"/>
      <c r="AF5" s="5"/>
    </row>
    <row r="6">
      <c r="A6" s="8" t="s">
        <v>34</v>
      </c>
      <c r="B6" s="8">
        <v>585400.0</v>
      </c>
      <c r="C6" s="9">
        <v>0.0</v>
      </c>
      <c r="D6" s="10"/>
      <c r="E6" s="10"/>
      <c r="F6" s="9">
        <f t="shared" si="1"/>
        <v>0</v>
      </c>
      <c r="G6" s="11"/>
      <c r="H6" s="11"/>
      <c r="I6" s="12"/>
      <c r="J6" s="12"/>
      <c r="K6" s="12"/>
      <c r="L6" s="12"/>
      <c r="M6" s="12">
        <f t="shared" si="2"/>
        <v>0</v>
      </c>
      <c r="N6" s="12">
        <f t="shared" si="3"/>
        <v>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2"/>
      <c r="U6" s="10">
        <v>0.0</v>
      </c>
      <c r="V6" s="10"/>
      <c r="W6" s="12">
        <f t="shared" si="4"/>
        <v>0</v>
      </c>
      <c r="X6" s="9">
        <v>0.0</v>
      </c>
      <c r="Y6" s="11"/>
      <c r="Z6" s="10">
        <v>0.0</v>
      </c>
      <c r="AA6" s="13">
        <v>0.3</v>
      </c>
      <c r="AB6" s="10">
        <v>0.0</v>
      </c>
      <c r="AC6" s="12">
        <f t="shared" si="5"/>
        <v>0</v>
      </c>
      <c r="AD6" s="12">
        <f t="shared" si="6"/>
        <v>0</v>
      </c>
      <c r="AE6" s="5"/>
      <c r="AF6" s="5"/>
    </row>
    <row r="7">
      <c r="A7" s="8" t="s">
        <v>35</v>
      </c>
      <c r="B7" s="8">
        <v>204822.0</v>
      </c>
      <c r="C7" s="9">
        <v>3.0</v>
      </c>
      <c r="D7" s="10">
        <f>E7/F7</f>
        <v>2.075611564</v>
      </c>
      <c r="E7" s="10">
        <v>2800.0</v>
      </c>
      <c r="F7" s="9">
        <f t="shared" si="1"/>
        <v>1349</v>
      </c>
      <c r="G7" s="9">
        <v>1349.0</v>
      </c>
      <c r="H7" s="11"/>
      <c r="I7" s="10">
        <v>667.63</v>
      </c>
      <c r="J7" s="10"/>
      <c r="K7" s="12"/>
      <c r="L7" s="12"/>
      <c r="M7" s="12">
        <f t="shared" si="2"/>
        <v>28</v>
      </c>
      <c r="N7" s="12">
        <f t="shared" si="3"/>
        <v>84</v>
      </c>
      <c r="O7" s="10">
        <v>25.0</v>
      </c>
      <c r="P7" s="10">
        <v>25.0</v>
      </c>
      <c r="Q7" s="10">
        <v>0.0</v>
      </c>
      <c r="R7" s="10">
        <v>997.33</v>
      </c>
      <c r="S7" s="10">
        <v>35.0</v>
      </c>
      <c r="T7" s="12"/>
      <c r="U7" s="10">
        <v>35.0</v>
      </c>
      <c r="V7" s="10"/>
      <c r="W7" s="12">
        <f t="shared" si="4"/>
        <v>200</v>
      </c>
      <c r="X7" s="9">
        <v>0.1</v>
      </c>
      <c r="Y7" s="9">
        <v>2000.0</v>
      </c>
      <c r="Z7" s="10">
        <v>346.0</v>
      </c>
      <c r="AA7" s="13">
        <v>0.27</v>
      </c>
      <c r="AB7" s="10">
        <v>0.0</v>
      </c>
      <c r="AC7" s="12">
        <f t="shared" si="5"/>
        <v>-172.96</v>
      </c>
      <c r="AD7" s="12">
        <f>E7*AA7-226</f>
        <v>530</v>
      </c>
      <c r="AE7" s="14">
        <f>-1197.33+684.18</f>
        <v>-513.15</v>
      </c>
      <c r="AF7" s="5"/>
    </row>
    <row r="8">
      <c r="A8" s="8" t="s">
        <v>36</v>
      </c>
      <c r="B8" s="8">
        <v>344955.0</v>
      </c>
      <c r="C8" s="9">
        <v>0.0</v>
      </c>
      <c r="D8" s="12"/>
      <c r="E8" s="12"/>
      <c r="F8" s="9">
        <f t="shared" si="1"/>
        <v>0</v>
      </c>
      <c r="G8" s="11"/>
      <c r="H8" s="11"/>
      <c r="I8" s="12"/>
      <c r="J8" s="12"/>
      <c r="K8" s="12"/>
      <c r="L8" s="12"/>
      <c r="M8" s="12">
        <f t="shared" si="2"/>
        <v>0</v>
      </c>
      <c r="N8" s="12">
        <f t="shared" si="3"/>
        <v>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/>
      <c r="U8" s="10">
        <v>0.0</v>
      </c>
      <c r="V8" s="10"/>
      <c r="W8" s="10">
        <v>0.0</v>
      </c>
      <c r="X8" s="9">
        <v>0.0</v>
      </c>
      <c r="Y8" s="11"/>
      <c r="Z8" s="10">
        <v>0.0</v>
      </c>
      <c r="AA8" s="9">
        <v>0.65</v>
      </c>
      <c r="AB8" s="10">
        <v>0.0</v>
      </c>
      <c r="AC8" s="12">
        <f t="shared" si="5"/>
        <v>0</v>
      </c>
      <c r="AD8" s="12">
        <f>F8*AA8</f>
        <v>0</v>
      </c>
      <c r="AE8" s="5"/>
      <c r="AF8" s="5"/>
    </row>
    <row r="9">
      <c r="A9" s="15" t="s">
        <v>37</v>
      </c>
      <c r="B9" s="15">
        <v>5.0</v>
      </c>
      <c r="C9" s="9">
        <v>3.0</v>
      </c>
      <c r="D9" s="10">
        <f t="shared" ref="D9:D10" si="7">E9/F9</f>
        <v>1.541666667</v>
      </c>
      <c r="E9" s="10">
        <v>1850.0</v>
      </c>
      <c r="F9" s="9">
        <f t="shared" si="1"/>
        <v>1200</v>
      </c>
      <c r="G9" s="9">
        <v>1040.0</v>
      </c>
      <c r="H9" s="9">
        <v>160.0</v>
      </c>
      <c r="I9" s="12"/>
      <c r="J9" s="12"/>
      <c r="K9" s="12"/>
      <c r="L9" s="12"/>
      <c r="M9" s="12">
        <f t="shared" si="2"/>
        <v>18.5</v>
      </c>
      <c r="N9" s="12">
        <f t="shared" si="3"/>
        <v>55.5</v>
      </c>
      <c r="O9" s="10">
        <v>25.0</v>
      </c>
      <c r="P9" s="10">
        <v>25.0</v>
      </c>
      <c r="Q9" s="12"/>
      <c r="R9" s="10"/>
      <c r="S9" s="10">
        <v>35.0</v>
      </c>
      <c r="T9" s="10">
        <v>25.0</v>
      </c>
      <c r="U9" s="10">
        <v>35.0</v>
      </c>
      <c r="V9" s="10">
        <v>100.0</v>
      </c>
      <c r="W9" s="12"/>
      <c r="X9" s="12"/>
      <c r="Y9" s="11"/>
      <c r="Z9" s="10">
        <v>400.0</v>
      </c>
      <c r="AA9" s="13">
        <v>0.87</v>
      </c>
      <c r="AB9" s="10">
        <v>0.0</v>
      </c>
      <c r="AC9" s="12">
        <f>E9-I9-J9-K9-M9-N9-O9-P9-AD9</f>
        <v>711.5</v>
      </c>
      <c r="AD9" s="12">
        <f>E9*AA9-Z9-T9-U9-S9-V9</f>
        <v>1014.5</v>
      </c>
      <c r="AE9" s="5"/>
      <c r="AF9" s="5"/>
    </row>
    <row r="10">
      <c r="A10" s="15" t="s">
        <v>38</v>
      </c>
      <c r="B10" s="15">
        <v>7650.0</v>
      </c>
      <c r="C10" s="9">
        <v>3.0</v>
      </c>
      <c r="D10" s="10">
        <f t="shared" si="7"/>
        <v>1.840855107</v>
      </c>
      <c r="E10" s="10">
        <v>1550.0</v>
      </c>
      <c r="F10" s="9">
        <f t="shared" si="1"/>
        <v>842</v>
      </c>
      <c r="G10" s="9">
        <v>772.0</v>
      </c>
      <c r="H10" s="9">
        <v>70.0</v>
      </c>
      <c r="I10" s="12"/>
      <c r="J10" s="12"/>
      <c r="K10" s="12"/>
      <c r="L10" s="12"/>
      <c r="M10" s="12">
        <f t="shared" si="2"/>
        <v>15.5</v>
      </c>
      <c r="N10" s="12">
        <f t="shared" si="3"/>
        <v>46.5</v>
      </c>
      <c r="O10" s="10">
        <v>25.0</v>
      </c>
      <c r="P10" s="10">
        <v>25.0</v>
      </c>
      <c r="Q10" s="12"/>
      <c r="R10" s="10"/>
      <c r="S10" s="10">
        <v>35.0</v>
      </c>
      <c r="T10" s="10">
        <v>25.0</v>
      </c>
      <c r="U10" s="10">
        <v>35.0</v>
      </c>
      <c r="V10" s="10">
        <v>100.0</v>
      </c>
      <c r="W10" s="12"/>
      <c r="X10" s="12"/>
      <c r="Y10" s="11"/>
      <c r="Z10" s="10">
        <v>400.0</v>
      </c>
      <c r="AA10" s="13">
        <v>0.88</v>
      </c>
      <c r="AB10" s="10">
        <v>0.0</v>
      </c>
      <c r="AC10" s="12">
        <f>E10-J10-K10-M10-N10-O10-P10-AD10</f>
        <v>274</v>
      </c>
      <c r="AD10" s="12">
        <f>E10*AA10-T10-U10-S10-V10-5</f>
        <v>1164</v>
      </c>
      <c r="AE10" s="5"/>
      <c r="AF10" s="5"/>
    </row>
    <row r="11">
      <c r="A11" s="16" t="s">
        <v>39</v>
      </c>
      <c r="B11" s="16">
        <v>8.0</v>
      </c>
      <c r="C11" s="17"/>
      <c r="D11" s="18">
        <f>AVERAGE(D3:D10)</f>
        <v>1.822866668</v>
      </c>
      <c r="E11" s="18">
        <f t="shared" ref="E11:Z11" si="8">SUM(E3:E10)</f>
        <v>7300</v>
      </c>
      <c r="F11" s="17">
        <f t="shared" si="8"/>
        <v>3991</v>
      </c>
      <c r="G11" s="17">
        <f t="shared" si="8"/>
        <v>3761</v>
      </c>
      <c r="H11" s="17">
        <f t="shared" si="8"/>
        <v>230</v>
      </c>
      <c r="I11" s="18">
        <f t="shared" si="8"/>
        <v>667.63</v>
      </c>
      <c r="J11" s="18">
        <f t="shared" si="8"/>
        <v>0</v>
      </c>
      <c r="K11" s="18">
        <f t="shared" si="8"/>
        <v>0</v>
      </c>
      <c r="L11" s="18">
        <f t="shared" si="8"/>
        <v>0</v>
      </c>
      <c r="M11" s="18">
        <f t="shared" si="8"/>
        <v>73</v>
      </c>
      <c r="N11" s="18">
        <f t="shared" si="8"/>
        <v>219</v>
      </c>
      <c r="O11" s="18">
        <f t="shared" si="8"/>
        <v>100</v>
      </c>
      <c r="P11" s="18">
        <f t="shared" si="8"/>
        <v>100</v>
      </c>
      <c r="Q11" s="18">
        <f t="shared" si="8"/>
        <v>7</v>
      </c>
      <c r="R11" s="18">
        <f t="shared" si="8"/>
        <v>1991.34</v>
      </c>
      <c r="S11" s="18">
        <f t="shared" si="8"/>
        <v>140</v>
      </c>
      <c r="T11" s="18">
        <f t="shared" si="8"/>
        <v>50</v>
      </c>
      <c r="U11" s="18">
        <f t="shared" si="8"/>
        <v>140</v>
      </c>
      <c r="V11" s="18">
        <f t="shared" si="8"/>
        <v>200</v>
      </c>
      <c r="W11" s="18">
        <f t="shared" si="8"/>
        <v>361.2</v>
      </c>
      <c r="X11" s="17">
        <f t="shared" si="8"/>
        <v>0.2</v>
      </c>
      <c r="Y11" s="17">
        <f t="shared" si="8"/>
        <v>3612</v>
      </c>
      <c r="Z11" s="18">
        <f t="shared" si="8"/>
        <v>1492</v>
      </c>
      <c r="AA11" s="17"/>
      <c r="AB11" s="19">
        <f>SUM(AB3:AB10)</f>
        <v>0</v>
      </c>
      <c r="AC11" s="18">
        <f>SUM(AC3:AC10)-Z10</f>
        <v>-549.67</v>
      </c>
      <c r="AD11" s="18">
        <f>SUM(AD3:AD10)</f>
        <v>3098.5</v>
      </c>
      <c r="AE11" s="5"/>
      <c r="AF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"/>
      <c r="B13" s="1" t="s">
        <v>40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4"/>
      <c r="AE13" s="5"/>
      <c r="AF13" s="5"/>
    </row>
    <row r="14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6" t="s">
        <v>12</v>
      </c>
      <c r="M14" s="6" t="s">
        <v>13</v>
      </c>
      <c r="N14" s="6" t="s">
        <v>14</v>
      </c>
      <c r="O14" s="6" t="s">
        <v>15</v>
      </c>
      <c r="P14" s="6" t="s">
        <v>16</v>
      </c>
      <c r="Q14" s="6" t="s">
        <v>17</v>
      </c>
      <c r="R14" s="6" t="s">
        <v>18</v>
      </c>
      <c r="S14" s="6" t="s">
        <v>19</v>
      </c>
      <c r="T14" s="6" t="s">
        <v>20</v>
      </c>
      <c r="U14" s="6" t="s">
        <v>21</v>
      </c>
      <c r="V14" s="6" t="s">
        <v>22</v>
      </c>
      <c r="W14" s="7" t="s">
        <v>23</v>
      </c>
      <c r="X14" s="6" t="s">
        <v>24</v>
      </c>
      <c r="Y14" s="6" t="s">
        <v>25</v>
      </c>
      <c r="Z14" s="6" t="s">
        <v>26</v>
      </c>
      <c r="AA14" s="6" t="s">
        <v>27</v>
      </c>
      <c r="AB14" s="6" t="s">
        <v>28</v>
      </c>
      <c r="AC14" s="6" t="s">
        <v>29</v>
      </c>
      <c r="AD14" s="6" t="s">
        <v>30</v>
      </c>
      <c r="AE14" s="5"/>
      <c r="AF14" s="5"/>
    </row>
    <row r="15">
      <c r="A15" s="8" t="s">
        <v>31</v>
      </c>
      <c r="B15" s="8">
        <v>386931.0</v>
      </c>
      <c r="C15" s="9">
        <v>5.0</v>
      </c>
      <c r="D15" s="10">
        <f t="shared" ref="D15:D22" si="9">E15/F15</f>
        <v>1.995296717</v>
      </c>
      <c r="E15" s="10">
        <v>3160.55</v>
      </c>
      <c r="F15" s="9">
        <f t="shared" ref="F15:F22" si="10">SUM(G15:H15)</f>
        <v>1584</v>
      </c>
      <c r="G15" s="9">
        <v>1533.0</v>
      </c>
      <c r="H15" s="9">
        <v>51.0</v>
      </c>
      <c r="I15" s="10">
        <v>1031.47</v>
      </c>
      <c r="J15" s="10">
        <v>24.66</v>
      </c>
      <c r="K15" s="12"/>
      <c r="L15" s="12"/>
      <c r="M15" s="12">
        <f t="shared" ref="M15:M16" si="11">E15*1%</f>
        <v>31.6055</v>
      </c>
      <c r="N15" s="12">
        <f t="shared" ref="N15:N22" si="12">E15*3%</f>
        <v>94.8165</v>
      </c>
      <c r="O15" s="10">
        <v>25.0</v>
      </c>
      <c r="P15" s="10">
        <v>25.0</v>
      </c>
      <c r="Q15" s="10">
        <v>7.0</v>
      </c>
      <c r="R15" s="10">
        <v>826.24</v>
      </c>
      <c r="S15" s="10">
        <v>35.0</v>
      </c>
      <c r="T15" s="12"/>
      <c r="U15" s="10">
        <v>35.0</v>
      </c>
      <c r="V15" s="10"/>
      <c r="W15" s="12">
        <f t="shared" ref="W15:W20" si="13">Y15*X15</f>
        <v>202.4</v>
      </c>
      <c r="X15" s="9">
        <v>0.1</v>
      </c>
      <c r="Y15" s="9">
        <v>2024.0</v>
      </c>
      <c r="Z15" s="10">
        <v>346.0</v>
      </c>
      <c r="AA15" s="9">
        <v>0.65</v>
      </c>
      <c r="AB15" s="10">
        <v>250.0</v>
      </c>
      <c r="AC15" s="12">
        <f t="shared" ref="AC15:AC20" si="14">E15-I15-J15-K15-M15-N15-O15-P15-Q15-R15-S15-U15-W15-Z15-AD15</f>
        <v>-34.492</v>
      </c>
      <c r="AD15" s="12">
        <f>G15*AA15-AB15-235.6</f>
        <v>510.85</v>
      </c>
      <c r="AE15" s="5"/>
      <c r="AF15" s="5"/>
    </row>
    <row r="16">
      <c r="A16" s="8" t="s">
        <v>32</v>
      </c>
      <c r="B16" s="8">
        <v>273294.0</v>
      </c>
      <c r="C16" s="9">
        <v>6.0</v>
      </c>
      <c r="D16" s="10">
        <f t="shared" si="9"/>
        <v>0.5981511691</v>
      </c>
      <c r="E16" s="10">
        <v>2200.0</v>
      </c>
      <c r="F16" s="9">
        <f t="shared" si="10"/>
        <v>3678</v>
      </c>
      <c r="G16" s="9">
        <v>3538.0</v>
      </c>
      <c r="H16" s="9">
        <v>140.0</v>
      </c>
      <c r="I16" s="10">
        <v>2040.67</v>
      </c>
      <c r="J16" s="10">
        <v>61.65</v>
      </c>
      <c r="K16" s="12"/>
      <c r="L16" s="12"/>
      <c r="M16" s="12">
        <f t="shared" si="11"/>
        <v>22</v>
      </c>
      <c r="N16" s="12">
        <f t="shared" si="12"/>
        <v>66</v>
      </c>
      <c r="O16" s="10">
        <v>25.0</v>
      </c>
      <c r="P16" s="10">
        <v>25.0</v>
      </c>
      <c r="Q16" s="10">
        <v>7.0</v>
      </c>
      <c r="R16" s="10">
        <v>842.59</v>
      </c>
      <c r="S16" s="10">
        <v>35.0</v>
      </c>
      <c r="T16" s="12"/>
      <c r="U16" s="10">
        <v>35.0</v>
      </c>
      <c r="V16" s="10"/>
      <c r="W16" s="12">
        <f t="shared" si="13"/>
        <v>474.8</v>
      </c>
      <c r="X16" s="9">
        <v>0.1</v>
      </c>
      <c r="Y16" s="9">
        <v>4748.0</v>
      </c>
      <c r="Z16" s="10">
        <v>346.0</v>
      </c>
      <c r="AA16" s="9">
        <v>0.65</v>
      </c>
      <c r="AB16" s="10">
        <v>500.0</v>
      </c>
      <c r="AC16" s="12">
        <f t="shared" si="14"/>
        <v>-3580.41</v>
      </c>
      <c r="AD16" s="12">
        <f>G16*AA16-AB16</f>
        <v>1799.7</v>
      </c>
      <c r="AE16" s="5"/>
      <c r="AF16" s="5"/>
    </row>
    <row r="17">
      <c r="A17" s="8" t="s">
        <v>33</v>
      </c>
      <c r="B17" s="8">
        <v>344942.0</v>
      </c>
      <c r="C17" s="9">
        <v>6.0</v>
      </c>
      <c r="D17" s="10">
        <f t="shared" si="9"/>
        <v>2.665822785</v>
      </c>
      <c r="E17" s="10">
        <v>3159.0</v>
      </c>
      <c r="F17" s="9">
        <f t="shared" si="10"/>
        <v>1185</v>
      </c>
      <c r="G17" s="9">
        <v>1172.0</v>
      </c>
      <c r="H17" s="9">
        <v>13.0</v>
      </c>
      <c r="I17" s="10">
        <v>847.93</v>
      </c>
      <c r="J17" s="10">
        <v>44.08</v>
      </c>
      <c r="K17" s="12"/>
      <c r="L17" s="12"/>
      <c r="M17" s="9">
        <v>0.0</v>
      </c>
      <c r="N17" s="12">
        <f t="shared" si="12"/>
        <v>94.77</v>
      </c>
      <c r="O17" s="10">
        <v>25.0</v>
      </c>
      <c r="P17" s="10">
        <v>25.0</v>
      </c>
      <c r="Q17" s="10">
        <v>7.0</v>
      </c>
      <c r="R17" s="10">
        <v>824.3</v>
      </c>
      <c r="S17" s="10">
        <v>35.0</v>
      </c>
      <c r="T17" s="12"/>
      <c r="U17" s="10">
        <v>35.0</v>
      </c>
      <c r="V17" s="10"/>
      <c r="W17" s="12">
        <f t="shared" si="13"/>
        <v>170</v>
      </c>
      <c r="X17" s="9">
        <v>0.1</v>
      </c>
      <c r="Y17" s="9">
        <v>1700.0</v>
      </c>
      <c r="Z17" s="10">
        <v>346.0</v>
      </c>
      <c r="AA17" s="13">
        <v>0.27</v>
      </c>
      <c r="AB17" s="10">
        <v>250.0</v>
      </c>
      <c r="AC17" s="12">
        <f t="shared" si="14"/>
        <v>101.99</v>
      </c>
      <c r="AD17" s="12">
        <f>E17*AA17-AB17</f>
        <v>602.93</v>
      </c>
      <c r="AE17" s="5"/>
      <c r="AF17" s="5"/>
    </row>
    <row r="18">
      <c r="A18" s="8" t="s">
        <v>34</v>
      </c>
      <c r="B18" s="8">
        <v>585400.0</v>
      </c>
      <c r="C18" s="9">
        <v>2.0</v>
      </c>
      <c r="D18" s="10">
        <f t="shared" si="9"/>
        <v>1.357466063</v>
      </c>
      <c r="E18" s="10">
        <v>4200.0</v>
      </c>
      <c r="F18" s="9">
        <f t="shared" si="10"/>
        <v>3094</v>
      </c>
      <c r="G18" s="9">
        <v>2997.0</v>
      </c>
      <c r="H18" s="9">
        <v>97.0</v>
      </c>
      <c r="I18" s="10">
        <v>1010.39</v>
      </c>
      <c r="J18" s="12"/>
      <c r="K18" s="12"/>
      <c r="L18" s="12"/>
      <c r="M18" s="12">
        <f t="shared" ref="M18:M19" si="15">E18*1%</f>
        <v>42</v>
      </c>
      <c r="N18" s="12">
        <f t="shared" si="12"/>
        <v>126</v>
      </c>
      <c r="O18" s="10">
        <v>25.0</v>
      </c>
      <c r="P18" s="10">
        <v>25.0</v>
      </c>
      <c r="Q18" s="10">
        <v>7.0</v>
      </c>
      <c r="R18" s="10">
        <v>814.0</v>
      </c>
      <c r="S18" s="10">
        <v>35.0</v>
      </c>
      <c r="T18" s="12"/>
      <c r="U18" s="10">
        <v>35.0</v>
      </c>
      <c r="V18" s="10"/>
      <c r="W18" s="12">
        <f t="shared" si="13"/>
        <v>170</v>
      </c>
      <c r="X18" s="9">
        <v>0.1</v>
      </c>
      <c r="Y18" s="9">
        <v>1700.0</v>
      </c>
      <c r="Z18" s="10">
        <v>346.0</v>
      </c>
      <c r="AA18" s="13">
        <v>0.3</v>
      </c>
      <c r="AB18" s="10">
        <v>0.0</v>
      </c>
      <c r="AC18" s="12">
        <f t="shared" si="14"/>
        <v>359.61</v>
      </c>
      <c r="AD18" s="12">
        <f>E18*AA18-55</f>
        <v>1205</v>
      </c>
      <c r="AE18" s="5"/>
      <c r="AF18" s="5"/>
    </row>
    <row r="19">
      <c r="A19" s="8" t="s">
        <v>35</v>
      </c>
      <c r="B19" s="8">
        <v>204822.0</v>
      </c>
      <c r="C19" s="9">
        <v>6.0</v>
      </c>
      <c r="D19" s="10">
        <f t="shared" si="9"/>
        <v>2.284372331</v>
      </c>
      <c r="E19" s="10">
        <v>5350.0</v>
      </c>
      <c r="F19" s="9">
        <f t="shared" si="10"/>
        <v>2342</v>
      </c>
      <c r="G19" s="9">
        <v>2062.0</v>
      </c>
      <c r="H19" s="9">
        <v>280.0</v>
      </c>
      <c r="I19" s="10">
        <v>1840.73</v>
      </c>
      <c r="J19" s="10">
        <v>49.76</v>
      </c>
      <c r="K19" s="12"/>
      <c r="L19" s="12"/>
      <c r="M19" s="12">
        <f t="shared" si="15"/>
        <v>53.5</v>
      </c>
      <c r="N19" s="12">
        <f t="shared" si="12"/>
        <v>160.5</v>
      </c>
      <c r="O19" s="10">
        <v>25.0</v>
      </c>
      <c r="P19" s="10">
        <v>25.0</v>
      </c>
      <c r="Q19" s="12"/>
      <c r="R19" s="10">
        <v>826.1</v>
      </c>
      <c r="S19" s="10">
        <v>35.0</v>
      </c>
      <c r="T19" s="12"/>
      <c r="U19" s="10">
        <v>35.0</v>
      </c>
      <c r="V19" s="10"/>
      <c r="W19" s="12">
        <f t="shared" si="13"/>
        <v>200</v>
      </c>
      <c r="X19" s="9">
        <v>0.1</v>
      </c>
      <c r="Y19" s="9">
        <v>2000.0</v>
      </c>
      <c r="Z19" s="10">
        <v>346.0</v>
      </c>
      <c r="AA19" s="13">
        <v>0.27</v>
      </c>
      <c r="AB19" s="10">
        <v>500.0</v>
      </c>
      <c r="AC19" s="12">
        <f t="shared" si="14"/>
        <v>1108.91</v>
      </c>
      <c r="AD19" s="12">
        <f>E19*AA19-300-AB19</f>
        <v>644.5</v>
      </c>
      <c r="AE19" s="5"/>
      <c r="AF19" s="5"/>
    </row>
    <row r="20">
      <c r="A20" s="8" t="s">
        <v>36</v>
      </c>
      <c r="B20" s="8">
        <v>344955.0</v>
      </c>
      <c r="C20" s="9">
        <v>3.0</v>
      </c>
      <c r="D20" s="10">
        <f t="shared" si="9"/>
        <v>3.09390593</v>
      </c>
      <c r="E20" s="10">
        <v>1512.92</v>
      </c>
      <c r="F20" s="9">
        <f t="shared" si="10"/>
        <v>489</v>
      </c>
      <c r="G20" s="9">
        <v>439.0</v>
      </c>
      <c r="H20" s="9">
        <v>50.0</v>
      </c>
      <c r="I20" s="10">
        <v>581.62</v>
      </c>
      <c r="J20" s="12"/>
      <c r="K20" s="12"/>
      <c r="L20" s="12"/>
      <c r="M20" s="9">
        <v>0.0</v>
      </c>
      <c r="N20" s="12">
        <f t="shared" si="12"/>
        <v>45.3876</v>
      </c>
      <c r="O20" s="10">
        <v>25.0</v>
      </c>
      <c r="P20" s="10">
        <v>25.0</v>
      </c>
      <c r="Q20" s="10">
        <v>7.0</v>
      </c>
      <c r="R20" s="10">
        <v>832.42</v>
      </c>
      <c r="S20" s="10">
        <v>35.0</v>
      </c>
      <c r="T20" s="10"/>
      <c r="U20" s="10">
        <v>35.0</v>
      </c>
      <c r="V20" s="10"/>
      <c r="W20" s="12">
        <f t="shared" si="13"/>
        <v>305.3</v>
      </c>
      <c r="X20" s="9">
        <v>0.1</v>
      </c>
      <c r="Y20" s="9">
        <v>3053.0</v>
      </c>
      <c r="Z20" s="10">
        <v>346.0</v>
      </c>
      <c r="AA20" s="9">
        <v>0.65</v>
      </c>
      <c r="AB20" s="10">
        <v>0.0</v>
      </c>
      <c r="AC20" s="12">
        <f t="shared" si="14"/>
        <v>-1010.1576</v>
      </c>
      <c r="AD20" s="12">
        <f>G20*AA20</f>
        <v>285.35</v>
      </c>
      <c r="AE20" s="5"/>
      <c r="AF20" s="5"/>
    </row>
    <row r="21">
      <c r="A21" s="15" t="s">
        <v>37</v>
      </c>
      <c r="B21" s="15">
        <v>5.0</v>
      </c>
      <c r="C21" s="9">
        <v>6.0</v>
      </c>
      <c r="D21" s="10">
        <f t="shared" si="9"/>
        <v>2.052316891</v>
      </c>
      <c r="E21" s="10">
        <v>6865.0</v>
      </c>
      <c r="F21" s="9">
        <f t="shared" si="10"/>
        <v>3345</v>
      </c>
      <c r="G21" s="9">
        <v>3345.0</v>
      </c>
      <c r="H21" s="9">
        <v>0.0</v>
      </c>
      <c r="I21" s="12"/>
      <c r="J21" s="12"/>
      <c r="K21" s="12"/>
      <c r="L21" s="12"/>
      <c r="M21" s="12">
        <f t="shared" ref="M21:M22" si="16">E21*1%</f>
        <v>68.65</v>
      </c>
      <c r="N21" s="12">
        <f t="shared" si="12"/>
        <v>205.95</v>
      </c>
      <c r="O21" s="10">
        <v>25.0</v>
      </c>
      <c r="P21" s="10">
        <v>25.0</v>
      </c>
      <c r="Q21" s="12"/>
      <c r="R21" s="10"/>
      <c r="S21" s="10">
        <v>35.0</v>
      </c>
      <c r="T21" s="10">
        <v>25.0</v>
      </c>
      <c r="U21" s="10">
        <v>35.0</v>
      </c>
      <c r="V21" s="10">
        <v>100.0</v>
      </c>
      <c r="W21" s="12"/>
      <c r="X21" s="12"/>
      <c r="Y21" s="11"/>
      <c r="Z21" s="10">
        <v>400.0</v>
      </c>
      <c r="AA21" s="13">
        <v>0.87</v>
      </c>
      <c r="AB21" s="10">
        <v>0.0</v>
      </c>
      <c r="AC21" s="12">
        <f t="shared" ref="AC21:AC22" si="17">E21-I21-J21-K21-M21-N21-O21-P21-AD21</f>
        <v>1167.85</v>
      </c>
      <c r="AD21" s="12">
        <f t="shared" ref="AD21:AD22" si="18">E21*AA21-Z21-T21-U21-S21-V21-5</f>
        <v>5372.55</v>
      </c>
      <c r="AE21" s="5"/>
      <c r="AF21" s="5"/>
    </row>
    <row r="22">
      <c r="A22" s="15" t="s">
        <v>38</v>
      </c>
      <c r="B22" s="15">
        <v>7650.0</v>
      </c>
      <c r="C22" s="9">
        <v>6.0</v>
      </c>
      <c r="D22" s="10">
        <f t="shared" si="9"/>
        <v>1.96424459</v>
      </c>
      <c r="E22" s="10">
        <v>9893.9</v>
      </c>
      <c r="F22" s="9">
        <f t="shared" si="10"/>
        <v>5037</v>
      </c>
      <c r="G22" s="9">
        <v>4895.0</v>
      </c>
      <c r="H22" s="9">
        <v>142.0</v>
      </c>
      <c r="I22" s="12"/>
      <c r="J22" s="12"/>
      <c r="K22" s="12"/>
      <c r="L22" s="12"/>
      <c r="M22" s="12">
        <f t="shared" si="16"/>
        <v>98.939</v>
      </c>
      <c r="N22" s="12">
        <f t="shared" si="12"/>
        <v>296.817</v>
      </c>
      <c r="O22" s="10">
        <v>25.0</v>
      </c>
      <c r="P22" s="10">
        <v>25.0</v>
      </c>
      <c r="Q22" s="12"/>
      <c r="R22" s="10"/>
      <c r="S22" s="10">
        <v>35.0</v>
      </c>
      <c r="T22" s="10">
        <v>25.0</v>
      </c>
      <c r="U22" s="10">
        <v>35.0</v>
      </c>
      <c r="V22" s="10">
        <v>100.0</v>
      </c>
      <c r="W22" s="12"/>
      <c r="X22" s="12"/>
      <c r="Y22" s="11"/>
      <c r="Z22" s="10">
        <v>400.0</v>
      </c>
      <c r="AA22" s="13">
        <v>0.88</v>
      </c>
      <c r="AB22" s="10">
        <v>0.0</v>
      </c>
      <c r="AC22" s="12">
        <f t="shared" si="17"/>
        <v>1341.512</v>
      </c>
      <c r="AD22" s="12">
        <f t="shared" si="18"/>
        <v>8106.632</v>
      </c>
      <c r="AE22" s="5"/>
      <c r="AF22" s="5"/>
    </row>
    <row r="23">
      <c r="A23" s="16" t="s">
        <v>39</v>
      </c>
      <c r="B23" s="16">
        <v>8.0</v>
      </c>
      <c r="C23" s="17"/>
      <c r="D23" s="18">
        <f>AVERAGE(D15:D22)</f>
        <v>2.00144706</v>
      </c>
      <c r="E23" s="18">
        <f t="shared" ref="E23:Z23" si="19">SUM(E15:E22)</f>
        <v>36341.37</v>
      </c>
      <c r="F23" s="17">
        <f t="shared" si="19"/>
        <v>20754</v>
      </c>
      <c r="G23" s="17">
        <f t="shared" si="19"/>
        <v>19981</v>
      </c>
      <c r="H23" s="17">
        <f t="shared" si="19"/>
        <v>773</v>
      </c>
      <c r="I23" s="18">
        <f t="shared" si="19"/>
        <v>7352.81</v>
      </c>
      <c r="J23" s="18">
        <f t="shared" si="19"/>
        <v>180.15</v>
      </c>
      <c r="K23" s="18">
        <f t="shared" si="19"/>
        <v>0</v>
      </c>
      <c r="L23" s="18">
        <f t="shared" si="19"/>
        <v>0</v>
      </c>
      <c r="M23" s="18">
        <f t="shared" si="19"/>
        <v>316.6945</v>
      </c>
      <c r="N23" s="18">
        <f t="shared" si="19"/>
        <v>1090.2411</v>
      </c>
      <c r="O23" s="18">
        <f t="shared" si="19"/>
        <v>200</v>
      </c>
      <c r="P23" s="18">
        <f t="shared" si="19"/>
        <v>200</v>
      </c>
      <c r="Q23" s="18">
        <f t="shared" si="19"/>
        <v>35</v>
      </c>
      <c r="R23" s="18">
        <f t="shared" si="19"/>
        <v>4965.65</v>
      </c>
      <c r="S23" s="18">
        <f t="shared" si="19"/>
        <v>280</v>
      </c>
      <c r="T23" s="18">
        <f t="shared" si="19"/>
        <v>50</v>
      </c>
      <c r="U23" s="18">
        <f t="shared" si="19"/>
        <v>280</v>
      </c>
      <c r="V23" s="18">
        <f t="shared" si="19"/>
        <v>200</v>
      </c>
      <c r="W23" s="18">
        <f t="shared" si="19"/>
        <v>1522.5</v>
      </c>
      <c r="X23" s="17">
        <f t="shared" si="19"/>
        <v>0.6</v>
      </c>
      <c r="Y23" s="17">
        <f t="shared" si="19"/>
        <v>15225</v>
      </c>
      <c r="Z23" s="18">
        <f t="shared" si="19"/>
        <v>2876</v>
      </c>
      <c r="AA23" s="17"/>
      <c r="AB23" s="19">
        <f t="shared" ref="AB23:AD23" si="20">SUM(AB15:AB22)</f>
        <v>1500</v>
      </c>
      <c r="AC23" s="18">
        <f t="shared" si="20"/>
        <v>-545.1876</v>
      </c>
      <c r="AD23" s="18">
        <f t="shared" si="20"/>
        <v>18527.512</v>
      </c>
      <c r="AE23" s="5"/>
      <c r="AF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/>
      <c r="B25" s="1" t="s">
        <v>41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</row>
    <row r="26">
      <c r="A26" s="6" t="s">
        <v>1</v>
      </c>
      <c r="B26" s="6" t="s">
        <v>2</v>
      </c>
      <c r="C26" s="6" t="s">
        <v>3</v>
      </c>
      <c r="D26" s="6" t="s">
        <v>4</v>
      </c>
      <c r="E26" s="6" t="s">
        <v>5</v>
      </c>
      <c r="F26" s="6" t="s">
        <v>6</v>
      </c>
      <c r="G26" s="6" t="s">
        <v>7</v>
      </c>
      <c r="H26" s="6" t="s">
        <v>8</v>
      </c>
      <c r="I26" s="6" t="s">
        <v>9</v>
      </c>
      <c r="J26" s="6" t="s">
        <v>10</v>
      </c>
      <c r="K26" s="6" t="s">
        <v>11</v>
      </c>
      <c r="L26" s="6" t="s">
        <v>12</v>
      </c>
      <c r="M26" s="6" t="s">
        <v>13</v>
      </c>
      <c r="N26" s="6" t="s">
        <v>14</v>
      </c>
      <c r="O26" s="6" t="s">
        <v>15</v>
      </c>
      <c r="P26" s="6" t="s">
        <v>16</v>
      </c>
      <c r="Q26" s="6" t="s">
        <v>17</v>
      </c>
      <c r="R26" s="6" t="s">
        <v>18</v>
      </c>
      <c r="S26" s="6" t="s">
        <v>19</v>
      </c>
      <c r="T26" s="6" t="s">
        <v>20</v>
      </c>
      <c r="U26" s="6" t="s">
        <v>21</v>
      </c>
      <c r="V26" s="6" t="s">
        <v>22</v>
      </c>
      <c r="W26" s="7" t="s">
        <v>23</v>
      </c>
      <c r="X26" s="6" t="s">
        <v>24</v>
      </c>
      <c r="Y26" s="6" t="s">
        <v>25</v>
      </c>
      <c r="Z26" s="6" t="s">
        <v>26</v>
      </c>
      <c r="AA26" s="6" t="s">
        <v>27</v>
      </c>
      <c r="AB26" s="6" t="s">
        <v>28</v>
      </c>
      <c r="AC26" s="6" t="s">
        <v>29</v>
      </c>
      <c r="AD26" s="6" t="s">
        <v>30</v>
      </c>
      <c r="AE26" s="5"/>
      <c r="AF26" s="5"/>
    </row>
    <row r="27">
      <c r="A27" s="8" t="s">
        <v>31</v>
      </c>
      <c r="B27" s="8">
        <v>386931.0</v>
      </c>
      <c r="C27" s="9">
        <v>6.0</v>
      </c>
      <c r="D27" s="10">
        <f t="shared" ref="D27:D34" si="21">E27/F27</f>
        <v>2.328904583</v>
      </c>
      <c r="E27" s="10">
        <v>7419.89</v>
      </c>
      <c r="F27" s="9">
        <f t="shared" ref="F27:F34" si="22">SUM(G27:H27)</f>
        <v>3186</v>
      </c>
      <c r="G27" s="9">
        <v>3146.0</v>
      </c>
      <c r="H27" s="9">
        <v>40.0</v>
      </c>
      <c r="I27" s="10">
        <v>1835.94</v>
      </c>
      <c r="J27" s="10">
        <v>32.05</v>
      </c>
      <c r="K27" s="12"/>
      <c r="L27" s="12"/>
      <c r="M27" s="11"/>
      <c r="N27" s="12">
        <f t="shared" ref="N27:N34" si="23">E27*3%</f>
        <v>222.5967</v>
      </c>
      <c r="O27" s="10">
        <v>25.0</v>
      </c>
      <c r="P27" s="10">
        <v>25.0</v>
      </c>
      <c r="Q27" s="10">
        <v>7.0</v>
      </c>
      <c r="R27" s="10">
        <v>830.41</v>
      </c>
      <c r="S27" s="10">
        <v>35.0</v>
      </c>
      <c r="T27" s="12"/>
      <c r="U27" s="10">
        <v>35.0</v>
      </c>
      <c r="V27" s="10"/>
      <c r="W27" s="12">
        <f t="shared" ref="W27:W32" si="24">Y27*X27</f>
        <v>271.8</v>
      </c>
      <c r="X27" s="9">
        <v>0.1</v>
      </c>
      <c r="Y27" s="9">
        <v>2718.0</v>
      </c>
      <c r="Z27" s="10">
        <v>346.0</v>
      </c>
      <c r="AA27" s="9">
        <v>0.65</v>
      </c>
      <c r="AB27" s="10">
        <v>250.0</v>
      </c>
      <c r="AC27" s="12">
        <f t="shared" ref="AC27:AC32" si="25">E27-I27-J27-K27-M27-N27-O27-P27-Q27-R27-S27-U27-W27-Z27-AD27</f>
        <v>1959.1933</v>
      </c>
      <c r="AD27" s="12">
        <f t="shared" ref="AD27:AD28" si="26">G27*AA27-AB27</f>
        <v>1794.9</v>
      </c>
      <c r="AE27" s="5"/>
      <c r="AF27" s="5"/>
    </row>
    <row r="28">
      <c r="A28" s="8" t="s">
        <v>32</v>
      </c>
      <c r="B28" s="8">
        <v>273294.0</v>
      </c>
      <c r="C28" s="9">
        <v>6.0</v>
      </c>
      <c r="D28" s="10">
        <f t="shared" si="21"/>
        <v>2.978253316</v>
      </c>
      <c r="E28" s="10">
        <v>9429.15</v>
      </c>
      <c r="F28" s="9">
        <f t="shared" si="22"/>
        <v>3166</v>
      </c>
      <c r="G28" s="9">
        <v>3116.0</v>
      </c>
      <c r="H28" s="9">
        <v>50.0</v>
      </c>
      <c r="I28" s="10">
        <v>1931.07</v>
      </c>
      <c r="J28" s="10">
        <v>0.0</v>
      </c>
      <c r="K28" s="12"/>
      <c r="L28" s="12"/>
      <c r="M28" s="11"/>
      <c r="N28" s="12">
        <f t="shared" si="23"/>
        <v>282.8745</v>
      </c>
      <c r="O28" s="10">
        <v>25.0</v>
      </c>
      <c r="P28" s="10">
        <v>25.0</v>
      </c>
      <c r="Q28" s="10">
        <v>7.0</v>
      </c>
      <c r="R28" s="10">
        <v>1284.77</v>
      </c>
      <c r="S28" s="10">
        <v>35.0</v>
      </c>
      <c r="T28" s="12"/>
      <c r="U28" s="10">
        <v>35.0</v>
      </c>
      <c r="V28" s="10"/>
      <c r="W28" s="12">
        <f t="shared" si="24"/>
        <v>398.9</v>
      </c>
      <c r="X28" s="9">
        <v>0.1</v>
      </c>
      <c r="Y28" s="9">
        <v>3989.0</v>
      </c>
      <c r="Z28" s="10">
        <v>346.0</v>
      </c>
      <c r="AA28" s="9">
        <v>0.65</v>
      </c>
      <c r="AB28" s="10">
        <v>250.0</v>
      </c>
      <c r="AC28" s="12">
        <f t="shared" si="25"/>
        <v>3283.1355</v>
      </c>
      <c r="AD28" s="12">
        <f t="shared" si="26"/>
        <v>1775.4</v>
      </c>
      <c r="AE28" s="5"/>
      <c r="AF28" s="5"/>
    </row>
    <row r="29">
      <c r="A29" s="8" t="s">
        <v>33</v>
      </c>
      <c r="B29" s="8">
        <v>344942.0</v>
      </c>
      <c r="C29" s="9">
        <v>6.0</v>
      </c>
      <c r="D29" s="10">
        <f t="shared" si="21"/>
        <v>1.956705318</v>
      </c>
      <c r="E29" s="10">
        <v>4893.72</v>
      </c>
      <c r="F29" s="9">
        <f t="shared" si="22"/>
        <v>2501</v>
      </c>
      <c r="G29" s="9">
        <v>2386.0</v>
      </c>
      <c r="H29" s="9">
        <v>115.0</v>
      </c>
      <c r="I29" s="10">
        <v>1431.8</v>
      </c>
      <c r="J29" s="10">
        <v>94.5</v>
      </c>
      <c r="K29" s="12"/>
      <c r="L29" s="12"/>
      <c r="M29" s="9"/>
      <c r="N29" s="12">
        <f t="shared" si="23"/>
        <v>146.8116</v>
      </c>
      <c r="O29" s="10">
        <v>25.0</v>
      </c>
      <c r="P29" s="10">
        <v>25.0</v>
      </c>
      <c r="Q29" s="10">
        <v>7.0</v>
      </c>
      <c r="R29" s="10">
        <v>875.39</v>
      </c>
      <c r="S29" s="10">
        <v>35.0</v>
      </c>
      <c r="T29" s="12"/>
      <c r="U29" s="10">
        <v>35.0</v>
      </c>
      <c r="V29" s="10"/>
      <c r="W29" s="12">
        <f t="shared" si="24"/>
        <v>307.9</v>
      </c>
      <c r="X29" s="9">
        <v>0.1</v>
      </c>
      <c r="Y29" s="9">
        <v>3079.0</v>
      </c>
      <c r="Z29" s="10">
        <v>346.0</v>
      </c>
      <c r="AA29" s="13">
        <v>0.27</v>
      </c>
      <c r="AB29" s="10">
        <v>250.0</v>
      </c>
      <c r="AC29" s="12">
        <f t="shared" si="25"/>
        <v>493.014</v>
      </c>
      <c r="AD29" s="12">
        <f t="shared" ref="AD29:AD31" si="27">E29*AA29-AB29</f>
        <v>1071.3044</v>
      </c>
      <c r="AE29" s="5"/>
      <c r="AF29" s="5"/>
    </row>
    <row r="30">
      <c r="A30" s="8" t="s">
        <v>34</v>
      </c>
      <c r="B30" s="8">
        <v>585400.0</v>
      </c>
      <c r="C30" s="9">
        <v>5.0</v>
      </c>
      <c r="D30" s="10">
        <f t="shared" si="21"/>
        <v>2.469760479</v>
      </c>
      <c r="E30" s="10">
        <v>8249.0</v>
      </c>
      <c r="F30" s="9">
        <f t="shared" si="22"/>
        <v>3340</v>
      </c>
      <c r="G30" s="9">
        <v>3256.0</v>
      </c>
      <c r="H30" s="9">
        <v>84.0</v>
      </c>
      <c r="I30" s="10">
        <v>1843.33</v>
      </c>
      <c r="J30" s="12"/>
      <c r="K30" s="12"/>
      <c r="L30" s="12"/>
      <c r="M30" s="11"/>
      <c r="N30" s="12">
        <f t="shared" si="23"/>
        <v>247.47</v>
      </c>
      <c r="O30" s="10">
        <v>25.0</v>
      </c>
      <c r="P30" s="10">
        <v>25.0</v>
      </c>
      <c r="Q30" s="10">
        <v>7.0</v>
      </c>
      <c r="R30" s="10">
        <v>859.21</v>
      </c>
      <c r="S30" s="10">
        <v>35.0</v>
      </c>
      <c r="T30" s="12"/>
      <c r="U30" s="10">
        <v>35.0</v>
      </c>
      <c r="V30" s="10"/>
      <c r="W30" s="12">
        <f t="shared" si="24"/>
        <v>751.9</v>
      </c>
      <c r="X30" s="9">
        <v>0.1</v>
      </c>
      <c r="Y30" s="9">
        <v>7519.0</v>
      </c>
      <c r="Z30" s="10">
        <v>346.0</v>
      </c>
      <c r="AA30" s="13">
        <v>0.3</v>
      </c>
      <c r="AB30" s="10">
        <v>250.0</v>
      </c>
      <c r="AC30" s="12">
        <f t="shared" si="25"/>
        <v>1849.39</v>
      </c>
      <c r="AD30" s="12">
        <f t="shared" si="27"/>
        <v>2224.7</v>
      </c>
      <c r="AE30" s="5"/>
      <c r="AF30" s="5"/>
    </row>
    <row r="31">
      <c r="A31" s="8" t="s">
        <v>35</v>
      </c>
      <c r="B31" s="8">
        <v>204822.0</v>
      </c>
      <c r="C31" s="9">
        <v>5.0</v>
      </c>
      <c r="D31" s="10">
        <f t="shared" si="21"/>
        <v>2.402166784</v>
      </c>
      <c r="E31" s="10">
        <v>10254.85</v>
      </c>
      <c r="F31" s="9">
        <f t="shared" si="22"/>
        <v>4269</v>
      </c>
      <c r="G31" s="9">
        <v>4239.0</v>
      </c>
      <c r="H31" s="9">
        <v>30.0</v>
      </c>
      <c r="I31" s="10">
        <v>2182.95</v>
      </c>
      <c r="J31" s="10">
        <v>38.5</v>
      </c>
      <c r="K31" s="12"/>
      <c r="L31" s="12"/>
      <c r="M31" s="11"/>
      <c r="N31" s="12">
        <f t="shared" si="23"/>
        <v>307.6455</v>
      </c>
      <c r="O31" s="10">
        <v>25.0</v>
      </c>
      <c r="P31" s="10">
        <v>25.0</v>
      </c>
      <c r="Q31" s="12"/>
      <c r="R31" s="10">
        <v>826.1</v>
      </c>
      <c r="S31" s="10">
        <v>35.0</v>
      </c>
      <c r="T31" s="12"/>
      <c r="U31" s="10">
        <v>35.0</v>
      </c>
      <c r="V31" s="10"/>
      <c r="W31" s="12">
        <f t="shared" si="24"/>
        <v>200</v>
      </c>
      <c r="X31" s="9">
        <v>0.1</v>
      </c>
      <c r="Y31" s="9">
        <v>2000.0</v>
      </c>
      <c r="Z31" s="10">
        <v>346.0</v>
      </c>
      <c r="AA31" s="13">
        <v>0.27</v>
      </c>
      <c r="AB31" s="10">
        <v>250.0</v>
      </c>
      <c r="AC31" s="12">
        <f t="shared" si="25"/>
        <v>3714.845</v>
      </c>
      <c r="AD31" s="12">
        <f t="shared" si="27"/>
        <v>2518.8095</v>
      </c>
      <c r="AE31" s="5"/>
      <c r="AF31" s="5"/>
    </row>
    <row r="32">
      <c r="A32" s="8" t="s">
        <v>36</v>
      </c>
      <c r="B32" s="8">
        <v>344955.0</v>
      </c>
      <c r="C32" s="9">
        <v>6.0</v>
      </c>
      <c r="D32" s="10">
        <f t="shared" si="21"/>
        <v>1.874867617</v>
      </c>
      <c r="E32" s="10">
        <v>7364.48</v>
      </c>
      <c r="F32" s="9">
        <f t="shared" si="22"/>
        <v>3928</v>
      </c>
      <c r="G32" s="9">
        <v>3790.0</v>
      </c>
      <c r="H32" s="9">
        <v>138.0</v>
      </c>
      <c r="I32" s="10">
        <v>2340.77</v>
      </c>
      <c r="J32" s="12"/>
      <c r="K32" s="12"/>
      <c r="L32" s="12"/>
      <c r="M32" s="9"/>
      <c r="N32" s="12">
        <f t="shared" si="23"/>
        <v>220.9344</v>
      </c>
      <c r="O32" s="10">
        <v>25.0</v>
      </c>
      <c r="P32" s="10">
        <v>25.0</v>
      </c>
      <c r="Q32" s="10">
        <v>7.0</v>
      </c>
      <c r="R32" s="10">
        <v>839.85</v>
      </c>
      <c r="S32" s="10">
        <v>35.0</v>
      </c>
      <c r="T32" s="10"/>
      <c r="U32" s="10">
        <v>35.0</v>
      </c>
      <c r="V32" s="10"/>
      <c r="W32" s="12">
        <f t="shared" si="24"/>
        <v>429.2</v>
      </c>
      <c r="X32" s="9">
        <v>0.1</v>
      </c>
      <c r="Y32" s="9">
        <v>4292.0</v>
      </c>
      <c r="Z32" s="10">
        <v>346.0</v>
      </c>
      <c r="AA32" s="9">
        <v>0.65</v>
      </c>
      <c r="AB32" s="10">
        <v>500.0</v>
      </c>
      <c r="AC32" s="12">
        <f t="shared" si="25"/>
        <v>1097.2256</v>
      </c>
      <c r="AD32" s="12">
        <f>G32*AA32-AB32</f>
        <v>1963.5</v>
      </c>
      <c r="AE32" s="5"/>
      <c r="AF32" s="5"/>
    </row>
    <row r="33">
      <c r="A33" s="15" t="s">
        <v>37</v>
      </c>
      <c r="B33" s="15">
        <v>5.0</v>
      </c>
      <c r="C33" s="9">
        <v>4.0</v>
      </c>
      <c r="D33" s="10">
        <f t="shared" si="21"/>
        <v>1.83398263</v>
      </c>
      <c r="E33" s="10">
        <v>2956.38</v>
      </c>
      <c r="F33" s="9">
        <f t="shared" si="22"/>
        <v>1612</v>
      </c>
      <c r="G33" s="9">
        <v>1566.0</v>
      </c>
      <c r="H33" s="9">
        <v>46.0</v>
      </c>
      <c r="I33" s="12"/>
      <c r="J33" s="12"/>
      <c r="K33" s="12"/>
      <c r="L33" s="12"/>
      <c r="M33" s="11"/>
      <c r="N33" s="12">
        <f t="shared" si="23"/>
        <v>88.6914</v>
      </c>
      <c r="O33" s="10">
        <v>25.0</v>
      </c>
      <c r="P33" s="10">
        <v>25.0</v>
      </c>
      <c r="Q33" s="12"/>
      <c r="R33" s="10"/>
      <c r="S33" s="10">
        <v>35.0</v>
      </c>
      <c r="T33" s="10">
        <v>25.0</v>
      </c>
      <c r="U33" s="10">
        <v>35.0</v>
      </c>
      <c r="V33" s="10">
        <v>100.0</v>
      </c>
      <c r="W33" s="12"/>
      <c r="X33" s="12"/>
      <c r="Y33" s="11"/>
      <c r="Z33" s="10">
        <v>400.0</v>
      </c>
      <c r="AA33" s="13">
        <v>0.87</v>
      </c>
      <c r="AB33" s="10">
        <v>0.0</v>
      </c>
      <c r="AC33" s="12">
        <f t="shared" ref="AC33:AC34" si="28">E33-I33-J33-K33-M33-N33-O33-P33-AD33</f>
        <v>845.638</v>
      </c>
      <c r="AD33" s="12">
        <f t="shared" ref="AD33:AD34" si="29">E33*AA33-Z33-T33-U33-S33-V33-5</f>
        <v>1972.0506</v>
      </c>
      <c r="AE33" s="5"/>
      <c r="AF33" s="5"/>
    </row>
    <row r="34">
      <c r="A34" s="15" t="s">
        <v>38</v>
      </c>
      <c r="B34" s="15">
        <v>7650.0</v>
      </c>
      <c r="C34" s="9">
        <v>6.0</v>
      </c>
      <c r="D34" s="10">
        <f t="shared" si="21"/>
        <v>2.349921558</v>
      </c>
      <c r="E34" s="10">
        <v>8687.66</v>
      </c>
      <c r="F34" s="9">
        <f t="shared" si="22"/>
        <v>3697</v>
      </c>
      <c r="G34" s="9">
        <v>3550.0</v>
      </c>
      <c r="H34" s="9">
        <v>147.0</v>
      </c>
      <c r="I34" s="12"/>
      <c r="J34" s="12"/>
      <c r="K34" s="12"/>
      <c r="L34" s="12"/>
      <c r="M34" s="11"/>
      <c r="N34" s="12">
        <f t="shared" si="23"/>
        <v>260.6298</v>
      </c>
      <c r="O34" s="10">
        <v>25.0</v>
      </c>
      <c r="P34" s="10">
        <v>25.0</v>
      </c>
      <c r="Q34" s="12"/>
      <c r="R34" s="10"/>
      <c r="S34" s="10">
        <v>35.0</v>
      </c>
      <c r="T34" s="10">
        <v>25.0</v>
      </c>
      <c r="U34" s="10">
        <v>35.0</v>
      </c>
      <c r="V34" s="10">
        <v>100.0</v>
      </c>
      <c r="W34" s="12"/>
      <c r="X34" s="12"/>
      <c r="Y34" s="11"/>
      <c r="Z34" s="10">
        <v>400.0</v>
      </c>
      <c r="AA34" s="13">
        <v>0.88</v>
      </c>
      <c r="AB34" s="10">
        <v>0.0</v>
      </c>
      <c r="AC34" s="12">
        <f t="shared" si="28"/>
        <v>1331.8894</v>
      </c>
      <c r="AD34" s="12">
        <f t="shared" si="29"/>
        <v>7045.1408</v>
      </c>
      <c r="AE34" s="5"/>
      <c r="AF34" s="5"/>
    </row>
    <row r="35">
      <c r="A35" s="16" t="s">
        <v>39</v>
      </c>
      <c r="B35" s="16">
        <v>8.0</v>
      </c>
      <c r="C35" s="17"/>
      <c r="D35" s="18">
        <f>AVERAGE(D27:D34)</f>
        <v>2.274320286</v>
      </c>
      <c r="E35" s="18">
        <f t="shared" ref="E35:H35" si="30">SUM(E27:E34)</f>
        <v>59255.13</v>
      </c>
      <c r="F35" s="17">
        <f t="shared" si="30"/>
        <v>25699</v>
      </c>
      <c r="G35" s="17">
        <f t="shared" si="30"/>
        <v>25049</v>
      </c>
      <c r="H35" s="17">
        <f t="shared" si="30"/>
        <v>650</v>
      </c>
      <c r="I35" s="18">
        <f>SUM(I27:I34)+2558</f>
        <v>14123.86</v>
      </c>
      <c r="J35" s="18">
        <f t="shared" ref="J35:Z35" si="31">SUM(J27:J34)</f>
        <v>165.05</v>
      </c>
      <c r="K35" s="18">
        <f t="shared" si="31"/>
        <v>0</v>
      </c>
      <c r="L35" s="18">
        <f t="shared" si="31"/>
        <v>0</v>
      </c>
      <c r="M35" s="17">
        <f t="shared" si="31"/>
        <v>0</v>
      </c>
      <c r="N35" s="18">
        <f t="shared" si="31"/>
        <v>1777.6539</v>
      </c>
      <c r="O35" s="18">
        <f t="shared" si="31"/>
        <v>200</v>
      </c>
      <c r="P35" s="18">
        <f t="shared" si="31"/>
        <v>200</v>
      </c>
      <c r="Q35" s="18">
        <f t="shared" si="31"/>
        <v>35</v>
      </c>
      <c r="R35" s="18">
        <f t="shared" si="31"/>
        <v>5515.73</v>
      </c>
      <c r="S35" s="18">
        <f t="shared" si="31"/>
        <v>280</v>
      </c>
      <c r="T35" s="18">
        <f t="shared" si="31"/>
        <v>50</v>
      </c>
      <c r="U35" s="18">
        <f t="shared" si="31"/>
        <v>280</v>
      </c>
      <c r="V35" s="18">
        <f t="shared" si="31"/>
        <v>200</v>
      </c>
      <c r="W35" s="18">
        <f t="shared" si="31"/>
        <v>2359.7</v>
      </c>
      <c r="X35" s="17">
        <f t="shared" si="31"/>
        <v>0.6</v>
      </c>
      <c r="Y35" s="17">
        <f t="shared" si="31"/>
        <v>23597</v>
      </c>
      <c r="Z35" s="18">
        <f t="shared" si="31"/>
        <v>2876</v>
      </c>
      <c r="AA35" s="17"/>
      <c r="AB35" s="19">
        <f t="shared" ref="AB35:AD35" si="32">SUM(AB27:AB34)</f>
        <v>1750</v>
      </c>
      <c r="AC35" s="18">
        <f t="shared" si="32"/>
        <v>14574.3308</v>
      </c>
      <c r="AD35" s="18">
        <f t="shared" si="32"/>
        <v>20365.8053</v>
      </c>
      <c r="AE35" s="5"/>
      <c r="A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 t="s">
        <v>42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5"/>
      <c r="AF37" s="5"/>
    </row>
    <row r="38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8</v>
      </c>
      <c r="I38" s="6" t="s">
        <v>9</v>
      </c>
      <c r="J38" s="6" t="s">
        <v>10</v>
      </c>
      <c r="K38" s="6" t="s">
        <v>11</v>
      </c>
      <c r="L38" s="6" t="s">
        <v>12</v>
      </c>
      <c r="M38" s="6" t="s">
        <v>13</v>
      </c>
      <c r="N38" s="6" t="s">
        <v>14</v>
      </c>
      <c r="O38" s="6" t="s">
        <v>15</v>
      </c>
      <c r="P38" s="6" t="s">
        <v>16</v>
      </c>
      <c r="Q38" s="6" t="s">
        <v>17</v>
      </c>
      <c r="R38" s="6" t="s">
        <v>18</v>
      </c>
      <c r="S38" s="6" t="s">
        <v>19</v>
      </c>
      <c r="T38" s="6" t="s">
        <v>20</v>
      </c>
      <c r="U38" s="6" t="s">
        <v>21</v>
      </c>
      <c r="V38" s="6" t="s">
        <v>22</v>
      </c>
      <c r="W38" s="7" t="s">
        <v>23</v>
      </c>
      <c r="X38" s="6" t="s">
        <v>24</v>
      </c>
      <c r="Y38" s="6" t="s">
        <v>25</v>
      </c>
      <c r="Z38" s="6" t="s">
        <v>26</v>
      </c>
      <c r="AA38" s="6" t="s">
        <v>27</v>
      </c>
      <c r="AB38" s="6" t="s">
        <v>28</v>
      </c>
      <c r="AC38" s="6" t="s">
        <v>29</v>
      </c>
      <c r="AD38" s="6" t="s">
        <v>30</v>
      </c>
      <c r="AE38" s="5"/>
      <c r="AF38" s="5"/>
    </row>
    <row r="39">
      <c r="A39" s="8" t="s">
        <v>31</v>
      </c>
      <c r="B39" s="8">
        <v>386931.0</v>
      </c>
      <c r="C39" s="9">
        <v>6.0</v>
      </c>
      <c r="D39" s="10">
        <f t="shared" ref="D39:D46" si="33">E39/F39</f>
        <v>3.355302441</v>
      </c>
      <c r="E39" s="10">
        <v>9485.44</v>
      </c>
      <c r="F39" s="9">
        <f t="shared" ref="F39:F46" si="34">SUM(G39:H39)</f>
        <v>2827</v>
      </c>
      <c r="G39" s="9">
        <v>2807.0</v>
      </c>
      <c r="H39" s="9">
        <v>20.0</v>
      </c>
      <c r="I39" s="10">
        <v>1985.02</v>
      </c>
      <c r="J39" s="10">
        <v>607.39</v>
      </c>
      <c r="K39" s="12"/>
      <c r="L39" s="12"/>
      <c r="M39" s="11"/>
      <c r="N39" s="12">
        <f t="shared" ref="N39:N48" si="35">E39*3%</f>
        <v>284.5632</v>
      </c>
      <c r="O39" s="10">
        <v>25.0</v>
      </c>
      <c r="P39" s="10">
        <v>25.0</v>
      </c>
      <c r="Q39" s="10">
        <v>7.0</v>
      </c>
      <c r="R39" s="10">
        <v>838.23</v>
      </c>
      <c r="S39" s="10">
        <v>35.0</v>
      </c>
      <c r="T39" s="12"/>
      <c r="U39" s="10">
        <v>35.0</v>
      </c>
      <c r="V39" s="10"/>
      <c r="W39" s="12">
        <f t="shared" ref="W39:W41" si="36">Y39*X39</f>
        <v>402.2</v>
      </c>
      <c r="X39" s="9">
        <v>0.1</v>
      </c>
      <c r="Y39" s="9">
        <v>4022.0</v>
      </c>
      <c r="Z39" s="10">
        <v>346.0</v>
      </c>
      <c r="AA39" s="9">
        <v>0.65</v>
      </c>
      <c r="AB39" s="10">
        <v>250.0</v>
      </c>
      <c r="AC39" s="12">
        <f t="shared" ref="AC39:AC41" si="37">E39-I39-J39-K39-M39-N39-O39-P39-Q39-R39-S39-U39-W39-Z39-AD39</f>
        <v>3520.4868</v>
      </c>
      <c r="AD39" s="12">
        <f>G39*AA39-AB39-200</f>
        <v>1374.55</v>
      </c>
      <c r="AE39" s="5"/>
      <c r="AF39" s="5"/>
    </row>
    <row r="40">
      <c r="A40" s="8" t="s">
        <v>32</v>
      </c>
      <c r="B40" s="8">
        <v>273294.0</v>
      </c>
      <c r="C40" s="9">
        <v>7.0</v>
      </c>
      <c r="D40" s="10">
        <f t="shared" si="33"/>
        <v>2.716104133</v>
      </c>
      <c r="E40" s="10">
        <v>14919.56</v>
      </c>
      <c r="F40" s="9">
        <f t="shared" si="34"/>
        <v>5493</v>
      </c>
      <c r="G40" s="9">
        <v>5463.0</v>
      </c>
      <c r="H40" s="9">
        <v>30.0</v>
      </c>
      <c r="I40" s="10">
        <v>2858.9</v>
      </c>
      <c r="J40" s="10">
        <v>0.0</v>
      </c>
      <c r="K40" s="12"/>
      <c r="L40" s="12"/>
      <c r="M40" s="11"/>
      <c r="N40" s="12">
        <f t="shared" si="35"/>
        <v>447.5868</v>
      </c>
      <c r="O40" s="10">
        <v>25.0</v>
      </c>
      <c r="P40" s="10">
        <v>25.0</v>
      </c>
      <c r="Q40" s="10">
        <v>7.0</v>
      </c>
      <c r="R40" s="10">
        <v>843.9</v>
      </c>
      <c r="S40" s="10">
        <v>35.0</v>
      </c>
      <c r="T40" s="12"/>
      <c r="U40" s="10">
        <v>35.0</v>
      </c>
      <c r="V40" s="10"/>
      <c r="W40" s="12">
        <f t="shared" si="36"/>
        <v>496.6</v>
      </c>
      <c r="X40" s="9">
        <v>0.1</v>
      </c>
      <c r="Y40" s="9">
        <v>4966.0</v>
      </c>
      <c r="Z40" s="10">
        <v>346.0</v>
      </c>
      <c r="AA40" s="9">
        <v>0.65</v>
      </c>
      <c r="AB40" s="10">
        <v>250.0</v>
      </c>
      <c r="AC40" s="12">
        <f t="shared" si="37"/>
        <v>6498.6232</v>
      </c>
      <c r="AD40" s="12">
        <f>G40*AA40-AB40</f>
        <v>3300.95</v>
      </c>
      <c r="AE40" s="5"/>
      <c r="AF40" s="5"/>
    </row>
    <row r="41">
      <c r="A41" s="8" t="s">
        <v>33</v>
      </c>
      <c r="B41" s="8">
        <v>344942.0</v>
      </c>
      <c r="C41" s="9">
        <v>3.0</v>
      </c>
      <c r="D41" s="10">
        <f t="shared" si="33"/>
        <v>2.534266212</v>
      </c>
      <c r="E41" s="10">
        <v>2227.62</v>
      </c>
      <c r="F41" s="9">
        <f t="shared" si="34"/>
        <v>879</v>
      </c>
      <c r="G41" s="9">
        <v>856.0</v>
      </c>
      <c r="H41" s="9">
        <v>23.0</v>
      </c>
      <c r="I41" s="10">
        <v>0.0</v>
      </c>
      <c r="J41" s="10">
        <v>39.78</v>
      </c>
      <c r="K41" s="12"/>
      <c r="L41" s="12"/>
      <c r="M41" s="9"/>
      <c r="N41" s="12">
        <f t="shared" si="35"/>
        <v>66.8286</v>
      </c>
      <c r="O41" s="10">
        <v>25.0</v>
      </c>
      <c r="P41" s="10">
        <v>25.0</v>
      </c>
      <c r="Q41" s="10">
        <v>7.0</v>
      </c>
      <c r="R41" s="10">
        <v>926.73</v>
      </c>
      <c r="S41" s="10">
        <v>35.0</v>
      </c>
      <c r="T41" s="12"/>
      <c r="U41" s="10">
        <v>35.0</v>
      </c>
      <c r="V41" s="10"/>
      <c r="W41" s="12">
        <f t="shared" si="36"/>
        <v>170</v>
      </c>
      <c r="X41" s="9">
        <v>0.1</v>
      </c>
      <c r="Y41" s="9">
        <v>1700.0</v>
      </c>
      <c r="Z41" s="10">
        <v>346.0</v>
      </c>
      <c r="AA41" s="13">
        <v>0.27</v>
      </c>
      <c r="AB41" s="10">
        <v>250.0</v>
      </c>
      <c r="AC41" s="12">
        <f t="shared" si="37"/>
        <v>199.824</v>
      </c>
      <c r="AD41" s="12">
        <f>E41*AA41-AB41</f>
        <v>351.4574</v>
      </c>
      <c r="AF41" s="5"/>
    </row>
    <row r="42">
      <c r="A42" s="8" t="s">
        <v>43</v>
      </c>
      <c r="B42" s="8">
        <v>344942.0</v>
      </c>
      <c r="C42" s="9">
        <v>2.0</v>
      </c>
      <c r="D42" s="10">
        <f t="shared" si="33"/>
        <v>1.659233153</v>
      </c>
      <c r="E42" s="10">
        <v>2142.07</v>
      </c>
      <c r="F42" s="9">
        <f t="shared" si="34"/>
        <v>1291</v>
      </c>
      <c r="G42" s="9">
        <v>1291.0</v>
      </c>
      <c r="H42" s="9"/>
      <c r="I42" s="10">
        <v>753.4</v>
      </c>
      <c r="J42" s="10"/>
      <c r="K42" s="12"/>
      <c r="L42" s="12"/>
      <c r="M42" s="9"/>
      <c r="N42" s="12">
        <f t="shared" si="35"/>
        <v>64.2621</v>
      </c>
      <c r="O42" s="10"/>
      <c r="P42" s="10"/>
      <c r="Q42" s="10"/>
      <c r="R42" s="10"/>
      <c r="S42" s="10"/>
      <c r="T42" s="12"/>
      <c r="U42" s="10"/>
      <c r="V42" s="10"/>
      <c r="W42" s="12"/>
      <c r="X42" s="9"/>
      <c r="Y42" s="9"/>
      <c r="Z42" s="10"/>
      <c r="AA42" s="13">
        <v>0.3</v>
      </c>
      <c r="AB42" s="10"/>
      <c r="AC42" s="12">
        <f>E42-I42-N42-AD42</f>
        <v>681.7869</v>
      </c>
      <c r="AD42" s="12">
        <f>E42*AA42</f>
        <v>642.621</v>
      </c>
      <c r="AF42" s="5"/>
    </row>
    <row r="43">
      <c r="A43" s="8" t="s">
        <v>34</v>
      </c>
      <c r="B43" s="8">
        <v>585400.0</v>
      </c>
      <c r="C43" s="9">
        <v>6.0</v>
      </c>
      <c r="D43" s="10">
        <f t="shared" si="33"/>
        <v>2.165686228</v>
      </c>
      <c r="E43" s="10">
        <v>9152.19</v>
      </c>
      <c r="F43" s="9">
        <f t="shared" si="34"/>
        <v>4226</v>
      </c>
      <c r="G43" s="9">
        <v>4173.0</v>
      </c>
      <c r="H43" s="9">
        <v>53.0</v>
      </c>
      <c r="I43" s="10">
        <v>2465.06</v>
      </c>
      <c r="J43" s="12"/>
      <c r="K43" s="12"/>
      <c r="L43" s="12"/>
      <c r="M43" s="11"/>
      <c r="N43" s="12">
        <f t="shared" si="35"/>
        <v>274.5657</v>
      </c>
      <c r="O43" s="10">
        <v>25.0</v>
      </c>
      <c r="P43" s="10">
        <v>25.0</v>
      </c>
      <c r="Q43" s="10">
        <v>7.0</v>
      </c>
      <c r="R43" s="10">
        <v>842.09</v>
      </c>
      <c r="S43" s="10">
        <v>35.0</v>
      </c>
      <c r="T43" s="12"/>
      <c r="U43" s="10">
        <v>35.0</v>
      </c>
      <c r="V43" s="10"/>
      <c r="W43" s="12">
        <f t="shared" ref="W43:W46" si="38">Y43*X43</f>
        <v>466.5</v>
      </c>
      <c r="X43" s="9">
        <v>0.1</v>
      </c>
      <c r="Y43" s="9">
        <v>4665.0</v>
      </c>
      <c r="Z43" s="10">
        <v>346.0</v>
      </c>
      <c r="AA43" s="13">
        <v>0.3</v>
      </c>
      <c r="AB43" s="10">
        <v>250.0</v>
      </c>
      <c r="AC43" s="12">
        <f t="shared" ref="AC43:AC46" si="39">E43-I43-J43-K43-M43-N43-O43-P43-Q43-R43-S43-U43-W43-Z43-AD43</f>
        <v>2106.8173</v>
      </c>
      <c r="AD43" s="12">
        <f>E43*AA43-AB43+28.5</f>
        <v>2524.157</v>
      </c>
      <c r="AF43" s="5"/>
    </row>
    <row r="44">
      <c r="A44" s="8" t="s">
        <v>35</v>
      </c>
      <c r="B44" s="8">
        <v>204822.0</v>
      </c>
      <c r="C44" s="9">
        <v>5.0</v>
      </c>
      <c r="D44" s="10">
        <f t="shared" si="33"/>
        <v>3.32557008</v>
      </c>
      <c r="E44" s="10">
        <v>4579.31</v>
      </c>
      <c r="F44" s="9">
        <f t="shared" si="34"/>
        <v>1377</v>
      </c>
      <c r="G44" s="9">
        <v>1257.0</v>
      </c>
      <c r="H44" s="9">
        <v>120.0</v>
      </c>
      <c r="I44" s="10">
        <v>1639.93</v>
      </c>
      <c r="J44" s="10">
        <v>496.33</v>
      </c>
      <c r="K44" s="12"/>
      <c r="L44" s="12"/>
      <c r="M44" s="11"/>
      <c r="N44" s="12">
        <f t="shared" si="35"/>
        <v>137.3793</v>
      </c>
      <c r="O44" s="10">
        <v>25.0</v>
      </c>
      <c r="P44" s="10">
        <v>25.0</v>
      </c>
      <c r="Q44" s="12"/>
      <c r="R44" s="10">
        <v>826.1</v>
      </c>
      <c r="S44" s="10">
        <v>35.0</v>
      </c>
      <c r="T44" s="12"/>
      <c r="U44" s="10">
        <v>35.0</v>
      </c>
      <c r="V44" s="10"/>
      <c r="W44" s="12">
        <f t="shared" si="38"/>
        <v>200</v>
      </c>
      <c r="X44" s="9">
        <v>0.1</v>
      </c>
      <c r="Y44" s="9">
        <v>2000.0</v>
      </c>
      <c r="Z44" s="10">
        <v>346.0</v>
      </c>
      <c r="AA44" s="13">
        <v>0.27</v>
      </c>
      <c r="AB44" s="10">
        <v>250.0</v>
      </c>
      <c r="AC44" s="12">
        <f t="shared" si="39"/>
        <v>-172.843</v>
      </c>
      <c r="AD44" s="12">
        <f>E44*AA44-AB44</f>
        <v>986.4137</v>
      </c>
      <c r="AF44" s="5"/>
    </row>
    <row r="45">
      <c r="A45" s="8" t="s">
        <v>36</v>
      </c>
      <c r="B45" s="8">
        <v>344955.0</v>
      </c>
      <c r="C45" s="9">
        <v>6.0</v>
      </c>
      <c r="D45" s="10">
        <f t="shared" si="33"/>
        <v>2.448413019</v>
      </c>
      <c r="E45" s="10">
        <v>10907.68</v>
      </c>
      <c r="F45" s="9">
        <f t="shared" si="34"/>
        <v>4455</v>
      </c>
      <c r="G45" s="9">
        <v>4180.0</v>
      </c>
      <c r="H45" s="9">
        <v>275.0</v>
      </c>
      <c r="I45" s="10">
        <v>1400.83</v>
      </c>
      <c r="J45" s="10">
        <v>163.54</v>
      </c>
      <c r="K45" s="12"/>
      <c r="L45" s="12"/>
      <c r="M45" s="9"/>
      <c r="N45" s="12">
        <f t="shared" si="35"/>
        <v>327.2304</v>
      </c>
      <c r="O45" s="10">
        <v>25.0</v>
      </c>
      <c r="P45" s="10">
        <v>25.0</v>
      </c>
      <c r="Q45" s="10">
        <v>7.0</v>
      </c>
      <c r="R45" s="10">
        <v>826.51</v>
      </c>
      <c r="S45" s="10">
        <v>35.0</v>
      </c>
      <c r="T45" s="10"/>
      <c r="U45" s="10">
        <v>35.0</v>
      </c>
      <c r="V45" s="10"/>
      <c r="W45" s="12">
        <f t="shared" si="38"/>
        <v>206.8</v>
      </c>
      <c r="X45" s="9">
        <v>0.1</v>
      </c>
      <c r="Y45" s="9">
        <v>2068.0</v>
      </c>
      <c r="Z45" s="10">
        <v>346.0</v>
      </c>
      <c r="AA45" s="9">
        <v>0.65</v>
      </c>
      <c r="AB45" s="10">
        <v>250.0</v>
      </c>
      <c r="AC45" s="12">
        <f t="shared" si="39"/>
        <v>6042.7696</v>
      </c>
      <c r="AD45" s="12">
        <f>G45*AA45-AB45-1000</f>
        <v>1467</v>
      </c>
      <c r="AF45" s="5"/>
    </row>
    <row r="46">
      <c r="A46" s="8" t="s">
        <v>44</v>
      </c>
      <c r="B46" s="8">
        <v>590053.0</v>
      </c>
      <c r="C46" s="9">
        <v>2.0</v>
      </c>
      <c r="D46" s="10">
        <f t="shared" si="33"/>
        <v>2.916363636</v>
      </c>
      <c r="E46" s="10">
        <v>256.64</v>
      </c>
      <c r="F46" s="9">
        <f t="shared" si="34"/>
        <v>88</v>
      </c>
      <c r="G46" s="9">
        <v>63.0</v>
      </c>
      <c r="H46" s="9">
        <v>25.0</v>
      </c>
      <c r="I46" s="10">
        <v>1261.36</v>
      </c>
      <c r="J46" s="12"/>
      <c r="K46" s="12"/>
      <c r="L46" s="12"/>
      <c r="M46" s="9"/>
      <c r="N46" s="12">
        <f t="shared" si="35"/>
        <v>7.6992</v>
      </c>
      <c r="O46" s="10"/>
      <c r="P46" s="10"/>
      <c r="Q46" s="10"/>
      <c r="R46" s="10">
        <v>840.16</v>
      </c>
      <c r="S46" s="10"/>
      <c r="T46" s="10"/>
      <c r="U46" s="10"/>
      <c r="V46" s="10"/>
      <c r="W46" s="12">
        <f t="shared" si="38"/>
        <v>434.4</v>
      </c>
      <c r="X46" s="9">
        <v>0.1</v>
      </c>
      <c r="Y46" s="9">
        <v>4344.0</v>
      </c>
      <c r="Z46" s="10"/>
      <c r="AA46" s="9">
        <v>0.65</v>
      </c>
      <c r="AB46" s="10"/>
      <c r="AC46" s="12">
        <f t="shared" si="39"/>
        <v>-3586.9792</v>
      </c>
      <c r="AD46" s="12">
        <f>G46*AA46-AB46+1259.05</f>
        <v>1300</v>
      </c>
      <c r="AF46" s="5"/>
    </row>
    <row r="47">
      <c r="A47" s="15" t="s">
        <v>37</v>
      </c>
      <c r="B47" s="15">
        <v>5.0</v>
      </c>
      <c r="C47" s="9">
        <v>0.0</v>
      </c>
      <c r="D47" s="10"/>
      <c r="E47" s="10">
        <v>0.0</v>
      </c>
      <c r="F47" s="9"/>
      <c r="G47" s="9"/>
      <c r="H47" s="9"/>
      <c r="I47" s="12"/>
      <c r="J47" s="12"/>
      <c r="K47" s="12"/>
      <c r="L47" s="12"/>
      <c r="M47" s="11"/>
      <c r="N47" s="12">
        <f t="shared" si="35"/>
        <v>0</v>
      </c>
      <c r="O47" s="10">
        <v>25.0</v>
      </c>
      <c r="P47" s="10">
        <v>25.0</v>
      </c>
      <c r="Q47" s="12"/>
      <c r="R47" s="10"/>
      <c r="S47" s="10">
        <v>35.0</v>
      </c>
      <c r="T47" s="10">
        <v>25.0</v>
      </c>
      <c r="U47" s="10">
        <v>35.0</v>
      </c>
      <c r="V47" s="10">
        <v>100.0</v>
      </c>
      <c r="W47" s="12"/>
      <c r="X47" s="12"/>
      <c r="Y47" s="11"/>
      <c r="Z47" s="10">
        <v>400.0</v>
      </c>
      <c r="AA47" s="13">
        <v>0.87</v>
      </c>
      <c r="AB47" s="10">
        <v>0.0</v>
      </c>
      <c r="AC47" s="20">
        <f>E47-SUM(I47,J47,K47,M47,N47,O47,P47,AD47)</f>
        <v>550</v>
      </c>
      <c r="AD47" s="12">
        <f t="shared" ref="AD47:AD48" si="40">E47*AA47-Z47-T47-U47-S47-V47-5</f>
        <v>-600</v>
      </c>
      <c r="AF47" s="5"/>
    </row>
    <row r="48">
      <c r="A48" s="15" t="s">
        <v>38</v>
      </c>
      <c r="B48" s="15">
        <v>7650.0</v>
      </c>
      <c r="C48" s="9">
        <v>6.0</v>
      </c>
      <c r="D48" s="10">
        <f>E48/F48</f>
        <v>1.870087366</v>
      </c>
      <c r="E48" s="10">
        <v>8348.07</v>
      </c>
      <c r="F48" s="9">
        <f>SUM(G48:H48)</f>
        <v>4464</v>
      </c>
      <c r="G48" s="9">
        <v>4404.0</v>
      </c>
      <c r="H48" s="9">
        <v>60.0</v>
      </c>
      <c r="I48" s="12"/>
      <c r="J48" s="12"/>
      <c r="K48" s="12"/>
      <c r="L48" s="12"/>
      <c r="M48" s="11"/>
      <c r="N48" s="12">
        <f t="shared" si="35"/>
        <v>250.4421</v>
      </c>
      <c r="O48" s="10">
        <v>25.0</v>
      </c>
      <c r="P48" s="10">
        <v>25.0</v>
      </c>
      <c r="Q48" s="12"/>
      <c r="R48" s="10"/>
      <c r="S48" s="10">
        <v>35.0</v>
      </c>
      <c r="T48" s="10">
        <v>25.0</v>
      </c>
      <c r="U48" s="10">
        <v>35.0</v>
      </c>
      <c r="V48" s="10">
        <v>100.0</v>
      </c>
      <c r="W48" s="12"/>
      <c r="X48" s="12"/>
      <c r="Y48" s="11"/>
      <c r="Z48" s="10">
        <v>400.0</v>
      </c>
      <c r="AA48" s="13">
        <v>0.88</v>
      </c>
      <c r="AB48" s="10">
        <v>0.0</v>
      </c>
      <c r="AC48" s="12">
        <f>E48-I48-J48-K48-M48-N48-O48-P48-AD48</f>
        <v>1301.3263</v>
      </c>
      <c r="AD48" s="12">
        <f t="shared" si="40"/>
        <v>6746.3016</v>
      </c>
      <c r="AF48" s="5"/>
    </row>
    <row r="49">
      <c r="A49" s="16" t="s">
        <v>39</v>
      </c>
      <c r="B49" s="16">
        <v>11.0</v>
      </c>
      <c r="C49" s="17"/>
      <c r="D49" s="18">
        <f>AVERAGE(D39:D48)</f>
        <v>2.554558474</v>
      </c>
      <c r="E49" s="18">
        <f t="shared" ref="E49:H49" si="41">SUM(E39:E48)</f>
        <v>62018.58</v>
      </c>
      <c r="F49" s="17">
        <f t="shared" si="41"/>
        <v>25100</v>
      </c>
      <c r="G49" s="17">
        <f t="shared" si="41"/>
        <v>24494</v>
      </c>
      <c r="H49" s="17">
        <f t="shared" si="41"/>
        <v>606</v>
      </c>
      <c r="I49" s="18">
        <f>SUM(I39:I48)+303</f>
        <v>12667.5</v>
      </c>
      <c r="J49" s="18">
        <f t="shared" ref="J49:Z49" si="42">SUM(J39:J48)</f>
        <v>1307.04</v>
      </c>
      <c r="K49" s="18">
        <f t="shared" si="42"/>
        <v>0</v>
      </c>
      <c r="L49" s="18">
        <f t="shared" si="42"/>
        <v>0</v>
      </c>
      <c r="M49" s="17">
        <f t="shared" si="42"/>
        <v>0</v>
      </c>
      <c r="N49" s="18">
        <f t="shared" si="42"/>
        <v>1860.5574</v>
      </c>
      <c r="O49" s="18">
        <f t="shared" si="42"/>
        <v>200</v>
      </c>
      <c r="P49" s="18">
        <f t="shared" si="42"/>
        <v>200</v>
      </c>
      <c r="Q49" s="18">
        <f t="shared" si="42"/>
        <v>35</v>
      </c>
      <c r="R49" s="18">
        <f t="shared" si="42"/>
        <v>5943.72</v>
      </c>
      <c r="S49" s="18">
        <f t="shared" si="42"/>
        <v>280</v>
      </c>
      <c r="T49" s="18">
        <f t="shared" si="42"/>
        <v>50</v>
      </c>
      <c r="U49" s="18">
        <f t="shared" si="42"/>
        <v>280</v>
      </c>
      <c r="V49" s="18">
        <f t="shared" si="42"/>
        <v>200</v>
      </c>
      <c r="W49" s="18">
        <f t="shared" si="42"/>
        <v>2376.5</v>
      </c>
      <c r="X49" s="17">
        <f t="shared" si="42"/>
        <v>0.7</v>
      </c>
      <c r="Y49" s="17">
        <f t="shared" si="42"/>
        <v>23765</v>
      </c>
      <c r="Z49" s="18">
        <f t="shared" si="42"/>
        <v>2876</v>
      </c>
      <c r="AA49" s="17"/>
      <c r="AB49" s="19">
        <f t="shared" ref="AB49:AD49" si="43">SUM(AB39:AB48)</f>
        <v>1500</v>
      </c>
      <c r="AC49" s="18">
        <f t="shared" si="43"/>
        <v>17141.8119</v>
      </c>
      <c r="AD49" s="18">
        <f t="shared" si="43"/>
        <v>18093.4507</v>
      </c>
      <c r="AF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AF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A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AF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AF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4">
        <f>1197.331/7</f>
        <v>171.0472857</v>
      </c>
      <c r="V57" s="5">
        <f>U57*3</f>
        <v>513.1418571</v>
      </c>
      <c r="W57" s="5"/>
      <c r="X57" s="5"/>
      <c r="Y57" s="5"/>
      <c r="Z57" s="5"/>
      <c r="AA57" s="5"/>
      <c r="AB57" s="5"/>
      <c r="AC57" s="21">
        <f>E23-I23-M23-N23-O23-S23-U23-(U57*7)-AD23-Z23</f>
        <v>4220.7814</v>
      </c>
      <c r="AD57" s="5"/>
      <c r="AE57" s="5">
        <f t="shared" ref="AE57:AE60" si="44">U57*4</f>
        <v>684.1891429</v>
      </c>
      <c r="AF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>
        <f t="shared" ref="U58:U60" si="45">1026.1/7</f>
        <v>146.5857143</v>
      </c>
      <c r="V58" s="5">
        <f>U57*4+U58*3</f>
        <v>1123.946286</v>
      </c>
      <c r="W58" s="5"/>
      <c r="X58" s="5"/>
      <c r="Y58" s="5"/>
      <c r="Z58" s="5"/>
      <c r="AA58" s="5"/>
      <c r="AB58" s="5"/>
      <c r="AC58" s="21">
        <f>E35-I35-M35-N35-O35-S35-U35-(U58*7)-AD35-Z35-J35-P35</f>
        <v>17960.6608</v>
      </c>
      <c r="AD58" s="5"/>
      <c r="AE58" s="5">
        <f t="shared" si="44"/>
        <v>586.3428571</v>
      </c>
      <c r="AF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f t="shared" si="45"/>
        <v>146.5857143</v>
      </c>
      <c r="V59" s="5">
        <f>AE58+U59*3</f>
        <v>1026.1</v>
      </c>
      <c r="W59" s="5"/>
      <c r="X59" s="5"/>
      <c r="Y59" s="5"/>
      <c r="Z59" s="5"/>
      <c r="AA59" s="5"/>
      <c r="AB59" s="5"/>
      <c r="AC59" s="5"/>
      <c r="AD59" s="5"/>
      <c r="AE59" s="5">
        <f t="shared" si="44"/>
        <v>586.3428571</v>
      </c>
      <c r="AF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f t="shared" si="45"/>
        <v>146.5857143</v>
      </c>
      <c r="V60" s="5">
        <f>U60*4+U59*3</f>
        <v>1026.1</v>
      </c>
      <c r="W60" s="5"/>
      <c r="X60" s="5"/>
      <c r="Y60" s="5"/>
      <c r="Z60" s="5"/>
      <c r="AA60" s="5"/>
      <c r="AB60" s="5"/>
      <c r="AC60" s="5"/>
      <c r="AD60" s="5"/>
      <c r="AE60" s="5">
        <f t="shared" si="44"/>
        <v>586.3428571</v>
      </c>
      <c r="AF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mergeCells count="4">
    <mergeCell ref="B1:AD1"/>
    <mergeCell ref="B13:AD13"/>
    <mergeCell ref="B25:AD25"/>
    <mergeCell ref="B37:AD37"/>
  </mergeCells>
  <conditionalFormatting sqref="U2:U12 U14:U24 U26:U36 U38:U1000">
    <cfRule type="cellIs" dxfId="0" priority="1" operator="equal">
      <formula>sum(U,U)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5"/>
    <col customWidth="1" min="12" max="12" width="11.5"/>
    <col customWidth="1" min="13" max="13" width="16.25"/>
    <col customWidth="1" min="14" max="18" width="16.5"/>
    <col customWidth="1" min="21" max="22" width="16.13"/>
    <col customWidth="1" min="23" max="23" width="11.88"/>
  </cols>
  <sheetData>
    <row r="1">
      <c r="A1" s="1"/>
      <c r="B1" s="1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7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5"/>
      <c r="AF2" s="5"/>
    </row>
    <row r="3">
      <c r="A3" s="8" t="s">
        <v>31</v>
      </c>
      <c r="B3" s="8">
        <v>386931.0</v>
      </c>
      <c r="C3" s="9">
        <v>6.0</v>
      </c>
      <c r="D3" s="10">
        <f t="shared" ref="D3:D10" si="1">E3/F3</f>
        <v>1.869631244</v>
      </c>
      <c r="E3" s="10">
        <v>5577.11</v>
      </c>
      <c r="F3" s="9">
        <f t="shared" ref="F3:F10" si="2">SUM(G3:H3)</f>
        <v>2983</v>
      </c>
      <c r="G3" s="9">
        <v>2763.0</v>
      </c>
      <c r="H3" s="9">
        <v>220.0</v>
      </c>
      <c r="I3" s="10">
        <v>1877.9</v>
      </c>
      <c r="J3" s="10">
        <v>233.29</v>
      </c>
      <c r="K3" s="12"/>
      <c r="L3" s="12"/>
      <c r="M3" s="10">
        <f t="shared" ref="M3:M4" si="3">E3*1%</f>
        <v>55.7711</v>
      </c>
      <c r="N3" s="12">
        <f t="shared" ref="N3:N10" si="4">E3*3%</f>
        <v>167.3133</v>
      </c>
      <c r="O3" s="10">
        <v>25.0</v>
      </c>
      <c r="P3" s="10">
        <v>25.0</v>
      </c>
      <c r="Q3" s="10">
        <v>7.0</v>
      </c>
      <c r="R3" s="10">
        <v>829.21</v>
      </c>
      <c r="S3" s="10">
        <v>35.0</v>
      </c>
      <c r="T3" s="12"/>
      <c r="U3" s="10">
        <v>35.0</v>
      </c>
      <c r="V3" s="10"/>
      <c r="W3" s="12">
        <f t="shared" ref="W3:W8" si="5">Y3*X3</f>
        <v>251.9</v>
      </c>
      <c r="X3" s="9">
        <v>0.1</v>
      </c>
      <c r="Y3" s="9">
        <v>2519.0</v>
      </c>
      <c r="Z3" s="10">
        <v>346.0</v>
      </c>
      <c r="AA3" s="9">
        <v>0.65</v>
      </c>
      <c r="AB3" s="10">
        <v>250.0</v>
      </c>
      <c r="AC3" s="12">
        <f t="shared" ref="AC3:AC9" si="6">E3-I3-J3-K3-M3-N3-O3-P3-Q3-R3-S3-U3-W3-Z3-AD3</f>
        <v>208.7756</v>
      </c>
      <c r="AD3" s="12">
        <f>G3*AA3-AB3-66</f>
        <v>1479.95</v>
      </c>
      <c r="AE3" s="5"/>
      <c r="AF3" s="5"/>
    </row>
    <row r="4">
      <c r="A4" s="8" t="s">
        <v>32</v>
      </c>
      <c r="B4" s="8">
        <v>273294.0</v>
      </c>
      <c r="C4" s="9">
        <v>5.0</v>
      </c>
      <c r="D4" s="10">
        <f t="shared" si="1"/>
        <v>2.259136213</v>
      </c>
      <c r="E4" s="10">
        <v>6800.0</v>
      </c>
      <c r="F4" s="9">
        <f t="shared" si="2"/>
        <v>3010</v>
      </c>
      <c r="G4" s="9">
        <v>2900.0</v>
      </c>
      <c r="H4" s="9">
        <v>110.0</v>
      </c>
      <c r="I4" s="10">
        <v>1786.91</v>
      </c>
      <c r="J4" s="10">
        <v>11.0</v>
      </c>
      <c r="K4" s="12"/>
      <c r="L4" s="12"/>
      <c r="M4" s="10">
        <f t="shared" si="3"/>
        <v>68</v>
      </c>
      <c r="N4" s="12">
        <f t="shared" si="4"/>
        <v>204</v>
      </c>
      <c r="O4" s="10">
        <v>25.0</v>
      </c>
      <c r="P4" s="10">
        <v>25.0</v>
      </c>
      <c r="Q4" s="10">
        <v>7.0</v>
      </c>
      <c r="R4" s="10">
        <v>826.65</v>
      </c>
      <c r="S4" s="10">
        <v>35.0</v>
      </c>
      <c r="T4" s="12"/>
      <c r="U4" s="10">
        <v>35.0</v>
      </c>
      <c r="V4" s="10"/>
      <c r="W4" s="12">
        <f t="shared" si="5"/>
        <v>209.1</v>
      </c>
      <c r="X4" s="9">
        <v>0.1</v>
      </c>
      <c r="Y4" s="9">
        <v>2091.0</v>
      </c>
      <c r="Z4" s="10">
        <v>346.0</v>
      </c>
      <c r="AA4" s="9">
        <v>0.65</v>
      </c>
      <c r="AB4" s="10">
        <v>250.0</v>
      </c>
      <c r="AC4" s="12">
        <f t="shared" si="6"/>
        <v>2145.67</v>
      </c>
      <c r="AD4" s="12">
        <f>G4*AA4-AB4-559.33</f>
        <v>1075.67</v>
      </c>
      <c r="AE4" s="5"/>
      <c r="AF4" s="5"/>
    </row>
    <row r="5">
      <c r="A5" s="8" t="s">
        <v>34</v>
      </c>
      <c r="B5" s="8">
        <v>585400.0</v>
      </c>
      <c r="C5" s="9">
        <v>5.0</v>
      </c>
      <c r="D5" s="10">
        <f t="shared" si="1"/>
        <v>2.315865922</v>
      </c>
      <c r="E5" s="10">
        <v>9534.42</v>
      </c>
      <c r="F5" s="9">
        <f t="shared" si="2"/>
        <v>4117</v>
      </c>
      <c r="G5" s="9">
        <v>3895.0</v>
      </c>
      <c r="H5" s="9">
        <v>222.0</v>
      </c>
      <c r="I5" s="10">
        <v>2223.6</v>
      </c>
      <c r="J5" s="10">
        <v>22.5</v>
      </c>
      <c r="K5" s="12"/>
      <c r="L5" s="12"/>
      <c r="M5" s="11"/>
      <c r="N5" s="12">
        <f t="shared" si="4"/>
        <v>286.0326</v>
      </c>
      <c r="O5" s="10">
        <v>25.0</v>
      </c>
      <c r="P5" s="10">
        <v>25.0</v>
      </c>
      <c r="Q5" s="10">
        <v>7.0</v>
      </c>
      <c r="R5" s="10">
        <v>828.11</v>
      </c>
      <c r="S5" s="10">
        <v>35.0</v>
      </c>
      <c r="T5" s="12"/>
      <c r="U5" s="10">
        <v>35.0</v>
      </c>
      <c r="V5" s="10"/>
      <c r="W5" s="12">
        <f t="shared" si="5"/>
        <v>233.5</v>
      </c>
      <c r="X5" s="9">
        <v>0.1</v>
      </c>
      <c r="Y5" s="9">
        <v>2335.0</v>
      </c>
      <c r="Z5" s="10">
        <v>346.0</v>
      </c>
      <c r="AA5" s="13">
        <v>0.3</v>
      </c>
      <c r="AB5" s="10">
        <v>250.0</v>
      </c>
      <c r="AC5" s="12">
        <f t="shared" si="6"/>
        <v>2850.6614</v>
      </c>
      <c r="AD5" s="12">
        <f>E5*AA5-AB5+6.69</f>
        <v>2617.016</v>
      </c>
      <c r="AF5" s="5"/>
    </row>
    <row r="6">
      <c r="A6" s="8" t="s">
        <v>35</v>
      </c>
      <c r="B6" s="8">
        <v>204822.0</v>
      </c>
      <c r="C6" s="9">
        <v>5.0</v>
      </c>
      <c r="D6" s="10">
        <f t="shared" si="1"/>
        <v>1.676925466</v>
      </c>
      <c r="E6" s="10">
        <v>2159.88</v>
      </c>
      <c r="F6" s="9">
        <f t="shared" si="2"/>
        <v>1288</v>
      </c>
      <c r="G6" s="9">
        <v>1188.0</v>
      </c>
      <c r="H6" s="9">
        <v>100.0</v>
      </c>
      <c r="I6" s="10">
        <v>600.86</v>
      </c>
      <c r="J6" s="10">
        <v>119.1</v>
      </c>
      <c r="K6" s="12"/>
      <c r="L6" s="12"/>
      <c r="M6" s="11"/>
      <c r="N6" s="12">
        <f t="shared" si="4"/>
        <v>64.7964</v>
      </c>
      <c r="O6" s="10">
        <v>25.0</v>
      </c>
      <c r="P6" s="10">
        <v>25.0</v>
      </c>
      <c r="Q6" s="12"/>
      <c r="R6" s="10">
        <v>826.1</v>
      </c>
      <c r="S6" s="10">
        <v>35.0</v>
      </c>
      <c r="T6" s="12"/>
      <c r="U6" s="10">
        <v>35.0</v>
      </c>
      <c r="V6" s="10"/>
      <c r="W6" s="12">
        <f t="shared" si="5"/>
        <v>200</v>
      </c>
      <c r="X6" s="9">
        <v>0.1</v>
      </c>
      <c r="Y6" s="9">
        <v>2000.0</v>
      </c>
      <c r="Z6" s="10">
        <v>346.0</v>
      </c>
      <c r="AA6" s="13">
        <v>0.27</v>
      </c>
      <c r="AB6" s="10">
        <v>250.0</v>
      </c>
      <c r="AC6" s="12">
        <f t="shared" si="6"/>
        <v>-450.144</v>
      </c>
      <c r="AD6" s="12">
        <f>E6*AA6-AB6</f>
        <v>333.1676</v>
      </c>
      <c r="AF6" s="5"/>
    </row>
    <row r="7">
      <c r="A7" s="8" t="s">
        <v>36</v>
      </c>
      <c r="B7" s="8">
        <v>344955.0</v>
      </c>
      <c r="C7" s="9">
        <v>4.0</v>
      </c>
      <c r="D7" s="10">
        <f t="shared" si="1"/>
        <v>2.920254586</v>
      </c>
      <c r="E7" s="10">
        <v>7800.0</v>
      </c>
      <c r="F7" s="9">
        <f t="shared" si="2"/>
        <v>2671</v>
      </c>
      <c r="G7" s="9">
        <v>2576.0</v>
      </c>
      <c r="H7" s="9">
        <v>95.0</v>
      </c>
      <c r="I7" s="10">
        <v>1568.93</v>
      </c>
      <c r="J7" s="10">
        <v>32.69</v>
      </c>
      <c r="K7" s="12"/>
      <c r="L7" s="12"/>
      <c r="M7" s="10">
        <f>E7*1%</f>
        <v>78</v>
      </c>
      <c r="N7" s="12">
        <f t="shared" si="4"/>
        <v>234</v>
      </c>
      <c r="O7" s="10">
        <v>25.0</v>
      </c>
      <c r="P7" s="10">
        <v>25.0</v>
      </c>
      <c r="Q7" s="10">
        <v>7.0</v>
      </c>
      <c r="R7" s="10">
        <v>832.83</v>
      </c>
      <c r="S7" s="10">
        <v>35.0</v>
      </c>
      <c r="T7" s="10"/>
      <c r="U7" s="10">
        <v>35.0</v>
      </c>
      <c r="V7" s="10"/>
      <c r="W7" s="12">
        <f t="shared" si="5"/>
        <v>312.2</v>
      </c>
      <c r="X7" s="9">
        <v>0.1</v>
      </c>
      <c r="Y7" s="9">
        <v>3122.0</v>
      </c>
      <c r="Z7" s="10">
        <v>346.0</v>
      </c>
      <c r="AA7" s="9">
        <v>0.65</v>
      </c>
      <c r="AB7" s="10">
        <v>250.0</v>
      </c>
      <c r="AC7" s="12">
        <f t="shared" si="6"/>
        <v>2843.95</v>
      </c>
      <c r="AD7" s="12">
        <f>G7*AA7-AB7</f>
        <v>1424.4</v>
      </c>
      <c r="AF7" s="5"/>
    </row>
    <row r="8">
      <c r="A8" s="8" t="s">
        <v>44</v>
      </c>
      <c r="B8" s="8">
        <v>590053.0</v>
      </c>
      <c r="C8" s="9">
        <v>7.0</v>
      </c>
      <c r="D8" s="10">
        <f t="shared" si="1"/>
        <v>1.910720325</v>
      </c>
      <c r="E8" s="10">
        <v>11300.0</v>
      </c>
      <c r="F8" s="9">
        <f t="shared" si="2"/>
        <v>5914</v>
      </c>
      <c r="G8" s="9">
        <v>5044.0</v>
      </c>
      <c r="H8" s="9">
        <v>870.0</v>
      </c>
      <c r="I8" s="10">
        <v>1889.72</v>
      </c>
      <c r="J8" s="10">
        <v>150.75</v>
      </c>
      <c r="K8" s="12"/>
      <c r="L8" s="12"/>
      <c r="M8" s="9"/>
      <c r="N8" s="12">
        <f t="shared" si="4"/>
        <v>339</v>
      </c>
      <c r="O8" s="10">
        <v>25.0</v>
      </c>
      <c r="P8" s="10">
        <v>25.0</v>
      </c>
      <c r="Q8" s="10">
        <v>7.0</v>
      </c>
      <c r="R8" s="10">
        <v>840.73</v>
      </c>
      <c r="S8" s="10">
        <v>35.0</v>
      </c>
      <c r="T8" s="10"/>
      <c r="U8" s="10">
        <v>35.0</v>
      </c>
      <c r="V8" s="10"/>
      <c r="W8" s="12">
        <f t="shared" si="5"/>
        <v>443.8</v>
      </c>
      <c r="X8" s="9">
        <v>0.1</v>
      </c>
      <c r="Y8" s="9">
        <v>4438.0</v>
      </c>
      <c r="Z8" s="10">
        <v>346.0</v>
      </c>
      <c r="AA8" s="9">
        <v>0.65</v>
      </c>
      <c r="AB8" s="10">
        <v>250.0</v>
      </c>
      <c r="AC8" s="12">
        <f t="shared" si="6"/>
        <v>4827.95</v>
      </c>
      <c r="AD8" s="12">
        <f>F8*AA8-AB8-1259.05</f>
        <v>2335.05</v>
      </c>
      <c r="AF8" s="5"/>
    </row>
    <row r="9">
      <c r="A9" s="8" t="s">
        <v>46</v>
      </c>
      <c r="B9" s="8">
        <v>7144.0</v>
      </c>
      <c r="C9" s="9">
        <v>9.0</v>
      </c>
      <c r="D9" s="10">
        <f t="shared" si="1"/>
        <v>1.986518555</v>
      </c>
      <c r="E9" s="10">
        <v>8136.78</v>
      </c>
      <c r="F9" s="9">
        <f t="shared" si="2"/>
        <v>4096</v>
      </c>
      <c r="G9" s="9">
        <v>3991.0</v>
      </c>
      <c r="H9" s="9">
        <v>105.0</v>
      </c>
      <c r="I9" s="10">
        <v>2368.42</v>
      </c>
      <c r="J9" s="12"/>
      <c r="K9" s="12"/>
      <c r="L9" s="12"/>
      <c r="M9" s="9"/>
      <c r="N9" s="12">
        <f t="shared" si="4"/>
        <v>244.1034</v>
      </c>
      <c r="O9" s="10">
        <v>25.0</v>
      </c>
      <c r="P9" s="10">
        <v>25.0</v>
      </c>
      <c r="Q9" s="10">
        <v>7.0</v>
      </c>
      <c r="R9" s="10"/>
      <c r="S9" s="10">
        <v>35.0</v>
      </c>
      <c r="T9" s="10"/>
      <c r="U9" s="10">
        <v>35.0</v>
      </c>
      <c r="V9" s="10"/>
      <c r="W9" s="12"/>
      <c r="X9" s="9"/>
      <c r="Y9" s="9"/>
      <c r="Z9" s="10">
        <v>346.0</v>
      </c>
      <c r="AA9" s="9">
        <v>0.65</v>
      </c>
      <c r="AB9" s="10">
        <v>250.0</v>
      </c>
      <c r="AC9" s="12">
        <f t="shared" si="6"/>
        <v>946.5666</v>
      </c>
      <c r="AD9" s="12">
        <f>G9*AA9-AB9+1760.54</f>
        <v>4104.69</v>
      </c>
      <c r="AF9" s="5"/>
    </row>
    <row r="10">
      <c r="A10" s="15" t="s">
        <v>38</v>
      </c>
      <c r="B10" s="15">
        <v>7650.0</v>
      </c>
      <c r="C10" s="9">
        <v>2.0</v>
      </c>
      <c r="D10" s="10">
        <f t="shared" si="1"/>
        <v>2.078726227</v>
      </c>
      <c r="E10" s="10">
        <v>4700.0</v>
      </c>
      <c r="F10" s="9">
        <f t="shared" si="2"/>
        <v>2261</v>
      </c>
      <c r="G10" s="9">
        <v>2141.0</v>
      </c>
      <c r="H10" s="9">
        <v>120.0</v>
      </c>
      <c r="I10" s="12"/>
      <c r="J10" s="12"/>
      <c r="K10" s="12"/>
      <c r="L10" s="12"/>
      <c r="M10" s="11"/>
      <c r="N10" s="12">
        <f t="shared" si="4"/>
        <v>141</v>
      </c>
      <c r="O10" s="10">
        <v>25.0</v>
      </c>
      <c r="P10" s="10">
        <v>25.0</v>
      </c>
      <c r="Q10" s="12"/>
      <c r="R10" s="10"/>
      <c r="S10" s="10">
        <v>35.0</v>
      </c>
      <c r="T10" s="10">
        <v>25.0</v>
      </c>
      <c r="U10" s="10">
        <v>35.0</v>
      </c>
      <c r="V10" s="10">
        <v>100.0</v>
      </c>
      <c r="W10" s="12"/>
      <c r="X10" s="12"/>
      <c r="Y10" s="11"/>
      <c r="Z10" s="10">
        <v>400.0</v>
      </c>
      <c r="AA10" s="13">
        <v>0.88</v>
      </c>
      <c r="AB10" s="10">
        <v>0.0</v>
      </c>
      <c r="AC10" s="12">
        <f>E10-I10-J10-K10-M10-N10-O10-P10-AD10</f>
        <v>973</v>
      </c>
      <c r="AD10" s="12">
        <f>E10*AA10-Z10-T10-U10-S10-V10-5</f>
        <v>3536</v>
      </c>
      <c r="AF10" s="5"/>
    </row>
    <row r="11">
      <c r="A11" s="16" t="s">
        <v>39</v>
      </c>
      <c r="B11" s="16">
        <v>8.0</v>
      </c>
      <c r="C11" s="17"/>
      <c r="D11" s="18">
        <f>AVERAGE(D3:D10)</f>
        <v>2.127222317</v>
      </c>
      <c r="E11" s="18">
        <f t="shared" ref="E11:Z11" si="7">SUM(E3:E10)</f>
        <v>56008.19</v>
      </c>
      <c r="F11" s="17">
        <f t="shared" si="7"/>
        <v>26340</v>
      </c>
      <c r="G11" s="17">
        <f t="shared" si="7"/>
        <v>24498</v>
      </c>
      <c r="H11" s="17">
        <f t="shared" si="7"/>
        <v>1842</v>
      </c>
      <c r="I11" s="18">
        <f t="shared" si="7"/>
        <v>12316.34</v>
      </c>
      <c r="J11" s="18">
        <f t="shared" si="7"/>
        <v>569.33</v>
      </c>
      <c r="K11" s="18">
        <f t="shared" si="7"/>
        <v>0</v>
      </c>
      <c r="L11" s="18">
        <f t="shared" si="7"/>
        <v>0</v>
      </c>
      <c r="M11" s="18">
        <f t="shared" si="7"/>
        <v>201.7711</v>
      </c>
      <c r="N11" s="18">
        <f t="shared" si="7"/>
        <v>1680.2457</v>
      </c>
      <c r="O11" s="18">
        <f t="shared" si="7"/>
        <v>200</v>
      </c>
      <c r="P11" s="18">
        <f t="shared" si="7"/>
        <v>200</v>
      </c>
      <c r="Q11" s="18">
        <f t="shared" si="7"/>
        <v>42</v>
      </c>
      <c r="R11" s="18">
        <f t="shared" si="7"/>
        <v>4983.63</v>
      </c>
      <c r="S11" s="18">
        <f t="shared" si="7"/>
        <v>280</v>
      </c>
      <c r="T11" s="18">
        <f t="shared" si="7"/>
        <v>25</v>
      </c>
      <c r="U11" s="18">
        <f t="shared" si="7"/>
        <v>280</v>
      </c>
      <c r="V11" s="18">
        <f t="shared" si="7"/>
        <v>100</v>
      </c>
      <c r="W11" s="18">
        <f t="shared" si="7"/>
        <v>1650.5</v>
      </c>
      <c r="X11" s="17">
        <f t="shared" si="7"/>
        <v>0.6</v>
      </c>
      <c r="Y11" s="17">
        <f t="shared" si="7"/>
        <v>16505</v>
      </c>
      <c r="Z11" s="18">
        <f t="shared" si="7"/>
        <v>2822</v>
      </c>
      <c r="AA11" s="17"/>
      <c r="AB11" s="19">
        <f t="shared" ref="AB11:AD11" si="8">SUM(AB3:AB10)</f>
        <v>1750</v>
      </c>
      <c r="AC11" s="18">
        <f t="shared" si="8"/>
        <v>14346.4296</v>
      </c>
      <c r="AD11" s="18">
        <f t="shared" si="8"/>
        <v>16905.9436</v>
      </c>
      <c r="AF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AF12" s="5"/>
    </row>
    <row r="13">
      <c r="A13" s="1"/>
      <c r="B13" s="1" t="s">
        <v>47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</row>
    <row r="14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6" t="s">
        <v>12</v>
      </c>
      <c r="M14" s="6" t="s">
        <v>13</v>
      </c>
      <c r="N14" s="6" t="s">
        <v>14</v>
      </c>
      <c r="O14" s="6" t="s">
        <v>15</v>
      </c>
      <c r="P14" s="6" t="s">
        <v>16</v>
      </c>
      <c r="Q14" s="6" t="s">
        <v>17</v>
      </c>
      <c r="R14" s="6" t="s">
        <v>18</v>
      </c>
      <c r="S14" s="6" t="s">
        <v>19</v>
      </c>
      <c r="T14" s="6" t="s">
        <v>20</v>
      </c>
      <c r="U14" s="6" t="s">
        <v>21</v>
      </c>
      <c r="V14" s="6" t="s">
        <v>22</v>
      </c>
      <c r="W14" s="7" t="s">
        <v>23</v>
      </c>
      <c r="X14" s="6" t="s">
        <v>24</v>
      </c>
      <c r="Y14" s="6" t="s">
        <v>25</v>
      </c>
      <c r="Z14" s="6" t="s">
        <v>26</v>
      </c>
      <c r="AA14" s="6" t="s">
        <v>27</v>
      </c>
      <c r="AB14" s="6" t="s">
        <v>28</v>
      </c>
      <c r="AC14" s="6" t="s">
        <v>29</v>
      </c>
      <c r="AD14" s="6" t="s">
        <v>30</v>
      </c>
      <c r="AE14" s="5"/>
      <c r="AF14" s="5"/>
    </row>
    <row r="15">
      <c r="A15" s="8" t="s">
        <v>31</v>
      </c>
      <c r="B15" s="8">
        <v>386931.0</v>
      </c>
      <c r="C15" s="9">
        <v>6.0</v>
      </c>
      <c r="D15" s="10">
        <f t="shared" ref="D15:D17" si="9">E15/F15</f>
        <v>1.862934363</v>
      </c>
      <c r="E15" s="10">
        <v>4825.0</v>
      </c>
      <c r="F15" s="9">
        <f t="shared" ref="F15:F17" si="10">SUM(G15:H15)</f>
        <v>2590</v>
      </c>
      <c r="G15" s="9">
        <v>2590.0</v>
      </c>
      <c r="H15" s="9"/>
      <c r="I15" s="10">
        <v>1303.47</v>
      </c>
      <c r="J15" s="10">
        <v>18.05</v>
      </c>
      <c r="K15" s="12"/>
      <c r="L15" s="12"/>
      <c r="M15" s="10">
        <f t="shared" ref="M15:M16" si="11">E15*1%</f>
        <v>48.25</v>
      </c>
      <c r="N15" s="12">
        <f t="shared" ref="N15:N17" si="12">E15*3%</f>
        <v>144.75</v>
      </c>
      <c r="O15" s="10">
        <v>25.0</v>
      </c>
      <c r="P15" s="10">
        <v>25.0</v>
      </c>
      <c r="Q15" s="10">
        <v>7.0</v>
      </c>
      <c r="R15" s="10">
        <v>829.8</v>
      </c>
      <c r="S15" s="10">
        <v>35.0</v>
      </c>
      <c r="T15" s="12"/>
      <c r="U15" s="10">
        <v>35.0</v>
      </c>
      <c r="V15" s="10"/>
      <c r="W15" s="12">
        <f>Y15*X15</f>
        <v>261.6</v>
      </c>
      <c r="X15" s="9">
        <v>0.1</v>
      </c>
      <c r="Y15" s="9">
        <v>2616.0</v>
      </c>
      <c r="Z15" s="10">
        <v>346.0</v>
      </c>
      <c r="AA15" s="9">
        <v>0.65</v>
      </c>
      <c r="AB15" s="10">
        <v>250.0</v>
      </c>
      <c r="AC15" s="12">
        <f t="shared" ref="AC15:AC21" si="13">E15-I15-J15-K15-M15-N15-O15-P15-Q15-R15-S15-U15-W15-Z15-AD15</f>
        <v>312.58</v>
      </c>
      <c r="AD15" s="12">
        <f t="shared" ref="AD15:AD16" si="14">G15*AA15-AB15</f>
        <v>1433.5</v>
      </c>
      <c r="AE15" s="5"/>
      <c r="AF15" s="5"/>
    </row>
    <row r="16">
      <c r="A16" s="8" t="s">
        <v>32</v>
      </c>
      <c r="B16" s="8">
        <v>273294.0</v>
      </c>
      <c r="C16" s="9">
        <v>2.0</v>
      </c>
      <c r="D16" s="10">
        <f t="shared" si="9"/>
        <v>2.460732984</v>
      </c>
      <c r="E16" s="10">
        <v>2350.0</v>
      </c>
      <c r="F16" s="9">
        <f t="shared" si="10"/>
        <v>955</v>
      </c>
      <c r="G16" s="9">
        <v>755.0</v>
      </c>
      <c r="H16" s="9">
        <v>200.0</v>
      </c>
      <c r="I16" s="10"/>
      <c r="J16" s="10"/>
      <c r="K16" s="12"/>
      <c r="L16" s="12"/>
      <c r="M16" s="10">
        <f t="shared" si="11"/>
        <v>23.5</v>
      </c>
      <c r="N16" s="12">
        <f t="shared" si="12"/>
        <v>70.5</v>
      </c>
      <c r="O16" s="10"/>
      <c r="P16" s="10"/>
      <c r="Q16" s="10"/>
      <c r="R16" s="10"/>
      <c r="S16" s="10"/>
      <c r="T16" s="12"/>
      <c r="U16" s="10"/>
      <c r="V16" s="10"/>
      <c r="W16" s="12"/>
      <c r="X16" s="9"/>
      <c r="Y16" s="9"/>
      <c r="Z16" s="10"/>
      <c r="AA16" s="9">
        <v>0.65</v>
      </c>
      <c r="AB16" s="10"/>
      <c r="AC16" s="12">
        <f t="shared" si="13"/>
        <v>1765.25</v>
      </c>
      <c r="AD16" s="12">
        <f t="shared" si="14"/>
        <v>490.75</v>
      </c>
      <c r="AE16" s="5"/>
      <c r="AF16" s="5"/>
    </row>
    <row r="17">
      <c r="A17" s="8" t="s">
        <v>34</v>
      </c>
      <c r="B17" s="8">
        <v>585400.0</v>
      </c>
      <c r="C17" s="9">
        <v>6.0</v>
      </c>
      <c r="D17" s="10">
        <f t="shared" si="9"/>
        <v>1.982788232</v>
      </c>
      <c r="E17" s="10">
        <v>7481.06</v>
      </c>
      <c r="F17" s="9">
        <f t="shared" si="10"/>
        <v>3773</v>
      </c>
      <c r="G17" s="9">
        <v>3773.0</v>
      </c>
      <c r="H17" s="9"/>
      <c r="I17" s="10">
        <v>2365.64</v>
      </c>
      <c r="J17" s="10"/>
      <c r="K17" s="12"/>
      <c r="L17" s="12"/>
      <c r="M17" s="11"/>
      <c r="N17" s="12">
        <f t="shared" si="12"/>
        <v>224.4318</v>
      </c>
      <c r="O17" s="10">
        <v>25.0</v>
      </c>
      <c r="P17" s="10">
        <v>25.0</v>
      </c>
      <c r="Q17" s="10">
        <v>7.0</v>
      </c>
      <c r="R17" s="10">
        <v>837.3</v>
      </c>
      <c r="S17" s="10">
        <v>35.0</v>
      </c>
      <c r="T17" s="12"/>
      <c r="U17" s="10">
        <v>35.0</v>
      </c>
      <c r="V17" s="10"/>
      <c r="W17" s="12">
        <f t="shared" ref="W17:W21" si="15">Y17*X17</f>
        <v>386.6</v>
      </c>
      <c r="X17" s="9">
        <v>0.1</v>
      </c>
      <c r="Y17" s="9">
        <v>3866.0</v>
      </c>
      <c r="Z17" s="10">
        <v>346.0</v>
      </c>
      <c r="AA17" s="13">
        <v>0.3</v>
      </c>
      <c r="AB17" s="10">
        <v>250.0</v>
      </c>
      <c r="AC17" s="12">
        <f t="shared" si="13"/>
        <v>1199.7702</v>
      </c>
      <c r="AD17" s="12">
        <f t="shared" ref="AD17:AD18" si="16">E17*AA17-AB17</f>
        <v>1994.318</v>
      </c>
      <c r="AF17" s="5"/>
    </row>
    <row r="18">
      <c r="A18" s="8" t="s">
        <v>35</v>
      </c>
      <c r="B18" s="8">
        <v>204822.0</v>
      </c>
      <c r="C18" s="9"/>
      <c r="D18" s="10"/>
      <c r="E18" s="10"/>
      <c r="F18" s="9"/>
      <c r="G18" s="9"/>
      <c r="H18" s="9"/>
      <c r="I18" s="10"/>
      <c r="J18" s="10"/>
      <c r="K18" s="12"/>
      <c r="L18" s="12"/>
      <c r="M18" s="11"/>
      <c r="N18" s="11"/>
      <c r="O18" s="10"/>
      <c r="P18" s="10"/>
      <c r="Q18" s="12"/>
      <c r="R18" s="10">
        <v>826.1</v>
      </c>
      <c r="S18" s="10"/>
      <c r="T18" s="12"/>
      <c r="U18" s="10"/>
      <c r="V18" s="10"/>
      <c r="W18" s="12">
        <f t="shared" si="15"/>
        <v>200</v>
      </c>
      <c r="X18" s="9">
        <v>0.1</v>
      </c>
      <c r="Y18" s="9">
        <v>2000.0</v>
      </c>
      <c r="Z18" s="10"/>
      <c r="AA18" s="13">
        <v>0.27</v>
      </c>
      <c r="AB18" s="10"/>
      <c r="AC18" s="12">
        <f t="shared" si="13"/>
        <v>-1026.1</v>
      </c>
      <c r="AD18" s="12">
        <f t="shared" si="16"/>
        <v>0</v>
      </c>
      <c r="AF18" s="5"/>
    </row>
    <row r="19">
      <c r="A19" s="8" t="s">
        <v>36</v>
      </c>
      <c r="B19" s="8">
        <v>344955.0</v>
      </c>
      <c r="C19" s="9">
        <v>4.0</v>
      </c>
      <c r="D19" s="10">
        <f t="shared" ref="D19:D22" si="17">E19/F19</f>
        <v>4.433632442</v>
      </c>
      <c r="E19" s="10">
        <v>5138.58</v>
      </c>
      <c r="F19" s="9">
        <f t="shared" ref="F19:F22" si="18">SUM(G19:H19)</f>
        <v>1159</v>
      </c>
      <c r="G19" s="9">
        <v>1159.0</v>
      </c>
      <c r="H19" s="9"/>
      <c r="I19" s="10">
        <v>1664.94</v>
      </c>
      <c r="J19" s="10">
        <v>13.3</v>
      </c>
      <c r="K19" s="12"/>
      <c r="L19" s="12"/>
      <c r="M19" s="9"/>
      <c r="N19" s="12">
        <f t="shared" ref="N19:N22" si="19">E19*3%</f>
        <v>154.1574</v>
      </c>
      <c r="O19" s="10">
        <v>25.0</v>
      </c>
      <c r="P19" s="10">
        <v>25.0</v>
      </c>
      <c r="Q19" s="10">
        <v>7.0</v>
      </c>
      <c r="R19" s="10">
        <v>843.01</v>
      </c>
      <c r="S19" s="10">
        <v>35.0</v>
      </c>
      <c r="T19" s="10"/>
      <c r="U19" s="10">
        <v>35.0</v>
      </c>
      <c r="V19" s="10"/>
      <c r="W19" s="12">
        <f t="shared" si="15"/>
        <v>481.8</v>
      </c>
      <c r="X19" s="9">
        <v>0.1</v>
      </c>
      <c r="Y19" s="9">
        <v>4818.0</v>
      </c>
      <c r="Z19" s="10">
        <v>346.0</v>
      </c>
      <c r="AA19" s="9">
        <v>0.65</v>
      </c>
      <c r="AB19" s="10">
        <v>250.0</v>
      </c>
      <c r="AC19" s="12">
        <f t="shared" si="13"/>
        <v>1005.0226</v>
      </c>
      <c r="AD19" s="12">
        <f t="shared" ref="AD19:AD20" si="20">G19*AA19-AB19</f>
        <v>503.35</v>
      </c>
      <c r="AF19" s="5"/>
    </row>
    <row r="20">
      <c r="A20" s="8" t="s">
        <v>44</v>
      </c>
      <c r="B20" s="8">
        <v>590053.0</v>
      </c>
      <c r="C20" s="9">
        <v>5.0</v>
      </c>
      <c r="D20" s="10">
        <f t="shared" si="17"/>
        <v>1.895772559</v>
      </c>
      <c r="E20" s="10">
        <v>6134.72</v>
      </c>
      <c r="F20" s="9">
        <f t="shared" si="18"/>
        <v>3236</v>
      </c>
      <c r="G20" s="9">
        <v>3036.0</v>
      </c>
      <c r="H20" s="9">
        <v>200.0</v>
      </c>
      <c r="I20" s="10">
        <v>1418.73</v>
      </c>
      <c r="J20" s="10">
        <v>71.0</v>
      </c>
      <c r="K20" s="12"/>
      <c r="L20" s="12"/>
      <c r="M20" s="9"/>
      <c r="N20" s="12">
        <f t="shared" si="19"/>
        <v>184.0416</v>
      </c>
      <c r="O20" s="10">
        <v>25.0</v>
      </c>
      <c r="P20" s="10">
        <v>25.0</v>
      </c>
      <c r="Q20" s="10">
        <v>7.0</v>
      </c>
      <c r="R20" s="10">
        <v>822.25</v>
      </c>
      <c r="S20" s="10">
        <v>35.0</v>
      </c>
      <c r="T20" s="10"/>
      <c r="U20" s="10">
        <v>35.0</v>
      </c>
      <c r="V20" s="10"/>
      <c r="W20" s="12">
        <f t="shared" si="15"/>
        <v>135.9</v>
      </c>
      <c r="X20" s="9">
        <v>0.1</v>
      </c>
      <c r="Y20" s="9">
        <v>1359.0</v>
      </c>
      <c r="Z20" s="10">
        <v>346.0</v>
      </c>
      <c r="AA20" s="9">
        <v>0.65</v>
      </c>
      <c r="AB20" s="10">
        <v>250.0</v>
      </c>
      <c r="AC20" s="12">
        <f t="shared" si="13"/>
        <v>1306.3984</v>
      </c>
      <c r="AD20" s="12">
        <f t="shared" si="20"/>
        <v>1723.4</v>
      </c>
      <c r="AF20" s="5"/>
    </row>
    <row r="21">
      <c r="A21" s="8" t="s">
        <v>46</v>
      </c>
      <c r="B21" s="8">
        <v>273294.0</v>
      </c>
      <c r="C21" s="9">
        <v>5.0</v>
      </c>
      <c r="D21" s="10">
        <f t="shared" si="17"/>
        <v>1.278057868</v>
      </c>
      <c r="E21" s="10">
        <v>3224.54</v>
      </c>
      <c r="F21" s="9">
        <f t="shared" si="18"/>
        <v>2523</v>
      </c>
      <c r="G21" s="9">
        <v>2455.0</v>
      </c>
      <c r="H21" s="9">
        <v>68.0</v>
      </c>
      <c r="I21" s="10">
        <v>1603.22</v>
      </c>
      <c r="J21" s="10">
        <v>68.47</v>
      </c>
      <c r="K21" s="12"/>
      <c r="L21" s="12"/>
      <c r="M21" s="9"/>
      <c r="N21" s="12">
        <f t="shared" si="19"/>
        <v>96.7362</v>
      </c>
      <c r="O21" s="10">
        <v>25.0</v>
      </c>
      <c r="P21" s="10">
        <v>25.0</v>
      </c>
      <c r="Q21" s="10">
        <v>7.0</v>
      </c>
      <c r="R21" s="10">
        <v>838.05</v>
      </c>
      <c r="S21" s="10">
        <v>35.0</v>
      </c>
      <c r="T21" s="10"/>
      <c r="U21" s="10">
        <v>35.0</v>
      </c>
      <c r="V21" s="10"/>
      <c r="W21" s="12">
        <f t="shared" si="15"/>
        <v>399.2</v>
      </c>
      <c r="X21" s="9">
        <v>0.1</v>
      </c>
      <c r="Y21" s="9">
        <v>3992.0</v>
      </c>
      <c r="Z21" s="10">
        <v>346.0</v>
      </c>
      <c r="AA21" s="9">
        <v>0.65</v>
      </c>
      <c r="AB21" s="10">
        <v>250.0</v>
      </c>
      <c r="AC21" s="12">
        <f t="shared" si="13"/>
        <v>-1840.0862</v>
      </c>
      <c r="AD21" s="12">
        <f>F21*AA21-AB21+150+11+8+27</f>
        <v>1585.95</v>
      </c>
      <c r="AF21" s="5"/>
    </row>
    <row r="22">
      <c r="A22" s="15" t="s">
        <v>38</v>
      </c>
      <c r="B22" s="15">
        <v>7650.0</v>
      </c>
      <c r="C22" s="9">
        <v>5.0</v>
      </c>
      <c r="D22" s="10">
        <f t="shared" si="17"/>
        <v>1.83065057</v>
      </c>
      <c r="E22" s="10">
        <v>10918.0</v>
      </c>
      <c r="F22" s="9">
        <f t="shared" si="18"/>
        <v>5964</v>
      </c>
      <c r="G22" s="9">
        <v>5964.0</v>
      </c>
      <c r="H22" s="9"/>
      <c r="I22" s="12"/>
      <c r="J22" s="12"/>
      <c r="K22" s="12"/>
      <c r="L22" s="12"/>
      <c r="M22" s="11"/>
      <c r="N22" s="12">
        <f t="shared" si="19"/>
        <v>327.54</v>
      </c>
      <c r="O22" s="10">
        <v>25.0</v>
      </c>
      <c r="P22" s="10">
        <v>25.0</v>
      </c>
      <c r="Q22" s="12"/>
      <c r="R22" s="10"/>
      <c r="S22" s="10">
        <v>35.0</v>
      </c>
      <c r="T22" s="10">
        <v>25.0</v>
      </c>
      <c r="U22" s="10">
        <v>35.0</v>
      </c>
      <c r="V22" s="10">
        <v>100.0</v>
      </c>
      <c r="W22" s="12"/>
      <c r="X22" s="12"/>
      <c r="Y22" s="11"/>
      <c r="Z22" s="10">
        <v>400.0</v>
      </c>
      <c r="AA22" s="13">
        <v>0.88</v>
      </c>
      <c r="AB22" s="10">
        <v>0.0</v>
      </c>
      <c r="AC22" s="12">
        <f>E22-I22-J22-K22-M22-N22-O22-P22-AD22</f>
        <v>1532.62</v>
      </c>
      <c r="AD22" s="12">
        <f>E22*AA22-Z22-T22-U22-S22-V22-5</f>
        <v>9007.84</v>
      </c>
      <c r="AF22" s="5"/>
    </row>
    <row r="23">
      <c r="A23" s="16" t="s">
        <v>39</v>
      </c>
      <c r="B23" s="16">
        <v>8.0</v>
      </c>
      <c r="C23" s="17"/>
      <c r="D23" s="18">
        <f>AVERAGE(D15:D22)</f>
        <v>2.249224145</v>
      </c>
      <c r="E23" s="18">
        <f t="shared" ref="E23:Z23" si="21">SUM(E15:E22)</f>
        <v>40071.9</v>
      </c>
      <c r="F23" s="17">
        <f t="shared" si="21"/>
        <v>20200</v>
      </c>
      <c r="G23" s="17">
        <f t="shared" si="21"/>
        <v>19732</v>
      </c>
      <c r="H23" s="17">
        <f t="shared" si="21"/>
        <v>468</v>
      </c>
      <c r="I23" s="18">
        <f t="shared" si="21"/>
        <v>8356</v>
      </c>
      <c r="J23" s="18">
        <f t="shared" si="21"/>
        <v>170.82</v>
      </c>
      <c r="K23" s="18">
        <f t="shared" si="21"/>
        <v>0</v>
      </c>
      <c r="L23" s="18">
        <f t="shared" si="21"/>
        <v>0</v>
      </c>
      <c r="M23" s="18">
        <f t="shared" si="21"/>
        <v>71.75</v>
      </c>
      <c r="N23" s="18">
        <f t="shared" si="21"/>
        <v>1202.157</v>
      </c>
      <c r="O23" s="18">
        <f t="shared" si="21"/>
        <v>150</v>
      </c>
      <c r="P23" s="18">
        <f t="shared" si="21"/>
        <v>150</v>
      </c>
      <c r="Q23" s="18">
        <f t="shared" si="21"/>
        <v>35</v>
      </c>
      <c r="R23" s="18">
        <f t="shared" si="21"/>
        <v>4996.51</v>
      </c>
      <c r="S23" s="18">
        <f t="shared" si="21"/>
        <v>210</v>
      </c>
      <c r="T23" s="18">
        <f t="shared" si="21"/>
        <v>25</v>
      </c>
      <c r="U23" s="18">
        <f t="shared" si="21"/>
        <v>210</v>
      </c>
      <c r="V23" s="18">
        <f t="shared" si="21"/>
        <v>100</v>
      </c>
      <c r="W23" s="18">
        <f t="shared" si="21"/>
        <v>1865.1</v>
      </c>
      <c r="X23" s="17">
        <f t="shared" si="21"/>
        <v>0.6</v>
      </c>
      <c r="Y23" s="17">
        <f t="shared" si="21"/>
        <v>18651</v>
      </c>
      <c r="Z23" s="18">
        <f t="shared" si="21"/>
        <v>2130</v>
      </c>
      <c r="AA23" s="17"/>
      <c r="AB23" s="19">
        <f t="shared" ref="AB23:AD23" si="22">SUM(AB15:AB22)</f>
        <v>1250</v>
      </c>
      <c r="AC23" s="18">
        <f t="shared" si="22"/>
        <v>4255.455</v>
      </c>
      <c r="AD23" s="18">
        <f t="shared" si="22"/>
        <v>16739.108</v>
      </c>
      <c r="AF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/>
      <c r="B25" s="1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</row>
    <row r="26">
      <c r="A26" s="6" t="s">
        <v>1</v>
      </c>
      <c r="B26" s="6" t="s">
        <v>2</v>
      </c>
      <c r="C26" s="6" t="s">
        <v>3</v>
      </c>
      <c r="D26" s="6" t="s">
        <v>4</v>
      </c>
      <c r="E26" s="6" t="s">
        <v>5</v>
      </c>
      <c r="F26" s="6" t="s">
        <v>6</v>
      </c>
      <c r="G26" s="6" t="s">
        <v>7</v>
      </c>
      <c r="H26" s="6" t="s">
        <v>8</v>
      </c>
      <c r="I26" s="6" t="s">
        <v>9</v>
      </c>
      <c r="J26" s="6" t="s">
        <v>10</v>
      </c>
      <c r="K26" s="6" t="s">
        <v>11</v>
      </c>
      <c r="L26" s="6" t="s">
        <v>12</v>
      </c>
      <c r="M26" s="6" t="s">
        <v>13</v>
      </c>
      <c r="N26" s="6" t="s">
        <v>14</v>
      </c>
      <c r="O26" s="6" t="s">
        <v>15</v>
      </c>
      <c r="P26" s="6" t="s">
        <v>16</v>
      </c>
      <c r="Q26" s="6" t="s">
        <v>17</v>
      </c>
      <c r="R26" s="6" t="s">
        <v>18</v>
      </c>
      <c r="S26" s="6" t="s">
        <v>19</v>
      </c>
      <c r="T26" s="6" t="s">
        <v>20</v>
      </c>
      <c r="U26" s="6" t="s">
        <v>21</v>
      </c>
      <c r="V26" s="6" t="s">
        <v>22</v>
      </c>
      <c r="W26" s="7" t="s">
        <v>23</v>
      </c>
      <c r="X26" s="6" t="s">
        <v>24</v>
      </c>
      <c r="Y26" s="6" t="s">
        <v>25</v>
      </c>
      <c r="Z26" s="6" t="s">
        <v>26</v>
      </c>
      <c r="AA26" s="6" t="s">
        <v>27</v>
      </c>
      <c r="AB26" s="6" t="s">
        <v>28</v>
      </c>
      <c r="AC26" s="6" t="s">
        <v>29</v>
      </c>
      <c r="AD26" s="6" t="s">
        <v>30</v>
      </c>
      <c r="AE26" s="5"/>
      <c r="AF26" s="5"/>
    </row>
    <row r="27">
      <c r="A27" s="8" t="s">
        <v>31</v>
      </c>
      <c r="B27" s="8">
        <v>386931.0</v>
      </c>
      <c r="C27" s="9">
        <v>6.0</v>
      </c>
      <c r="D27" s="10">
        <f t="shared" ref="D27:D33" si="23">E27/F27</f>
        <v>1.941523224</v>
      </c>
      <c r="E27" s="10">
        <v>2842.39</v>
      </c>
      <c r="F27" s="9">
        <f t="shared" ref="F27:F33" si="24">SUM(G27:H27)</f>
        <v>1464</v>
      </c>
      <c r="G27" s="9">
        <v>1414.0</v>
      </c>
      <c r="H27" s="9">
        <v>50.0</v>
      </c>
      <c r="I27" s="10">
        <v>1544.95</v>
      </c>
      <c r="J27" s="10">
        <v>351.13</v>
      </c>
      <c r="K27" s="12"/>
      <c r="L27" s="12"/>
      <c r="M27" s="9"/>
      <c r="N27" s="12">
        <f t="shared" ref="N27:N33" si="25">E27*3%</f>
        <v>85.2717</v>
      </c>
      <c r="O27" s="10">
        <v>25.0</v>
      </c>
      <c r="P27" s="10">
        <v>25.0</v>
      </c>
      <c r="Q27" s="10">
        <v>7.0</v>
      </c>
      <c r="R27" s="10">
        <v>1143.65</v>
      </c>
      <c r="S27" s="10">
        <v>35.0</v>
      </c>
      <c r="T27" s="12"/>
      <c r="U27" s="10">
        <v>35.0</v>
      </c>
      <c r="V27" s="10"/>
      <c r="W27" s="12">
        <f t="shared" ref="W27:W32" si="26">Y27*X27</f>
        <v>279.3</v>
      </c>
      <c r="X27" s="9">
        <v>0.1</v>
      </c>
      <c r="Y27" s="9">
        <v>2793.0</v>
      </c>
      <c r="Z27" s="10">
        <v>346.0</v>
      </c>
      <c r="AA27" s="9">
        <v>0.65</v>
      </c>
      <c r="AB27" s="10">
        <v>250.0</v>
      </c>
      <c r="AC27" s="12">
        <f t="shared" ref="AC27:AC32" si="27">E27-I27-J27-K27-M27-N27-O27-P27-Q27-R27-S27-U27-W27-Z27-AD27</f>
        <v>-1704.0117</v>
      </c>
      <c r="AD27" s="12">
        <f>G27*AA27-AB27</f>
        <v>669.1</v>
      </c>
      <c r="AE27" s="5"/>
      <c r="AF27" s="5"/>
    </row>
    <row r="28">
      <c r="A28" s="8" t="s">
        <v>34</v>
      </c>
      <c r="B28" s="8">
        <v>585400.0</v>
      </c>
      <c r="C28" s="9">
        <v>5.0</v>
      </c>
      <c r="D28" s="10">
        <f t="shared" si="23"/>
        <v>2.15417422</v>
      </c>
      <c r="E28" s="10">
        <v>4278.19</v>
      </c>
      <c r="F28" s="9">
        <f t="shared" si="24"/>
        <v>1986</v>
      </c>
      <c r="G28" s="9">
        <v>1913.0</v>
      </c>
      <c r="H28" s="9">
        <v>73.0</v>
      </c>
      <c r="I28" s="10">
        <v>1101.39</v>
      </c>
      <c r="J28" s="10">
        <v>288.0</v>
      </c>
      <c r="K28" s="12"/>
      <c r="L28" s="12"/>
      <c r="M28" s="11"/>
      <c r="N28" s="12">
        <f t="shared" si="25"/>
        <v>128.3457</v>
      </c>
      <c r="O28" s="10">
        <v>25.0</v>
      </c>
      <c r="P28" s="10">
        <v>25.0</v>
      </c>
      <c r="Q28" s="10">
        <v>7.0</v>
      </c>
      <c r="R28" s="10">
        <v>825.69</v>
      </c>
      <c r="S28" s="10">
        <v>35.0</v>
      </c>
      <c r="T28" s="12"/>
      <c r="U28" s="10">
        <v>35.0</v>
      </c>
      <c r="V28" s="10"/>
      <c r="W28" s="12">
        <f t="shared" si="26"/>
        <v>193.1</v>
      </c>
      <c r="X28" s="9">
        <v>0.1</v>
      </c>
      <c r="Y28" s="9">
        <v>1931.0</v>
      </c>
      <c r="Z28" s="10">
        <v>346.0</v>
      </c>
      <c r="AA28" s="13">
        <v>0.3</v>
      </c>
      <c r="AB28" s="10"/>
      <c r="AC28" s="12">
        <f t="shared" si="27"/>
        <v>-33.0527</v>
      </c>
      <c r="AD28" s="12">
        <f>E28*AA28-AB28+15.79+2.47</f>
        <v>1301.717</v>
      </c>
      <c r="AF28" s="5"/>
    </row>
    <row r="29">
      <c r="A29" s="8" t="s">
        <v>49</v>
      </c>
      <c r="B29" s="8">
        <v>204822.0</v>
      </c>
      <c r="C29" s="9">
        <v>2.0</v>
      </c>
      <c r="D29" s="10">
        <f t="shared" si="23"/>
        <v>2.142372567</v>
      </c>
      <c r="E29" s="10">
        <v>2311.62</v>
      </c>
      <c r="F29" s="9">
        <f t="shared" si="24"/>
        <v>1079</v>
      </c>
      <c r="G29" s="9">
        <v>1079.0</v>
      </c>
      <c r="H29" s="9"/>
      <c r="I29" s="10">
        <v>1006.0</v>
      </c>
      <c r="J29" s="10">
        <v>6.9</v>
      </c>
      <c r="K29" s="12"/>
      <c r="L29" s="12"/>
      <c r="M29" s="11"/>
      <c r="N29" s="12">
        <f t="shared" si="25"/>
        <v>69.3486</v>
      </c>
      <c r="O29" s="10">
        <v>25.0</v>
      </c>
      <c r="P29" s="10">
        <v>25.0</v>
      </c>
      <c r="Q29" s="12"/>
      <c r="R29" s="10">
        <v>826.1</v>
      </c>
      <c r="S29" s="10"/>
      <c r="T29" s="12"/>
      <c r="U29" s="10"/>
      <c r="V29" s="10"/>
      <c r="W29" s="12">
        <f t="shared" si="26"/>
        <v>200</v>
      </c>
      <c r="X29" s="9">
        <v>0.1</v>
      </c>
      <c r="Y29" s="9">
        <v>2000.0</v>
      </c>
      <c r="Z29" s="10"/>
      <c r="AA29" s="9">
        <v>0.65</v>
      </c>
      <c r="AB29" s="10"/>
      <c r="AC29" s="12">
        <f t="shared" si="27"/>
        <v>-548.0786</v>
      </c>
      <c r="AD29" s="12">
        <f t="shared" ref="AD29:AD31" si="28">G29*AA29-AB29</f>
        <v>701.35</v>
      </c>
      <c r="AF29" s="5"/>
    </row>
    <row r="30">
      <c r="A30" s="8" t="s">
        <v>36</v>
      </c>
      <c r="B30" s="8">
        <v>344955.0</v>
      </c>
      <c r="C30" s="9">
        <v>6.0</v>
      </c>
      <c r="D30" s="10">
        <f t="shared" si="23"/>
        <v>1.402883574</v>
      </c>
      <c r="E30" s="10">
        <v>6217.58</v>
      </c>
      <c r="F30" s="9">
        <f t="shared" si="24"/>
        <v>4432</v>
      </c>
      <c r="G30" s="9">
        <v>4392.0</v>
      </c>
      <c r="H30" s="9">
        <v>40.0</v>
      </c>
      <c r="I30" s="10">
        <v>1168.04</v>
      </c>
      <c r="J30" s="10">
        <v>136.3</v>
      </c>
      <c r="K30" s="12"/>
      <c r="L30" s="12"/>
      <c r="M30" s="9"/>
      <c r="N30" s="12">
        <f t="shared" si="25"/>
        <v>186.5274</v>
      </c>
      <c r="O30" s="10">
        <v>25.0</v>
      </c>
      <c r="P30" s="10">
        <v>25.0</v>
      </c>
      <c r="Q30" s="10">
        <v>7.0</v>
      </c>
      <c r="R30" s="10">
        <v>824.3</v>
      </c>
      <c r="S30" s="10">
        <v>35.0</v>
      </c>
      <c r="T30" s="10"/>
      <c r="U30" s="10">
        <v>35.0</v>
      </c>
      <c r="V30" s="10"/>
      <c r="W30" s="12">
        <f t="shared" si="26"/>
        <v>170</v>
      </c>
      <c r="X30" s="9">
        <v>0.1</v>
      </c>
      <c r="Y30" s="9">
        <v>1700.0</v>
      </c>
      <c r="Z30" s="10">
        <v>346.0</v>
      </c>
      <c r="AA30" s="9">
        <v>0.65</v>
      </c>
      <c r="AB30" s="10">
        <v>250.0</v>
      </c>
      <c r="AC30" s="12">
        <f t="shared" si="27"/>
        <v>654.6126</v>
      </c>
      <c r="AD30" s="12">
        <f t="shared" si="28"/>
        <v>2604.8</v>
      </c>
      <c r="AF30" s="5"/>
    </row>
    <row r="31">
      <c r="A31" s="8" t="s">
        <v>44</v>
      </c>
      <c r="B31" s="8">
        <v>590053.0</v>
      </c>
      <c r="C31" s="9">
        <v>2.0</v>
      </c>
      <c r="D31" s="10">
        <f t="shared" si="23"/>
        <v>1.791666667</v>
      </c>
      <c r="E31" s="10">
        <v>2150.0</v>
      </c>
      <c r="F31" s="9">
        <f t="shared" si="24"/>
        <v>1200</v>
      </c>
      <c r="G31" s="9">
        <v>1176.0</v>
      </c>
      <c r="H31" s="9">
        <v>24.0</v>
      </c>
      <c r="I31" s="10">
        <v>1267.21</v>
      </c>
      <c r="J31" s="10">
        <v>34.28</v>
      </c>
      <c r="K31" s="12"/>
      <c r="L31" s="12"/>
      <c r="M31" s="10">
        <f>E31*1%</f>
        <v>21.5</v>
      </c>
      <c r="N31" s="12">
        <f t="shared" si="25"/>
        <v>64.5</v>
      </c>
      <c r="O31" s="10">
        <v>25.0</v>
      </c>
      <c r="P31" s="10">
        <v>25.0</v>
      </c>
      <c r="Q31" s="10">
        <v>7.0</v>
      </c>
      <c r="R31" s="10">
        <v>825.75</v>
      </c>
      <c r="S31" s="10">
        <v>35.0</v>
      </c>
      <c r="T31" s="10"/>
      <c r="U31" s="10">
        <v>35.0</v>
      </c>
      <c r="V31" s="10"/>
      <c r="W31" s="12">
        <f t="shared" si="26"/>
        <v>194.2</v>
      </c>
      <c r="X31" s="9">
        <v>0.1</v>
      </c>
      <c r="Y31" s="9">
        <v>1942.0</v>
      </c>
      <c r="Z31" s="10">
        <v>346.0</v>
      </c>
      <c r="AA31" s="9">
        <v>0.65</v>
      </c>
      <c r="AB31" s="10">
        <v>250.0</v>
      </c>
      <c r="AC31" s="12">
        <f t="shared" si="27"/>
        <v>-1244.84</v>
      </c>
      <c r="AD31" s="12">
        <f t="shared" si="28"/>
        <v>514.4</v>
      </c>
      <c r="AF31" s="5"/>
    </row>
    <row r="32">
      <c r="A32" s="8" t="s">
        <v>46</v>
      </c>
      <c r="B32" s="8">
        <v>273294.0</v>
      </c>
      <c r="C32" s="9">
        <v>6.0</v>
      </c>
      <c r="D32" s="10">
        <f t="shared" si="23"/>
        <v>2.419265051</v>
      </c>
      <c r="E32" s="10">
        <v>6188.48</v>
      </c>
      <c r="F32" s="9">
        <f t="shared" si="24"/>
        <v>2558</v>
      </c>
      <c r="G32" s="9">
        <v>2488.0</v>
      </c>
      <c r="H32" s="9">
        <v>70.0</v>
      </c>
      <c r="I32" s="10">
        <v>1886.24</v>
      </c>
      <c r="J32" s="10"/>
      <c r="K32" s="12"/>
      <c r="L32" s="12"/>
      <c r="M32" s="9"/>
      <c r="N32" s="12">
        <f t="shared" si="25"/>
        <v>185.6544</v>
      </c>
      <c r="O32" s="10">
        <v>25.0</v>
      </c>
      <c r="P32" s="10">
        <v>25.0</v>
      </c>
      <c r="Q32" s="10">
        <v>7.0</v>
      </c>
      <c r="R32" s="10">
        <v>833.71</v>
      </c>
      <c r="S32" s="10">
        <v>35.0</v>
      </c>
      <c r="T32" s="10"/>
      <c r="U32" s="10">
        <v>35.0</v>
      </c>
      <c r="V32" s="10"/>
      <c r="W32" s="12">
        <f t="shared" si="26"/>
        <v>326.9</v>
      </c>
      <c r="X32" s="9">
        <v>0.1</v>
      </c>
      <c r="Y32" s="9">
        <v>3269.0</v>
      </c>
      <c r="Z32" s="10">
        <v>346.0</v>
      </c>
      <c r="AA32" s="9">
        <v>0.65</v>
      </c>
      <c r="AB32" s="10">
        <v>250.0</v>
      </c>
      <c r="AC32" s="12">
        <f t="shared" si="27"/>
        <v>1110.5156</v>
      </c>
      <c r="AD32" s="12">
        <f>G32*AA32-AB32+5.26</f>
        <v>1372.46</v>
      </c>
      <c r="AF32" s="5"/>
    </row>
    <row r="33">
      <c r="A33" s="15" t="s">
        <v>38</v>
      </c>
      <c r="B33" s="15">
        <v>7650.0</v>
      </c>
      <c r="C33" s="9">
        <v>5.0</v>
      </c>
      <c r="D33" s="10">
        <f t="shared" si="23"/>
        <v>2.135541775</v>
      </c>
      <c r="E33" s="10">
        <v>3271.65</v>
      </c>
      <c r="F33" s="9">
        <f t="shared" si="24"/>
        <v>1532</v>
      </c>
      <c r="G33" s="9">
        <v>1434.0</v>
      </c>
      <c r="H33" s="9">
        <v>98.0</v>
      </c>
      <c r="I33" s="12"/>
      <c r="J33" s="12"/>
      <c r="K33" s="12"/>
      <c r="L33" s="12"/>
      <c r="M33" s="11"/>
      <c r="N33" s="12">
        <f t="shared" si="25"/>
        <v>98.1495</v>
      </c>
      <c r="O33" s="10">
        <v>25.0</v>
      </c>
      <c r="P33" s="10">
        <v>25.0</v>
      </c>
      <c r="Q33" s="12"/>
      <c r="R33" s="10"/>
      <c r="S33" s="10">
        <v>35.0</v>
      </c>
      <c r="T33" s="10">
        <v>25.0</v>
      </c>
      <c r="U33" s="10">
        <v>35.0</v>
      </c>
      <c r="V33" s="10">
        <v>100.0</v>
      </c>
      <c r="W33" s="12"/>
      <c r="X33" s="12"/>
      <c r="Y33" s="11"/>
      <c r="Z33" s="10">
        <v>400.0</v>
      </c>
      <c r="AA33" s="13">
        <v>0.88</v>
      </c>
      <c r="AB33" s="10">
        <v>0.0</v>
      </c>
      <c r="AC33" s="12">
        <f>E33-I33-J33-K33-M33-N33-O33-P33-AD33</f>
        <v>844.4485</v>
      </c>
      <c r="AD33" s="12">
        <f>E33*AA33-Z33-T33-U33-S33-V33-5</f>
        <v>2279.052</v>
      </c>
      <c r="AF33" s="5"/>
    </row>
    <row r="34">
      <c r="A34" s="16" t="s">
        <v>39</v>
      </c>
      <c r="B34" s="16">
        <v>7.0</v>
      </c>
      <c r="C34" s="17"/>
      <c r="D34" s="18">
        <f>AVERAGE(D27:D33)</f>
        <v>1.998203868</v>
      </c>
      <c r="E34" s="18">
        <f t="shared" ref="E34:Z34" si="29">SUM(E27:E33)</f>
        <v>27259.91</v>
      </c>
      <c r="F34" s="17">
        <f t="shared" si="29"/>
        <v>14251</v>
      </c>
      <c r="G34" s="17">
        <f t="shared" si="29"/>
        <v>13896</v>
      </c>
      <c r="H34" s="17">
        <f t="shared" si="29"/>
        <v>355</v>
      </c>
      <c r="I34" s="18">
        <f t="shared" si="29"/>
        <v>7973.83</v>
      </c>
      <c r="J34" s="18">
        <f t="shared" si="29"/>
        <v>816.61</v>
      </c>
      <c r="K34" s="18">
        <f t="shared" si="29"/>
        <v>0</v>
      </c>
      <c r="L34" s="18">
        <f t="shared" si="29"/>
        <v>0</v>
      </c>
      <c r="M34" s="18">
        <f t="shared" si="29"/>
        <v>21.5</v>
      </c>
      <c r="N34" s="18">
        <f t="shared" si="29"/>
        <v>817.7973</v>
      </c>
      <c r="O34" s="18">
        <f t="shared" si="29"/>
        <v>175</v>
      </c>
      <c r="P34" s="18">
        <f t="shared" si="29"/>
        <v>175</v>
      </c>
      <c r="Q34" s="18">
        <f t="shared" si="29"/>
        <v>35</v>
      </c>
      <c r="R34" s="18">
        <f t="shared" si="29"/>
        <v>5279.2</v>
      </c>
      <c r="S34" s="18">
        <f t="shared" si="29"/>
        <v>210</v>
      </c>
      <c r="T34" s="18">
        <f t="shared" si="29"/>
        <v>25</v>
      </c>
      <c r="U34" s="18">
        <f t="shared" si="29"/>
        <v>210</v>
      </c>
      <c r="V34" s="18">
        <f t="shared" si="29"/>
        <v>100</v>
      </c>
      <c r="W34" s="18">
        <f t="shared" si="29"/>
        <v>1363.5</v>
      </c>
      <c r="X34" s="17">
        <f t="shared" si="29"/>
        <v>0.6</v>
      </c>
      <c r="Y34" s="17">
        <f t="shared" si="29"/>
        <v>13635</v>
      </c>
      <c r="Z34" s="18">
        <f t="shared" si="29"/>
        <v>2130</v>
      </c>
      <c r="AA34" s="17"/>
      <c r="AB34" s="19">
        <f t="shared" ref="AB34:AD34" si="30">SUM(AB27:AB33)</f>
        <v>1000</v>
      </c>
      <c r="AC34" s="18">
        <f t="shared" si="30"/>
        <v>-920.4063</v>
      </c>
      <c r="AD34" s="18">
        <f t="shared" si="30"/>
        <v>9442.879</v>
      </c>
      <c r="AF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/>
      <c r="B36" s="1" t="s">
        <v>50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5"/>
      <c r="AF36" s="5"/>
    </row>
    <row r="37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8</v>
      </c>
      <c r="I37" s="6" t="s">
        <v>9</v>
      </c>
      <c r="J37" s="6" t="s">
        <v>10</v>
      </c>
      <c r="K37" s="6" t="s">
        <v>11</v>
      </c>
      <c r="L37" s="6" t="s">
        <v>12</v>
      </c>
      <c r="M37" s="6" t="s">
        <v>13</v>
      </c>
      <c r="N37" s="6" t="s">
        <v>14</v>
      </c>
      <c r="O37" s="6" t="s">
        <v>15</v>
      </c>
      <c r="P37" s="6" t="s">
        <v>16</v>
      </c>
      <c r="Q37" s="6" t="s">
        <v>17</v>
      </c>
      <c r="R37" s="6" t="s">
        <v>18</v>
      </c>
      <c r="S37" s="6" t="s">
        <v>19</v>
      </c>
      <c r="T37" s="6" t="s">
        <v>20</v>
      </c>
      <c r="U37" s="6" t="s">
        <v>21</v>
      </c>
      <c r="V37" s="6" t="s">
        <v>22</v>
      </c>
      <c r="W37" s="7" t="s">
        <v>23</v>
      </c>
      <c r="X37" s="6" t="s">
        <v>24</v>
      </c>
      <c r="Y37" s="6" t="s">
        <v>25</v>
      </c>
      <c r="Z37" s="6" t="s">
        <v>26</v>
      </c>
      <c r="AA37" s="6" t="s">
        <v>27</v>
      </c>
      <c r="AB37" s="6" t="s">
        <v>28</v>
      </c>
      <c r="AC37" s="6" t="s">
        <v>29</v>
      </c>
      <c r="AD37" s="6" t="s">
        <v>30</v>
      </c>
      <c r="AE37" s="5"/>
      <c r="AF37" s="5"/>
    </row>
    <row r="38">
      <c r="A38" s="8" t="s">
        <v>31</v>
      </c>
      <c r="B38" s="8">
        <v>386931.0</v>
      </c>
      <c r="C38" s="9">
        <v>0.0</v>
      </c>
      <c r="D38" s="10"/>
      <c r="E38" s="10"/>
      <c r="F38" s="9"/>
      <c r="G38" s="9"/>
      <c r="H38" s="9"/>
      <c r="I38" s="10"/>
      <c r="J38" s="10">
        <v>25.0</v>
      </c>
      <c r="K38" s="12"/>
      <c r="L38" s="12"/>
      <c r="M38" s="9"/>
      <c r="N38" s="12">
        <f t="shared" ref="N38:N44" si="31">E38*3%</f>
        <v>0</v>
      </c>
      <c r="O38" s="10">
        <v>25.0</v>
      </c>
      <c r="P38" s="10">
        <v>25.0</v>
      </c>
      <c r="Q38" s="10">
        <v>7.0</v>
      </c>
      <c r="R38" s="10">
        <v>762.5</v>
      </c>
      <c r="S38" s="10">
        <v>35.0</v>
      </c>
      <c r="T38" s="12"/>
      <c r="U38" s="10">
        <v>35.0</v>
      </c>
      <c r="V38" s="10"/>
      <c r="W38" s="12">
        <f t="shared" ref="W38:W43" si="32">Y38*X38</f>
        <v>170</v>
      </c>
      <c r="X38" s="9">
        <v>0.1</v>
      </c>
      <c r="Y38" s="9">
        <v>1700.0</v>
      </c>
      <c r="Z38" s="10">
        <v>346.0</v>
      </c>
      <c r="AA38" s="9">
        <v>0.65</v>
      </c>
      <c r="AB38" s="10"/>
      <c r="AC38" s="12">
        <f t="shared" ref="AC38:AC43" si="33">E38-I38-J38-K38-M38-N38-O38-P38-Q38-R38-S38-U38-W38-Z38-AD38</f>
        <v>-1430.5</v>
      </c>
      <c r="AD38" s="12">
        <f>G38*AA38-AB38</f>
        <v>0</v>
      </c>
      <c r="AE38" s="5"/>
      <c r="AF38" s="5"/>
    </row>
    <row r="39">
      <c r="A39" s="8" t="s">
        <v>34</v>
      </c>
      <c r="B39" s="8">
        <v>585400.0</v>
      </c>
      <c r="C39" s="9">
        <v>5.0</v>
      </c>
      <c r="D39" s="10">
        <f t="shared" ref="D39:D44" si="34">E39/F39</f>
        <v>2.293216104</v>
      </c>
      <c r="E39" s="10">
        <v>4955.64</v>
      </c>
      <c r="F39" s="9">
        <f t="shared" ref="F39:F44" si="35">SUM(G39:H39)</f>
        <v>2161</v>
      </c>
      <c r="G39" s="9">
        <v>2161.0</v>
      </c>
      <c r="H39" s="9"/>
      <c r="I39" s="10">
        <v>2066.79</v>
      </c>
      <c r="J39" s="10">
        <v>105.5</v>
      </c>
      <c r="K39" s="12"/>
      <c r="L39" s="12"/>
      <c r="M39" s="11"/>
      <c r="N39" s="12">
        <f t="shared" si="31"/>
        <v>148.6692</v>
      </c>
      <c r="O39" s="10">
        <v>25.0</v>
      </c>
      <c r="P39" s="10">
        <v>25.0</v>
      </c>
      <c r="Q39" s="10">
        <v>7.0</v>
      </c>
      <c r="R39" s="10">
        <v>846.99</v>
      </c>
      <c r="S39" s="10">
        <v>35.0</v>
      </c>
      <c r="T39" s="12"/>
      <c r="U39" s="10">
        <v>35.0</v>
      </c>
      <c r="V39" s="10"/>
      <c r="W39" s="12">
        <f t="shared" si="32"/>
        <v>548.1</v>
      </c>
      <c r="X39" s="9">
        <v>0.1</v>
      </c>
      <c r="Y39" s="9">
        <v>5481.0</v>
      </c>
      <c r="Z39" s="10">
        <v>346.0</v>
      </c>
      <c r="AA39" s="13">
        <v>0.3</v>
      </c>
      <c r="AB39" s="10"/>
      <c r="AC39" s="12">
        <f t="shared" si="33"/>
        <v>-780.7012</v>
      </c>
      <c r="AD39" s="12">
        <f>E39*AA39-AB39+60.6</f>
        <v>1547.292</v>
      </c>
      <c r="AF39" s="5"/>
    </row>
    <row r="40">
      <c r="A40" s="8" t="s">
        <v>49</v>
      </c>
      <c r="B40" s="8">
        <v>204822.0</v>
      </c>
      <c r="C40" s="9">
        <v>5.0</v>
      </c>
      <c r="D40" s="10">
        <f t="shared" si="34"/>
        <v>1.978805257</v>
      </c>
      <c r="E40" s="10">
        <v>4968.78</v>
      </c>
      <c r="F40" s="9">
        <f t="shared" si="35"/>
        <v>2511</v>
      </c>
      <c r="G40" s="9">
        <v>2241.0</v>
      </c>
      <c r="H40" s="9">
        <v>270.0</v>
      </c>
      <c r="I40" s="10">
        <v>2205.0</v>
      </c>
      <c r="J40" s="10">
        <v>130.76</v>
      </c>
      <c r="K40" s="12"/>
      <c r="L40" s="12"/>
      <c r="M40" s="11"/>
      <c r="N40" s="12">
        <f t="shared" si="31"/>
        <v>149.0634</v>
      </c>
      <c r="O40" s="10">
        <v>25.0</v>
      </c>
      <c r="P40" s="10">
        <v>25.0</v>
      </c>
      <c r="Q40" s="12"/>
      <c r="R40" s="10">
        <v>826.1</v>
      </c>
      <c r="S40" s="10">
        <v>35.0</v>
      </c>
      <c r="T40" s="12"/>
      <c r="U40" s="10">
        <v>35.0</v>
      </c>
      <c r="V40" s="10"/>
      <c r="W40" s="12">
        <f t="shared" si="32"/>
        <v>200</v>
      </c>
      <c r="X40" s="9">
        <v>0.1</v>
      </c>
      <c r="Y40" s="9">
        <v>2000.0</v>
      </c>
      <c r="Z40" s="10">
        <v>346.0</v>
      </c>
      <c r="AA40" s="9">
        <v>0.65</v>
      </c>
      <c r="AB40" s="10">
        <v>500.0</v>
      </c>
      <c r="AC40" s="12">
        <f t="shared" si="33"/>
        <v>-113.2934</v>
      </c>
      <c r="AD40" s="12">
        <f>G40*AA40+H40*0.55-AB40</f>
        <v>1105.15</v>
      </c>
      <c r="AF40" s="5"/>
    </row>
    <row r="41">
      <c r="A41" s="8" t="s">
        <v>36</v>
      </c>
      <c r="B41" s="8">
        <v>344955.0</v>
      </c>
      <c r="C41" s="9">
        <v>4.0</v>
      </c>
      <c r="D41" s="10">
        <f t="shared" si="34"/>
        <v>2.049228472</v>
      </c>
      <c r="E41" s="10">
        <v>4116.9</v>
      </c>
      <c r="F41" s="9">
        <f t="shared" si="35"/>
        <v>2009</v>
      </c>
      <c r="G41" s="9">
        <v>2009.0</v>
      </c>
      <c r="H41" s="9"/>
      <c r="I41" s="10">
        <v>1929.48</v>
      </c>
      <c r="J41" s="10">
        <v>23.1</v>
      </c>
      <c r="K41" s="12"/>
      <c r="L41" s="12"/>
      <c r="M41" s="9"/>
      <c r="N41" s="12">
        <f t="shared" si="31"/>
        <v>123.507</v>
      </c>
      <c r="O41" s="10">
        <v>25.0</v>
      </c>
      <c r="P41" s="10">
        <v>25.0</v>
      </c>
      <c r="Q41" s="10">
        <v>7.0</v>
      </c>
      <c r="R41" s="10">
        <v>843.73</v>
      </c>
      <c r="S41" s="10">
        <v>35.0</v>
      </c>
      <c r="T41" s="10"/>
      <c r="U41" s="10">
        <v>35.0</v>
      </c>
      <c r="V41" s="10"/>
      <c r="W41" s="12">
        <f t="shared" si="32"/>
        <v>493.8</v>
      </c>
      <c r="X41" s="9">
        <v>0.1</v>
      </c>
      <c r="Y41" s="9">
        <v>4938.0</v>
      </c>
      <c r="Z41" s="10">
        <v>346.0</v>
      </c>
      <c r="AA41" s="9">
        <v>0.65</v>
      </c>
      <c r="AB41" s="10">
        <v>250.0</v>
      </c>
      <c r="AC41" s="12">
        <f t="shared" si="33"/>
        <v>-825.567</v>
      </c>
      <c r="AD41" s="12">
        <f>G41*AA41-AB41</f>
        <v>1055.85</v>
      </c>
      <c r="AF41" s="5"/>
    </row>
    <row r="42">
      <c r="A42" s="8" t="s">
        <v>44</v>
      </c>
      <c r="B42" s="8">
        <v>590053.0</v>
      </c>
      <c r="C42" s="9">
        <v>2.0</v>
      </c>
      <c r="D42" s="10">
        <f t="shared" si="34"/>
        <v>1.990047319</v>
      </c>
      <c r="E42" s="10">
        <v>2523.38</v>
      </c>
      <c r="F42" s="9">
        <f t="shared" si="35"/>
        <v>1268</v>
      </c>
      <c r="G42" s="9">
        <v>908.0</v>
      </c>
      <c r="H42" s="9">
        <v>360.0</v>
      </c>
      <c r="I42" s="10">
        <v>613.92</v>
      </c>
      <c r="J42" s="10">
        <v>21.41</v>
      </c>
      <c r="K42" s="12"/>
      <c r="L42" s="12"/>
      <c r="M42" s="9"/>
      <c r="N42" s="12">
        <f t="shared" si="31"/>
        <v>75.7014</v>
      </c>
      <c r="O42" s="10">
        <v>25.0</v>
      </c>
      <c r="P42" s="10">
        <v>25.0</v>
      </c>
      <c r="Q42" s="10">
        <v>7.0</v>
      </c>
      <c r="R42" s="10">
        <v>822.21</v>
      </c>
      <c r="S42" s="10">
        <v>35.0</v>
      </c>
      <c r="T42" s="10"/>
      <c r="U42" s="10">
        <v>35.0</v>
      </c>
      <c r="V42" s="10"/>
      <c r="W42" s="12">
        <f t="shared" si="32"/>
        <v>135.1</v>
      </c>
      <c r="X42" s="9">
        <v>0.1</v>
      </c>
      <c r="Y42" s="9">
        <v>1351.0</v>
      </c>
      <c r="Z42" s="10">
        <v>346.0</v>
      </c>
      <c r="AA42" s="9">
        <v>0.65</v>
      </c>
      <c r="AB42" s="10">
        <v>250.0</v>
      </c>
      <c r="AC42" s="12">
        <f t="shared" si="33"/>
        <v>-160.7914</v>
      </c>
      <c r="AD42" s="12">
        <f>G42*AA42+H42*0.55-AB42+4.63</f>
        <v>542.83</v>
      </c>
      <c r="AF42" s="5"/>
    </row>
    <row r="43">
      <c r="A43" s="8" t="s">
        <v>46</v>
      </c>
      <c r="B43" s="8">
        <v>273294.0</v>
      </c>
      <c r="C43" s="9">
        <v>6.0</v>
      </c>
      <c r="D43" s="10">
        <f t="shared" si="34"/>
        <v>1.852008102</v>
      </c>
      <c r="E43" s="10">
        <v>6400.54</v>
      </c>
      <c r="F43" s="9">
        <f t="shared" si="35"/>
        <v>3456</v>
      </c>
      <c r="G43" s="9">
        <v>2867.0</v>
      </c>
      <c r="H43" s="9">
        <v>589.0</v>
      </c>
      <c r="I43" s="10">
        <v>1094.06</v>
      </c>
      <c r="J43" s="10">
        <v>104.1</v>
      </c>
      <c r="K43" s="12"/>
      <c r="L43" s="12"/>
      <c r="M43" s="9"/>
      <c r="N43" s="12">
        <f t="shared" si="31"/>
        <v>192.0162</v>
      </c>
      <c r="O43" s="10">
        <v>25.0</v>
      </c>
      <c r="P43" s="10">
        <v>25.0</v>
      </c>
      <c r="Q43" s="10">
        <v>7.0</v>
      </c>
      <c r="R43" s="10">
        <v>842.3</v>
      </c>
      <c r="S43" s="10">
        <v>35.0</v>
      </c>
      <c r="T43" s="10"/>
      <c r="U43" s="10">
        <v>35.0</v>
      </c>
      <c r="V43" s="10"/>
      <c r="W43" s="12">
        <f t="shared" si="32"/>
        <v>470</v>
      </c>
      <c r="X43" s="9">
        <v>0.1</v>
      </c>
      <c r="Y43" s="9">
        <v>4700.0</v>
      </c>
      <c r="Z43" s="10">
        <v>346.0</v>
      </c>
      <c r="AA43" s="9">
        <v>0.65</v>
      </c>
      <c r="AB43" s="10">
        <v>250.0</v>
      </c>
      <c r="AC43" s="12">
        <f t="shared" si="33"/>
        <v>1287.5638</v>
      </c>
      <c r="AD43" s="12">
        <f>G43*AA43+H43*0.55-AB43</f>
        <v>1937.5</v>
      </c>
      <c r="AF43" s="5"/>
    </row>
    <row r="44">
      <c r="A44" s="15" t="s">
        <v>38</v>
      </c>
      <c r="B44" s="15">
        <v>7650.0</v>
      </c>
      <c r="C44" s="9">
        <v>5.0</v>
      </c>
      <c r="D44" s="10">
        <f t="shared" si="34"/>
        <v>2.063450914</v>
      </c>
      <c r="E44" s="10">
        <v>4855.3</v>
      </c>
      <c r="F44" s="9">
        <f t="shared" si="35"/>
        <v>2353</v>
      </c>
      <c r="G44" s="9">
        <v>2157.0</v>
      </c>
      <c r="H44" s="9">
        <v>196.0</v>
      </c>
      <c r="I44" s="12"/>
      <c r="J44" s="12"/>
      <c r="K44" s="12"/>
      <c r="L44" s="12"/>
      <c r="M44" s="11"/>
      <c r="N44" s="12">
        <f t="shared" si="31"/>
        <v>145.659</v>
      </c>
      <c r="O44" s="10">
        <v>25.0</v>
      </c>
      <c r="P44" s="10">
        <v>25.0</v>
      </c>
      <c r="Q44" s="12"/>
      <c r="R44" s="10"/>
      <c r="S44" s="10">
        <v>35.0</v>
      </c>
      <c r="T44" s="10">
        <v>25.0</v>
      </c>
      <c r="U44" s="10">
        <v>35.0</v>
      </c>
      <c r="V44" s="10">
        <v>100.0</v>
      </c>
      <c r="W44" s="12"/>
      <c r="X44" s="12"/>
      <c r="Y44" s="11"/>
      <c r="Z44" s="10">
        <v>400.0</v>
      </c>
      <c r="AA44" s="13">
        <v>0.88</v>
      </c>
      <c r="AB44" s="10">
        <v>0.0</v>
      </c>
      <c r="AC44" s="12">
        <f>E44-I44-J44-K44-M44-N44-O44-P44-AD44</f>
        <v>986.977</v>
      </c>
      <c r="AD44" s="12">
        <f>E44*AA44-Z44-T44-U44-S44-V44-5</f>
        <v>3672.664</v>
      </c>
      <c r="AF44" s="5"/>
    </row>
    <row r="45">
      <c r="A45" s="16" t="s">
        <v>39</v>
      </c>
      <c r="B45" s="16">
        <v>7.0</v>
      </c>
      <c r="C45" s="17"/>
      <c r="D45" s="18">
        <f>AVERAGE(D38:D44)</f>
        <v>2.037792694</v>
      </c>
      <c r="E45" s="18">
        <f t="shared" ref="E45:Z45" si="36">SUM(E38:E44)</f>
        <v>27820.54</v>
      </c>
      <c r="F45" s="17">
        <f t="shared" si="36"/>
        <v>13758</v>
      </c>
      <c r="G45" s="17">
        <f t="shared" si="36"/>
        <v>12343</v>
      </c>
      <c r="H45" s="17">
        <f t="shared" si="36"/>
        <v>1415</v>
      </c>
      <c r="I45" s="18">
        <f t="shared" si="36"/>
        <v>7909.25</v>
      </c>
      <c r="J45" s="18">
        <f t="shared" si="36"/>
        <v>409.87</v>
      </c>
      <c r="K45" s="18">
        <f t="shared" si="36"/>
        <v>0</v>
      </c>
      <c r="L45" s="18">
        <f t="shared" si="36"/>
        <v>0</v>
      </c>
      <c r="M45" s="18">
        <f t="shared" si="36"/>
        <v>0</v>
      </c>
      <c r="N45" s="18">
        <f t="shared" si="36"/>
        <v>834.6162</v>
      </c>
      <c r="O45" s="18">
        <f t="shared" si="36"/>
        <v>175</v>
      </c>
      <c r="P45" s="18">
        <f t="shared" si="36"/>
        <v>175</v>
      </c>
      <c r="Q45" s="18">
        <f t="shared" si="36"/>
        <v>35</v>
      </c>
      <c r="R45" s="18">
        <f t="shared" si="36"/>
        <v>4943.83</v>
      </c>
      <c r="S45" s="18">
        <f t="shared" si="36"/>
        <v>245</v>
      </c>
      <c r="T45" s="18">
        <f t="shared" si="36"/>
        <v>25</v>
      </c>
      <c r="U45" s="18">
        <f t="shared" si="36"/>
        <v>245</v>
      </c>
      <c r="V45" s="18">
        <f t="shared" si="36"/>
        <v>100</v>
      </c>
      <c r="W45" s="18">
        <f t="shared" si="36"/>
        <v>2017</v>
      </c>
      <c r="X45" s="17">
        <f t="shared" si="36"/>
        <v>0.6</v>
      </c>
      <c r="Y45" s="17">
        <f t="shared" si="36"/>
        <v>20170</v>
      </c>
      <c r="Z45" s="18">
        <f t="shared" si="36"/>
        <v>2476</v>
      </c>
      <c r="AA45" s="17"/>
      <c r="AB45" s="19">
        <f t="shared" ref="AB45:AD45" si="37">SUM(AB38:AB44)</f>
        <v>1250</v>
      </c>
      <c r="AC45" s="18">
        <f t="shared" si="37"/>
        <v>-1036.3122</v>
      </c>
      <c r="AD45" s="18">
        <f t="shared" si="37"/>
        <v>9861.286</v>
      </c>
      <c r="AF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</sheetData>
  <mergeCells count="4">
    <mergeCell ref="B1:AD1"/>
    <mergeCell ref="B13:AD13"/>
    <mergeCell ref="B25:AD25"/>
    <mergeCell ref="B36:AD36"/>
  </mergeCells>
  <conditionalFormatting sqref="U2:U12 U14:U24 U26:U35 U37:U961">
    <cfRule type="cellIs" dxfId="0" priority="1" operator="equal">
      <formula>sum(U,U)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5"/>
    <col customWidth="1" min="12" max="12" width="11.5"/>
    <col customWidth="1" min="13" max="13" width="16.25"/>
    <col customWidth="1" min="14" max="18" width="16.5"/>
    <col customWidth="1" min="21" max="22" width="16.13"/>
    <col customWidth="1" min="23" max="23" width="11.88"/>
  </cols>
  <sheetData>
    <row r="1">
      <c r="A1" s="1"/>
      <c r="B1" s="1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7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5"/>
      <c r="AF2" s="5"/>
    </row>
    <row r="3">
      <c r="A3" s="8" t="s">
        <v>31</v>
      </c>
      <c r="B3" s="8">
        <v>386931.0</v>
      </c>
      <c r="C3" s="9">
        <v>5.0</v>
      </c>
      <c r="D3" s="10">
        <f t="shared" ref="D3:D6" si="1">E3/F3</f>
        <v>2.244991029</v>
      </c>
      <c r="E3" s="10">
        <v>7507.25</v>
      </c>
      <c r="F3" s="9">
        <f t="shared" ref="F3:F6" si="2">SUM(G3:H3)</f>
        <v>3344</v>
      </c>
      <c r="G3" s="9">
        <v>3344.0</v>
      </c>
      <c r="H3" s="9"/>
      <c r="I3" s="10">
        <v>2409.92</v>
      </c>
      <c r="J3" s="10">
        <v>32.0</v>
      </c>
      <c r="K3" s="12"/>
      <c r="L3" s="12"/>
      <c r="M3" s="9"/>
      <c r="N3" s="12">
        <f t="shared" ref="N3:N9" si="3">E3*3%</f>
        <v>225.2175</v>
      </c>
      <c r="O3" s="10">
        <v>25.0</v>
      </c>
      <c r="P3" s="10">
        <v>25.0</v>
      </c>
      <c r="Q3" s="10">
        <v>7.0</v>
      </c>
      <c r="R3" s="10">
        <v>827.91</v>
      </c>
      <c r="S3" s="10">
        <v>35.0</v>
      </c>
      <c r="T3" s="12"/>
      <c r="U3" s="10">
        <v>35.0</v>
      </c>
      <c r="V3" s="10"/>
      <c r="W3" s="12">
        <f t="shared" ref="W3:W8" si="4">Y3*X3</f>
        <v>230.1</v>
      </c>
      <c r="X3" s="9">
        <v>0.1</v>
      </c>
      <c r="Y3" s="9">
        <v>2301.0</v>
      </c>
      <c r="Z3" s="10">
        <v>346.0</v>
      </c>
      <c r="AA3" s="9">
        <v>0.65</v>
      </c>
      <c r="AB3" s="10">
        <v>250.0</v>
      </c>
      <c r="AC3" s="12">
        <f t="shared" ref="AC3:AC8" si="5">E3-I3-J3-K3-M3-N3-O3-P3-Q3-R3-S3-U3-W3-Z3-AD3</f>
        <v>1385.5025</v>
      </c>
      <c r="AD3" s="12">
        <f>G3*AA3-AB3</f>
        <v>1923.6</v>
      </c>
      <c r="AE3" s="5"/>
      <c r="AF3" s="5"/>
    </row>
    <row r="4">
      <c r="A4" s="8" t="s">
        <v>34</v>
      </c>
      <c r="B4" s="8">
        <v>585400.0</v>
      </c>
      <c r="C4" s="9">
        <v>7.0</v>
      </c>
      <c r="D4" s="10">
        <f t="shared" si="1"/>
        <v>2.244608072</v>
      </c>
      <c r="E4" s="10">
        <v>13458.67</v>
      </c>
      <c r="F4" s="9">
        <f t="shared" si="2"/>
        <v>5996</v>
      </c>
      <c r="G4" s="9">
        <v>5996.0</v>
      </c>
      <c r="H4" s="9"/>
      <c r="I4" s="10">
        <v>2787.78</v>
      </c>
      <c r="J4" s="10">
        <v>262.65</v>
      </c>
      <c r="K4" s="12"/>
      <c r="L4" s="12"/>
      <c r="M4" s="11"/>
      <c r="N4" s="12">
        <f t="shared" si="3"/>
        <v>403.7601</v>
      </c>
      <c r="O4" s="10">
        <v>25.0</v>
      </c>
      <c r="P4" s="10">
        <v>25.0</v>
      </c>
      <c r="Q4" s="10">
        <v>7.0</v>
      </c>
      <c r="R4" s="10">
        <v>830.21</v>
      </c>
      <c r="S4" s="10">
        <v>35.0</v>
      </c>
      <c r="T4" s="12"/>
      <c r="U4" s="10">
        <v>35.0</v>
      </c>
      <c r="V4" s="10"/>
      <c r="W4" s="12">
        <f t="shared" si="4"/>
        <v>268.5</v>
      </c>
      <c r="X4" s="9">
        <v>0.1</v>
      </c>
      <c r="Y4" s="9">
        <v>2685.0</v>
      </c>
      <c r="Z4" s="10">
        <v>346.0</v>
      </c>
      <c r="AA4" s="13">
        <v>0.3</v>
      </c>
      <c r="AB4" s="10"/>
      <c r="AC4" s="12">
        <f t="shared" si="5"/>
        <v>4395.1689</v>
      </c>
      <c r="AD4" s="12">
        <f>E4*AA4-AB4</f>
        <v>4037.601</v>
      </c>
      <c r="AF4" s="5"/>
    </row>
    <row r="5">
      <c r="A5" s="8" t="s">
        <v>49</v>
      </c>
      <c r="B5" s="8">
        <v>204822.0</v>
      </c>
      <c r="C5" s="9">
        <v>5.0</v>
      </c>
      <c r="D5" s="10">
        <f t="shared" si="1"/>
        <v>2.24904918</v>
      </c>
      <c r="E5" s="10">
        <v>6859.6</v>
      </c>
      <c r="F5" s="9">
        <f t="shared" si="2"/>
        <v>3050</v>
      </c>
      <c r="G5" s="9">
        <v>2750.0</v>
      </c>
      <c r="H5" s="9">
        <v>300.0</v>
      </c>
      <c r="I5" s="10">
        <v>1859.73</v>
      </c>
      <c r="J5" s="10">
        <v>95.66</v>
      </c>
      <c r="K5" s="12"/>
      <c r="L5" s="12"/>
      <c r="M5" s="11"/>
      <c r="N5" s="12">
        <f t="shared" si="3"/>
        <v>205.788</v>
      </c>
      <c r="O5" s="10">
        <v>25.0</v>
      </c>
      <c r="P5" s="10">
        <v>25.0</v>
      </c>
      <c r="Q5" s="10">
        <v>7.0</v>
      </c>
      <c r="R5" s="10">
        <v>826.1</v>
      </c>
      <c r="S5" s="10">
        <v>35.0</v>
      </c>
      <c r="T5" s="12"/>
      <c r="U5" s="10">
        <v>35.0</v>
      </c>
      <c r="V5" s="10"/>
      <c r="W5" s="12">
        <f t="shared" si="4"/>
        <v>200</v>
      </c>
      <c r="X5" s="9">
        <v>0.1</v>
      </c>
      <c r="Y5" s="9">
        <v>2000.0</v>
      </c>
      <c r="Z5" s="10">
        <v>346.0</v>
      </c>
      <c r="AA5" s="9">
        <v>0.65</v>
      </c>
      <c r="AB5" s="10">
        <v>250.0</v>
      </c>
      <c r="AC5" s="12">
        <f t="shared" si="5"/>
        <v>1496.822</v>
      </c>
      <c r="AD5" s="12">
        <f>G5*AA5+H5*0.55-AB5</f>
        <v>1702.5</v>
      </c>
      <c r="AF5" s="5"/>
    </row>
    <row r="6">
      <c r="A6" s="8" t="s">
        <v>36</v>
      </c>
      <c r="B6" s="8">
        <v>344955.0</v>
      </c>
      <c r="C6" s="9">
        <v>5.0</v>
      </c>
      <c r="D6" s="10">
        <f t="shared" si="1"/>
        <v>2.181157407</v>
      </c>
      <c r="E6" s="10">
        <v>7066.95</v>
      </c>
      <c r="F6" s="9">
        <f t="shared" si="2"/>
        <v>3240</v>
      </c>
      <c r="G6" s="9">
        <v>3240.0</v>
      </c>
      <c r="H6" s="9"/>
      <c r="I6" s="10">
        <v>794.02</v>
      </c>
      <c r="J6" s="10">
        <v>164.58</v>
      </c>
      <c r="K6" s="12"/>
      <c r="L6" s="12"/>
      <c r="M6" s="9"/>
      <c r="N6" s="12">
        <f t="shared" si="3"/>
        <v>212.0085</v>
      </c>
      <c r="O6" s="10">
        <v>25.0</v>
      </c>
      <c r="P6" s="10">
        <v>25.0</v>
      </c>
      <c r="Q6" s="10">
        <v>7.0</v>
      </c>
      <c r="R6" s="10">
        <v>821.9</v>
      </c>
      <c r="S6" s="10">
        <v>35.0</v>
      </c>
      <c r="T6" s="10"/>
      <c r="U6" s="10">
        <v>35.0</v>
      </c>
      <c r="V6" s="10"/>
      <c r="W6" s="12">
        <f t="shared" si="4"/>
        <v>130</v>
      </c>
      <c r="X6" s="9">
        <v>0.1</v>
      </c>
      <c r="Y6" s="9">
        <v>1300.0</v>
      </c>
      <c r="Z6" s="10">
        <v>346.0</v>
      </c>
      <c r="AA6" s="9">
        <v>0.65</v>
      </c>
      <c r="AB6" s="10">
        <v>250.0</v>
      </c>
      <c r="AC6" s="12">
        <f t="shared" si="5"/>
        <v>2615.4415</v>
      </c>
      <c r="AD6" s="12">
        <f>G6*AA6-AB6</f>
        <v>1856</v>
      </c>
      <c r="AF6" s="5"/>
    </row>
    <row r="7">
      <c r="A7" s="8" t="s">
        <v>44</v>
      </c>
      <c r="B7" s="8">
        <v>590053.0</v>
      </c>
      <c r="C7" s="9"/>
      <c r="D7" s="10"/>
      <c r="E7" s="10"/>
      <c r="F7" s="9"/>
      <c r="G7" s="9"/>
      <c r="H7" s="9"/>
      <c r="I7" s="10"/>
      <c r="J7" s="10"/>
      <c r="K7" s="12"/>
      <c r="L7" s="12"/>
      <c r="M7" s="9"/>
      <c r="N7" s="12">
        <f t="shared" si="3"/>
        <v>0</v>
      </c>
      <c r="O7" s="10">
        <v>25.0</v>
      </c>
      <c r="P7" s="10">
        <v>25.0</v>
      </c>
      <c r="Q7" s="10">
        <v>7.0</v>
      </c>
      <c r="R7" s="10">
        <v>828.05</v>
      </c>
      <c r="S7" s="10">
        <v>35.0</v>
      </c>
      <c r="T7" s="10"/>
      <c r="U7" s="10">
        <v>35.0</v>
      </c>
      <c r="V7" s="10"/>
      <c r="W7" s="12">
        <f t="shared" si="4"/>
        <v>232.5</v>
      </c>
      <c r="X7" s="9">
        <v>0.1</v>
      </c>
      <c r="Y7" s="9">
        <v>2325.0</v>
      </c>
      <c r="Z7" s="10">
        <v>346.0</v>
      </c>
      <c r="AA7" s="9">
        <v>0.65</v>
      </c>
      <c r="AB7" s="10"/>
      <c r="AC7" s="12">
        <f t="shared" si="5"/>
        <v>-1533.55</v>
      </c>
      <c r="AD7" s="12"/>
      <c r="AF7" s="5"/>
    </row>
    <row r="8">
      <c r="A8" s="8" t="s">
        <v>46</v>
      </c>
      <c r="B8" s="8">
        <v>273294.0</v>
      </c>
      <c r="C8" s="9">
        <v>3.0</v>
      </c>
      <c r="D8" s="10">
        <f>E8/F8</f>
        <v>2.001586621</v>
      </c>
      <c r="E8" s="10">
        <v>2333.85</v>
      </c>
      <c r="F8" s="9">
        <f>SUM(G8:H8)</f>
        <v>1166</v>
      </c>
      <c r="G8" s="9">
        <v>1116.0</v>
      </c>
      <c r="H8" s="9">
        <v>50.0</v>
      </c>
      <c r="I8" s="10">
        <v>1855.7</v>
      </c>
      <c r="J8" s="10">
        <v>98.12</v>
      </c>
      <c r="K8" s="10"/>
      <c r="L8" s="12"/>
      <c r="M8" s="9"/>
      <c r="N8" s="12">
        <f t="shared" si="3"/>
        <v>70.0155</v>
      </c>
      <c r="O8" s="10">
        <v>25.0</v>
      </c>
      <c r="P8" s="10">
        <v>25.0</v>
      </c>
      <c r="Q8" s="10">
        <v>7.0</v>
      </c>
      <c r="R8" s="10">
        <v>844.85</v>
      </c>
      <c r="S8" s="10">
        <v>35.0</v>
      </c>
      <c r="T8" s="10"/>
      <c r="U8" s="10">
        <v>35.0</v>
      </c>
      <c r="V8" s="10"/>
      <c r="W8" s="12">
        <f t="shared" si="4"/>
        <v>512.5</v>
      </c>
      <c r="X8" s="9">
        <v>0.1</v>
      </c>
      <c r="Y8" s="9">
        <v>5125.0</v>
      </c>
      <c r="Z8" s="10">
        <v>346.0</v>
      </c>
      <c r="AA8" s="9">
        <v>0.65</v>
      </c>
      <c r="AB8" s="10">
        <v>250.0</v>
      </c>
      <c r="AC8" s="12">
        <f t="shared" si="5"/>
        <v>-2023.2355</v>
      </c>
      <c r="AD8" s="12">
        <f>G8*AA8+H8*0.55-AB8</f>
        <v>502.9</v>
      </c>
      <c r="AF8" s="5"/>
    </row>
    <row r="9">
      <c r="A9" s="15" t="s">
        <v>38</v>
      </c>
      <c r="B9" s="15">
        <v>7650.0</v>
      </c>
      <c r="C9" s="9"/>
      <c r="D9" s="10"/>
      <c r="E9" s="10"/>
      <c r="F9" s="9"/>
      <c r="G9" s="9"/>
      <c r="H9" s="9"/>
      <c r="I9" s="12"/>
      <c r="J9" s="12"/>
      <c r="K9" s="12"/>
      <c r="L9" s="12"/>
      <c r="M9" s="11"/>
      <c r="N9" s="12">
        <f t="shared" si="3"/>
        <v>0</v>
      </c>
      <c r="O9" s="10">
        <v>25.0</v>
      </c>
      <c r="P9" s="10">
        <v>25.0</v>
      </c>
      <c r="Q9" s="12"/>
      <c r="R9" s="10"/>
      <c r="S9" s="10">
        <v>35.0</v>
      </c>
      <c r="T9" s="10">
        <v>25.0</v>
      </c>
      <c r="U9" s="10">
        <v>35.0</v>
      </c>
      <c r="V9" s="10">
        <v>100.0</v>
      </c>
      <c r="W9" s="12"/>
      <c r="X9" s="12"/>
      <c r="Y9" s="11"/>
      <c r="Z9" s="10">
        <v>400.0</v>
      </c>
      <c r="AA9" s="13">
        <v>0.88</v>
      </c>
      <c r="AB9" s="10">
        <v>0.0</v>
      </c>
      <c r="AC9" s="11"/>
      <c r="AD9" s="12">
        <f>E9*AA9-Z9-T9-U9-S9-V9-5</f>
        <v>-600</v>
      </c>
      <c r="AF9" s="5"/>
    </row>
    <row r="10">
      <c r="A10" s="16" t="s">
        <v>39</v>
      </c>
      <c r="B10" s="16">
        <v>7.0</v>
      </c>
      <c r="C10" s="17"/>
      <c r="D10" s="18">
        <f>AVERAGE(D3:D9)</f>
        <v>2.184278462</v>
      </c>
      <c r="E10" s="18">
        <f t="shared" ref="E10:Z10" si="6">SUM(E3:E9)</f>
        <v>37226.32</v>
      </c>
      <c r="F10" s="17">
        <f t="shared" si="6"/>
        <v>16796</v>
      </c>
      <c r="G10" s="17">
        <f t="shared" si="6"/>
        <v>16446</v>
      </c>
      <c r="H10" s="17">
        <f t="shared" si="6"/>
        <v>350</v>
      </c>
      <c r="I10" s="18">
        <f t="shared" si="6"/>
        <v>9707.15</v>
      </c>
      <c r="J10" s="18">
        <f t="shared" si="6"/>
        <v>653.01</v>
      </c>
      <c r="K10" s="18">
        <f t="shared" si="6"/>
        <v>0</v>
      </c>
      <c r="L10" s="18">
        <f t="shared" si="6"/>
        <v>0</v>
      </c>
      <c r="M10" s="18">
        <f t="shared" si="6"/>
        <v>0</v>
      </c>
      <c r="N10" s="18">
        <f t="shared" si="6"/>
        <v>1116.7896</v>
      </c>
      <c r="O10" s="18">
        <f t="shared" si="6"/>
        <v>175</v>
      </c>
      <c r="P10" s="18">
        <f t="shared" si="6"/>
        <v>175</v>
      </c>
      <c r="Q10" s="18">
        <f t="shared" si="6"/>
        <v>42</v>
      </c>
      <c r="R10" s="18">
        <f t="shared" si="6"/>
        <v>4979.02</v>
      </c>
      <c r="S10" s="18">
        <f t="shared" si="6"/>
        <v>245</v>
      </c>
      <c r="T10" s="18">
        <f t="shared" si="6"/>
        <v>25</v>
      </c>
      <c r="U10" s="18">
        <f t="shared" si="6"/>
        <v>245</v>
      </c>
      <c r="V10" s="18">
        <f t="shared" si="6"/>
        <v>100</v>
      </c>
      <c r="W10" s="18">
        <f t="shared" si="6"/>
        <v>1573.6</v>
      </c>
      <c r="X10" s="17">
        <f t="shared" si="6"/>
        <v>0.6</v>
      </c>
      <c r="Y10" s="17">
        <f t="shared" si="6"/>
        <v>15736</v>
      </c>
      <c r="Z10" s="18">
        <f t="shared" si="6"/>
        <v>2476</v>
      </c>
      <c r="AA10" s="17"/>
      <c r="AB10" s="19">
        <f t="shared" ref="AB10:AD10" si="7">SUM(AB3:AB9)</f>
        <v>1000</v>
      </c>
      <c r="AC10" s="18">
        <f t="shared" si="7"/>
        <v>6336.1494</v>
      </c>
      <c r="AD10" s="18">
        <f t="shared" si="7"/>
        <v>9422.601</v>
      </c>
      <c r="AF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1"/>
      <c r="B12" s="1" t="s">
        <v>52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</row>
    <row r="13">
      <c r="A13" s="6" t="s">
        <v>1</v>
      </c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6" t="s">
        <v>7</v>
      </c>
      <c r="H13" s="6" t="s">
        <v>8</v>
      </c>
      <c r="I13" s="6" t="s">
        <v>9</v>
      </c>
      <c r="J13" s="6" t="s">
        <v>10</v>
      </c>
      <c r="K13" s="6" t="s">
        <v>11</v>
      </c>
      <c r="L13" s="6" t="s">
        <v>12</v>
      </c>
      <c r="M13" s="6" t="s">
        <v>13</v>
      </c>
      <c r="N13" s="6" t="s">
        <v>14</v>
      </c>
      <c r="O13" s="6" t="s">
        <v>15</v>
      </c>
      <c r="P13" s="6" t="s">
        <v>16</v>
      </c>
      <c r="Q13" s="6" t="s">
        <v>17</v>
      </c>
      <c r="R13" s="6" t="s">
        <v>18</v>
      </c>
      <c r="S13" s="6" t="s">
        <v>19</v>
      </c>
      <c r="T13" s="6" t="s">
        <v>20</v>
      </c>
      <c r="U13" s="6" t="s">
        <v>21</v>
      </c>
      <c r="V13" s="6" t="s">
        <v>22</v>
      </c>
      <c r="W13" s="7" t="s">
        <v>23</v>
      </c>
      <c r="X13" s="6" t="s">
        <v>24</v>
      </c>
      <c r="Y13" s="6" t="s">
        <v>25</v>
      </c>
      <c r="Z13" s="6" t="s">
        <v>26</v>
      </c>
      <c r="AA13" s="6" t="s">
        <v>27</v>
      </c>
      <c r="AB13" s="6" t="s">
        <v>28</v>
      </c>
      <c r="AC13" s="6" t="s">
        <v>29</v>
      </c>
      <c r="AD13" s="6" t="s">
        <v>30</v>
      </c>
      <c r="AE13" s="5"/>
      <c r="AF13" s="5"/>
    </row>
    <row r="14">
      <c r="A14" s="8" t="s">
        <v>31</v>
      </c>
      <c r="B14" s="8">
        <v>386931.0</v>
      </c>
      <c r="C14" s="9">
        <v>6.0</v>
      </c>
      <c r="D14" s="10">
        <f t="shared" ref="D14:D15" si="8">E14/F14</f>
        <v>2.369937552</v>
      </c>
      <c r="E14" s="10">
        <v>5692.59</v>
      </c>
      <c r="F14" s="9">
        <f t="shared" ref="F14:F15" si="9">SUM(G14:H14)</f>
        <v>2402</v>
      </c>
      <c r="G14" s="9">
        <v>2072.0</v>
      </c>
      <c r="H14" s="9">
        <v>330.0</v>
      </c>
      <c r="I14" s="10">
        <v>2465.79</v>
      </c>
      <c r="J14" s="10">
        <v>105.01</v>
      </c>
      <c r="K14" s="12"/>
      <c r="L14" s="12"/>
      <c r="M14" s="9"/>
      <c r="N14" s="12">
        <f t="shared" ref="N14:N15" si="10">E14*3%</f>
        <v>170.7777</v>
      </c>
      <c r="O14" s="10">
        <v>25.0</v>
      </c>
      <c r="P14" s="10">
        <v>25.0</v>
      </c>
      <c r="Q14" s="10">
        <v>7.0</v>
      </c>
      <c r="R14" s="10">
        <v>836.53</v>
      </c>
      <c r="S14" s="10">
        <v>35.0</v>
      </c>
      <c r="T14" s="12"/>
      <c r="U14" s="10">
        <v>35.0</v>
      </c>
      <c r="V14" s="10"/>
      <c r="W14" s="12">
        <f t="shared" ref="W14:W20" si="11">Y14*X14</f>
        <v>373.9</v>
      </c>
      <c r="X14" s="9">
        <v>0.1</v>
      </c>
      <c r="Y14" s="9">
        <v>3739.0</v>
      </c>
      <c r="Z14" s="10">
        <v>346.0</v>
      </c>
      <c r="AA14" s="9">
        <v>0.65</v>
      </c>
      <c r="AB14" s="10">
        <v>250.0</v>
      </c>
      <c r="AC14" s="12">
        <f t="shared" ref="AC14:AC20" si="12">E14-I14-J14-K14-M14-N14-O14-P14-Q14-R14-S14-U14-W14-Z14-AD14</f>
        <v>-10.7177</v>
      </c>
      <c r="AD14" s="12">
        <f>(G14*AA14)+(H14*0.55)-AB14</f>
        <v>1278.3</v>
      </c>
      <c r="AE14" s="5"/>
      <c r="AF14" s="5"/>
    </row>
    <row r="15">
      <c r="A15" s="8" t="s">
        <v>34</v>
      </c>
      <c r="B15" s="8">
        <v>585400.0</v>
      </c>
      <c r="C15" s="9">
        <v>1.0</v>
      </c>
      <c r="D15" s="10">
        <f t="shared" si="8"/>
        <v>2.115576324</v>
      </c>
      <c r="E15" s="10">
        <v>679.1</v>
      </c>
      <c r="F15" s="9">
        <f t="shared" si="9"/>
        <v>321</v>
      </c>
      <c r="G15" s="9">
        <v>321.0</v>
      </c>
      <c r="H15" s="9"/>
      <c r="I15" s="10"/>
      <c r="J15" s="10"/>
      <c r="K15" s="12"/>
      <c r="L15" s="12"/>
      <c r="M15" s="11"/>
      <c r="N15" s="12">
        <f t="shared" si="10"/>
        <v>20.373</v>
      </c>
      <c r="O15" s="10">
        <v>25.0</v>
      </c>
      <c r="P15" s="10">
        <v>25.0</v>
      </c>
      <c r="Q15" s="10">
        <v>7.0</v>
      </c>
      <c r="R15" s="10">
        <v>817.66</v>
      </c>
      <c r="S15" s="10">
        <v>35.0</v>
      </c>
      <c r="T15" s="12"/>
      <c r="U15" s="10">
        <v>35.0</v>
      </c>
      <c r="V15" s="10"/>
      <c r="W15" s="12">
        <f t="shared" si="11"/>
        <v>59.3</v>
      </c>
      <c r="X15" s="9">
        <v>0.1</v>
      </c>
      <c r="Y15" s="9">
        <v>593.0</v>
      </c>
      <c r="Z15" s="10">
        <v>346.0</v>
      </c>
      <c r="AA15" s="13">
        <v>0.3</v>
      </c>
      <c r="AB15" s="10"/>
      <c r="AC15" s="12">
        <f t="shared" si="12"/>
        <v>-894.963</v>
      </c>
      <c r="AD15" s="12">
        <f t="shared" ref="AD15:AD16" si="13">E15*AA15-AB15</f>
        <v>203.73</v>
      </c>
      <c r="AE15" s="5"/>
      <c r="AF15" s="5"/>
    </row>
    <row r="16">
      <c r="A16" s="8" t="s">
        <v>53</v>
      </c>
      <c r="B16" s="8">
        <v>585615.0</v>
      </c>
      <c r="C16" s="9"/>
      <c r="D16" s="10"/>
      <c r="E16" s="10"/>
      <c r="F16" s="9"/>
      <c r="G16" s="9"/>
      <c r="H16" s="9"/>
      <c r="I16" s="10">
        <v>1260.33</v>
      </c>
      <c r="J16" s="10"/>
      <c r="K16" s="12"/>
      <c r="L16" s="12"/>
      <c r="M16" s="11"/>
      <c r="N16" s="11"/>
      <c r="O16" s="10"/>
      <c r="P16" s="10"/>
      <c r="Q16" s="10"/>
      <c r="R16" s="10">
        <v>839.5</v>
      </c>
      <c r="S16" s="10"/>
      <c r="T16" s="12"/>
      <c r="U16" s="10"/>
      <c r="V16" s="10"/>
      <c r="W16" s="12">
        <f t="shared" si="11"/>
        <v>300</v>
      </c>
      <c r="X16" s="9">
        <v>0.1</v>
      </c>
      <c r="Y16" s="9">
        <v>3000.0</v>
      </c>
      <c r="Z16" s="10"/>
      <c r="AA16" s="13">
        <v>0.3</v>
      </c>
      <c r="AB16" s="10"/>
      <c r="AC16" s="12">
        <f t="shared" si="12"/>
        <v>-2399.83</v>
      </c>
      <c r="AD16" s="12">
        <f t="shared" si="13"/>
        <v>0</v>
      </c>
      <c r="AE16" s="5"/>
      <c r="AF16" s="5"/>
    </row>
    <row r="17">
      <c r="A17" s="8" t="s">
        <v>54</v>
      </c>
      <c r="B17" s="8">
        <v>204822.0</v>
      </c>
      <c r="C17" s="9">
        <v>7.0</v>
      </c>
      <c r="D17" s="10">
        <f t="shared" ref="D17:D21" si="14">E17/F17</f>
        <v>2.100979639</v>
      </c>
      <c r="E17" s="10">
        <v>10937.7</v>
      </c>
      <c r="F17" s="9">
        <f t="shared" ref="F17:F21" si="15">SUM(G17:H17)</f>
        <v>5206</v>
      </c>
      <c r="G17" s="9">
        <v>5106.0</v>
      </c>
      <c r="H17" s="9">
        <v>100.0</v>
      </c>
      <c r="I17" s="10">
        <v>2258.49</v>
      </c>
      <c r="J17" s="10">
        <v>32.8</v>
      </c>
      <c r="K17" s="12"/>
      <c r="L17" s="12"/>
      <c r="M17" s="11"/>
      <c r="N17" s="12">
        <f t="shared" ref="N17:N21" si="16">E17*3%</f>
        <v>328.131</v>
      </c>
      <c r="O17" s="10">
        <v>25.0</v>
      </c>
      <c r="P17" s="10">
        <v>25.0</v>
      </c>
      <c r="Q17" s="10">
        <v>7.0</v>
      </c>
      <c r="R17" s="10">
        <v>826.1</v>
      </c>
      <c r="S17" s="10">
        <v>35.0</v>
      </c>
      <c r="T17" s="12"/>
      <c r="U17" s="10">
        <v>35.0</v>
      </c>
      <c r="V17" s="10"/>
      <c r="W17" s="12">
        <f t="shared" si="11"/>
        <v>200</v>
      </c>
      <c r="X17" s="9">
        <v>0.1</v>
      </c>
      <c r="Y17" s="9">
        <v>2000.0</v>
      </c>
      <c r="Z17" s="10">
        <v>346.0</v>
      </c>
      <c r="AA17" s="9">
        <v>0.8</v>
      </c>
      <c r="AB17" s="10">
        <v>500.0</v>
      </c>
      <c r="AC17" s="12">
        <f t="shared" si="12"/>
        <v>3164.379</v>
      </c>
      <c r="AD17" s="12">
        <f>G17*AA17+H17*0.7-AB17</f>
        <v>3654.8</v>
      </c>
      <c r="AE17" s="5"/>
      <c r="AF17" s="5"/>
    </row>
    <row r="18">
      <c r="A18" s="8" t="s">
        <v>36</v>
      </c>
      <c r="B18" s="8">
        <v>344955.0</v>
      </c>
      <c r="C18" s="9">
        <v>5.0</v>
      </c>
      <c r="D18" s="10">
        <f t="shared" si="14"/>
        <v>2.122756775</v>
      </c>
      <c r="E18" s="10">
        <v>6344.92</v>
      </c>
      <c r="F18" s="9">
        <f t="shared" si="15"/>
        <v>2989</v>
      </c>
      <c r="G18" s="9">
        <v>2989.0</v>
      </c>
      <c r="H18" s="9">
        <v>0.0</v>
      </c>
      <c r="I18" s="10">
        <v>1975.32</v>
      </c>
      <c r="J18" s="10">
        <v>199.54</v>
      </c>
      <c r="K18" s="12"/>
      <c r="L18" s="12"/>
      <c r="M18" s="9"/>
      <c r="N18" s="12">
        <f t="shared" si="16"/>
        <v>190.3476</v>
      </c>
      <c r="O18" s="10">
        <v>25.0</v>
      </c>
      <c r="P18" s="10">
        <v>25.0</v>
      </c>
      <c r="Q18" s="10">
        <v>7.0</v>
      </c>
      <c r="R18" s="10">
        <v>836.75</v>
      </c>
      <c r="S18" s="10">
        <v>35.0</v>
      </c>
      <c r="T18" s="10"/>
      <c r="U18" s="10">
        <v>35.0</v>
      </c>
      <c r="V18" s="10"/>
      <c r="W18" s="12">
        <f t="shared" si="11"/>
        <v>377.5</v>
      </c>
      <c r="X18" s="9">
        <v>0.1</v>
      </c>
      <c r="Y18" s="9">
        <v>3775.0</v>
      </c>
      <c r="Z18" s="10">
        <v>346.0</v>
      </c>
      <c r="AA18" s="9">
        <v>0.65</v>
      </c>
      <c r="AB18" s="10">
        <v>250.0</v>
      </c>
      <c r="AC18" s="12">
        <f t="shared" si="12"/>
        <v>599.6124</v>
      </c>
      <c r="AD18" s="12">
        <f t="shared" ref="AD18:AD19" si="17">G18*AA18-AB18</f>
        <v>1692.85</v>
      </c>
      <c r="AE18" s="5"/>
      <c r="AF18" s="5"/>
    </row>
    <row r="19">
      <c r="A19" s="8" t="s">
        <v>44</v>
      </c>
      <c r="B19" s="8">
        <v>590053.0</v>
      </c>
      <c r="C19" s="9">
        <v>5.0</v>
      </c>
      <c r="D19" s="10">
        <f t="shared" si="14"/>
        <v>2.002632585</v>
      </c>
      <c r="E19" s="10">
        <v>4191.51</v>
      </c>
      <c r="F19" s="9">
        <f t="shared" si="15"/>
        <v>2093</v>
      </c>
      <c r="G19" s="9">
        <v>2093.0</v>
      </c>
      <c r="H19" s="9">
        <v>0.0</v>
      </c>
      <c r="I19" s="10">
        <v>1507.9</v>
      </c>
      <c r="J19" s="10">
        <v>37.16</v>
      </c>
      <c r="K19" s="12"/>
      <c r="L19" s="12"/>
      <c r="M19" s="9"/>
      <c r="N19" s="12">
        <f t="shared" si="16"/>
        <v>125.7453</v>
      </c>
      <c r="O19" s="10">
        <v>25.0</v>
      </c>
      <c r="P19" s="10">
        <v>25.0</v>
      </c>
      <c r="Q19" s="10">
        <v>7.0</v>
      </c>
      <c r="R19" s="10">
        <v>819.77</v>
      </c>
      <c r="S19" s="10">
        <v>35.0</v>
      </c>
      <c r="T19" s="10"/>
      <c r="U19" s="10">
        <v>35.0</v>
      </c>
      <c r="V19" s="10"/>
      <c r="W19" s="12">
        <f t="shared" si="11"/>
        <v>94.5</v>
      </c>
      <c r="X19" s="9">
        <v>0.1</v>
      </c>
      <c r="Y19" s="9">
        <v>945.0</v>
      </c>
      <c r="Z19" s="10">
        <v>346.0</v>
      </c>
      <c r="AA19" s="9">
        <v>0.7</v>
      </c>
      <c r="AB19" s="10">
        <v>250.0</v>
      </c>
      <c r="AC19" s="12">
        <f t="shared" si="12"/>
        <v>-81.6653</v>
      </c>
      <c r="AD19" s="12">
        <f t="shared" si="17"/>
        <v>1215.1</v>
      </c>
      <c r="AE19" s="5"/>
      <c r="AF19" s="5"/>
    </row>
    <row r="20">
      <c r="A20" s="8" t="s">
        <v>46</v>
      </c>
      <c r="B20" s="8">
        <v>273294.0</v>
      </c>
      <c r="C20" s="9">
        <v>6.0</v>
      </c>
      <c r="D20" s="10">
        <f t="shared" si="14"/>
        <v>2.053232528</v>
      </c>
      <c r="E20" s="10">
        <v>11134.68</v>
      </c>
      <c r="F20" s="9">
        <f t="shared" si="15"/>
        <v>5423</v>
      </c>
      <c r="G20" s="9">
        <v>5343.0</v>
      </c>
      <c r="H20" s="9">
        <v>80.0</v>
      </c>
      <c r="I20" s="10">
        <v>1683.4</v>
      </c>
      <c r="J20" s="10">
        <v>92.5</v>
      </c>
      <c r="K20" s="10"/>
      <c r="L20" s="12"/>
      <c r="M20" s="9"/>
      <c r="N20" s="12">
        <f t="shared" si="16"/>
        <v>334.0404</v>
      </c>
      <c r="O20" s="10">
        <v>25.0</v>
      </c>
      <c r="P20" s="10">
        <v>25.0</v>
      </c>
      <c r="Q20" s="10">
        <v>7.0</v>
      </c>
      <c r="R20" s="10">
        <v>840.26</v>
      </c>
      <c r="S20" s="10">
        <v>35.0</v>
      </c>
      <c r="T20" s="10"/>
      <c r="U20" s="10">
        <v>35.0</v>
      </c>
      <c r="V20" s="10"/>
      <c r="W20" s="12">
        <f t="shared" si="11"/>
        <v>436</v>
      </c>
      <c r="X20" s="9">
        <v>0.1</v>
      </c>
      <c r="Y20" s="9">
        <v>4360.0</v>
      </c>
      <c r="Z20" s="10">
        <v>346.0</v>
      </c>
      <c r="AA20" s="9">
        <v>0.65</v>
      </c>
      <c r="AB20" s="10">
        <v>250.0</v>
      </c>
      <c r="AC20" s="12">
        <f t="shared" si="12"/>
        <v>4008.5296</v>
      </c>
      <c r="AD20" s="12">
        <f>G20*AA20+H20*0.55-AB20</f>
        <v>3266.95</v>
      </c>
      <c r="AE20" s="5"/>
      <c r="AF20" s="5"/>
    </row>
    <row r="21">
      <c r="A21" s="15" t="s">
        <v>38</v>
      </c>
      <c r="B21" s="15">
        <v>7650.0</v>
      </c>
      <c r="C21" s="9">
        <v>5.0</v>
      </c>
      <c r="D21" s="10">
        <f t="shared" si="14"/>
        <v>2.192878581</v>
      </c>
      <c r="E21" s="10">
        <v>9644.28</v>
      </c>
      <c r="F21" s="9">
        <f t="shared" si="15"/>
        <v>4398</v>
      </c>
      <c r="G21" s="9">
        <v>4398.0</v>
      </c>
      <c r="H21" s="9">
        <v>0.0</v>
      </c>
      <c r="I21" s="12"/>
      <c r="J21" s="12"/>
      <c r="K21" s="12"/>
      <c r="L21" s="12"/>
      <c r="M21" s="11"/>
      <c r="N21" s="12">
        <f t="shared" si="16"/>
        <v>289.3284</v>
      </c>
      <c r="O21" s="10">
        <v>25.0</v>
      </c>
      <c r="P21" s="10">
        <v>25.0</v>
      </c>
      <c r="Q21" s="12"/>
      <c r="R21" s="10"/>
      <c r="S21" s="10">
        <v>70.0</v>
      </c>
      <c r="T21" s="10">
        <v>50.0</v>
      </c>
      <c r="U21" s="10">
        <v>70.0</v>
      </c>
      <c r="V21" s="10">
        <v>200.0</v>
      </c>
      <c r="W21" s="12"/>
      <c r="X21" s="12"/>
      <c r="Y21" s="11"/>
      <c r="Z21" s="10">
        <v>800.0</v>
      </c>
      <c r="AA21" s="13">
        <v>0.88</v>
      </c>
      <c r="AB21" s="10">
        <v>0.0</v>
      </c>
      <c r="AC21" s="12">
        <f>E21-I21-J21-K21-M21-N21-O21-P21-AD21</f>
        <v>2017.9852</v>
      </c>
      <c r="AD21" s="12">
        <f>E21*AA21-Z21-T21-U21-S21-V21-10</f>
        <v>7286.9664</v>
      </c>
      <c r="AE21" s="5"/>
      <c r="AF21" s="5"/>
    </row>
    <row r="22">
      <c r="A22" s="16" t="s">
        <v>39</v>
      </c>
      <c r="B22" s="16">
        <v>8.0</v>
      </c>
      <c r="C22" s="17"/>
      <c r="D22" s="18">
        <f>AVERAGE(D14:D21)</f>
        <v>2.136856283</v>
      </c>
      <c r="E22" s="18">
        <f t="shared" ref="E22:Z22" si="18">SUM(E14:E21)</f>
        <v>48624.78</v>
      </c>
      <c r="F22" s="17">
        <f t="shared" si="18"/>
        <v>22832</v>
      </c>
      <c r="G22" s="17">
        <f t="shared" si="18"/>
        <v>22322</v>
      </c>
      <c r="H22" s="17">
        <f t="shared" si="18"/>
        <v>510</v>
      </c>
      <c r="I22" s="18">
        <f t="shared" si="18"/>
        <v>11151.23</v>
      </c>
      <c r="J22" s="18">
        <f t="shared" si="18"/>
        <v>467.01</v>
      </c>
      <c r="K22" s="18">
        <f t="shared" si="18"/>
        <v>0</v>
      </c>
      <c r="L22" s="18">
        <f t="shared" si="18"/>
        <v>0</v>
      </c>
      <c r="M22" s="18">
        <f t="shared" si="18"/>
        <v>0</v>
      </c>
      <c r="N22" s="18">
        <f t="shared" si="18"/>
        <v>1458.7434</v>
      </c>
      <c r="O22" s="18">
        <f t="shared" si="18"/>
        <v>175</v>
      </c>
      <c r="P22" s="18">
        <f t="shared" si="18"/>
        <v>175</v>
      </c>
      <c r="Q22" s="18">
        <f t="shared" si="18"/>
        <v>42</v>
      </c>
      <c r="R22" s="18">
        <f t="shared" si="18"/>
        <v>5816.57</v>
      </c>
      <c r="S22" s="18">
        <f t="shared" si="18"/>
        <v>280</v>
      </c>
      <c r="T22" s="18">
        <f t="shared" si="18"/>
        <v>50</v>
      </c>
      <c r="U22" s="18">
        <f t="shared" si="18"/>
        <v>280</v>
      </c>
      <c r="V22" s="18">
        <f t="shared" si="18"/>
        <v>200</v>
      </c>
      <c r="W22" s="18">
        <f t="shared" si="18"/>
        <v>1841.2</v>
      </c>
      <c r="X22" s="17">
        <f t="shared" si="18"/>
        <v>0.7</v>
      </c>
      <c r="Y22" s="17">
        <f t="shared" si="18"/>
        <v>18412</v>
      </c>
      <c r="Z22" s="18">
        <f t="shared" si="18"/>
        <v>2876</v>
      </c>
      <c r="AA22" s="17"/>
      <c r="AB22" s="19">
        <f t="shared" ref="AB22:AD22" si="19">SUM(AB14:AB21)</f>
        <v>1500</v>
      </c>
      <c r="AC22" s="18">
        <f t="shared" si="19"/>
        <v>6403.3302</v>
      </c>
      <c r="AD22" s="18">
        <f t="shared" si="19"/>
        <v>18598.6964</v>
      </c>
      <c r="AE22" s="5"/>
      <c r="AF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"/>
      <c r="B24" s="1" t="s">
        <v>55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</row>
    <row r="25">
      <c r="A25" s="6" t="s">
        <v>1</v>
      </c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  <c r="K25" s="6" t="s">
        <v>11</v>
      </c>
      <c r="L25" s="6" t="s">
        <v>12</v>
      </c>
      <c r="M25" s="6" t="s">
        <v>13</v>
      </c>
      <c r="N25" s="6" t="s">
        <v>14</v>
      </c>
      <c r="O25" s="6" t="s">
        <v>15</v>
      </c>
      <c r="P25" s="6" t="s">
        <v>16</v>
      </c>
      <c r="Q25" s="6" t="s">
        <v>17</v>
      </c>
      <c r="R25" s="6" t="s">
        <v>18</v>
      </c>
      <c r="S25" s="6" t="s">
        <v>19</v>
      </c>
      <c r="T25" s="6" t="s">
        <v>20</v>
      </c>
      <c r="U25" s="6" t="s">
        <v>21</v>
      </c>
      <c r="V25" s="6" t="s">
        <v>22</v>
      </c>
      <c r="W25" s="7" t="s">
        <v>23</v>
      </c>
      <c r="X25" s="6" t="s">
        <v>24</v>
      </c>
      <c r="Y25" s="6" t="s">
        <v>25</v>
      </c>
      <c r="Z25" s="6" t="s">
        <v>26</v>
      </c>
      <c r="AA25" s="6" t="s">
        <v>27</v>
      </c>
      <c r="AB25" s="6" t="s">
        <v>28</v>
      </c>
      <c r="AC25" s="6" t="s">
        <v>29</v>
      </c>
      <c r="AD25" s="6" t="s">
        <v>30</v>
      </c>
      <c r="AE25" s="5"/>
      <c r="AF25" s="5"/>
    </row>
    <row r="26">
      <c r="A26" s="8" t="s">
        <v>31</v>
      </c>
      <c r="B26" s="8">
        <v>386931.0</v>
      </c>
      <c r="C26" s="9">
        <v>6.0</v>
      </c>
      <c r="D26" s="10">
        <f t="shared" ref="D26:D28" si="20">E26/F26</f>
        <v>2.151796238</v>
      </c>
      <c r="E26" s="10">
        <v>6864.23</v>
      </c>
      <c r="F26" s="9">
        <f t="shared" ref="F26:F28" si="21">SUM(G26:H26)</f>
        <v>3190</v>
      </c>
      <c r="G26" s="9">
        <v>3135.0</v>
      </c>
      <c r="H26" s="9">
        <v>55.0</v>
      </c>
      <c r="I26" s="10">
        <v>1693.98</v>
      </c>
      <c r="J26" s="10">
        <v>67.54</v>
      </c>
      <c r="K26" s="12"/>
      <c r="L26" s="12"/>
      <c r="M26" s="9"/>
      <c r="N26" s="12">
        <f t="shared" ref="N26:N34" si="22">E26*3%</f>
        <v>205.9269</v>
      </c>
      <c r="O26" s="10">
        <v>25.0</v>
      </c>
      <c r="P26" s="10">
        <v>25.0</v>
      </c>
      <c r="Q26" s="10">
        <v>7.0</v>
      </c>
      <c r="R26" s="10">
        <v>824.3</v>
      </c>
      <c r="S26" s="10">
        <v>35.0</v>
      </c>
      <c r="T26" s="12"/>
      <c r="U26" s="10">
        <v>35.0</v>
      </c>
      <c r="V26" s="10"/>
      <c r="W26" s="12">
        <f t="shared" ref="W26:W33" si="23">Y26*X26</f>
        <v>170</v>
      </c>
      <c r="X26" s="9">
        <v>0.1</v>
      </c>
      <c r="Y26" s="9">
        <v>1700.0</v>
      </c>
      <c r="Z26" s="10">
        <v>346.0</v>
      </c>
      <c r="AA26" s="9">
        <v>0.65</v>
      </c>
      <c r="AB26" s="10">
        <v>250.0</v>
      </c>
      <c r="AC26" s="12">
        <f t="shared" ref="AC26:AC33" si="24">E26-I26-J26-K26-M26-N26-O26-P26-Q26-R26-S26-U26-W26-Z26-AD26</f>
        <v>1611.4831</v>
      </c>
      <c r="AD26" s="12">
        <f>(G26*AA26)+(H26*0.55)-AB26</f>
        <v>1818</v>
      </c>
      <c r="AE26" s="5"/>
      <c r="AF26" s="5"/>
    </row>
    <row r="27">
      <c r="A27" s="8" t="s">
        <v>34</v>
      </c>
      <c r="B27" s="8">
        <v>585400.0</v>
      </c>
      <c r="C27" s="9">
        <v>4.0</v>
      </c>
      <c r="D27" s="10">
        <f t="shared" si="20"/>
        <v>2.157884914</v>
      </c>
      <c r="E27" s="10">
        <v>6937.6</v>
      </c>
      <c r="F27" s="9">
        <f t="shared" si="21"/>
        <v>3215</v>
      </c>
      <c r="G27" s="9">
        <v>3215.0</v>
      </c>
      <c r="H27" s="9"/>
      <c r="I27" s="10">
        <v>1799.85</v>
      </c>
      <c r="J27" s="10"/>
      <c r="K27" s="12"/>
      <c r="L27" s="12"/>
      <c r="M27" s="11"/>
      <c r="N27" s="12">
        <f t="shared" si="22"/>
        <v>208.128</v>
      </c>
      <c r="O27" s="10">
        <v>25.0</v>
      </c>
      <c r="P27" s="10">
        <v>25.0</v>
      </c>
      <c r="Q27" s="10">
        <v>7.0</v>
      </c>
      <c r="R27" s="10">
        <v>824.3</v>
      </c>
      <c r="S27" s="10">
        <v>35.0</v>
      </c>
      <c r="T27" s="12"/>
      <c r="U27" s="10">
        <v>35.0</v>
      </c>
      <c r="V27" s="10"/>
      <c r="W27" s="12">
        <f t="shared" si="23"/>
        <v>170</v>
      </c>
      <c r="X27" s="9">
        <v>0.1</v>
      </c>
      <c r="Y27" s="9">
        <v>1700.0</v>
      </c>
      <c r="Z27" s="10">
        <v>346.0</v>
      </c>
      <c r="AA27" s="13">
        <v>0.3</v>
      </c>
      <c r="AB27" s="10"/>
      <c r="AC27" s="12">
        <f t="shared" si="24"/>
        <v>1381.042</v>
      </c>
      <c r="AD27" s="12">
        <f t="shared" ref="AD27:AD28" si="25">E27*AA27-AB27</f>
        <v>2081.28</v>
      </c>
      <c r="AE27" s="5"/>
      <c r="AF27" s="5"/>
    </row>
    <row r="28">
      <c r="A28" s="8" t="s">
        <v>53</v>
      </c>
      <c r="B28" s="8">
        <v>585615.0</v>
      </c>
      <c r="C28" s="9">
        <v>6.0</v>
      </c>
      <c r="D28" s="10">
        <f t="shared" si="20"/>
        <v>2.196139535</v>
      </c>
      <c r="E28" s="10">
        <v>15109.44</v>
      </c>
      <c r="F28" s="9">
        <f t="shared" si="21"/>
        <v>6880</v>
      </c>
      <c r="G28" s="9">
        <v>6880.0</v>
      </c>
      <c r="H28" s="9"/>
      <c r="I28" s="10">
        <v>2207.93</v>
      </c>
      <c r="J28" s="10"/>
      <c r="K28" s="12"/>
      <c r="L28" s="12"/>
      <c r="M28" s="11"/>
      <c r="N28" s="12">
        <f t="shared" si="22"/>
        <v>453.2832</v>
      </c>
      <c r="O28" s="10">
        <v>25.0</v>
      </c>
      <c r="P28" s="10">
        <v>25.0</v>
      </c>
      <c r="Q28" s="10">
        <v>7.0</v>
      </c>
      <c r="R28" s="10">
        <v>947.01</v>
      </c>
      <c r="S28" s="10">
        <v>35.0</v>
      </c>
      <c r="T28" s="12"/>
      <c r="U28" s="10">
        <v>35.0</v>
      </c>
      <c r="V28" s="10"/>
      <c r="W28" s="12">
        <f t="shared" si="23"/>
        <v>300</v>
      </c>
      <c r="X28" s="9">
        <v>0.1</v>
      </c>
      <c r="Y28" s="9">
        <v>3000.0</v>
      </c>
      <c r="Z28" s="10">
        <v>346.0</v>
      </c>
      <c r="AA28" s="13">
        <v>0.3</v>
      </c>
      <c r="AB28" s="10">
        <v>500.0</v>
      </c>
      <c r="AC28" s="12">
        <f t="shared" si="24"/>
        <v>6695.3848</v>
      </c>
      <c r="AD28" s="12">
        <f t="shared" si="25"/>
        <v>4032.832</v>
      </c>
      <c r="AE28" s="5"/>
      <c r="AF28" s="5"/>
    </row>
    <row r="29">
      <c r="A29" s="8" t="s">
        <v>54</v>
      </c>
      <c r="B29" s="8">
        <v>204822.0</v>
      </c>
      <c r="C29" s="9"/>
      <c r="D29" s="10"/>
      <c r="E29" s="10"/>
      <c r="F29" s="9"/>
      <c r="G29" s="9"/>
      <c r="H29" s="9"/>
      <c r="I29" s="10">
        <v>1784.25</v>
      </c>
      <c r="J29" s="10">
        <v>5.8</v>
      </c>
      <c r="K29" s="12"/>
      <c r="L29" s="12"/>
      <c r="M29" s="11"/>
      <c r="N29" s="12">
        <f t="shared" si="22"/>
        <v>0</v>
      </c>
      <c r="O29" s="10">
        <v>25.0</v>
      </c>
      <c r="P29" s="10">
        <v>25.0</v>
      </c>
      <c r="Q29" s="10">
        <v>7.0</v>
      </c>
      <c r="R29" s="10">
        <v>826.1</v>
      </c>
      <c r="S29" s="10">
        <v>35.0</v>
      </c>
      <c r="T29" s="12"/>
      <c r="U29" s="10">
        <v>35.0</v>
      </c>
      <c r="V29" s="10"/>
      <c r="W29" s="12">
        <f t="shared" si="23"/>
        <v>200</v>
      </c>
      <c r="X29" s="9">
        <v>0.1</v>
      </c>
      <c r="Y29" s="9">
        <v>2000.0</v>
      </c>
      <c r="Z29" s="10">
        <v>346.0</v>
      </c>
      <c r="AA29" s="9">
        <v>0.8</v>
      </c>
      <c r="AB29" s="10"/>
      <c r="AC29" s="12">
        <f t="shared" si="24"/>
        <v>-3289.15</v>
      </c>
      <c r="AD29" s="12">
        <f>G29*AA29+H29*0.7-AB29</f>
        <v>0</v>
      </c>
      <c r="AE29" s="5"/>
      <c r="AF29" s="5"/>
    </row>
    <row r="30">
      <c r="A30" s="8" t="s">
        <v>36</v>
      </c>
      <c r="B30" s="8">
        <v>344955.0</v>
      </c>
      <c r="C30" s="9">
        <v>5.0</v>
      </c>
      <c r="D30" s="10">
        <f>E30/F30</f>
        <v>2.162343465</v>
      </c>
      <c r="E30" s="10">
        <v>7114.11</v>
      </c>
      <c r="F30" s="9">
        <f>SUM(G30:H30)</f>
        <v>3290</v>
      </c>
      <c r="G30" s="9">
        <v>3290.0</v>
      </c>
      <c r="H30" s="9">
        <v>0.0</v>
      </c>
      <c r="I30" s="10">
        <v>1438.71</v>
      </c>
      <c r="J30" s="10">
        <v>55.99</v>
      </c>
      <c r="K30" s="12"/>
      <c r="L30" s="12"/>
      <c r="M30" s="9"/>
      <c r="N30" s="12">
        <f t="shared" si="22"/>
        <v>213.4233</v>
      </c>
      <c r="O30" s="10">
        <v>25.0</v>
      </c>
      <c r="P30" s="10">
        <v>25.0</v>
      </c>
      <c r="Q30" s="10">
        <v>7.0</v>
      </c>
      <c r="R30" s="10">
        <v>824.3</v>
      </c>
      <c r="S30" s="10">
        <v>35.0</v>
      </c>
      <c r="T30" s="10"/>
      <c r="U30" s="10">
        <v>35.0</v>
      </c>
      <c r="V30" s="10"/>
      <c r="W30" s="12">
        <f t="shared" si="23"/>
        <v>170</v>
      </c>
      <c r="X30" s="9">
        <v>0.1</v>
      </c>
      <c r="Y30" s="9">
        <v>1700.0</v>
      </c>
      <c r="Z30" s="10">
        <v>346.0</v>
      </c>
      <c r="AA30" s="9">
        <v>0.65</v>
      </c>
      <c r="AB30" s="10">
        <v>250.0</v>
      </c>
      <c r="AC30" s="12">
        <f t="shared" si="24"/>
        <v>2050.1867</v>
      </c>
      <c r="AD30" s="12">
        <f t="shared" ref="AD30:AD31" si="26">G30*AA30-AB30</f>
        <v>1888.5</v>
      </c>
      <c r="AE30" s="5"/>
      <c r="AF30" s="5"/>
    </row>
    <row r="31">
      <c r="A31" s="8" t="s">
        <v>44</v>
      </c>
      <c r="B31" s="8">
        <v>590053.0</v>
      </c>
      <c r="C31" s="9"/>
      <c r="D31" s="10"/>
      <c r="E31" s="10"/>
      <c r="F31" s="9"/>
      <c r="G31" s="9"/>
      <c r="H31" s="9"/>
      <c r="I31" s="10">
        <v>482.09</v>
      </c>
      <c r="J31" s="10">
        <v>34.45</v>
      </c>
      <c r="K31" s="12"/>
      <c r="L31" s="12"/>
      <c r="M31" s="9"/>
      <c r="N31" s="12">
        <f t="shared" si="22"/>
        <v>0</v>
      </c>
      <c r="O31" s="10">
        <v>25.0</v>
      </c>
      <c r="P31" s="10">
        <v>25.0</v>
      </c>
      <c r="Q31" s="10">
        <v>7.0</v>
      </c>
      <c r="R31" s="10">
        <v>821.3</v>
      </c>
      <c r="S31" s="10">
        <v>35.0</v>
      </c>
      <c r="T31" s="10"/>
      <c r="U31" s="10">
        <v>35.0</v>
      </c>
      <c r="V31" s="10"/>
      <c r="W31" s="12">
        <f t="shared" si="23"/>
        <v>120</v>
      </c>
      <c r="X31" s="9">
        <v>0.1</v>
      </c>
      <c r="Y31" s="9">
        <v>1200.0</v>
      </c>
      <c r="Z31" s="10">
        <v>346.0</v>
      </c>
      <c r="AA31" s="9">
        <v>0.7</v>
      </c>
      <c r="AB31" s="10"/>
      <c r="AC31" s="12">
        <f t="shared" si="24"/>
        <v>-1930.84</v>
      </c>
      <c r="AD31" s="12">
        <f t="shared" si="26"/>
        <v>0</v>
      </c>
      <c r="AE31" s="5"/>
      <c r="AF31" s="5"/>
    </row>
    <row r="32">
      <c r="A32" s="8" t="s">
        <v>56</v>
      </c>
      <c r="B32" s="8">
        <v>457219.0</v>
      </c>
      <c r="C32" s="9">
        <v>2.0</v>
      </c>
      <c r="D32" s="10">
        <f t="shared" ref="D32:D34" si="27">E32/F32</f>
        <v>2.17902439</v>
      </c>
      <c r="E32" s="10">
        <v>1786.8</v>
      </c>
      <c r="F32" s="9">
        <f t="shared" ref="F32:F34" si="28">SUM(G32:H32)</f>
        <v>820</v>
      </c>
      <c r="G32" s="9">
        <v>700.0</v>
      </c>
      <c r="H32" s="9">
        <v>120.0</v>
      </c>
      <c r="I32" s="10">
        <v>1314.75</v>
      </c>
      <c r="J32" s="10"/>
      <c r="K32" s="12"/>
      <c r="L32" s="12"/>
      <c r="M32" s="9"/>
      <c r="N32" s="12">
        <f t="shared" si="22"/>
        <v>53.604</v>
      </c>
      <c r="O32" s="10">
        <v>25.0</v>
      </c>
      <c r="P32" s="10">
        <v>25.0</v>
      </c>
      <c r="Q32" s="10">
        <v>7.0</v>
      </c>
      <c r="R32" s="10">
        <v>844.71</v>
      </c>
      <c r="S32" s="10">
        <v>35.0</v>
      </c>
      <c r="T32" s="10"/>
      <c r="U32" s="10">
        <v>35.0</v>
      </c>
      <c r="V32" s="10"/>
      <c r="W32" s="12">
        <f t="shared" si="23"/>
        <v>226</v>
      </c>
      <c r="X32" s="9">
        <v>0.1</v>
      </c>
      <c r="Y32" s="9">
        <v>2260.0</v>
      </c>
      <c r="Z32" s="10">
        <v>346.0</v>
      </c>
      <c r="AA32" s="9">
        <v>0.65</v>
      </c>
      <c r="AB32" s="10"/>
      <c r="AC32" s="12">
        <f t="shared" si="24"/>
        <v>-1796.264</v>
      </c>
      <c r="AD32" s="12">
        <f>(G32*AA32)+(H32*0.55)-AB32+150</f>
        <v>671</v>
      </c>
      <c r="AE32" s="5"/>
      <c r="AF32" s="5"/>
    </row>
    <row r="33">
      <c r="A33" s="8" t="s">
        <v>46</v>
      </c>
      <c r="B33" s="8">
        <v>273294.0</v>
      </c>
      <c r="C33" s="9">
        <v>5.0</v>
      </c>
      <c r="D33" s="10">
        <f t="shared" si="27"/>
        <v>2.182832797</v>
      </c>
      <c r="E33" s="10">
        <v>6788.61</v>
      </c>
      <c r="F33" s="9">
        <f t="shared" si="28"/>
        <v>3110</v>
      </c>
      <c r="G33" s="9">
        <v>3095.0</v>
      </c>
      <c r="H33" s="9">
        <v>15.0</v>
      </c>
      <c r="I33" s="10">
        <v>1990.94</v>
      </c>
      <c r="J33" s="10"/>
      <c r="K33" s="10"/>
      <c r="L33" s="12"/>
      <c r="M33" s="9"/>
      <c r="N33" s="12">
        <f t="shared" si="22"/>
        <v>203.6583</v>
      </c>
      <c r="O33" s="10">
        <v>25.0</v>
      </c>
      <c r="P33" s="10">
        <v>25.0</v>
      </c>
      <c r="Q33" s="10">
        <v>7.0</v>
      </c>
      <c r="R33" s="10">
        <v>842.3</v>
      </c>
      <c r="S33" s="10">
        <v>35.0</v>
      </c>
      <c r="T33" s="10"/>
      <c r="U33" s="10">
        <v>35.0</v>
      </c>
      <c r="V33" s="10"/>
      <c r="W33" s="12">
        <f t="shared" si="23"/>
        <v>470</v>
      </c>
      <c r="X33" s="9">
        <v>0.1</v>
      </c>
      <c r="Y33" s="9">
        <v>4700.0</v>
      </c>
      <c r="Z33" s="10">
        <v>346.0</v>
      </c>
      <c r="AA33" s="9">
        <v>0.65</v>
      </c>
      <c r="AB33" s="10">
        <v>250.0</v>
      </c>
      <c r="AC33" s="12">
        <f t="shared" si="24"/>
        <v>1034.5617</v>
      </c>
      <c r="AD33" s="12">
        <f>G33*AA33+H33*0.55-AB33+4.15</f>
        <v>1774.15</v>
      </c>
      <c r="AE33" s="5"/>
      <c r="AF33" s="5"/>
    </row>
    <row r="34">
      <c r="A34" s="15" t="s">
        <v>38</v>
      </c>
      <c r="B34" s="15">
        <v>7650.0</v>
      </c>
      <c r="C34" s="9">
        <v>5.0</v>
      </c>
      <c r="D34" s="10">
        <f t="shared" si="27"/>
        <v>2.216593291</v>
      </c>
      <c r="E34" s="10">
        <v>10573.15</v>
      </c>
      <c r="F34" s="9">
        <f t="shared" si="28"/>
        <v>4770</v>
      </c>
      <c r="G34" s="9">
        <v>4770.0</v>
      </c>
      <c r="H34" s="9">
        <v>0.0</v>
      </c>
      <c r="I34" s="12"/>
      <c r="J34" s="12"/>
      <c r="K34" s="12"/>
      <c r="L34" s="12"/>
      <c r="M34" s="11"/>
      <c r="N34" s="12">
        <f t="shared" si="22"/>
        <v>317.1945</v>
      </c>
      <c r="O34" s="10">
        <v>25.0</v>
      </c>
      <c r="P34" s="10">
        <v>25.0</v>
      </c>
      <c r="Q34" s="12"/>
      <c r="R34" s="10"/>
      <c r="S34" s="10">
        <v>35.0</v>
      </c>
      <c r="T34" s="10">
        <v>25.0</v>
      </c>
      <c r="U34" s="10">
        <v>35.0</v>
      </c>
      <c r="V34" s="10">
        <v>100.0</v>
      </c>
      <c r="W34" s="12"/>
      <c r="X34" s="12"/>
      <c r="Y34" s="11"/>
      <c r="Z34" s="10">
        <v>400.0</v>
      </c>
      <c r="AA34" s="13">
        <v>0.88</v>
      </c>
      <c r="AB34" s="10">
        <v>0.0</v>
      </c>
      <c r="AC34" s="12">
        <f>E34-I34-J34-K34-M34-N34-O34-P34-AD34</f>
        <v>1501.5835</v>
      </c>
      <c r="AD34" s="12">
        <f>E34*AA34-Z34-T34-U34-S34-V34-5</f>
        <v>8704.372</v>
      </c>
      <c r="AE34" s="5"/>
      <c r="AF34" s="5"/>
    </row>
    <row r="35">
      <c r="A35" s="16" t="s">
        <v>39</v>
      </c>
      <c r="B35" s="16">
        <v>9.0</v>
      </c>
      <c r="C35" s="17"/>
      <c r="D35" s="18">
        <f>AVERAGE(D26:D34)</f>
        <v>2.178087805</v>
      </c>
      <c r="E35" s="18">
        <f t="shared" ref="E35:H35" si="29">SUM(E26:E34)</f>
        <v>55173.94</v>
      </c>
      <c r="F35" s="17">
        <f t="shared" si="29"/>
        <v>25275</v>
      </c>
      <c r="G35" s="17">
        <f t="shared" si="29"/>
        <v>25085</v>
      </c>
      <c r="H35" s="17">
        <f t="shared" si="29"/>
        <v>190</v>
      </c>
      <c r="I35" s="18">
        <f>SUM(I26:I34)+590.94</f>
        <v>13303.44</v>
      </c>
      <c r="J35" s="18">
        <f t="shared" ref="J35:Z35" si="30">SUM(J26:J34)</f>
        <v>163.78</v>
      </c>
      <c r="K35" s="18">
        <f t="shared" si="30"/>
        <v>0</v>
      </c>
      <c r="L35" s="18">
        <f t="shared" si="30"/>
        <v>0</v>
      </c>
      <c r="M35" s="18">
        <f t="shared" si="30"/>
        <v>0</v>
      </c>
      <c r="N35" s="18">
        <f t="shared" si="30"/>
        <v>1655.2182</v>
      </c>
      <c r="O35" s="18">
        <f t="shared" si="30"/>
        <v>225</v>
      </c>
      <c r="P35" s="18">
        <f t="shared" si="30"/>
        <v>225</v>
      </c>
      <c r="Q35" s="18">
        <f t="shared" si="30"/>
        <v>56</v>
      </c>
      <c r="R35" s="18">
        <f t="shared" si="30"/>
        <v>6754.32</v>
      </c>
      <c r="S35" s="18">
        <f t="shared" si="30"/>
        <v>315</v>
      </c>
      <c r="T35" s="18">
        <f t="shared" si="30"/>
        <v>25</v>
      </c>
      <c r="U35" s="18">
        <f t="shared" si="30"/>
        <v>315</v>
      </c>
      <c r="V35" s="18">
        <f t="shared" si="30"/>
        <v>100</v>
      </c>
      <c r="W35" s="18">
        <f t="shared" si="30"/>
        <v>1826</v>
      </c>
      <c r="X35" s="17">
        <f t="shared" si="30"/>
        <v>0.8</v>
      </c>
      <c r="Y35" s="17">
        <f t="shared" si="30"/>
        <v>18260</v>
      </c>
      <c r="Z35" s="18">
        <f t="shared" si="30"/>
        <v>3168</v>
      </c>
      <c r="AA35" s="17"/>
      <c r="AB35" s="19">
        <f t="shared" ref="AB35:AD35" si="31">SUM(AB26:AB34)</f>
        <v>1250</v>
      </c>
      <c r="AC35" s="18">
        <f t="shared" si="31"/>
        <v>7257.9878</v>
      </c>
      <c r="AD35" s="18">
        <f t="shared" si="31"/>
        <v>20970.134</v>
      </c>
      <c r="AE35" s="5"/>
      <c r="A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 t="s">
        <v>57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5"/>
      <c r="AF37" s="5"/>
    </row>
    <row r="38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8</v>
      </c>
      <c r="I38" s="6" t="s">
        <v>9</v>
      </c>
      <c r="J38" s="6" t="s">
        <v>10</v>
      </c>
      <c r="K38" s="6" t="s">
        <v>11</v>
      </c>
      <c r="L38" s="6" t="s">
        <v>12</v>
      </c>
      <c r="M38" s="6" t="s">
        <v>13</v>
      </c>
      <c r="N38" s="6" t="s">
        <v>14</v>
      </c>
      <c r="O38" s="6" t="s">
        <v>15</v>
      </c>
      <c r="P38" s="6" t="s">
        <v>16</v>
      </c>
      <c r="Q38" s="6" t="s">
        <v>17</v>
      </c>
      <c r="R38" s="6" t="s">
        <v>18</v>
      </c>
      <c r="S38" s="6" t="s">
        <v>19</v>
      </c>
      <c r="T38" s="6" t="s">
        <v>20</v>
      </c>
      <c r="U38" s="6" t="s">
        <v>21</v>
      </c>
      <c r="V38" s="6" t="s">
        <v>22</v>
      </c>
      <c r="W38" s="7" t="s">
        <v>23</v>
      </c>
      <c r="X38" s="6" t="s">
        <v>24</v>
      </c>
      <c r="Y38" s="6" t="s">
        <v>25</v>
      </c>
      <c r="Z38" s="6" t="s">
        <v>26</v>
      </c>
      <c r="AA38" s="6" t="s">
        <v>27</v>
      </c>
      <c r="AB38" s="6" t="s">
        <v>28</v>
      </c>
      <c r="AC38" s="6" t="s">
        <v>29</v>
      </c>
      <c r="AD38" s="6" t="s">
        <v>30</v>
      </c>
      <c r="AE38" s="5"/>
      <c r="AF38" s="5"/>
    </row>
    <row r="39">
      <c r="A39" s="8" t="s">
        <v>31</v>
      </c>
      <c r="B39" s="8">
        <v>386931.0</v>
      </c>
      <c r="C39" s="9">
        <v>6.0</v>
      </c>
      <c r="D39" s="10">
        <f t="shared" ref="D39:D49" si="32">E39/F39</f>
        <v>2.091333333</v>
      </c>
      <c r="E39" s="10">
        <v>4705.5</v>
      </c>
      <c r="F39" s="9">
        <f t="shared" ref="F39:F49" si="33">SUM(G39:H39)</f>
        <v>2250</v>
      </c>
      <c r="G39" s="9">
        <v>2095.0</v>
      </c>
      <c r="H39" s="9">
        <v>155.0</v>
      </c>
      <c r="I39" s="10">
        <v>1415.73</v>
      </c>
      <c r="J39" s="10"/>
      <c r="K39" s="12"/>
      <c r="L39" s="12"/>
      <c r="M39" s="9"/>
      <c r="N39" s="12">
        <f t="shared" ref="N39:N49" si="34">E39*3%</f>
        <v>141.165</v>
      </c>
      <c r="O39" s="10">
        <v>25.0</v>
      </c>
      <c r="P39" s="10">
        <v>25.0</v>
      </c>
      <c r="Q39" s="10">
        <v>7.0</v>
      </c>
      <c r="R39" s="10">
        <v>824.3</v>
      </c>
      <c r="S39" s="10">
        <v>35.0</v>
      </c>
      <c r="T39" s="12"/>
      <c r="U39" s="10">
        <v>35.0</v>
      </c>
      <c r="V39" s="10"/>
      <c r="W39" s="12">
        <f t="shared" ref="W39:W48" si="35">Y39*X39</f>
        <v>170</v>
      </c>
      <c r="X39" s="9">
        <v>0.1</v>
      </c>
      <c r="Y39" s="9">
        <v>1700.0</v>
      </c>
      <c r="Z39" s="10">
        <v>346.0</v>
      </c>
      <c r="AA39" s="9">
        <v>0.65</v>
      </c>
      <c r="AB39" s="10">
        <v>250.0</v>
      </c>
      <c r="AC39" s="12">
        <f t="shared" ref="AC39:AC48" si="36">E39-I39-J39-K39-M39-N39-O39-P39-Q39-R39-S39-U39-W39-Z39-AD39</f>
        <v>484.305</v>
      </c>
      <c r="AD39" s="12">
        <f>(G39*AA39)+(H39*0.55)-AB39</f>
        <v>1197</v>
      </c>
      <c r="AE39" s="5"/>
      <c r="AF39" s="5"/>
    </row>
    <row r="40">
      <c r="A40" s="8" t="s">
        <v>58</v>
      </c>
      <c r="B40" s="8">
        <v>590250.0</v>
      </c>
      <c r="C40" s="9">
        <v>3.0</v>
      </c>
      <c r="D40" s="10">
        <f t="shared" si="32"/>
        <v>1.862745098</v>
      </c>
      <c r="E40" s="10">
        <v>2850.0</v>
      </c>
      <c r="F40" s="9">
        <f t="shared" si="33"/>
        <v>1530</v>
      </c>
      <c r="G40" s="9">
        <v>1530.0</v>
      </c>
      <c r="H40" s="9"/>
      <c r="I40" s="10">
        <v>994.25</v>
      </c>
      <c r="J40" s="10">
        <v>5.8</v>
      </c>
      <c r="K40" s="12"/>
      <c r="L40" s="12"/>
      <c r="M40" s="11"/>
      <c r="N40" s="12">
        <f t="shared" si="34"/>
        <v>85.5</v>
      </c>
      <c r="O40" s="10">
        <v>25.0</v>
      </c>
      <c r="P40" s="10">
        <v>25.0</v>
      </c>
      <c r="Q40" s="10"/>
      <c r="R40" s="10">
        <v>1400.24</v>
      </c>
      <c r="S40" s="10">
        <v>35.0</v>
      </c>
      <c r="T40" s="12"/>
      <c r="U40" s="10">
        <v>35.0</v>
      </c>
      <c r="V40" s="10"/>
      <c r="W40" s="12">
        <f t="shared" si="35"/>
        <v>170</v>
      </c>
      <c r="X40" s="9">
        <v>0.1</v>
      </c>
      <c r="Y40" s="9">
        <v>1700.0</v>
      </c>
      <c r="Z40" s="10">
        <v>346.0</v>
      </c>
      <c r="AA40" s="13">
        <v>0.35</v>
      </c>
      <c r="AB40" s="10"/>
      <c r="AC40" s="12">
        <f t="shared" si="36"/>
        <v>-1021.29</v>
      </c>
      <c r="AD40" s="12">
        <f>E40*AA40-248</f>
        <v>749.5</v>
      </c>
      <c r="AE40" s="5"/>
      <c r="AF40" s="5"/>
    </row>
    <row r="41">
      <c r="A41" s="8" t="s">
        <v>34</v>
      </c>
      <c r="B41" s="8">
        <v>585400.0</v>
      </c>
      <c r="C41" s="9">
        <v>4.0</v>
      </c>
      <c r="D41" s="10">
        <f t="shared" si="32"/>
        <v>2.100965909</v>
      </c>
      <c r="E41" s="10">
        <v>11093.1</v>
      </c>
      <c r="F41" s="9">
        <f t="shared" si="33"/>
        <v>5280</v>
      </c>
      <c r="G41" s="9">
        <v>5280.0</v>
      </c>
      <c r="H41" s="9"/>
      <c r="I41" s="10">
        <v>2526.12</v>
      </c>
      <c r="J41" s="10">
        <v>353.34</v>
      </c>
      <c r="K41" s="12"/>
      <c r="L41" s="12"/>
      <c r="M41" s="11"/>
      <c r="N41" s="12">
        <f t="shared" si="34"/>
        <v>332.793</v>
      </c>
      <c r="O41" s="10">
        <v>25.0</v>
      </c>
      <c r="P41" s="10">
        <v>25.0</v>
      </c>
      <c r="Q41" s="10">
        <v>7.0</v>
      </c>
      <c r="R41" s="10">
        <v>838.5</v>
      </c>
      <c r="S41" s="10">
        <v>35.0</v>
      </c>
      <c r="T41" s="12"/>
      <c r="U41" s="10">
        <v>35.0</v>
      </c>
      <c r="V41" s="10"/>
      <c r="W41" s="12">
        <f t="shared" si="35"/>
        <v>406.7</v>
      </c>
      <c r="X41" s="9">
        <v>0.1</v>
      </c>
      <c r="Y41" s="9">
        <v>4067.0</v>
      </c>
      <c r="Z41" s="10">
        <v>346.0</v>
      </c>
      <c r="AA41" s="13">
        <v>0.3</v>
      </c>
      <c r="AB41" s="10"/>
      <c r="AC41" s="12">
        <f t="shared" si="36"/>
        <v>2821.217</v>
      </c>
      <c r="AD41" s="12">
        <f>E41*AA41-AB41+13.5</f>
        <v>3341.43</v>
      </c>
      <c r="AE41" s="5"/>
      <c r="AF41" s="5"/>
    </row>
    <row r="42">
      <c r="A42" s="8" t="s">
        <v>53</v>
      </c>
      <c r="B42" s="8">
        <v>585615.0</v>
      </c>
      <c r="C42" s="9">
        <v>4.0</v>
      </c>
      <c r="D42" s="10">
        <f t="shared" si="32"/>
        <v>1.989644</v>
      </c>
      <c r="E42" s="10">
        <v>4974.11</v>
      </c>
      <c r="F42" s="9">
        <f t="shared" si="33"/>
        <v>2500</v>
      </c>
      <c r="G42" s="9">
        <v>2500.0</v>
      </c>
      <c r="H42" s="9"/>
      <c r="I42" s="10">
        <v>2254.38</v>
      </c>
      <c r="J42" s="10"/>
      <c r="K42" s="12"/>
      <c r="L42" s="12"/>
      <c r="M42" s="11"/>
      <c r="N42" s="12">
        <f t="shared" si="34"/>
        <v>149.2233</v>
      </c>
      <c r="O42" s="10">
        <v>25.0</v>
      </c>
      <c r="P42" s="10">
        <v>25.0</v>
      </c>
      <c r="Q42" s="10">
        <v>7.0</v>
      </c>
      <c r="R42" s="10">
        <v>850.26</v>
      </c>
      <c r="S42" s="10">
        <v>35.0</v>
      </c>
      <c r="T42" s="12"/>
      <c r="U42" s="10">
        <v>35.0</v>
      </c>
      <c r="V42" s="10"/>
      <c r="W42" s="12">
        <f t="shared" si="35"/>
        <v>300</v>
      </c>
      <c r="X42" s="9">
        <v>0.1</v>
      </c>
      <c r="Y42" s="9">
        <v>3000.0</v>
      </c>
      <c r="Z42" s="10">
        <v>346.0</v>
      </c>
      <c r="AA42" s="13">
        <v>0.3</v>
      </c>
      <c r="AB42" s="10">
        <v>250.0</v>
      </c>
      <c r="AC42" s="12">
        <f t="shared" si="36"/>
        <v>-294.9863</v>
      </c>
      <c r="AD42" s="12">
        <f>E42*AA42-AB42</f>
        <v>1242.233</v>
      </c>
      <c r="AE42" s="5"/>
      <c r="AF42" s="5"/>
    </row>
    <row r="43">
      <c r="A43" s="8" t="s">
        <v>54</v>
      </c>
      <c r="B43" s="8">
        <v>204822.0</v>
      </c>
      <c r="C43" s="9">
        <v>6.0</v>
      </c>
      <c r="D43" s="10">
        <f t="shared" si="32"/>
        <v>2.075102764</v>
      </c>
      <c r="E43" s="10">
        <v>14639.85</v>
      </c>
      <c r="F43" s="9">
        <f t="shared" si="33"/>
        <v>7055</v>
      </c>
      <c r="G43" s="9">
        <v>6915.0</v>
      </c>
      <c r="H43" s="9">
        <v>140.0</v>
      </c>
      <c r="I43" s="10">
        <v>2515.67</v>
      </c>
      <c r="J43" s="10">
        <v>323.14</v>
      </c>
      <c r="K43" s="12"/>
      <c r="L43" s="12"/>
      <c r="M43" s="11"/>
      <c r="N43" s="12">
        <f t="shared" si="34"/>
        <v>439.1955</v>
      </c>
      <c r="O43" s="10">
        <v>25.0</v>
      </c>
      <c r="P43" s="10">
        <v>25.0</v>
      </c>
      <c r="Q43" s="10">
        <v>7.0</v>
      </c>
      <c r="R43" s="10">
        <v>826.1</v>
      </c>
      <c r="S43" s="10">
        <v>35.0</v>
      </c>
      <c r="T43" s="12"/>
      <c r="U43" s="10">
        <v>35.0</v>
      </c>
      <c r="V43" s="10"/>
      <c r="W43" s="12">
        <f t="shared" si="35"/>
        <v>200</v>
      </c>
      <c r="X43" s="9">
        <v>0.1</v>
      </c>
      <c r="Y43" s="9">
        <v>2000.0</v>
      </c>
      <c r="Z43" s="10">
        <v>346.0</v>
      </c>
      <c r="AA43" s="9">
        <v>0.8</v>
      </c>
      <c r="AB43" s="10">
        <v>500.0</v>
      </c>
      <c r="AC43" s="12">
        <f t="shared" si="36"/>
        <v>4732.7445</v>
      </c>
      <c r="AD43" s="12">
        <f>G43*AA43+H43*0.7-AB43</f>
        <v>5130</v>
      </c>
      <c r="AE43" s="5"/>
      <c r="AF43" s="5"/>
    </row>
    <row r="44">
      <c r="A44" s="8" t="s">
        <v>36</v>
      </c>
      <c r="B44" s="8">
        <v>344955.0</v>
      </c>
      <c r="C44" s="9">
        <v>4.0</v>
      </c>
      <c r="D44" s="10">
        <f t="shared" si="32"/>
        <v>2.432432432</v>
      </c>
      <c r="E44" s="10">
        <v>4500.0</v>
      </c>
      <c r="F44" s="9">
        <f t="shared" si="33"/>
        <v>1850</v>
      </c>
      <c r="G44" s="9">
        <v>1730.0</v>
      </c>
      <c r="H44" s="9">
        <v>120.0</v>
      </c>
      <c r="I44" s="10">
        <v>1402.23</v>
      </c>
      <c r="J44" s="10">
        <v>309.9</v>
      </c>
      <c r="K44" s="12"/>
      <c r="L44" s="12"/>
      <c r="M44" s="10">
        <f>E44*1%</f>
        <v>45</v>
      </c>
      <c r="N44" s="12">
        <f t="shared" si="34"/>
        <v>135</v>
      </c>
      <c r="O44" s="10">
        <v>25.0</v>
      </c>
      <c r="P44" s="10">
        <v>25.0</v>
      </c>
      <c r="Q44" s="10">
        <v>7.0</v>
      </c>
      <c r="R44" s="10">
        <v>824.3</v>
      </c>
      <c r="S44" s="10">
        <v>35.0</v>
      </c>
      <c r="T44" s="10"/>
      <c r="U44" s="10">
        <v>35.0</v>
      </c>
      <c r="V44" s="10"/>
      <c r="W44" s="12">
        <f t="shared" si="35"/>
        <v>170</v>
      </c>
      <c r="X44" s="9">
        <v>0.1</v>
      </c>
      <c r="Y44" s="9">
        <v>1700.0</v>
      </c>
      <c r="Z44" s="10">
        <v>346.0</v>
      </c>
      <c r="AA44" s="9">
        <v>0.65</v>
      </c>
      <c r="AB44" s="10"/>
      <c r="AC44" s="12">
        <f t="shared" si="36"/>
        <v>-49.93</v>
      </c>
      <c r="AD44" s="12">
        <f>(G44*AA44)+(H44*0.55)-AB44</f>
        <v>1190.5</v>
      </c>
      <c r="AE44" s="5"/>
      <c r="AF44" s="5"/>
    </row>
    <row r="45">
      <c r="A45" s="8" t="s">
        <v>44</v>
      </c>
      <c r="B45" s="8">
        <v>590053.0</v>
      </c>
      <c r="C45" s="9">
        <v>4.0</v>
      </c>
      <c r="D45" s="10">
        <f t="shared" si="32"/>
        <v>2.174868369</v>
      </c>
      <c r="E45" s="10">
        <v>5535.04</v>
      </c>
      <c r="F45" s="9">
        <f t="shared" si="33"/>
        <v>2545</v>
      </c>
      <c r="G45" s="9">
        <v>2490.0</v>
      </c>
      <c r="H45" s="9">
        <v>55.0</v>
      </c>
      <c r="I45" s="10">
        <v>1733.89</v>
      </c>
      <c r="J45" s="10">
        <v>64.97</v>
      </c>
      <c r="K45" s="12"/>
      <c r="L45" s="12"/>
      <c r="M45" s="9"/>
      <c r="N45" s="12">
        <f t="shared" si="34"/>
        <v>166.0512</v>
      </c>
      <c r="O45" s="10">
        <v>25.0</v>
      </c>
      <c r="P45" s="10">
        <v>25.0</v>
      </c>
      <c r="Q45" s="10">
        <v>7.0</v>
      </c>
      <c r="R45" s="10">
        <v>840.3</v>
      </c>
      <c r="S45" s="10">
        <v>35.0</v>
      </c>
      <c r="T45" s="10"/>
      <c r="U45" s="10">
        <v>35.0</v>
      </c>
      <c r="V45" s="10"/>
      <c r="W45" s="12">
        <f t="shared" si="35"/>
        <v>436.6</v>
      </c>
      <c r="X45" s="9">
        <v>0.1</v>
      </c>
      <c r="Y45" s="9">
        <v>4366.0</v>
      </c>
      <c r="Z45" s="10">
        <v>346.0</v>
      </c>
      <c r="AA45" s="9">
        <v>0.7</v>
      </c>
      <c r="AB45" s="10">
        <v>250.0</v>
      </c>
      <c r="AC45" s="12">
        <f t="shared" si="36"/>
        <v>69.2288</v>
      </c>
      <c r="AD45" s="12">
        <f>(G45*AA45)+(H45*0.6)-AB45+225</f>
        <v>1751</v>
      </c>
      <c r="AE45" s="5"/>
      <c r="AF45" s="5"/>
    </row>
    <row r="46">
      <c r="A46" s="8" t="s">
        <v>59</v>
      </c>
      <c r="B46" s="8">
        <v>247468.0</v>
      </c>
      <c r="C46" s="9">
        <v>5.0</v>
      </c>
      <c r="D46" s="10">
        <f t="shared" si="32"/>
        <v>1.354963964</v>
      </c>
      <c r="E46" s="10">
        <v>3008.02</v>
      </c>
      <c r="F46" s="9">
        <f t="shared" si="33"/>
        <v>2220</v>
      </c>
      <c r="G46" s="9">
        <v>1975.0</v>
      </c>
      <c r="H46" s="9">
        <v>245.0</v>
      </c>
      <c r="I46" s="10">
        <v>1544.57</v>
      </c>
      <c r="J46" s="10">
        <v>263.38</v>
      </c>
      <c r="K46" s="12"/>
      <c r="L46" s="12"/>
      <c r="M46" s="9"/>
      <c r="N46" s="12">
        <f t="shared" si="34"/>
        <v>90.2406</v>
      </c>
      <c r="O46" s="10">
        <v>25.0</v>
      </c>
      <c r="P46" s="10">
        <v>25.0</v>
      </c>
      <c r="Q46" s="10">
        <v>7.0</v>
      </c>
      <c r="R46" s="10">
        <v>821.3</v>
      </c>
      <c r="S46" s="10">
        <v>35.0</v>
      </c>
      <c r="T46" s="10"/>
      <c r="U46" s="10">
        <v>35.0</v>
      </c>
      <c r="V46" s="10"/>
      <c r="W46" s="12">
        <f t="shared" si="35"/>
        <v>120</v>
      </c>
      <c r="X46" s="9">
        <v>0.1</v>
      </c>
      <c r="Y46" s="9">
        <v>1200.0</v>
      </c>
      <c r="Z46" s="10">
        <v>346.0</v>
      </c>
      <c r="AA46" s="9">
        <v>0.65</v>
      </c>
      <c r="AB46" s="10">
        <v>250.0</v>
      </c>
      <c r="AC46" s="12">
        <f t="shared" si="36"/>
        <v>-452.9706</v>
      </c>
      <c r="AD46" s="12">
        <f>(G46*AA46)+(H46*0.55)-AB46-245-50-75-650</f>
        <v>148.5</v>
      </c>
      <c r="AE46" s="5"/>
      <c r="AF46" s="5"/>
    </row>
    <row r="47">
      <c r="A47" s="8" t="s">
        <v>56</v>
      </c>
      <c r="B47" s="8">
        <v>457219.0</v>
      </c>
      <c r="C47" s="9">
        <v>4.0</v>
      </c>
      <c r="D47" s="10">
        <f t="shared" si="32"/>
        <v>1.953771429</v>
      </c>
      <c r="E47" s="10">
        <v>3761.01</v>
      </c>
      <c r="F47" s="9">
        <f t="shared" si="33"/>
        <v>1925</v>
      </c>
      <c r="G47" s="9">
        <v>1825.0</v>
      </c>
      <c r="H47" s="9">
        <v>100.0</v>
      </c>
      <c r="I47" s="10">
        <v>1872.53</v>
      </c>
      <c r="J47" s="10"/>
      <c r="K47" s="12"/>
      <c r="L47" s="12"/>
      <c r="M47" s="9"/>
      <c r="N47" s="12">
        <f t="shared" si="34"/>
        <v>112.8303</v>
      </c>
      <c r="O47" s="10">
        <v>25.0</v>
      </c>
      <c r="P47" s="10">
        <v>25.0</v>
      </c>
      <c r="Q47" s="10">
        <v>7.0</v>
      </c>
      <c r="R47" s="10">
        <v>784.51</v>
      </c>
      <c r="S47" s="10">
        <v>35.0</v>
      </c>
      <c r="T47" s="10"/>
      <c r="U47" s="10">
        <v>35.0</v>
      </c>
      <c r="V47" s="10"/>
      <c r="W47" s="12">
        <f t="shared" si="35"/>
        <v>226</v>
      </c>
      <c r="X47" s="9">
        <v>0.1</v>
      </c>
      <c r="Y47" s="9">
        <v>2260.0</v>
      </c>
      <c r="Z47" s="10">
        <v>346.0</v>
      </c>
      <c r="AA47" s="9">
        <v>0.65</v>
      </c>
      <c r="AB47" s="10">
        <v>500.0</v>
      </c>
      <c r="AC47" s="12">
        <f t="shared" si="36"/>
        <v>-449.1103</v>
      </c>
      <c r="AD47" s="12">
        <f>(G47*AA47)+(H47*0.55)-AB47</f>
        <v>741.25</v>
      </c>
      <c r="AE47" s="5"/>
      <c r="AF47" s="5"/>
    </row>
    <row r="48">
      <c r="A48" s="8" t="s">
        <v>46</v>
      </c>
      <c r="B48" s="8">
        <v>273294.0</v>
      </c>
      <c r="C48" s="9">
        <v>4.0</v>
      </c>
      <c r="D48" s="10">
        <f t="shared" si="32"/>
        <v>1.888261006</v>
      </c>
      <c r="E48" s="10">
        <v>6004.67</v>
      </c>
      <c r="F48" s="9">
        <f t="shared" si="33"/>
        <v>3180</v>
      </c>
      <c r="G48" s="9">
        <v>3070.0</v>
      </c>
      <c r="H48" s="9">
        <v>110.0</v>
      </c>
      <c r="I48" s="10">
        <v>817.97</v>
      </c>
      <c r="J48" s="10">
        <v>178.19</v>
      </c>
      <c r="K48" s="10"/>
      <c r="L48" s="12"/>
      <c r="M48" s="9"/>
      <c r="N48" s="12">
        <f t="shared" si="34"/>
        <v>180.1401</v>
      </c>
      <c r="O48" s="10">
        <v>25.0</v>
      </c>
      <c r="P48" s="10">
        <v>25.0</v>
      </c>
      <c r="Q48" s="10">
        <v>7.0</v>
      </c>
      <c r="R48" s="10">
        <v>842.3</v>
      </c>
      <c r="S48" s="10">
        <v>35.0</v>
      </c>
      <c r="T48" s="10"/>
      <c r="U48" s="10">
        <v>35.0</v>
      </c>
      <c r="V48" s="10"/>
      <c r="W48" s="12">
        <f t="shared" si="35"/>
        <v>470</v>
      </c>
      <c r="X48" s="9">
        <v>0.1</v>
      </c>
      <c r="Y48" s="9">
        <v>4700.0</v>
      </c>
      <c r="Z48" s="10">
        <v>346.0</v>
      </c>
      <c r="AA48" s="9">
        <v>0.65</v>
      </c>
      <c r="AB48" s="10">
        <v>250.0</v>
      </c>
      <c r="AC48" s="12">
        <f t="shared" si="36"/>
        <v>1012.0699</v>
      </c>
      <c r="AD48" s="12">
        <f>G48*AA48+H48*0.55-AB48+225</f>
        <v>2031</v>
      </c>
      <c r="AE48" s="5"/>
      <c r="AF48" s="5"/>
    </row>
    <row r="49">
      <c r="A49" s="15" t="s">
        <v>38</v>
      </c>
      <c r="B49" s="15">
        <v>7650.0</v>
      </c>
      <c r="C49" s="9">
        <v>3.0</v>
      </c>
      <c r="D49" s="10">
        <f t="shared" si="32"/>
        <v>1.706932773</v>
      </c>
      <c r="E49" s="10">
        <v>3250.0</v>
      </c>
      <c r="F49" s="9">
        <f t="shared" si="33"/>
        <v>1904</v>
      </c>
      <c r="G49" s="9">
        <v>1904.0</v>
      </c>
      <c r="H49" s="9">
        <v>0.0</v>
      </c>
      <c r="I49" s="12"/>
      <c r="J49" s="12"/>
      <c r="K49" s="12"/>
      <c r="L49" s="12"/>
      <c r="M49" s="11"/>
      <c r="N49" s="12">
        <f t="shared" si="34"/>
        <v>97.5</v>
      </c>
      <c r="O49" s="10">
        <v>25.0</v>
      </c>
      <c r="P49" s="10">
        <v>25.0</v>
      </c>
      <c r="Q49" s="12"/>
      <c r="R49" s="10"/>
      <c r="S49" s="10">
        <v>35.0</v>
      </c>
      <c r="T49" s="10">
        <v>25.0</v>
      </c>
      <c r="U49" s="10">
        <v>35.0</v>
      </c>
      <c r="V49" s="10">
        <v>100.0</v>
      </c>
      <c r="W49" s="12"/>
      <c r="X49" s="12"/>
      <c r="Y49" s="11"/>
      <c r="Z49" s="10">
        <v>400.0</v>
      </c>
      <c r="AA49" s="13">
        <v>0.88</v>
      </c>
      <c r="AB49" s="10">
        <v>0.0</v>
      </c>
      <c r="AC49" s="12">
        <f>E49-I49-J49-K49-M49-N49-O49-P49-AD49</f>
        <v>842.5</v>
      </c>
      <c r="AD49" s="12">
        <f>E49*AA49-Z49-T49-U49-S49-V49-5</f>
        <v>2260</v>
      </c>
      <c r="AE49" s="5"/>
      <c r="AF49" s="5"/>
    </row>
    <row r="50">
      <c r="A50" s="16" t="s">
        <v>39</v>
      </c>
      <c r="B50" s="16">
        <v>11.0</v>
      </c>
      <c r="C50" s="17"/>
      <c r="D50" s="18">
        <f>AVERAGE(D39:D49)</f>
        <v>1.966456462</v>
      </c>
      <c r="E50" s="18">
        <f t="shared" ref="E50:H50" si="37">SUM(E39:E49)</f>
        <v>64321.3</v>
      </c>
      <c r="F50" s="17">
        <f t="shared" si="37"/>
        <v>32239</v>
      </c>
      <c r="G50" s="17">
        <f t="shared" si="37"/>
        <v>31314</v>
      </c>
      <c r="H50" s="17">
        <f t="shared" si="37"/>
        <v>925</v>
      </c>
      <c r="I50" s="18">
        <f>SUM(I39:I48)</f>
        <v>17077.34</v>
      </c>
      <c r="J50" s="18">
        <f t="shared" ref="J50:Z50" si="38">SUM(J39:J49)</f>
        <v>1498.72</v>
      </c>
      <c r="K50" s="18">
        <f t="shared" si="38"/>
        <v>0</v>
      </c>
      <c r="L50" s="18">
        <f t="shared" si="38"/>
        <v>0</v>
      </c>
      <c r="M50" s="18">
        <f t="shared" si="38"/>
        <v>45</v>
      </c>
      <c r="N50" s="18">
        <f t="shared" si="38"/>
        <v>1929.639</v>
      </c>
      <c r="O50" s="18">
        <f t="shared" si="38"/>
        <v>275</v>
      </c>
      <c r="P50" s="18">
        <f t="shared" si="38"/>
        <v>275</v>
      </c>
      <c r="Q50" s="18">
        <f t="shared" si="38"/>
        <v>63</v>
      </c>
      <c r="R50" s="18">
        <f t="shared" si="38"/>
        <v>8852.11</v>
      </c>
      <c r="S50" s="18">
        <f t="shared" si="38"/>
        <v>385</v>
      </c>
      <c r="T50" s="18">
        <f t="shared" si="38"/>
        <v>25</v>
      </c>
      <c r="U50" s="18">
        <f t="shared" si="38"/>
        <v>385</v>
      </c>
      <c r="V50" s="18">
        <f t="shared" si="38"/>
        <v>100</v>
      </c>
      <c r="W50" s="18">
        <f t="shared" si="38"/>
        <v>2669.3</v>
      </c>
      <c r="X50" s="17">
        <f t="shared" si="38"/>
        <v>1</v>
      </c>
      <c r="Y50" s="17">
        <f t="shared" si="38"/>
        <v>26693</v>
      </c>
      <c r="Z50" s="18">
        <f t="shared" si="38"/>
        <v>3860</v>
      </c>
      <c r="AA50" s="17"/>
      <c r="AB50" s="19">
        <f t="shared" ref="AB50:AD50" si="39">SUM(AB39:AB49)</f>
        <v>2250</v>
      </c>
      <c r="AC50" s="18">
        <f t="shared" si="39"/>
        <v>7693.778</v>
      </c>
      <c r="AD50" s="18">
        <f t="shared" si="39"/>
        <v>19782.413</v>
      </c>
      <c r="AE50" s="5"/>
      <c r="AF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</sheetData>
  <mergeCells count="4">
    <mergeCell ref="B1:AD1"/>
    <mergeCell ref="B12:AD12"/>
    <mergeCell ref="B24:AD24"/>
    <mergeCell ref="B37:AD37"/>
  </mergeCells>
  <conditionalFormatting sqref="U2:U11 U13:U23 U25:U36 U38:U930">
    <cfRule type="cellIs" dxfId="0" priority="1" operator="equal">
      <formula>sum(U,U)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25"/>
    <col customWidth="1" min="4" max="4" width="18.13"/>
    <col customWidth="1" min="5" max="6" width="21.63"/>
  </cols>
  <sheetData>
    <row r="1" ht="18.75" customHeight="1">
      <c r="A1" s="22" t="s">
        <v>60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8.75" customHeight="1">
      <c r="A2" s="22" t="s">
        <v>61</v>
      </c>
      <c r="B2" s="22" t="s">
        <v>62</v>
      </c>
      <c r="C2" s="24" t="s">
        <v>63</v>
      </c>
      <c r="D2" s="22" t="s">
        <v>64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8.75" customHeight="1">
      <c r="A3" s="25" t="s">
        <v>65</v>
      </c>
      <c r="B3" s="26">
        <v>101.8</v>
      </c>
      <c r="C3" s="27">
        <v>45286.0</v>
      </c>
      <c r="D3" s="25" t="s">
        <v>66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8.75" customHeight="1">
      <c r="A4" s="25" t="s">
        <v>67</v>
      </c>
      <c r="B4" s="26">
        <v>660.65</v>
      </c>
      <c r="C4" s="27">
        <v>45286.0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8.75" customHeight="1">
      <c r="A5" s="25" t="s">
        <v>68</v>
      </c>
      <c r="B5" s="26">
        <v>1.5</v>
      </c>
      <c r="C5" s="27">
        <v>45286.0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8.75" customHeight="1">
      <c r="A6" s="25" t="s">
        <v>67</v>
      </c>
      <c r="B6" s="26">
        <v>200.0</v>
      </c>
      <c r="C6" s="27">
        <v>45286.0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8.75" customHeight="1">
      <c r="A7" s="25" t="s">
        <v>69</v>
      </c>
      <c r="B7" s="26">
        <v>123.72</v>
      </c>
      <c r="C7" s="27">
        <v>45286.0</v>
      </c>
      <c r="D7" s="25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8.75" customHeight="1">
      <c r="A8" s="25" t="s">
        <v>70</v>
      </c>
      <c r="B8" s="26">
        <v>545.13</v>
      </c>
      <c r="C8" s="27">
        <v>45286.0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8.75" customHeight="1">
      <c r="A9" s="25" t="s">
        <v>71</v>
      </c>
      <c r="B9" s="26">
        <v>40.61</v>
      </c>
      <c r="C9" s="27">
        <v>45286.0</v>
      </c>
      <c r="D9" s="25" t="s">
        <v>66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8.75" customHeight="1">
      <c r="A10" s="25" t="s">
        <v>72</v>
      </c>
      <c r="B10" s="26">
        <v>137.31</v>
      </c>
      <c r="C10" s="27">
        <v>45286.0</v>
      </c>
      <c r="D10" s="25" t="s">
        <v>66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8.75" customHeight="1">
      <c r="A11" s="25" t="s">
        <v>73</v>
      </c>
      <c r="B11" s="26">
        <v>43.0</v>
      </c>
      <c r="C11" s="27">
        <v>45286.0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8.75" customHeight="1">
      <c r="A12" s="25" t="s">
        <v>74</v>
      </c>
      <c r="B12" s="26">
        <v>5.0</v>
      </c>
      <c r="C12" s="27">
        <v>45288.0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8.75" customHeight="1">
      <c r="A13" s="25" t="s">
        <v>75</v>
      </c>
      <c r="B13" s="26">
        <v>40.0</v>
      </c>
      <c r="C13" s="27">
        <v>45288.0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8.75" customHeight="1">
      <c r="A14" s="25" t="s">
        <v>76</v>
      </c>
      <c r="B14" s="26">
        <v>430.0</v>
      </c>
      <c r="C14" s="27">
        <v>45289.0</v>
      </c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5" t="s">
        <v>75</v>
      </c>
      <c r="B15" s="26">
        <v>40.0</v>
      </c>
      <c r="C15" s="27">
        <v>45289.0</v>
      </c>
      <c r="D15" s="23"/>
      <c r="E15" s="23"/>
      <c r="F15" s="23"/>
      <c r="G15" s="23"/>
      <c r="H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5" t="s">
        <v>77</v>
      </c>
      <c r="B16" s="26">
        <v>15.0</v>
      </c>
      <c r="C16" s="27">
        <v>45289.0</v>
      </c>
      <c r="D16" s="23"/>
      <c r="E16" s="23"/>
      <c r="F16" s="23"/>
      <c r="G16" s="23"/>
      <c r="H16" s="23"/>
      <c r="K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 t="s">
        <v>78</v>
      </c>
      <c r="B17" s="28">
        <f>SUM(B3:B16)</f>
        <v>2383.72</v>
      </c>
      <c r="C17" s="29"/>
      <c r="D17" s="23"/>
      <c r="E17" s="23"/>
      <c r="F17" s="23"/>
      <c r="G17" s="23"/>
      <c r="H17" s="23"/>
      <c r="K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5"/>
      <c r="B18" s="28"/>
      <c r="C18" s="29"/>
      <c r="D18" s="23"/>
      <c r="E18" s="23"/>
      <c r="F18" s="23"/>
      <c r="G18" s="23"/>
      <c r="H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2" t="s">
        <v>79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2" t="s">
        <v>61</v>
      </c>
      <c r="B20" s="22" t="s">
        <v>62</v>
      </c>
      <c r="C20" s="24" t="s">
        <v>63</v>
      </c>
      <c r="D20" s="22" t="s">
        <v>64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5" t="s">
        <v>80</v>
      </c>
      <c r="B21" s="26">
        <v>30.0</v>
      </c>
      <c r="C21" s="27">
        <v>45293.0</v>
      </c>
      <c r="D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5" t="s">
        <v>80</v>
      </c>
      <c r="B22" s="26">
        <v>30.0</v>
      </c>
      <c r="C22" s="27">
        <v>45293.0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5" t="s">
        <v>80</v>
      </c>
      <c r="B23" s="26">
        <v>30.0</v>
      </c>
      <c r="C23" s="27">
        <v>45293.0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5" t="s">
        <v>80</v>
      </c>
      <c r="B24" s="26">
        <v>30.0</v>
      </c>
      <c r="C24" s="27">
        <v>45293.0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5" t="s">
        <v>80</v>
      </c>
      <c r="B25" s="26">
        <v>30.0</v>
      </c>
      <c r="C25" s="27">
        <v>45293.0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5" t="s">
        <v>80</v>
      </c>
      <c r="B26" s="26">
        <v>30.0</v>
      </c>
      <c r="C26" s="27">
        <v>45293.0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5" t="s">
        <v>80</v>
      </c>
      <c r="B27" s="26">
        <v>70.0</v>
      </c>
      <c r="C27" s="27">
        <v>45293.0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5" t="s">
        <v>81</v>
      </c>
      <c r="B28" s="26">
        <v>87.23</v>
      </c>
      <c r="C28" s="27">
        <v>45293.0</v>
      </c>
      <c r="D28" s="25" t="s">
        <v>66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5" t="s">
        <v>82</v>
      </c>
      <c r="B29" s="26">
        <v>2404.1</v>
      </c>
      <c r="C29" s="27">
        <v>45293.0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5" t="s">
        <v>83</v>
      </c>
      <c r="B30" s="26">
        <v>244.93</v>
      </c>
      <c r="C30" s="27">
        <v>45293.0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5" t="s">
        <v>84</v>
      </c>
      <c r="B31" s="26">
        <v>1233.8</v>
      </c>
      <c r="C31" s="27">
        <v>45293.0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5" t="s">
        <v>85</v>
      </c>
      <c r="B32" s="26">
        <v>200.0</v>
      </c>
      <c r="C32" s="27">
        <v>45293.0</v>
      </c>
      <c r="D32" s="25" t="s">
        <v>66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5" t="s">
        <v>86</v>
      </c>
      <c r="B33" s="26">
        <v>100.0</v>
      </c>
      <c r="C33" s="27">
        <v>45293.0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5" t="s">
        <v>87</v>
      </c>
      <c r="B34" s="26">
        <v>25.0</v>
      </c>
      <c r="C34" s="27">
        <v>45293.0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5" t="s">
        <v>88</v>
      </c>
      <c r="B35" s="26">
        <v>4.95</v>
      </c>
      <c r="C35" s="27">
        <v>45293.0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5" t="s">
        <v>89</v>
      </c>
      <c r="B36" s="26">
        <v>59.29</v>
      </c>
      <c r="C36" s="27">
        <v>45293.0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5" t="s">
        <v>90</v>
      </c>
      <c r="B37" s="26">
        <v>28.75</v>
      </c>
      <c r="C37" s="27">
        <v>45294.0</v>
      </c>
      <c r="D37" s="25" t="s">
        <v>66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5" t="s">
        <v>91</v>
      </c>
      <c r="B38" s="26">
        <v>10.0</v>
      </c>
      <c r="C38" s="27">
        <v>45294.0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5" t="s">
        <v>92</v>
      </c>
      <c r="B39" s="26">
        <v>70.0</v>
      </c>
      <c r="C39" s="27">
        <v>45295.0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5" t="s">
        <v>93</v>
      </c>
      <c r="B40" s="26">
        <v>5.0</v>
      </c>
      <c r="C40" s="27">
        <v>45296.0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5" t="s">
        <v>94</v>
      </c>
      <c r="B41" s="26">
        <v>70.0</v>
      </c>
      <c r="C41" s="27">
        <v>45296.0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5" t="s">
        <v>95</v>
      </c>
      <c r="B42" s="26">
        <v>47.32</v>
      </c>
      <c r="C42" s="27">
        <v>45296.0</v>
      </c>
      <c r="D42" s="25" t="s">
        <v>66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5" t="s">
        <v>96</v>
      </c>
      <c r="B43" s="26">
        <v>646.99</v>
      </c>
      <c r="C43" s="27">
        <v>45296.0</v>
      </c>
      <c r="D43" s="23"/>
      <c r="E43" s="25" t="s">
        <v>97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4" t="s">
        <v>78</v>
      </c>
      <c r="B44" s="28">
        <f>SUM(B21:B43)</f>
        <v>5487.36</v>
      </c>
      <c r="C44" s="29"/>
      <c r="D44" s="23"/>
      <c r="E44" s="30">
        <v>710.0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8"/>
      <c r="C45" s="29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2" t="s">
        <v>98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2" t="s">
        <v>61</v>
      </c>
      <c r="B47" s="22" t="s">
        <v>62</v>
      </c>
      <c r="C47" s="24" t="s">
        <v>63</v>
      </c>
      <c r="D47" s="22" t="s">
        <v>64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5" t="s">
        <v>99</v>
      </c>
      <c r="B48" s="26">
        <v>18.95</v>
      </c>
      <c r="C48" s="27">
        <v>45299.0</v>
      </c>
      <c r="D48" s="31" t="s">
        <v>100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5" t="s">
        <v>99</v>
      </c>
      <c r="B49" s="26">
        <v>17.95</v>
      </c>
      <c r="C49" s="27">
        <v>45299.0</v>
      </c>
      <c r="D49" s="31" t="s">
        <v>100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5" t="s">
        <v>101</v>
      </c>
      <c r="B50" s="26">
        <v>70.0</v>
      </c>
      <c r="C50" s="27">
        <v>45299.0</v>
      </c>
      <c r="D50" s="31" t="s">
        <v>100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5" t="s">
        <v>102</v>
      </c>
      <c r="B51" s="26">
        <v>47.04</v>
      </c>
      <c r="C51" s="27">
        <v>45299.0</v>
      </c>
      <c r="D51" s="25" t="s">
        <v>66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5" t="s">
        <v>103</v>
      </c>
      <c r="B52" s="26">
        <v>70.0</v>
      </c>
      <c r="C52" s="27">
        <v>45299.0</v>
      </c>
      <c r="D52" s="31" t="s">
        <v>100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5" t="s">
        <v>104</v>
      </c>
      <c r="B53" s="26">
        <v>34.98</v>
      </c>
      <c r="C53" s="27">
        <v>45299.0</v>
      </c>
      <c r="D53" s="32" t="s">
        <v>105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5" t="s">
        <v>106</v>
      </c>
      <c r="B54" s="26">
        <v>41.66</v>
      </c>
      <c r="C54" s="27">
        <v>45299.0</v>
      </c>
      <c r="D54" s="25" t="s">
        <v>66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5" t="s">
        <v>107</v>
      </c>
      <c r="B55" s="26">
        <v>22.98</v>
      </c>
      <c r="C55" s="27">
        <v>45299.0</v>
      </c>
      <c r="D55" s="25" t="s">
        <v>66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5" t="s">
        <v>108</v>
      </c>
      <c r="B56" s="26">
        <v>2.55</v>
      </c>
      <c r="C56" s="27">
        <v>45299.0</v>
      </c>
      <c r="D56" s="25" t="s">
        <v>66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5" t="s">
        <v>109</v>
      </c>
      <c r="B57" s="26">
        <v>43.8</v>
      </c>
      <c r="C57" s="27">
        <v>45299.0</v>
      </c>
      <c r="D57" s="25" t="s">
        <v>66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5" t="s">
        <v>110</v>
      </c>
      <c r="B58" s="26">
        <v>77.09</v>
      </c>
      <c r="C58" s="27">
        <v>45300.0</v>
      </c>
      <c r="D58" s="31" t="s">
        <v>100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5" t="s">
        <v>111</v>
      </c>
      <c r="B59" s="26">
        <v>19.24</v>
      </c>
      <c r="C59" s="27">
        <v>45300.0</v>
      </c>
      <c r="D59" s="25" t="s">
        <v>66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5" t="s">
        <v>112</v>
      </c>
      <c r="B60" s="26">
        <v>91.76</v>
      </c>
      <c r="C60" s="27">
        <v>45300.0</v>
      </c>
      <c r="D60" s="25" t="s">
        <v>66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5" t="s">
        <v>113</v>
      </c>
      <c r="B61" s="26">
        <v>521.62</v>
      </c>
      <c r="C61" s="27">
        <v>45300.0</v>
      </c>
      <c r="D61" s="25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5" t="s">
        <v>114</v>
      </c>
      <c r="B62" s="26">
        <v>61.5</v>
      </c>
      <c r="C62" s="27">
        <v>45300.0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5" t="s">
        <v>115</v>
      </c>
      <c r="B63" s="26">
        <v>1.48</v>
      </c>
      <c r="C63" s="27">
        <v>45300.0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5" t="s">
        <v>116</v>
      </c>
      <c r="B64" s="26">
        <v>121.81</v>
      </c>
      <c r="C64" s="27">
        <v>45300.0</v>
      </c>
      <c r="D64" s="25" t="s">
        <v>66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5" t="s">
        <v>117</v>
      </c>
      <c r="B65" s="26">
        <v>39.09</v>
      </c>
      <c r="C65" s="27">
        <v>45301.0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5" t="s">
        <v>118</v>
      </c>
      <c r="B66" s="26">
        <v>227.56</v>
      </c>
      <c r="C66" s="27">
        <v>45301.0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5" t="s">
        <v>119</v>
      </c>
      <c r="B67" s="26">
        <v>522.82</v>
      </c>
      <c r="C67" s="27">
        <v>45301.0</v>
      </c>
      <c r="D67" s="25" t="s">
        <v>66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5" t="s">
        <v>120</v>
      </c>
      <c r="B68" s="26">
        <v>1000.0</v>
      </c>
      <c r="C68" s="27">
        <v>45301.0</v>
      </c>
      <c r="D68" s="31" t="s">
        <v>100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5" t="s">
        <v>121</v>
      </c>
      <c r="B69" s="26">
        <v>14.0</v>
      </c>
      <c r="C69" s="27">
        <v>45301.0</v>
      </c>
      <c r="D69" s="32" t="s">
        <v>122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5" t="s">
        <v>123</v>
      </c>
      <c r="B70" s="26">
        <v>17.99</v>
      </c>
      <c r="C70" s="27">
        <v>45301.0</v>
      </c>
      <c r="D70" s="32" t="s">
        <v>122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5" t="s">
        <v>124</v>
      </c>
      <c r="B71" s="26">
        <v>665.0</v>
      </c>
      <c r="C71" s="27">
        <v>45301.0</v>
      </c>
      <c r="D71" s="25" t="s">
        <v>125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5" t="s">
        <v>126</v>
      </c>
      <c r="B72" s="26">
        <v>233.19</v>
      </c>
      <c r="C72" s="27">
        <v>45301.0</v>
      </c>
      <c r="D72" s="31" t="s">
        <v>100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5" t="s">
        <v>126</v>
      </c>
      <c r="B73" s="26">
        <v>199.99</v>
      </c>
      <c r="C73" s="27">
        <v>45301.0</v>
      </c>
      <c r="D73" s="31" t="s">
        <v>100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5" t="s">
        <v>127</v>
      </c>
      <c r="B74" s="26">
        <v>46.07</v>
      </c>
      <c r="C74" s="27">
        <v>45301.0</v>
      </c>
      <c r="D74" s="33" t="s">
        <v>128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5" t="s">
        <v>129</v>
      </c>
      <c r="B75" s="26">
        <v>18.95</v>
      </c>
      <c r="C75" s="27">
        <v>45302.0</v>
      </c>
      <c r="D75" s="31" t="s">
        <v>100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5" t="s">
        <v>130</v>
      </c>
      <c r="B76" s="26">
        <v>70.42</v>
      </c>
      <c r="C76" s="27">
        <v>45302.0</v>
      </c>
      <c r="D76" s="32" t="s">
        <v>131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5" t="s">
        <v>132</v>
      </c>
      <c r="B77" s="26">
        <v>100.0</v>
      </c>
      <c r="C77" s="27">
        <v>45302.0</v>
      </c>
      <c r="D77" s="32" t="s">
        <v>131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5" t="s">
        <v>133</v>
      </c>
      <c r="B78" s="26">
        <v>70.0</v>
      </c>
      <c r="C78" s="27">
        <v>45302.0</v>
      </c>
      <c r="D78" s="31" t="s">
        <v>100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5" t="s">
        <v>134</v>
      </c>
      <c r="B79" s="26">
        <v>53.17</v>
      </c>
      <c r="C79" s="27">
        <v>45302.0</v>
      </c>
      <c r="D79" s="33" t="s">
        <v>128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5" t="s">
        <v>135</v>
      </c>
      <c r="B80" s="26">
        <v>1.5</v>
      </c>
      <c r="C80" s="27">
        <v>45302.0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5" t="s">
        <v>136</v>
      </c>
      <c r="B81" s="26">
        <v>42.03</v>
      </c>
      <c r="C81" s="27">
        <v>45302.0</v>
      </c>
      <c r="D81" s="33" t="s">
        <v>128</v>
      </c>
      <c r="E81" s="25" t="s">
        <v>97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8"/>
      <c r="C82" s="29"/>
      <c r="D82" s="23"/>
      <c r="E82" s="30">
        <v>1375.0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8"/>
      <c r="C83" s="29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8"/>
      <c r="C84" s="29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8"/>
      <c r="C85" s="29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8"/>
      <c r="C86" s="29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8"/>
      <c r="C87" s="29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8"/>
      <c r="C88" s="29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8"/>
      <c r="C89" s="29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8"/>
      <c r="C90" s="29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8"/>
      <c r="C91" s="29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8"/>
      <c r="C92" s="29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8"/>
      <c r="C93" s="29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8"/>
      <c r="C94" s="29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8"/>
      <c r="C95" s="29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8"/>
      <c r="C96" s="29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8"/>
      <c r="C97" s="29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8"/>
      <c r="C98" s="29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8"/>
      <c r="C99" s="29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8"/>
      <c r="C100" s="29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8"/>
      <c r="C101" s="29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8"/>
      <c r="C102" s="29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8"/>
      <c r="C103" s="29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8"/>
      <c r="C104" s="29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8"/>
      <c r="C105" s="29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8"/>
      <c r="C106" s="29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8"/>
      <c r="C107" s="29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8"/>
      <c r="C108" s="29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8"/>
      <c r="C109" s="29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8"/>
      <c r="C110" s="29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8"/>
      <c r="C111" s="29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8"/>
      <c r="C112" s="29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8"/>
      <c r="C113" s="29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8"/>
      <c r="C114" s="29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8"/>
      <c r="C115" s="29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8"/>
      <c r="C116" s="29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8"/>
      <c r="C117" s="29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8"/>
      <c r="C118" s="29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8"/>
      <c r="C119" s="29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8"/>
      <c r="C120" s="29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8"/>
      <c r="C121" s="29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8"/>
      <c r="C122" s="29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8"/>
      <c r="C123" s="29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8"/>
      <c r="C124" s="29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8"/>
      <c r="C125" s="29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8"/>
      <c r="C126" s="29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8"/>
      <c r="C127" s="29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8"/>
      <c r="C128" s="29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8"/>
      <c r="C129" s="29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8"/>
      <c r="C130" s="29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8"/>
      <c r="C131" s="29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8"/>
      <c r="C132" s="29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8"/>
      <c r="C133" s="29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8"/>
      <c r="C134" s="29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8"/>
      <c r="C135" s="29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8"/>
      <c r="C136" s="29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8"/>
      <c r="C137" s="29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8"/>
      <c r="C138" s="29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8"/>
      <c r="C139" s="29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8"/>
      <c r="C140" s="29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8"/>
      <c r="C141" s="29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8"/>
      <c r="C142" s="29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8"/>
      <c r="C143" s="29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8"/>
      <c r="C144" s="29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8"/>
      <c r="C145" s="29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8"/>
      <c r="C146" s="29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8"/>
      <c r="C147" s="29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8"/>
      <c r="C148" s="29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8"/>
      <c r="C149" s="29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8"/>
      <c r="C150" s="29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8"/>
      <c r="C151" s="29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8"/>
      <c r="C152" s="29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8"/>
      <c r="C153" s="29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8"/>
      <c r="C154" s="29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8"/>
      <c r="C155" s="29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8"/>
      <c r="C156" s="29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8"/>
      <c r="C157" s="29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8"/>
      <c r="C158" s="29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8"/>
      <c r="C159" s="29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8"/>
      <c r="C160" s="29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8"/>
      <c r="C161" s="29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8"/>
      <c r="C162" s="29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8"/>
      <c r="C163" s="29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8"/>
      <c r="C164" s="29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8"/>
      <c r="C165" s="29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8"/>
      <c r="C166" s="29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8"/>
      <c r="C167" s="29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8"/>
      <c r="C168" s="29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8"/>
      <c r="C169" s="29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8"/>
      <c r="C170" s="29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8"/>
      <c r="C171" s="29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8"/>
      <c r="C172" s="29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8"/>
      <c r="C173" s="29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8"/>
      <c r="C174" s="29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8"/>
      <c r="C175" s="29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8"/>
      <c r="C176" s="29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8"/>
      <c r="C177" s="29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8"/>
      <c r="C178" s="29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8"/>
      <c r="C179" s="29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8"/>
      <c r="C180" s="29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8"/>
      <c r="C181" s="29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8"/>
      <c r="C182" s="29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8"/>
      <c r="C183" s="29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8"/>
      <c r="C184" s="29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8"/>
      <c r="C185" s="29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8"/>
      <c r="C186" s="29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8"/>
      <c r="C187" s="29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8"/>
      <c r="C188" s="29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8"/>
      <c r="C189" s="29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8"/>
      <c r="C190" s="29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8"/>
      <c r="C191" s="29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8"/>
      <c r="C192" s="29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8"/>
      <c r="C193" s="29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8"/>
      <c r="C194" s="29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8"/>
      <c r="C195" s="29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8"/>
      <c r="C196" s="29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8"/>
      <c r="C197" s="29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8"/>
      <c r="C198" s="29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8"/>
      <c r="C199" s="29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8"/>
      <c r="C200" s="29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8"/>
      <c r="C201" s="29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8"/>
      <c r="C202" s="29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8"/>
      <c r="C203" s="29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8"/>
      <c r="C204" s="29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8"/>
      <c r="C205" s="29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8"/>
      <c r="C206" s="29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8"/>
      <c r="C207" s="29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8"/>
      <c r="C208" s="29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8"/>
      <c r="C209" s="29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8"/>
      <c r="C210" s="29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8"/>
      <c r="C211" s="29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8"/>
      <c r="C212" s="29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8"/>
      <c r="C213" s="29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8"/>
      <c r="C214" s="29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8"/>
      <c r="C215" s="29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8"/>
      <c r="C216" s="29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8"/>
      <c r="C217" s="29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8"/>
      <c r="C218" s="29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8"/>
      <c r="C219" s="29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8"/>
      <c r="C220" s="29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8"/>
      <c r="C221" s="29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8"/>
      <c r="C222" s="29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8"/>
      <c r="C223" s="29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8"/>
      <c r="C224" s="29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8"/>
      <c r="C225" s="29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8"/>
      <c r="C226" s="29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8"/>
      <c r="C227" s="29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8"/>
      <c r="C228" s="29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8"/>
      <c r="C229" s="29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8"/>
      <c r="C230" s="29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8"/>
      <c r="C231" s="29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8"/>
      <c r="C232" s="29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8"/>
      <c r="C233" s="29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8"/>
      <c r="C234" s="29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8"/>
      <c r="C235" s="29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8"/>
      <c r="C236" s="29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8"/>
      <c r="C237" s="29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8"/>
      <c r="C238" s="29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8"/>
      <c r="C239" s="29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8"/>
      <c r="C240" s="29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8"/>
      <c r="C241" s="29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8"/>
      <c r="C242" s="29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8"/>
      <c r="C243" s="29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8"/>
      <c r="C244" s="29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8"/>
      <c r="C245" s="29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8"/>
      <c r="C246" s="29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8"/>
      <c r="C247" s="29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8"/>
      <c r="C248" s="29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8"/>
      <c r="C249" s="29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8"/>
      <c r="C250" s="29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8"/>
      <c r="C251" s="29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8"/>
      <c r="C252" s="29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8"/>
      <c r="C253" s="29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8"/>
      <c r="C254" s="29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8"/>
      <c r="C255" s="29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8"/>
      <c r="C256" s="29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8"/>
      <c r="C257" s="29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8"/>
      <c r="C258" s="29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8"/>
      <c r="C259" s="29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8"/>
      <c r="C260" s="29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8"/>
      <c r="C261" s="29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8"/>
      <c r="C262" s="29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8"/>
      <c r="C263" s="29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8"/>
      <c r="C264" s="29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8"/>
      <c r="C265" s="29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8"/>
      <c r="C266" s="29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8"/>
      <c r="C267" s="29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8"/>
      <c r="C268" s="29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8"/>
      <c r="C269" s="29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8"/>
      <c r="C270" s="29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8"/>
      <c r="C271" s="29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8"/>
      <c r="C272" s="29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8"/>
      <c r="C273" s="29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8"/>
      <c r="C274" s="29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8"/>
      <c r="C275" s="29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8"/>
      <c r="C276" s="29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8"/>
      <c r="C277" s="29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8"/>
      <c r="C278" s="29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8"/>
      <c r="C279" s="29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8"/>
      <c r="C280" s="29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8"/>
      <c r="C281" s="29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8"/>
      <c r="C282" s="29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8"/>
      <c r="C283" s="29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8"/>
      <c r="C284" s="29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8"/>
      <c r="C285" s="29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8"/>
      <c r="C286" s="29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8"/>
      <c r="C287" s="29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8"/>
      <c r="C288" s="29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8"/>
      <c r="C289" s="29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8"/>
      <c r="C290" s="29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8"/>
      <c r="C291" s="29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8"/>
      <c r="C292" s="29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8"/>
      <c r="C293" s="29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8"/>
      <c r="C294" s="29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8"/>
      <c r="C295" s="29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8"/>
      <c r="C296" s="29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8"/>
      <c r="C297" s="29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8"/>
      <c r="C298" s="29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8"/>
      <c r="C299" s="29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8"/>
      <c r="C300" s="29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8"/>
      <c r="C301" s="29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8"/>
      <c r="C302" s="29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8"/>
      <c r="C303" s="29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8"/>
      <c r="C304" s="29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8"/>
      <c r="C305" s="29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8"/>
      <c r="C306" s="29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8"/>
      <c r="C307" s="29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8"/>
      <c r="C308" s="29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8"/>
      <c r="C309" s="29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8"/>
      <c r="C310" s="29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8"/>
      <c r="C311" s="29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8"/>
      <c r="C312" s="29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8"/>
      <c r="C313" s="29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8"/>
      <c r="C314" s="29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8"/>
      <c r="C315" s="29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8"/>
      <c r="C316" s="29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8"/>
      <c r="C317" s="29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8"/>
      <c r="C318" s="29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8"/>
      <c r="C319" s="29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8"/>
      <c r="C320" s="29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8"/>
      <c r="C321" s="29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8"/>
      <c r="C322" s="29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8"/>
      <c r="C323" s="29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8"/>
      <c r="C324" s="29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8"/>
      <c r="C325" s="29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8"/>
      <c r="C326" s="29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8"/>
      <c r="C327" s="29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8"/>
      <c r="C328" s="29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8"/>
      <c r="C329" s="29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8"/>
      <c r="C330" s="29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8"/>
      <c r="C331" s="29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8"/>
      <c r="C332" s="29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8"/>
      <c r="C333" s="29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8"/>
      <c r="C334" s="29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8"/>
      <c r="C335" s="29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8"/>
      <c r="C336" s="29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8"/>
      <c r="C337" s="29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8"/>
      <c r="C338" s="29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8"/>
      <c r="C339" s="29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8"/>
      <c r="C340" s="29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8"/>
      <c r="C341" s="29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8"/>
      <c r="C342" s="29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8"/>
      <c r="C343" s="29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8"/>
      <c r="C344" s="29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8"/>
      <c r="C345" s="29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8"/>
      <c r="C346" s="29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8"/>
      <c r="C347" s="29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8"/>
      <c r="C348" s="29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8"/>
      <c r="C349" s="29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8"/>
      <c r="C350" s="29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8"/>
      <c r="C351" s="29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8"/>
      <c r="C352" s="29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8"/>
      <c r="C353" s="29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8"/>
      <c r="C354" s="29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8"/>
      <c r="C355" s="29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8"/>
      <c r="C356" s="29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8"/>
      <c r="C357" s="29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8"/>
      <c r="C358" s="29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8"/>
      <c r="C359" s="29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8"/>
      <c r="C360" s="29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8"/>
      <c r="C361" s="29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8"/>
      <c r="C362" s="29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8"/>
      <c r="C363" s="29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8"/>
      <c r="C364" s="29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8"/>
      <c r="C365" s="29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8"/>
      <c r="C366" s="29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8"/>
      <c r="C367" s="29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8"/>
      <c r="C368" s="29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8"/>
      <c r="C369" s="29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8"/>
      <c r="C370" s="29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8"/>
      <c r="C371" s="29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8"/>
      <c r="C372" s="29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8"/>
      <c r="C373" s="29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8"/>
      <c r="C374" s="29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8"/>
      <c r="C375" s="29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8"/>
      <c r="C376" s="29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8"/>
      <c r="C377" s="29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8"/>
      <c r="C378" s="29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8"/>
      <c r="C379" s="29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8"/>
      <c r="C380" s="29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8"/>
      <c r="C381" s="29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8"/>
      <c r="C382" s="29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8"/>
      <c r="C383" s="29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8"/>
      <c r="C384" s="29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8"/>
      <c r="C385" s="29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8"/>
      <c r="C386" s="29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8"/>
      <c r="C387" s="29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8"/>
      <c r="C388" s="29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8"/>
      <c r="C389" s="29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8"/>
      <c r="C390" s="29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8"/>
      <c r="C391" s="29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8"/>
      <c r="C392" s="29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8"/>
      <c r="C393" s="29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8"/>
      <c r="C394" s="29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8"/>
      <c r="C395" s="29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8"/>
      <c r="C396" s="29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8"/>
      <c r="C397" s="29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8"/>
      <c r="C398" s="29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8"/>
      <c r="C399" s="29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8"/>
      <c r="C400" s="29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8"/>
      <c r="C401" s="29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8"/>
      <c r="C402" s="29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8"/>
      <c r="C403" s="29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8"/>
      <c r="C404" s="29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8"/>
      <c r="C405" s="29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8"/>
      <c r="C406" s="29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8"/>
      <c r="C407" s="29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8"/>
      <c r="C408" s="29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8"/>
      <c r="C409" s="29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8"/>
      <c r="C410" s="29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8"/>
      <c r="C411" s="29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8"/>
      <c r="C412" s="29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8"/>
      <c r="C413" s="29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8"/>
      <c r="C414" s="29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8"/>
      <c r="C415" s="29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8"/>
      <c r="C416" s="29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8"/>
      <c r="C417" s="29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8"/>
      <c r="C418" s="29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8"/>
      <c r="C419" s="29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8"/>
      <c r="C420" s="29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8"/>
      <c r="C421" s="29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8"/>
      <c r="C422" s="29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8"/>
      <c r="C423" s="29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8"/>
      <c r="C424" s="29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8"/>
      <c r="C425" s="29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8"/>
      <c r="C426" s="29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8"/>
      <c r="C427" s="29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8"/>
      <c r="C428" s="29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8"/>
      <c r="C429" s="29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8"/>
      <c r="C430" s="29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8"/>
      <c r="C431" s="29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8"/>
      <c r="C432" s="29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8"/>
      <c r="C433" s="29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8"/>
      <c r="C434" s="29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8"/>
      <c r="C435" s="29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8"/>
      <c r="C436" s="29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8"/>
      <c r="C437" s="29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8"/>
      <c r="C438" s="29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8"/>
      <c r="C439" s="29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8"/>
      <c r="C440" s="29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8"/>
      <c r="C441" s="29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8"/>
      <c r="C442" s="29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8"/>
      <c r="C443" s="29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8"/>
      <c r="C444" s="29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8"/>
      <c r="C445" s="29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8"/>
      <c r="C446" s="29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8"/>
      <c r="C447" s="29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8"/>
      <c r="C448" s="29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8"/>
      <c r="C449" s="29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8"/>
      <c r="C450" s="29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8"/>
      <c r="C451" s="29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8"/>
      <c r="C452" s="29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8"/>
      <c r="C453" s="29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8"/>
      <c r="C454" s="29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8"/>
      <c r="C455" s="29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8"/>
      <c r="C456" s="29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8"/>
      <c r="C457" s="29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8"/>
      <c r="C458" s="29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8"/>
      <c r="C459" s="29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8"/>
      <c r="C460" s="29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8"/>
      <c r="C461" s="29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8"/>
      <c r="C462" s="29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8"/>
      <c r="C463" s="29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8"/>
      <c r="C464" s="29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8"/>
      <c r="C465" s="29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8"/>
      <c r="C466" s="29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8"/>
      <c r="C467" s="29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8"/>
      <c r="C468" s="29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8"/>
      <c r="C469" s="29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8"/>
      <c r="C470" s="29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8"/>
      <c r="C471" s="29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8"/>
      <c r="C472" s="29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8"/>
      <c r="C473" s="29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8"/>
      <c r="C474" s="29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8"/>
      <c r="C475" s="29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8"/>
      <c r="C476" s="29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8"/>
      <c r="C477" s="29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8"/>
      <c r="C478" s="29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8"/>
      <c r="C479" s="29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8"/>
      <c r="C480" s="29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8"/>
      <c r="C481" s="29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8"/>
      <c r="C482" s="29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8"/>
      <c r="C483" s="29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8"/>
      <c r="C484" s="29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8"/>
      <c r="C485" s="29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8"/>
      <c r="C486" s="29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8"/>
      <c r="C487" s="29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8"/>
      <c r="C488" s="29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8"/>
      <c r="C489" s="29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8"/>
      <c r="C490" s="29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8"/>
      <c r="C491" s="29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8"/>
      <c r="C492" s="29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8"/>
      <c r="C493" s="29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8"/>
      <c r="C494" s="29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8"/>
      <c r="C495" s="29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8"/>
      <c r="C496" s="29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8"/>
      <c r="C497" s="29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8"/>
      <c r="C498" s="29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8"/>
      <c r="C499" s="29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8"/>
      <c r="C500" s="29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8"/>
      <c r="C501" s="29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8"/>
      <c r="C502" s="29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8"/>
      <c r="C503" s="29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8"/>
      <c r="C504" s="29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8"/>
      <c r="C505" s="29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8"/>
      <c r="C506" s="29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8"/>
      <c r="C507" s="29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8"/>
      <c r="C508" s="29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8"/>
      <c r="C509" s="29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8"/>
      <c r="C510" s="29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8"/>
      <c r="C511" s="29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8"/>
      <c r="C512" s="29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8"/>
      <c r="C513" s="29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8"/>
      <c r="C514" s="29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8"/>
      <c r="C515" s="29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8"/>
      <c r="C516" s="29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8"/>
      <c r="C517" s="29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8"/>
      <c r="C518" s="29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8"/>
      <c r="C519" s="29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8"/>
      <c r="C520" s="29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8"/>
      <c r="C521" s="29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8"/>
      <c r="C522" s="29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8"/>
      <c r="C523" s="29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8"/>
      <c r="C524" s="29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8"/>
      <c r="C525" s="29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8"/>
      <c r="C526" s="29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8"/>
      <c r="C527" s="29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8"/>
      <c r="C528" s="29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8"/>
      <c r="C529" s="29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8"/>
      <c r="C530" s="29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8"/>
      <c r="C531" s="29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8"/>
      <c r="C532" s="29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8"/>
      <c r="C533" s="29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8"/>
      <c r="C534" s="29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8"/>
      <c r="C535" s="29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8"/>
      <c r="C536" s="29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8"/>
      <c r="C537" s="29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8"/>
      <c r="C538" s="29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8"/>
      <c r="C539" s="29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8"/>
      <c r="C540" s="29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8"/>
      <c r="C541" s="29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8"/>
      <c r="C542" s="29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8"/>
      <c r="C543" s="29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8"/>
      <c r="C544" s="29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8"/>
      <c r="C545" s="29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8"/>
      <c r="C546" s="29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8"/>
      <c r="C547" s="29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8"/>
      <c r="C548" s="29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8"/>
      <c r="C549" s="29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8"/>
      <c r="C550" s="29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8"/>
      <c r="C551" s="29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8"/>
      <c r="C552" s="29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8"/>
      <c r="C553" s="29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8"/>
      <c r="C554" s="29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8"/>
      <c r="C555" s="29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8"/>
      <c r="C556" s="29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8"/>
      <c r="C557" s="29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8"/>
      <c r="C558" s="29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8"/>
      <c r="C559" s="29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8"/>
      <c r="C560" s="29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8"/>
      <c r="C561" s="29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8"/>
      <c r="C562" s="29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8"/>
      <c r="C563" s="29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8"/>
      <c r="C564" s="29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8"/>
      <c r="C565" s="29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8"/>
      <c r="C566" s="29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8"/>
      <c r="C567" s="29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8"/>
      <c r="C568" s="29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8"/>
      <c r="C569" s="29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8"/>
      <c r="C570" s="29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8"/>
      <c r="C571" s="29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8"/>
      <c r="C572" s="29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8"/>
      <c r="C573" s="29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8"/>
      <c r="C574" s="29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8"/>
      <c r="C575" s="29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8"/>
      <c r="C576" s="29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8"/>
      <c r="C577" s="29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8"/>
      <c r="C578" s="29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8"/>
      <c r="C579" s="29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8"/>
      <c r="C580" s="29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8"/>
      <c r="C581" s="29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8"/>
      <c r="C582" s="29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8"/>
      <c r="C583" s="29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8"/>
      <c r="C584" s="29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8"/>
      <c r="C585" s="29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8"/>
      <c r="C586" s="29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8"/>
      <c r="C587" s="29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8"/>
      <c r="C588" s="29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8"/>
      <c r="C589" s="29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8"/>
      <c r="C590" s="29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8"/>
      <c r="C591" s="29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8"/>
      <c r="C592" s="29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8"/>
      <c r="C593" s="29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8"/>
      <c r="C594" s="29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8"/>
      <c r="C595" s="29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8"/>
      <c r="C596" s="29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8"/>
      <c r="C597" s="29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8"/>
      <c r="C598" s="29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8"/>
      <c r="C599" s="29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8"/>
      <c r="C600" s="29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8"/>
      <c r="C601" s="29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8"/>
      <c r="C602" s="29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8"/>
      <c r="C603" s="29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8"/>
      <c r="C604" s="29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8"/>
      <c r="C605" s="29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8"/>
      <c r="C606" s="29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8"/>
      <c r="C607" s="29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8"/>
      <c r="C608" s="29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8"/>
      <c r="C609" s="29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8"/>
      <c r="C610" s="29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8"/>
      <c r="C611" s="29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8"/>
      <c r="C612" s="29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8"/>
      <c r="C613" s="29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8"/>
      <c r="C614" s="29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8"/>
      <c r="C615" s="29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8"/>
      <c r="C616" s="29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8"/>
      <c r="C617" s="29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8"/>
      <c r="C618" s="29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8"/>
      <c r="C619" s="29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8"/>
      <c r="C620" s="29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8"/>
      <c r="C621" s="29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8"/>
      <c r="C622" s="29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8"/>
      <c r="C623" s="29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8"/>
      <c r="C624" s="29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8"/>
      <c r="C625" s="29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8"/>
      <c r="C626" s="29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8"/>
      <c r="C627" s="29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8"/>
      <c r="C628" s="29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8"/>
      <c r="C629" s="29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8"/>
      <c r="C630" s="29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8"/>
      <c r="C631" s="29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8"/>
      <c r="C632" s="29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8"/>
      <c r="C633" s="29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8"/>
      <c r="C634" s="29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8"/>
      <c r="C635" s="29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8"/>
      <c r="C636" s="29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8"/>
      <c r="C637" s="29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8"/>
      <c r="C638" s="29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8"/>
      <c r="C639" s="29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8"/>
      <c r="C640" s="29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8"/>
      <c r="C641" s="29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8"/>
      <c r="C642" s="29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8"/>
      <c r="C643" s="29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8"/>
      <c r="C644" s="29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8"/>
      <c r="C645" s="29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8"/>
      <c r="C646" s="29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8"/>
      <c r="C647" s="29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8"/>
      <c r="C648" s="29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8"/>
      <c r="C649" s="29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8"/>
      <c r="C650" s="29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8"/>
      <c r="C651" s="29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8"/>
      <c r="C652" s="29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8"/>
      <c r="C653" s="29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8"/>
      <c r="C654" s="29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8"/>
      <c r="C655" s="29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8"/>
      <c r="C656" s="29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8"/>
      <c r="C657" s="29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8"/>
      <c r="C658" s="29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8"/>
      <c r="C659" s="29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8"/>
      <c r="C660" s="29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8"/>
      <c r="C661" s="29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8"/>
      <c r="C662" s="29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8"/>
      <c r="C663" s="29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8"/>
      <c r="C664" s="29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8"/>
      <c r="C665" s="29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8"/>
      <c r="C666" s="29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8"/>
      <c r="C667" s="29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8"/>
      <c r="C668" s="29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8"/>
      <c r="C669" s="29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8"/>
      <c r="C670" s="29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8"/>
      <c r="C671" s="29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8"/>
      <c r="C672" s="29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8"/>
      <c r="C673" s="29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8"/>
      <c r="C674" s="29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8"/>
      <c r="C675" s="29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8"/>
      <c r="C676" s="29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8"/>
      <c r="C677" s="29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8"/>
      <c r="C678" s="29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8"/>
      <c r="C679" s="29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8"/>
      <c r="C680" s="29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8"/>
      <c r="C681" s="29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8"/>
      <c r="C682" s="29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8"/>
      <c r="C683" s="29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8"/>
      <c r="C684" s="29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8"/>
      <c r="C685" s="29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8"/>
      <c r="C686" s="29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8"/>
      <c r="C687" s="29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8"/>
      <c r="C688" s="29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8"/>
      <c r="C689" s="29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8"/>
      <c r="C690" s="29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8"/>
      <c r="C691" s="29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8"/>
      <c r="C692" s="29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8"/>
      <c r="C693" s="29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8"/>
      <c r="C694" s="29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8"/>
      <c r="C695" s="29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8"/>
      <c r="C696" s="29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8"/>
      <c r="C697" s="29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8"/>
      <c r="C698" s="29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8"/>
      <c r="C699" s="29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8"/>
      <c r="C700" s="29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8"/>
      <c r="C701" s="29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8"/>
      <c r="C702" s="29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8"/>
      <c r="C703" s="29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8"/>
      <c r="C704" s="29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8"/>
      <c r="C705" s="29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8"/>
      <c r="C706" s="29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8"/>
      <c r="C707" s="29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8"/>
      <c r="C708" s="29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8"/>
      <c r="C709" s="29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8"/>
      <c r="C710" s="29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8"/>
      <c r="C711" s="29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8"/>
      <c r="C712" s="29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8"/>
      <c r="C713" s="29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8"/>
      <c r="C714" s="29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8"/>
      <c r="C715" s="29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8"/>
      <c r="C716" s="29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8"/>
      <c r="C717" s="29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8"/>
      <c r="C718" s="29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8"/>
      <c r="C719" s="29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8"/>
      <c r="C720" s="29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8"/>
      <c r="C721" s="29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8"/>
      <c r="C722" s="29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8"/>
      <c r="C723" s="29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8"/>
      <c r="C724" s="29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8"/>
      <c r="C725" s="29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8"/>
      <c r="C726" s="29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8"/>
      <c r="C727" s="29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8"/>
      <c r="C728" s="29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8"/>
      <c r="C729" s="29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8"/>
      <c r="C730" s="29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8"/>
      <c r="C731" s="29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8"/>
      <c r="C732" s="29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8"/>
      <c r="C733" s="29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8"/>
      <c r="C734" s="29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8"/>
      <c r="C735" s="29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8"/>
      <c r="C736" s="29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8"/>
      <c r="C737" s="29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8"/>
      <c r="C738" s="29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8"/>
      <c r="C739" s="29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8"/>
      <c r="C740" s="29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8"/>
      <c r="C741" s="29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8"/>
      <c r="C742" s="29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8"/>
      <c r="C743" s="29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8"/>
      <c r="C744" s="29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8"/>
      <c r="C745" s="29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8"/>
      <c r="C746" s="29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8"/>
      <c r="C747" s="29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8"/>
      <c r="C748" s="29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8"/>
      <c r="C749" s="29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8"/>
      <c r="C750" s="29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8"/>
      <c r="C751" s="29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8"/>
      <c r="C752" s="29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8"/>
      <c r="C753" s="29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8"/>
      <c r="C754" s="29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8"/>
      <c r="C755" s="29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8"/>
      <c r="C756" s="29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8"/>
      <c r="C757" s="29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8"/>
      <c r="C758" s="29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8"/>
      <c r="C759" s="29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8"/>
      <c r="C760" s="29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8"/>
      <c r="C761" s="29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8"/>
      <c r="C762" s="29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8"/>
      <c r="C763" s="29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8"/>
      <c r="C764" s="29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8"/>
      <c r="C765" s="29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8"/>
      <c r="C766" s="29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8"/>
      <c r="C767" s="29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8"/>
      <c r="C768" s="29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8"/>
      <c r="C769" s="29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8"/>
      <c r="C770" s="29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8"/>
      <c r="C771" s="29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8"/>
      <c r="C772" s="29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8"/>
      <c r="C773" s="29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8"/>
      <c r="C774" s="29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8"/>
      <c r="C775" s="29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8"/>
      <c r="C776" s="29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8"/>
      <c r="C777" s="29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8"/>
      <c r="C778" s="29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8"/>
      <c r="C779" s="29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8"/>
      <c r="C780" s="29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8"/>
      <c r="C781" s="29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8"/>
      <c r="C782" s="29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8"/>
      <c r="C783" s="29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8"/>
      <c r="C784" s="29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8"/>
      <c r="C785" s="29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8"/>
      <c r="C786" s="29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8"/>
      <c r="C787" s="29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8"/>
      <c r="C788" s="29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8"/>
      <c r="C789" s="29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8"/>
      <c r="C790" s="29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8"/>
      <c r="C791" s="29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8"/>
      <c r="C792" s="29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8"/>
      <c r="C793" s="29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8"/>
      <c r="C794" s="29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8"/>
      <c r="C795" s="29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8"/>
      <c r="C796" s="29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8"/>
      <c r="C797" s="29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8"/>
      <c r="C798" s="29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8"/>
      <c r="C799" s="29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8"/>
      <c r="C800" s="29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8"/>
      <c r="C801" s="29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8"/>
      <c r="C802" s="29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8"/>
      <c r="C803" s="29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8"/>
      <c r="C804" s="29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8"/>
      <c r="C805" s="29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8"/>
      <c r="C806" s="29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8"/>
      <c r="C807" s="29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8"/>
      <c r="C808" s="29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8"/>
      <c r="C809" s="29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8"/>
      <c r="C810" s="29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8"/>
      <c r="C811" s="29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8"/>
      <c r="C812" s="29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8"/>
      <c r="C813" s="29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8"/>
      <c r="C814" s="29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8"/>
      <c r="C815" s="29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8"/>
      <c r="C816" s="29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8"/>
      <c r="C817" s="29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8"/>
      <c r="C818" s="29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8"/>
      <c r="C819" s="29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8"/>
      <c r="C820" s="29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8"/>
      <c r="C821" s="29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8"/>
      <c r="C822" s="29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8"/>
      <c r="C823" s="29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8"/>
      <c r="C824" s="29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8"/>
      <c r="C825" s="29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8"/>
      <c r="C826" s="29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8"/>
      <c r="C827" s="29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8"/>
      <c r="C828" s="29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8"/>
      <c r="C829" s="29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8"/>
      <c r="C830" s="29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8"/>
      <c r="C831" s="29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8"/>
      <c r="C832" s="29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8"/>
      <c r="C833" s="29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8"/>
      <c r="C834" s="29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8"/>
      <c r="C835" s="29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8"/>
      <c r="C836" s="29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8"/>
      <c r="C837" s="29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8"/>
      <c r="C838" s="29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8"/>
      <c r="C839" s="29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8"/>
      <c r="C840" s="29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8"/>
      <c r="C841" s="29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8"/>
      <c r="C842" s="29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8"/>
      <c r="C843" s="29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8"/>
      <c r="C844" s="29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8"/>
      <c r="C845" s="29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8"/>
      <c r="C846" s="29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8"/>
      <c r="C847" s="29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8"/>
      <c r="C848" s="29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8"/>
      <c r="C849" s="29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8"/>
      <c r="C850" s="29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8"/>
      <c r="C851" s="29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8"/>
      <c r="C852" s="29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8"/>
      <c r="C853" s="29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8"/>
      <c r="C854" s="29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8"/>
      <c r="C855" s="29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8"/>
      <c r="C856" s="29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8"/>
      <c r="C857" s="29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8"/>
      <c r="C858" s="29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8"/>
      <c r="C859" s="29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8"/>
      <c r="C860" s="29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8"/>
      <c r="C861" s="29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8"/>
      <c r="C862" s="29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8"/>
      <c r="C863" s="29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8"/>
      <c r="C864" s="29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8"/>
      <c r="C865" s="29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8"/>
      <c r="C866" s="29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8"/>
      <c r="C867" s="29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8"/>
      <c r="C868" s="29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8"/>
      <c r="C869" s="29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8"/>
      <c r="C870" s="29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8"/>
      <c r="C871" s="29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8"/>
      <c r="C872" s="29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8"/>
      <c r="C873" s="29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8"/>
      <c r="C874" s="29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8"/>
      <c r="C875" s="29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8"/>
      <c r="C876" s="29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8"/>
      <c r="C877" s="29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8"/>
      <c r="C878" s="29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8"/>
      <c r="C879" s="29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8"/>
      <c r="C880" s="29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8"/>
      <c r="C881" s="29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8"/>
      <c r="C882" s="29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8"/>
      <c r="C883" s="29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8"/>
      <c r="C884" s="29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8"/>
      <c r="C885" s="29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8"/>
      <c r="C886" s="29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8"/>
      <c r="C887" s="29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8"/>
      <c r="C888" s="29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8"/>
      <c r="C889" s="29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8"/>
      <c r="C890" s="29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8"/>
      <c r="C891" s="29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8"/>
      <c r="C892" s="29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8"/>
      <c r="C893" s="29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8"/>
      <c r="C894" s="29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8"/>
      <c r="C895" s="29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8"/>
      <c r="C896" s="29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8"/>
      <c r="C897" s="29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8"/>
      <c r="C898" s="29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8"/>
      <c r="C899" s="29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8"/>
      <c r="C900" s="29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8"/>
      <c r="C901" s="29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8"/>
      <c r="C902" s="29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8"/>
      <c r="C903" s="29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8"/>
      <c r="C904" s="29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8"/>
      <c r="C905" s="29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8"/>
      <c r="C906" s="29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8"/>
      <c r="C907" s="29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8"/>
      <c r="C908" s="29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8"/>
      <c r="C909" s="29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8"/>
      <c r="C910" s="29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8"/>
      <c r="C911" s="29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8"/>
      <c r="C912" s="29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8"/>
      <c r="C913" s="29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8"/>
      <c r="C914" s="29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8"/>
      <c r="C915" s="29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8"/>
      <c r="C916" s="29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8"/>
      <c r="C917" s="29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8"/>
      <c r="C918" s="29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8"/>
      <c r="C919" s="29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8"/>
      <c r="C920" s="29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8"/>
      <c r="C921" s="29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8"/>
      <c r="C922" s="29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8"/>
      <c r="C923" s="29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8"/>
      <c r="C924" s="29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8"/>
      <c r="C925" s="29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8"/>
      <c r="C926" s="29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8"/>
      <c r="C927" s="29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8"/>
      <c r="C928" s="29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8"/>
      <c r="C929" s="29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8"/>
      <c r="C930" s="29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8"/>
      <c r="C931" s="29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8"/>
      <c r="C932" s="29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8"/>
      <c r="C933" s="29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8"/>
      <c r="C934" s="29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8"/>
      <c r="C935" s="29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8"/>
      <c r="C936" s="29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8"/>
      <c r="C937" s="29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8"/>
      <c r="C938" s="29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8"/>
      <c r="C939" s="29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8"/>
      <c r="C940" s="29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8"/>
      <c r="C941" s="29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8"/>
      <c r="C942" s="29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8"/>
      <c r="C943" s="29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8"/>
      <c r="C944" s="29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8"/>
      <c r="C945" s="29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8"/>
      <c r="C946" s="29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8"/>
      <c r="C947" s="29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8"/>
      <c r="C948" s="29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8"/>
      <c r="C949" s="29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8"/>
      <c r="C950" s="29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8"/>
      <c r="C951" s="29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8"/>
      <c r="C952" s="29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8"/>
      <c r="C953" s="29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8"/>
      <c r="C954" s="29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8"/>
      <c r="C955" s="29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8"/>
      <c r="C956" s="29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8"/>
      <c r="C957" s="29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8"/>
      <c r="C958" s="29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8"/>
      <c r="C959" s="29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8"/>
      <c r="C960" s="29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8"/>
      <c r="C961" s="29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8"/>
      <c r="C962" s="29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8"/>
      <c r="C963" s="29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8"/>
      <c r="C964" s="29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8"/>
      <c r="C965" s="29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8"/>
      <c r="C966" s="29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8"/>
      <c r="C967" s="29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8"/>
      <c r="C968" s="29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8"/>
      <c r="C969" s="29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8"/>
      <c r="C970" s="29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8"/>
      <c r="C971" s="29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8"/>
      <c r="C972" s="29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8"/>
      <c r="C973" s="29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8"/>
      <c r="C974" s="29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8"/>
      <c r="C975" s="29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8"/>
      <c r="C976" s="29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8"/>
      <c r="C977" s="29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8"/>
      <c r="C978" s="29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8"/>
      <c r="C979" s="29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8"/>
      <c r="C980" s="29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8"/>
      <c r="C981" s="29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8"/>
      <c r="C982" s="29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8"/>
      <c r="C983" s="29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8"/>
      <c r="C984" s="29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8"/>
      <c r="C985" s="29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8"/>
      <c r="C986" s="29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8"/>
      <c r="C987" s="29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8"/>
      <c r="C988" s="29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8"/>
      <c r="C989" s="29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8"/>
      <c r="C990" s="29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8"/>
      <c r="C991" s="29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8"/>
      <c r="C992" s="29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8"/>
      <c r="C993" s="29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8"/>
      <c r="C994" s="29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8"/>
      <c r="C995" s="29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8"/>
      <c r="C996" s="29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8"/>
      <c r="C997" s="29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8"/>
      <c r="C998" s="29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8"/>
      <c r="C999" s="29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8"/>
      <c r="C1000" s="29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8"/>
      <c r="C1001" s="29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23"/>
      <c r="B1002" s="28"/>
      <c r="C1002" s="29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>
      <c r="A1003" s="23"/>
      <c r="B1003" s="28"/>
      <c r="C1003" s="29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>
      <c r="A1004" s="23"/>
      <c r="B1004" s="28"/>
      <c r="C1004" s="29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>
      <c r="A1005" s="23"/>
      <c r="B1005" s="28"/>
      <c r="C1005" s="29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>
      <c r="A1006" s="23"/>
      <c r="B1006" s="28"/>
      <c r="C1006" s="29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>
      <c r="A1007" s="23"/>
      <c r="B1007" s="28"/>
      <c r="C1007" s="29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>
      <c r="A1008" s="23"/>
      <c r="B1008" s="28"/>
      <c r="C1008" s="29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>
      <c r="A1009" s="23"/>
      <c r="B1009" s="28"/>
      <c r="C1009" s="29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>
      <c r="A1010" s="23"/>
      <c r="B1010" s="28"/>
      <c r="C1010" s="29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>
      <c r="A1011" s="23"/>
      <c r="B1011" s="28"/>
      <c r="C1011" s="29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>
      <c r="A1012" s="23"/>
      <c r="B1012" s="28"/>
      <c r="C1012" s="29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>
      <c r="A1013" s="23"/>
      <c r="B1013" s="28"/>
      <c r="C1013" s="29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>
      <c r="A1014" s="23"/>
      <c r="B1014" s="28"/>
      <c r="C1014" s="29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>
      <c r="A1015" s="23"/>
      <c r="B1015" s="28"/>
      <c r="C1015" s="29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>
      <c r="A1016" s="23"/>
      <c r="B1016" s="28"/>
      <c r="C1016" s="29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>
      <c r="A1017" s="23"/>
      <c r="B1017" s="28"/>
      <c r="C1017" s="29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>
      <c r="A1018" s="23"/>
      <c r="B1018" s="28"/>
      <c r="C1018" s="29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>
      <c r="A1019" s="23"/>
      <c r="B1019" s="28"/>
      <c r="C1019" s="29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>
      <c r="A1020" s="23"/>
      <c r="B1020" s="28"/>
      <c r="C1020" s="29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</sheetData>
  <mergeCells count="3">
    <mergeCell ref="A1:D1"/>
    <mergeCell ref="A19:D19"/>
    <mergeCell ref="A46:D46"/>
  </mergeCells>
  <drawing r:id="rId1"/>
</worksheet>
</file>