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5B8F30BF-CAE3-4EA4-91B4-2DAD74AA3F0E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CCS" sheetId="6" r:id="rId5"/>
    <sheet name="SECTOR" sheetId="7" r:id="rId6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2" i="3" l="1"/>
  <c r="F733" i="3"/>
  <c r="F721" i="3"/>
  <c r="F722" i="3"/>
  <c r="F710" i="3"/>
  <c r="F711" i="3"/>
  <c r="F700" i="3"/>
  <c r="F701" i="3"/>
  <c r="F689" i="3"/>
  <c r="F690" i="3"/>
  <c r="F679" i="3"/>
  <c r="F143" i="3" l="1"/>
  <c r="F142" i="3"/>
  <c r="F141" i="3"/>
  <c r="F131" i="3"/>
  <c r="F130" i="3"/>
  <c r="F129" i="3"/>
  <c r="F75" i="3"/>
  <c r="F74" i="3"/>
  <c r="F73" i="3"/>
  <c r="D113" i="3" l="1"/>
  <c r="D114" i="3" s="1"/>
  <c r="D115" i="3" s="1"/>
  <c r="D116" i="3" s="1"/>
  <c r="D117" i="3" s="1"/>
  <c r="D118" i="3" s="1"/>
  <c r="D119" i="3" s="1"/>
  <c r="D193" i="3"/>
  <c r="D194" i="3" s="1"/>
  <c r="D195" i="3" s="1"/>
  <c r="D196" i="3" s="1"/>
  <c r="D197" i="3" s="1"/>
  <c r="D198" i="3" s="1"/>
  <c r="D199" i="3" s="1"/>
  <c r="F619" i="1" l="1"/>
  <c r="F625" i="1" s="1"/>
  <c r="F624" i="1"/>
  <c r="F630" i="1" s="1"/>
  <c r="F623" i="1"/>
  <c r="F629" i="1" s="1"/>
  <c r="F622" i="1"/>
  <c r="F628" i="1" s="1"/>
  <c r="F621" i="1"/>
  <c r="F627" i="1" s="1"/>
  <c r="F620" i="1"/>
  <c r="F626" i="1" s="1"/>
  <c r="M11" i="2"/>
  <c r="Y53" i="2" l="1"/>
  <c r="F53" i="2"/>
  <c r="F632" i="1" l="1"/>
  <c r="F631" i="1"/>
  <c r="F27" i="3"/>
  <c r="F28" i="3"/>
  <c r="F29" i="3"/>
  <c r="F31" i="3"/>
  <c r="F32" i="3"/>
  <c r="F33" i="3"/>
  <c r="F38" i="3"/>
  <c r="F39" i="3"/>
  <c r="F40" i="3"/>
  <c r="F41" i="3"/>
  <c r="F45" i="3"/>
  <c r="F46" i="3"/>
  <c r="F47" i="3"/>
  <c r="F48" i="3"/>
  <c r="F49" i="3"/>
  <c r="F50" i="3"/>
  <c r="F51" i="3"/>
  <c r="F294" i="3" l="1"/>
  <c r="F292" i="3"/>
  <c r="F290" i="3"/>
  <c r="F288" i="3"/>
  <c r="F286" i="3"/>
  <c r="F284" i="3"/>
  <c r="F278" i="3"/>
  <c r="F276" i="3"/>
  <c r="F274" i="3"/>
  <c r="F272" i="3"/>
  <c r="F282" i="3"/>
  <c r="D230" i="3"/>
  <c r="D231" i="3" s="1"/>
  <c r="D232" i="3" s="1"/>
  <c r="D233" i="3" s="1"/>
  <c r="D234" i="3" s="1"/>
  <c r="D235" i="3" s="1"/>
  <c r="D236" i="3" s="1"/>
  <c r="D237" i="3" s="1"/>
  <c r="D211" i="3"/>
  <c r="D212" i="3" s="1"/>
  <c r="D213" i="3" s="1"/>
  <c r="D214" i="3" s="1"/>
  <c r="D215" i="3" s="1"/>
  <c r="D216" i="3" s="1"/>
  <c r="D217" i="3" s="1"/>
  <c r="D218" i="3" s="1"/>
  <c r="D174" i="3"/>
  <c r="D175" i="3" s="1"/>
  <c r="D176" i="3" s="1"/>
  <c r="D177" i="3" s="1"/>
  <c r="D178" i="3" s="1"/>
  <c r="D179" i="3" s="1"/>
  <c r="D180" i="3" s="1"/>
  <c r="D181" i="3" s="1"/>
  <c r="D155" i="3"/>
  <c r="D156" i="3" s="1"/>
  <c r="D157" i="3" s="1"/>
  <c r="D158" i="3" s="1"/>
  <c r="D159" i="3" s="1"/>
  <c r="D160" i="3" s="1"/>
  <c r="D161" i="3" s="1"/>
  <c r="D162" i="3" s="1"/>
  <c r="F280" i="3" l="1"/>
  <c r="D104" i="3"/>
  <c r="D105" i="3" s="1"/>
  <c r="D106" i="3" s="1"/>
  <c r="D107" i="3" s="1"/>
  <c r="D108" i="3" s="1"/>
  <c r="D109" i="3" s="1"/>
  <c r="D110" i="3" s="1"/>
  <c r="D111" i="3" s="1"/>
  <c r="D95" i="3"/>
  <c r="D96" i="3" s="1"/>
  <c r="D97" i="3" s="1"/>
  <c r="D98" i="3" s="1"/>
  <c r="D99" i="3" s="1"/>
  <c r="D100" i="3" s="1"/>
  <c r="D101" i="3" s="1"/>
  <c r="D102" i="3" s="1"/>
  <c r="D86" i="3"/>
  <c r="D87" i="3" s="1"/>
  <c r="D88" i="3" s="1"/>
  <c r="D89" i="3" s="1"/>
  <c r="D90" i="3" s="1"/>
  <c r="D91" i="3" s="1"/>
  <c r="D92" i="3" s="1"/>
  <c r="D93" i="3" s="1"/>
  <c r="D77" i="3"/>
  <c r="D78" i="3" s="1"/>
  <c r="D79" i="3" s="1"/>
  <c r="D80" i="3" s="1"/>
  <c r="D81" i="3" s="1"/>
  <c r="D82" i="3" s="1"/>
  <c r="D83" i="3" s="1"/>
  <c r="D84" i="3" s="1"/>
  <c r="D55" i="3" l="1"/>
  <c r="D56" i="3" s="1"/>
  <c r="D57" i="3" s="1"/>
  <c r="D58" i="3" s="1"/>
  <c r="D59" i="3" s="1"/>
  <c r="D60" i="3" s="1"/>
  <c r="D61" i="3" s="1"/>
  <c r="D62" i="3" s="1"/>
  <c r="F678" i="3" s="1"/>
  <c r="D121" i="3"/>
  <c r="D122" i="3" s="1"/>
  <c r="D123" i="3" s="1"/>
  <c r="D124" i="3" s="1"/>
  <c r="D125" i="3" s="1"/>
  <c r="D126" i="3" s="1"/>
  <c r="D127" i="3" s="1"/>
  <c r="D128" i="3" s="1"/>
  <c r="F72" i="3"/>
  <c r="F71" i="3"/>
  <c r="F70" i="3"/>
  <c r="F69" i="3"/>
  <c r="F68" i="3"/>
  <c r="F67" i="3"/>
  <c r="F66" i="3"/>
  <c r="F65" i="3"/>
  <c r="D65" i="3"/>
  <c r="D66" i="3" s="1"/>
  <c r="D67" i="3" s="1"/>
  <c r="D68" i="3" s="1"/>
  <c r="D69" i="3" s="1"/>
  <c r="D70" i="3" s="1"/>
  <c r="D71" i="3" s="1"/>
  <c r="D72" i="3" s="1"/>
  <c r="F64" i="3"/>
  <c r="D133" i="3" l="1"/>
  <c r="D134" i="3" s="1"/>
  <c r="D135" i="3" s="1"/>
  <c r="D136" i="3" s="1"/>
  <c r="D137" i="3" s="1"/>
  <c r="D138" i="3" s="1"/>
  <c r="D139" i="3" s="1"/>
  <c r="D140" i="3" s="1"/>
  <c r="F140" i="3"/>
  <c r="F139" i="3"/>
  <c r="F138" i="3"/>
  <c r="F137" i="3"/>
  <c r="F136" i="3"/>
  <c r="F135" i="3"/>
  <c r="F134" i="3"/>
  <c r="F133" i="3"/>
  <c r="F132" i="3"/>
  <c r="G249" i="6" l="1"/>
  <c r="G244" i="6"/>
  <c r="G239" i="6"/>
  <c r="G234" i="6"/>
  <c r="G229" i="6"/>
  <c r="G189" i="6"/>
  <c r="G184" i="6"/>
  <c r="G179" i="6"/>
  <c r="G174" i="6"/>
  <c r="G169" i="6"/>
  <c r="G164" i="6"/>
  <c r="G159" i="6"/>
  <c r="G154" i="6"/>
  <c r="G149" i="6"/>
  <c r="M105" i="2" l="1"/>
  <c r="H105" i="2"/>
  <c r="H106" i="2"/>
  <c r="G35" i="5" l="1"/>
  <c r="G36" i="5" s="1"/>
  <c r="G37" i="5" s="1"/>
  <c r="G38" i="5" s="1"/>
  <c r="G39" i="5" s="1"/>
  <c r="G40" i="5" s="1"/>
  <c r="G41" i="5" s="1"/>
  <c r="G42" i="5" s="1"/>
  <c r="G43" i="5" s="1"/>
  <c r="G53" i="5"/>
  <c r="G54" i="5" s="1"/>
  <c r="G55" i="5" s="1"/>
  <c r="G56" i="5" s="1"/>
  <c r="G57" i="5" s="1"/>
  <c r="G58" i="5" s="1"/>
  <c r="G59" i="5" s="1"/>
  <c r="G60" i="5" s="1"/>
  <c r="G61" i="5" s="1"/>
  <c r="Y107" i="2" l="1"/>
  <c r="Y108" i="2"/>
  <c r="G191" i="6" l="1"/>
  <c r="G133" i="6"/>
  <c r="G186" i="6"/>
  <c r="G127" i="6"/>
  <c r="G79" i="6"/>
  <c r="G75" i="6"/>
  <c r="F469" i="1" l="1"/>
  <c r="F468" i="1"/>
  <c r="L25" i="2" l="1"/>
  <c r="G57" i="6"/>
  <c r="G56" i="6"/>
  <c r="G59" i="6"/>
  <c r="G58" i="6"/>
  <c r="G49" i="6"/>
  <c r="G48" i="6"/>
  <c r="G46" i="6"/>
  <c r="G47" i="6"/>
  <c r="G64" i="6"/>
  <c r="G65" i="6"/>
  <c r="G67" i="6"/>
  <c r="AB48" i="2" l="1"/>
  <c r="AB47" i="2"/>
  <c r="G19" i="6" l="1"/>
  <c r="G33" i="6"/>
  <c r="G32" i="6"/>
  <c r="Z32" i="2"/>
  <c r="Y32" i="2"/>
  <c r="Z35" i="2"/>
  <c r="G136" i="6" l="1"/>
  <c r="G135" i="6"/>
  <c r="F370" i="1" l="1"/>
  <c r="F375" i="1" s="1"/>
  <c r="F381" i="1" s="1"/>
  <c r="F374" i="1" l="1"/>
  <c r="F380" i="1" s="1"/>
  <c r="F373" i="1"/>
  <c r="F379" i="1" s="1"/>
  <c r="F376" i="1"/>
  <c r="F371" i="1"/>
  <c r="F372" i="1"/>
  <c r="G30" i="6"/>
  <c r="G31" i="6"/>
  <c r="G34" i="6" s="1"/>
  <c r="G26" i="6"/>
  <c r="G18" i="6"/>
  <c r="G25" i="6" s="1"/>
  <c r="G17" i="6"/>
  <c r="G24" i="6" s="1"/>
  <c r="G16" i="6"/>
  <c r="G13" i="6"/>
  <c r="G9" i="6"/>
  <c r="G12" i="6"/>
  <c r="G10" i="6"/>
  <c r="G6" i="6"/>
  <c r="G7" i="6"/>
  <c r="H36" i="2"/>
  <c r="H35" i="2"/>
  <c r="M36" i="2"/>
  <c r="Y36" i="2"/>
  <c r="Y35" i="2"/>
  <c r="Y34" i="2"/>
  <c r="Y33" i="2"/>
  <c r="M34" i="2"/>
  <c r="Z34" i="2"/>
  <c r="H33" i="2"/>
  <c r="H32" i="2"/>
  <c r="Y31" i="2"/>
  <c r="Z31" i="2"/>
  <c r="AA30" i="2"/>
  <c r="F29" i="2"/>
  <c r="E28" i="2"/>
  <c r="F378" i="1" l="1"/>
  <c r="F317" i="1" s="1"/>
  <c r="F318" i="1" s="1"/>
  <c r="F313" i="1"/>
  <c r="F314" i="1" s="1"/>
  <c r="F460" i="1"/>
  <c r="F311" i="1"/>
  <c r="F312" i="1" s="1"/>
  <c r="Z48" i="2"/>
  <c r="Y48" i="2" s="1"/>
  <c r="Z47" i="2"/>
  <c r="H48" i="2"/>
  <c r="H47" i="2"/>
  <c r="F377" i="1"/>
  <c r="G20" i="6"/>
  <c r="G27" i="6" s="1"/>
  <c r="G15" i="6"/>
  <c r="G14" i="6"/>
  <c r="G23" i="6"/>
  <c r="G21" i="6"/>
  <c r="G22" i="6"/>
  <c r="G35" i="6"/>
  <c r="G36" i="6"/>
  <c r="F461" i="1"/>
  <c r="Y47" i="2"/>
  <c r="Y49" i="2"/>
  <c r="Y50" i="2"/>
  <c r="F463" i="1" l="1"/>
  <c r="F315" i="1"/>
  <c r="F316" i="1" s="1"/>
  <c r="F462" i="1"/>
  <c r="G28" i="6"/>
  <c r="G29" i="6"/>
  <c r="F65" i="1"/>
  <c r="F64" i="1"/>
  <c r="F71" i="1"/>
  <c r="F72" i="1"/>
  <c r="F73" i="1"/>
  <c r="F74" i="1"/>
  <c r="F70" i="1"/>
  <c r="F67" i="1"/>
  <c r="F292" i="1" l="1"/>
  <c r="F9" i="1" l="1"/>
  <c r="F8" i="1"/>
  <c r="G69" i="6" l="1"/>
  <c r="G71" i="6" s="1"/>
  <c r="G70" i="6"/>
  <c r="G72" i="6"/>
  <c r="F342" i="1" l="1"/>
  <c r="F335" i="1" l="1"/>
  <c r="F643" i="3" l="1"/>
  <c r="F642" i="3"/>
  <c r="F641" i="3"/>
  <c r="F640" i="3"/>
  <c r="F639" i="3"/>
  <c r="F638" i="3"/>
  <c r="F637" i="3"/>
  <c r="F633" i="3"/>
  <c r="F632" i="3"/>
  <c r="F631" i="3"/>
  <c r="F630" i="3"/>
  <c r="F625" i="3"/>
  <c r="F624" i="3"/>
  <c r="F623" i="3"/>
  <c r="F621" i="3"/>
  <c r="F620" i="3"/>
  <c r="F619" i="3"/>
  <c r="F618" i="3" l="1"/>
  <c r="F617" i="3"/>
  <c r="F616" i="3"/>
  <c r="F615" i="3"/>
  <c r="F614" i="3"/>
  <c r="F613" i="3"/>
  <c r="F612" i="3"/>
  <c r="F608" i="3"/>
  <c r="F607" i="3"/>
  <c r="F606" i="3"/>
  <c r="F605" i="3"/>
  <c r="F600" i="3"/>
  <c r="F599" i="3"/>
  <c r="F598" i="3"/>
  <c r="F596" i="3"/>
  <c r="F595" i="3"/>
  <c r="F594" i="3"/>
  <c r="F593" i="3" l="1"/>
  <c r="F592" i="3"/>
  <c r="F591" i="3"/>
  <c r="F590" i="3"/>
  <c r="F589" i="3"/>
  <c r="F588" i="3"/>
  <c r="F587" i="3"/>
  <c r="F583" i="3"/>
  <c r="F582" i="3"/>
  <c r="F581" i="3"/>
  <c r="F580" i="3"/>
  <c r="F575" i="3"/>
  <c r="F574" i="3"/>
  <c r="F573" i="3"/>
  <c r="F571" i="3"/>
  <c r="F570" i="3"/>
  <c r="F569" i="3"/>
  <c r="F568" i="3" l="1"/>
  <c r="F567" i="3"/>
  <c r="F566" i="3"/>
  <c r="F565" i="3"/>
  <c r="F564" i="3"/>
  <c r="F563" i="3"/>
  <c r="F562" i="3"/>
  <c r="F558" i="3"/>
  <c r="F557" i="3"/>
  <c r="F556" i="3"/>
  <c r="F555" i="3"/>
  <c r="F550" i="3"/>
  <c r="F549" i="3"/>
  <c r="F548" i="3"/>
  <c r="F546" i="3"/>
  <c r="F545" i="3"/>
  <c r="F544" i="3"/>
  <c r="F540" i="3" l="1"/>
  <c r="F543" i="3"/>
  <c r="F542" i="3"/>
  <c r="F541" i="3"/>
  <c r="F539" i="3"/>
  <c r="F538" i="3"/>
  <c r="F537" i="3"/>
  <c r="F533" i="3"/>
  <c r="F532" i="3"/>
  <c r="F531" i="3"/>
  <c r="F530" i="3"/>
  <c r="F525" i="3"/>
  <c r="F524" i="3"/>
  <c r="F523" i="3"/>
  <c r="F521" i="3"/>
  <c r="F520" i="3"/>
  <c r="F519" i="3"/>
  <c r="H117" i="2" l="1"/>
  <c r="F295" i="1"/>
  <c r="F294" i="1"/>
  <c r="Y126" i="2"/>
  <c r="Y125" i="2"/>
  <c r="Y124" i="2"/>
  <c r="Y123" i="2"/>
  <c r="Y120" i="2"/>
  <c r="L120" i="2"/>
  <c r="H120" i="2"/>
  <c r="Y119" i="2"/>
  <c r="L119" i="2"/>
  <c r="H118" i="2"/>
  <c r="F370" i="3" l="1"/>
  <c r="F373" i="3" s="1"/>
  <c r="F378" i="3" s="1"/>
  <c r="F356" i="3"/>
  <c r="F359" i="3" s="1"/>
  <c r="F364" i="3" s="1"/>
  <c r="F328" i="3"/>
  <c r="F314" i="3"/>
  <c r="F317" i="3" s="1"/>
  <c r="F322" i="3" s="1"/>
  <c r="F300" i="3"/>
  <c r="F303" i="3" s="1"/>
  <c r="F308" i="3" s="1"/>
  <c r="F331" i="3" l="1"/>
  <c r="F336" i="3" s="1"/>
  <c r="I56" i="2"/>
  <c r="L56" i="2"/>
  <c r="M56" i="2"/>
  <c r="O56" i="2"/>
  <c r="Y56" i="2"/>
  <c r="J57" i="2"/>
  <c r="L57" i="2"/>
  <c r="M57" i="2"/>
  <c r="O57" i="2"/>
  <c r="Y57" i="2"/>
  <c r="Y106" i="2" l="1"/>
  <c r="Y105" i="2"/>
  <c r="G176" i="6" l="1"/>
  <c r="G115" i="6"/>
  <c r="G181" i="6"/>
  <c r="G121" i="6"/>
  <c r="G113" i="6"/>
  <c r="G112" i="6"/>
  <c r="G114" i="6" s="1"/>
  <c r="G119" i="6"/>
  <c r="G118" i="6"/>
  <c r="G120" i="6" s="1"/>
  <c r="E48" i="5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30" i="5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Y103" i="2"/>
  <c r="Y104" i="2"/>
  <c r="H104" i="2"/>
  <c r="H103" i="2"/>
  <c r="M114" i="2"/>
  <c r="L113" i="2"/>
  <c r="Y113" i="2" s="1"/>
  <c r="G82" i="6" l="1"/>
  <c r="G151" i="6"/>
  <c r="G85" i="6"/>
  <c r="G166" i="6"/>
  <c r="G103" i="6"/>
  <c r="G171" i="6"/>
  <c r="G109" i="6"/>
  <c r="G83" i="6"/>
  <c r="G84" i="6"/>
  <c r="G101" i="6"/>
  <c r="G100" i="6"/>
  <c r="G102" i="6" s="1"/>
  <c r="G106" i="6"/>
  <c r="G108" i="6" s="1"/>
  <c r="G107" i="6"/>
  <c r="H86" i="2"/>
  <c r="H85" i="2"/>
  <c r="Y102" i="2"/>
  <c r="G91" i="6" s="1"/>
  <c r="Y98" i="2"/>
  <c r="G161" i="6" s="1"/>
  <c r="Y94" i="2"/>
  <c r="Y101" i="2"/>
  <c r="G156" i="6" s="1"/>
  <c r="Y96" i="2"/>
  <c r="Y92" i="2"/>
  <c r="Y90" i="2"/>
  <c r="Y88" i="2"/>
  <c r="Y99" i="2"/>
  <c r="Y100" i="2"/>
  <c r="G97" i="6" s="1"/>
  <c r="Y97" i="2"/>
  <c r="Y93" i="2"/>
  <c r="Y89" i="2"/>
  <c r="Y95" i="2"/>
  <c r="Y91" i="2"/>
  <c r="Y87" i="2"/>
  <c r="AB84" i="2"/>
  <c r="AB85" i="2"/>
  <c r="AB86" i="2"/>
  <c r="AB83" i="2"/>
  <c r="AP102" i="2"/>
  <c r="AP101" i="2"/>
  <c r="AO98" i="2"/>
  <c r="AO96" i="2"/>
  <c r="AO94" i="2"/>
  <c r="AO92" i="2"/>
  <c r="AO90" i="2"/>
  <c r="AO88" i="2"/>
  <c r="L110" i="2"/>
  <c r="Y110" i="2" s="1"/>
  <c r="M111" i="2"/>
  <c r="M107" i="2"/>
  <c r="H107" i="2"/>
  <c r="H108" i="2"/>
  <c r="H100" i="2"/>
  <c r="H101" i="2"/>
  <c r="H102" i="2"/>
  <c r="H99" i="2"/>
  <c r="AP100" i="2"/>
  <c r="AP99" i="2"/>
  <c r="AO97" i="2"/>
  <c r="AO95" i="2"/>
  <c r="AO93" i="2"/>
  <c r="AO91" i="2"/>
  <c r="AO89" i="2"/>
  <c r="AO87" i="2"/>
  <c r="G198" i="6" l="1"/>
  <c r="G195" i="6"/>
  <c r="G197" i="6" s="1"/>
  <c r="G196" i="6"/>
  <c r="G231" i="6"/>
  <c r="G226" i="6"/>
  <c r="G223" i="6"/>
  <c r="G225" i="6" s="1"/>
  <c r="G224" i="6"/>
  <c r="G251" i="6"/>
  <c r="G246" i="6"/>
  <c r="G219" i="6"/>
  <c r="G216" i="6"/>
  <c r="G218" i="6" s="1"/>
  <c r="G217" i="6"/>
  <c r="G209" i="6"/>
  <c r="G211" i="6" s="1"/>
  <c r="G210" i="6"/>
  <c r="G212" i="6"/>
  <c r="G241" i="6"/>
  <c r="G205" i="6"/>
  <c r="G202" i="6"/>
  <c r="G204" i="6" s="1"/>
  <c r="G236" i="6"/>
  <c r="G203" i="6"/>
  <c r="G125" i="6"/>
  <c r="G124" i="6"/>
  <c r="G126" i="6" s="1"/>
  <c r="G89" i="6"/>
  <c r="G88" i="6"/>
  <c r="G90" i="6" s="1"/>
  <c r="G130" i="6"/>
  <c r="G132" i="6" s="1"/>
  <c r="G131" i="6"/>
  <c r="G94" i="6"/>
  <c r="G96" i="6" s="1"/>
  <c r="G95" i="6"/>
  <c r="AP104" i="2"/>
  <c r="AP103" i="2"/>
  <c r="L116" i="2"/>
  <c r="Y116" i="2" s="1"/>
  <c r="L115" i="2"/>
  <c r="Y115" i="2" s="1"/>
  <c r="H116" i="2"/>
  <c r="H115" i="2"/>
  <c r="H84" i="2"/>
  <c r="H83" i="2"/>
  <c r="Y62" i="2" l="1"/>
  <c r="E73" i="2" l="1"/>
  <c r="Y63" i="2" l="1"/>
  <c r="L63" i="2"/>
  <c r="H63" i="2"/>
  <c r="L62" i="2"/>
  <c r="Y69" i="2" l="1"/>
  <c r="Y68" i="2"/>
  <c r="Y67" i="2"/>
  <c r="Y66" i="2"/>
  <c r="H75" i="2" l="1"/>
  <c r="H74" i="2"/>
  <c r="F74" i="2"/>
  <c r="H73" i="2"/>
  <c r="E74" i="2"/>
  <c r="H72" i="2"/>
  <c r="H71" i="2"/>
  <c r="H61" i="2" l="1"/>
  <c r="N59" i="2"/>
  <c r="L59" i="2"/>
  <c r="Y59" i="2" s="1"/>
  <c r="H59" i="2"/>
  <c r="N58" i="2"/>
  <c r="H58" i="2"/>
  <c r="Y55" i="2"/>
  <c r="O55" i="2"/>
  <c r="M55" i="2"/>
  <c r="L55" i="2"/>
  <c r="H55" i="2"/>
  <c r="Y54" i="2"/>
  <c r="O54" i="2"/>
  <c r="M54" i="2"/>
  <c r="L54" i="2"/>
  <c r="H54" i="2"/>
  <c r="G80" i="6" l="1"/>
  <c r="G53" i="6"/>
  <c r="G52" i="6"/>
  <c r="G51" i="6"/>
  <c r="G50" i="6"/>
  <c r="G63" i="6"/>
  <c r="G62" i="6"/>
  <c r="G61" i="6"/>
  <c r="G6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E46" authorId="0" shapeId="0" xr:uid="{15F1FB3C-647B-4547-82B6-28762088257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Gas for Climate REPowerEU 2030 report</t>
        </r>
      </text>
    </comment>
    <comment ref="E47" authorId="0" shapeId="0" xr:uid="{AF7596A3-3B3C-4D65-A1A1-66D8B9492E5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ENGIE 2021 Biomethane potential report</t>
        </r>
      </text>
    </comment>
    <comment ref="E48" authorId="0" shapeId="0" xr:uid="{C766438E-AA4D-4ECB-9AB6-3F7BFBD39AD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Gas for Climate REPowerEU 2030 report</t>
        </r>
      </text>
    </comment>
    <comment ref="E49" authorId="0" shapeId="0" xr:uid="{D22A55C2-1645-47F0-A7E4-CA6A3EFF26D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ENGIE 2021 Biomethane potential report</t>
        </r>
      </text>
    </comment>
    <comment ref="E50" authorId="0" shapeId="0" xr:uid="{2FD99CD8-2B5E-4C80-9BE7-781132E0173A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Gas for Climate REPowerEU 2030 report</t>
        </r>
      </text>
    </comment>
    <comment ref="E51" authorId="0" shapeId="0" xr:uid="{61714674-C3B5-451C-8905-2B365F689F5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ENGIE 2021 Biomethane potential report</t>
        </r>
      </text>
    </comment>
    <comment ref="E52" authorId="0" shapeId="0" xr:uid="{B53EF56B-17E5-4310-A17E-D3C22C4E0C0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Gas for Climate REPowerEU 2030 report</t>
        </r>
      </text>
    </comment>
    <comment ref="E53" authorId="0" shapeId="0" xr:uid="{51CB23C4-2E10-464C-A515-33735DF9C07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ENGIE 2021 Biomethane potential report</t>
        </r>
      </text>
    </comment>
    <comment ref="E54" authorId="0" shapeId="0" xr:uid="{00CB0CDF-16DA-4EA6-8F92-DC86A5A0F72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Gas for Climate REPowerEU 2030 report</t>
        </r>
      </text>
    </comment>
    <comment ref="E55" authorId="0" shapeId="0" xr:uid="{C8297552-F541-48AA-ADF9-21F868388D3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ENGIE 2021 Biomethane potential report</t>
        </r>
      </text>
    </comment>
    <comment ref="E56" authorId="0" shapeId="0" xr:uid="{3DC8E554-DD9E-4A5E-B0C7-967BCEA609F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Gas for Climate REPowerEU 2030 report</t>
        </r>
      </text>
    </comment>
    <comment ref="E57" authorId="0" shapeId="0" xr:uid="{45FD8780-3513-45B1-AE9D-50D1EC75829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ENGIE 2021 Biomethane potential report</t>
        </r>
      </text>
    </comment>
    <comment ref="F67" authorId="0" shapeId="0" xr:uid="{7C7FE71D-0232-47B5-AEA2-902202D06FA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5% CAPEX assumed</t>
        </r>
      </text>
    </comment>
    <comment ref="F70" authorId="0" shapeId="0" xr:uid="{3E9AF89C-0133-4962-9870-20D7E62EF4C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5% CAPEX assumed</t>
        </r>
      </text>
    </comment>
    <comment ref="B294" authorId="0" shapeId="0" xr:uid="{3A892D22-9BA7-43DD-B57B-F172A678253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From (Schemme et al, 2020)</t>
        </r>
      </text>
    </comment>
    <comment ref="B295" authorId="0" shapeId="0" xr:uid="{DCFB5019-DCCB-41F2-9B83-C9887F2C1D6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From (Schemme et al, 2020)</t>
        </r>
      </text>
    </comment>
    <comment ref="B296" authorId="0" shapeId="0" xr:uid="{EC1F11F4-1C85-4856-952A-652C2170E3F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From (Schemme et al, 2020)</t>
        </r>
      </text>
    </comment>
    <comment ref="E631" authorId="0" shapeId="0" xr:uid="{F51CFEF6-31A9-42E3-A0E9-84F27064CD6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derived from MeOH gasification + synthesis costs
</t>
        </r>
      </text>
    </comment>
    <comment ref="E632" authorId="0" shapeId="0" xr:uid="{03F9F552-4F4A-4569-BC0B-70C31717523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derived from MeOH gasification + synthesis costs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9" authorId="0" shapeId="0" xr:uid="{593D1E1B-C9BA-467A-B243-0A4750F3B1A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Mass allocation from Midden Database</t>
        </r>
      </text>
    </comment>
    <comment ref="B9" authorId="0" shapeId="0" xr:uid="{887F33D1-FC30-49A6-8C16-E2AF0477BC5A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Steam and heat come from refinery gas output combustion</t>
        </r>
      </text>
    </comment>
    <comment ref="A10" authorId="0" shapeId="0" xr:uid="{55736904-07FF-4BAB-B764-BE6015098B2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Mass allocation from Midden Database</t>
        </r>
      </text>
    </comment>
    <comment ref="A11" authorId="0" shapeId="0" xr:uid="{44D46F74-B5BC-433A-9BA8-F7258F74CCC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Mass allocation from Midden Database</t>
        </r>
      </text>
    </comment>
    <comment ref="A53" authorId="0" shapeId="0" xr:uid="{4B952869-9548-40DD-8C9D-46E9A16D0A0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https://link.springer.com/chapter/10.1007/978-3-030-34424-5_4</t>
        </r>
      </text>
    </comment>
    <comment ref="D55" authorId="0" shapeId="0" xr:uid="{B157DFD3-62DA-4881-A3EF-451E770BDBD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initially 2035 but i saw another source giving 2030 (midden db)</t>
        </r>
      </text>
    </comment>
    <comment ref="D56" authorId="0" shapeId="0" xr:uid="{4DB26246-429B-4D2F-8B43-888EC7828CF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initially 2035 but i saw another source giving 2030 (midden db)</t>
        </r>
      </text>
    </comment>
    <comment ref="D57" authorId="0" shapeId="0" xr:uid="{6F9B6D1F-4307-4482-9E03-463653A0785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initially 2035 but i saw another source giving 2030 (midden db)</t>
        </r>
      </text>
    </comment>
    <comment ref="A107" authorId="0" shapeId="0" xr:uid="{61D90067-905E-4B18-AFC0-827DF6E08CC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70% elec 30% H2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D64" authorId="0" shapeId="0" xr:uid="{8552E80E-7BFC-4BC0-89C9-9ACA986C3BB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https://www.barchart.com/futures/quotes/LUG24/interactive-chart</t>
        </r>
      </text>
    </comment>
    <comment ref="D65" authorId="0" shapeId="0" xr:uid="{159718B4-89C8-4D58-B47E-A7127BE7189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https://www.barchart.com/futures/quotes/LUG24/interactive-chart</t>
        </r>
      </text>
    </comment>
    <comment ref="D66" authorId="0" shapeId="0" xr:uid="{1F8E5459-ED39-4EE7-A319-0EADD636AB1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https://www.barchart.com/futures/quotes/LUG24/interactive-chart</t>
        </r>
      </text>
    </comment>
    <comment ref="D67" authorId="0" shapeId="0" xr:uid="{7B656701-AD41-4122-BF80-6C7AA4F6980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https://www.barchart.com/futures/quotes/LUG24/interactive-chart</t>
        </r>
      </text>
    </comment>
    <comment ref="D68" authorId="0" shapeId="0" xr:uid="{230379A3-BA6A-4CD1-BA93-E05BE90C190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https://www.barchart.com/futures/quotes/LUG24/interactive-chart</t>
        </r>
      </text>
    </comment>
    <comment ref="D69" authorId="0" shapeId="0" xr:uid="{B7D52E29-6A5B-4223-8021-F454CE11319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https://www.barchart.com/futures/quotes/LUG24/interactive-chart</t>
        </r>
      </text>
    </comment>
    <comment ref="D70" authorId="0" shapeId="0" xr:uid="{97376B8F-9C48-4628-95B1-F1564CF7046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https://www.barchart.com/futures/quotes/LUG24/interactive-chart</t>
        </r>
      </text>
    </comment>
    <comment ref="D71" authorId="0" shapeId="0" xr:uid="{B96F62CE-1ABB-4EDD-B532-F0EAD3A4060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https://www.barchart.com/futures/quotes/LUG24/interactive-chart</t>
        </r>
      </text>
    </comment>
    <comment ref="D72" authorId="0" shapeId="0" xr:uid="{D131F114-C3BB-4058-9781-E6AA56A25A2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https://www.barchart.com/futures/quotes/LUG24/interactive-chart</t>
        </r>
      </text>
    </comment>
    <comment ref="D112" authorId="0" shapeId="0" xr:uid="{B893E0B9-A0EE-4BBE-AD46-4190A1802F6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13" authorId="0" shapeId="0" xr:uid="{9520726C-660F-41DD-8A0A-713F528558D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14" authorId="0" shapeId="0" xr:uid="{406A788A-2770-4319-9AE4-CA6432CD7C0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15" authorId="0" shapeId="0" xr:uid="{8D2662CE-23F1-462F-AED9-A2A6CF069BB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16" authorId="0" shapeId="0" xr:uid="{770F2F4C-AE71-42BD-9AE0-8C8A5655031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17" authorId="0" shapeId="0" xr:uid="{18EF99B4-5CD2-4A0F-A3EB-7FFEC62FE1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18" authorId="0" shapeId="0" xr:uid="{8BD4D1C8-70B8-4657-8E17-D51067EC3C1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19" authorId="0" shapeId="0" xr:uid="{D53B356C-45AD-4022-8FEB-3B4FCDF8E44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92" authorId="0" shapeId="0" xr:uid="{FE5B62E1-FFB2-41DF-9375-C321083D5BF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93" authorId="0" shapeId="0" xr:uid="{53CDCC1A-1FDC-4379-B53D-07633770647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94" authorId="0" shapeId="0" xr:uid="{AA602221-267E-4AD7-966E-5928AEAA569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95" authorId="0" shapeId="0" xr:uid="{92CA28E7-2B0C-4962-B92D-A8D767A9999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96" authorId="0" shapeId="0" xr:uid="{F94440DA-1C9B-47D7-A294-67CFEA6A6DE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97" authorId="0" shapeId="0" xr:uid="{9E969EEC-84C8-49CF-877B-C0DEBF1F329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98" authorId="0" shapeId="0" xr:uid="{0C732FEC-8FCD-4EC2-A046-3D9E4088850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199" authorId="0" shapeId="0" xr:uid="{435F438E-21E3-4099-827F-A90054201BB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702" authorId="0" shapeId="0" xr:uid="{CD962C75-ED9F-4A64-A620-866233F66EA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703" authorId="0" shapeId="0" xr:uid="{1A884410-94E4-4122-90B8-A95B3943EBD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704" authorId="0" shapeId="0" xr:uid="{960E866C-6AB6-4A76-870A-B06E81B6C77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705" authorId="0" shapeId="0" xr:uid="{5CEC98B3-B3BB-494F-97FA-3D8982F5CA5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706" authorId="0" shapeId="0" xr:uid="{DAC256BB-0147-4A3E-BDFD-905CF7FC410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707" authorId="0" shapeId="0" xr:uid="{A777A289-7188-47D6-AD5B-532E6AE9450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708" authorId="0" shapeId="0" xr:uid="{CD025E2D-72D9-46FE-B241-10F4B7E5945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  <comment ref="D709" authorId="0" shapeId="0" xr:uid="{82860C80-ACE5-4B2C-AACE-BF662374E8A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https://www.gov.uk/government/statistical-data-sets/international-industrial-energy-prices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G6" authorId="0" shapeId="0" xr:uid="{27755FC0-A900-48C3-BAFC-E0231AAC0BE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5% of CAPEX assumed</t>
        </r>
      </text>
    </comment>
    <comment ref="G23" authorId="0" shapeId="0" xr:uid="{8899FB79-3F1F-4AB3-9051-656F6B27BF7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5% of CAPEX assumed</t>
        </r>
      </text>
    </comment>
    <comment ref="C44" authorId="0" shapeId="0" xr:uid="{06048013-A5C4-4BA7-AB14-3A7162CA919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45" authorId="0" shapeId="0" xr:uid="{A865209C-C824-4B30-9046-B54FB831713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46" authorId="0" shapeId="0" xr:uid="{1A698830-808B-441D-A526-84426791212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47" authorId="0" shapeId="0" xr:uid="{E0686756-0B7A-4A6D-808F-134B833E3C5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48" authorId="0" shapeId="0" xr:uid="{30F8E443-4347-42B4-9629-524924A9E8E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49" authorId="0" shapeId="0" xr:uid="{ECF4C852-1E3F-4FAC-AD08-18279C249F9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54" authorId="0" shapeId="0" xr:uid="{E2507087-820E-4B81-B16E-6F86F9F558A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55" authorId="0" shapeId="0" xr:uid="{1E418B8F-2C50-4F42-B3FE-EFA268C272E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56" authorId="0" shapeId="0" xr:uid="{EFA88D1F-1C5B-4A25-90E7-A2FFFF3AF48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57" authorId="0" shapeId="0" xr:uid="{E501F330-172D-4EA6-AB35-88F8A156264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58" authorId="0" shapeId="0" xr:uid="{47100839-5910-46C4-AA5C-288D8CCEA06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59" authorId="0" shapeId="0" xr:uid="{283116B3-07DC-4A9D-993E-A673287683D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64" authorId="0" shapeId="0" xr:uid="{D22B71F0-C1B5-4B65-AA64-5056CBBC7E2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65" authorId="0" shapeId="0" xr:uid="{6EE2E6E1-F6DE-44F9-A289-B49705D95BB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66" authorId="0" shapeId="0" xr:uid="{67B4E1C3-BDC7-497C-8EB2-C413ED3C3E7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67" authorId="0" shapeId="0" xr:uid="{2B6B6B71-B3CA-4D1D-8AE3-595D6F070C7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(Oni et al, 2022)</t>
        </r>
      </text>
    </comment>
    <comment ref="C68" authorId="0" shapeId="0" xr:uid="{B9242FD8-AC3C-4AF9-B26A-2ECA748B9F7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(Hooey et al, 2013)</t>
        </r>
      </text>
    </comment>
    <comment ref="C69" authorId="0" shapeId="0" xr:uid="{5A00FAA2-87E2-4C16-85F4-D44566E2196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Fraunhofer Industrial Innovation part 2
</t>
        </r>
      </text>
    </comment>
    <comment ref="C70" authorId="0" shapeId="0" xr:uid="{5225848E-5E1F-490D-BF95-A2AC0ECED7C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Fraunhofer Industrial Innovation part 2
</t>
        </r>
      </text>
    </comment>
    <comment ref="C71" authorId="0" shapeId="0" xr:uid="{5EE35E9D-894C-4C24-8FA6-4B8D8A60C6E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Fraunhofer Industrial Innovation part 2
</t>
        </r>
      </text>
    </comment>
    <comment ref="C72" authorId="0" shapeId="0" xr:uid="{90F94B6B-DEB4-4572-8C50-D00487A0AB3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(Hooey et al, 2013)</t>
        </r>
      </text>
    </comment>
    <comment ref="C73" authorId="0" shapeId="0" xr:uid="{3110C6CD-579E-48A2-80B0-2B26E18885D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(Hu et al, 2023)</t>
        </r>
      </text>
    </comment>
    <comment ref="C74" authorId="0" shapeId="0" xr:uid="{C4E2DC11-618D-4A48-BC84-79423FBBA19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(Hu et al, 2023)</t>
        </r>
      </text>
    </comment>
    <comment ref="C75" authorId="0" shapeId="0" xr:uid="{B48506E5-F3A4-4F11-ADA8-39BE44F6D70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(Hu et al, 2023)</t>
        </r>
      </text>
    </comment>
    <comment ref="C76" authorId="0" shapeId="0" xr:uid="{31F0E2E8-3364-49B0-831B-2E26D4CD6E3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(Hu et al, 2023)</t>
        </r>
      </text>
    </comment>
    <comment ref="C77" authorId="0" shapeId="0" xr:uid="{6919C6F4-6789-4776-AC19-5C47321211F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(Hu et al, 2023)</t>
        </r>
      </text>
    </comment>
    <comment ref="C78" authorId="0" shapeId="0" xr:uid="{7A99CD72-93BE-4C84-9D0A-7DF28CABB7A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(Hu et al, 2023)</t>
        </r>
      </text>
    </comment>
    <comment ref="C79" authorId="0" shapeId="0" xr:uid="{039CA24E-1F0C-4C46-89BD-3A9EDABB5E7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(Hu et al, 2023)</t>
        </r>
      </text>
    </comment>
    <comment ref="C80" authorId="0" shapeId="0" xr:uid="{B37E3AA5-4633-45B2-A378-520801BFBB0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(Hu et al, 2023)</t>
        </r>
      </text>
    </comment>
    <comment ref="C81" authorId="0" shapeId="0" xr:uid="{AAD6798E-2590-428D-B4DA-B2B4EC51C8E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82" authorId="0" shapeId="0" xr:uid="{35BFE470-3100-4FB9-9F4A-E445C0EC4FA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83" authorId="0" shapeId="0" xr:uid="{5B6E49EE-A2A6-4E16-BA20-13032463F42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84" authorId="0" shapeId="0" xr:uid="{D2BAFE65-840F-465A-A9B4-5263C0855E8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85" authorId="0" shapeId="0" xr:uid="{F4824639-CB14-429A-8E70-1867196EAAF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86" authorId="0" shapeId="0" xr:uid="{A602E9A1-FC2B-4669-9C99-457CE420E81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87" authorId="0" shapeId="0" xr:uid="{613AA833-3C5B-4893-A89F-FE991F3FB72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88" authorId="0" shapeId="0" xr:uid="{BC3A4018-D559-472D-A3D7-FDAC944E5E4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89" authorId="0" shapeId="0" xr:uid="{1E54747F-0C93-4700-A953-910BE523112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90" authorId="0" shapeId="0" xr:uid="{8CC11490-35AD-4F3D-8D38-B80C33BDF78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91" authorId="0" shapeId="0" xr:uid="{2226B507-A1EC-4F7A-9B45-A0DB89C9A60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92" authorId="0" shapeId="0" xr:uid="{DD3C1EA1-BF20-4381-92C3-B0EB5C3DDB0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93" authorId="0" shapeId="0" xr:uid="{EF0F65F4-1763-4B46-B54A-11968A596BA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94" authorId="0" shapeId="0" xr:uid="{FA081119-9BB7-4B79-9AA2-B761B8187D7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95" authorId="0" shapeId="0" xr:uid="{0531362A-31D9-43D0-8A4D-075297A1623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96" authorId="0" shapeId="0" xr:uid="{1EDEFD65-7DF8-422E-BA4B-1330FD8B63F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97" authorId="0" shapeId="0" xr:uid="{852EA38E-2B40-464E-989B-26EE1A89B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98" authorId="0" shapeId="0" xr:uid="{77228D86-B4DF-4C25-B1B9-62D2D958D91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99" authorId="0" shapeId="0" xr:uid="{1EF7AC5B-C56B-4D7A-849C-B24D87F2BB0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00" authorId="0" shapeId="0" xr:uid="{B46CCD59-D543-4D41-BE8F-D0E88724F4D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01" authorId="0" shapeId="0" xr:uid="{5F5E18FB-1FB9-4070-B67E-2C88F8D8EA0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02" authorId="0" shapeId="0" xr:uid="{8B456765-6509-4045-8FC7-0D5A16325C7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03" authorId="0" shapeId="0" xr:uid="{42ACCF01-427F-4C20-BAD4-894776D59EA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04" authorId="0" shapeId="0" xr:uid="{664F7632-82B3-4D21-A8FF-982FE909007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05" authorId="0" shapeId="0" xr:uid="{01EA3895-BEBE-4523-AC90-C7CCE5F51C1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06" authorId="0" shapeId="0" xr:uid="{E11B06FD-E427-48ED-9D62-D954F707DAC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07" authorId="0" shapeId="0" xr:uid="{63F41EE8-6F94-468C-A68C-CC5D6072ED5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08" authorId="0" shapeId="0" xr:uid="{C1B7970C-66D4-43AA-8BF3-7BB209E51E8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09" authorId="0" shapeId="0" xr:uid="{CA82785B-F1B1-4502-A8B2-5613C6192ED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10" authorId="0" shapeId="0" xr:uid="{E817E3A9-31E5-4F31-833A-E378D047B53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11" authorId="0" shapeId="0" xr:uid="{E482CBF0-84B2-4DD4-AF15-3EC2D6341D8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12" authorId="0" shapeId="0" xr:uid="{8C926A08-5962-4B95-A9BB-41770CB1C77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13" authorId="0" shapeId="0" xr:uid="{43841F50-0653-4E82-BCC0-6B7864368A2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14" authorId="0" shapeId="0" xr:uid="{D26F4903-FEF9-4F7B-9BCE-26D15FCCA02A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15" authorId="0" shapeId="0" xr:uid="{0C5D76FE-2B2F-4E45-872E-8464AEDB0E1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16" authorId="0" shapeId="0" xr:uid="{783FCADC-F144-4EB8-A539-4E3E5C26A57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17" authorId="0" shapeId="0" xr:uid="{627F0DDA-5A41-4608-8540-651B5D93A71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18" authorId="0" shapeId="0" xr:uid="{CC61C066-9FC6-4652-8FF9-A83A3B66B54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19" authorId="0" shapeId="0" xr:uid="{755B948B-1694-4D7F-AF77-703196556B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20" authorId="0" shapeId="0" xr:uid="{43FDB957-869A-49FF-8224-F94D6845B90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21" authorId="0" shapeId="0" xr:uid="{A468E696-281F-4DFA-BCE6-2A3610BE9B9A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22" authorId="0" shapeId="0" xr:uid="{BEFF98E2-C4C3-469F-9759-3B99DD4793C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23" authorId="0" shapeId="0" xr:uid="{4A4EF72A-7F30-4B25-B90C-BD4C11BAD9F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24" authorId="0" shapeId="0" xr:uid="{C209917F-D48A-4F74-98D8-938E6F72835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25" authorId="0" shapeId="0" xr:uid="{63C64B99-85B5-4481-8137-C6E046987F9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26" authorId="0" shapeId="0" xr:uid="{8E3DD610-FFA2-4045-BBE1-93F813FB830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27" authorId="0" shapeId="0" xr:uid="{5932C663-7586-42F0-B9C3-8336699F883A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28" authorId="0" shapeId="0" xr:uid="{62BD86CD-87DC-4CE7-BE21-96959E7EA60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29" authorId="0" shapeId="0" xr:uid="{671D4F18-DAC6-4A90-AB2B-82B89B22072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30" authorId="0" shapeId="0" xr:uid="{58E3E862-3A4F-4105-BA45-7BDF4175B32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31" authorId="0" shapeId="0" xr:uid="{96B4037A-2388-4734-A5DE-3BE613CCCA4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32" authorId="0" shapeId="0" xr:uid="{D8D910FA-8F93-44D5-8292-AEAB65DECDB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33" authorId="0" shapeId="0" xr:uid="{075133BB-15CE-4032-A34F-12E3DCD28BF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34" authorId="0" shapeId="0" xr:uid="{EA49AECB-21A0-4CE2-93AA-44784C0B931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35" authorId="0" shapeId="0" xr:uid="{AD4EA065-F082-4400-B3E1-6065E614641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(Kaplan &amp; Kopacz, 2020)</t>
        </r>
      </text>
    </comment>
    <comment ref="C136" authorId="0" shapeId="0" xr:uid="{D2F8DE02-464E-4A91-9C7E-4B1A3449277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(Kaplan &amp; Kopacz, 2020)</t>
        </r>
      </text>
    </comment>
    <comment ref="C137" authorId="0" shapeId="0" xr:uid="{5836E05C-F61B-4E0F-8B30-B69AC023B42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(Kaplan &amp; Kopacz, 2020)</t>
        </r>
      </text>
    </comment>
    <comment ref="C138" authorId="0" shapeId="0" xr:uid="{A74E99C0-9188-4F59-9B9A-33AD69E9297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(Kaplan &amp; Kopacz, 2020)</t>
        </r>
      </text>
    </comment>
    <comment ref="C139" authorId="0" shapeId="0" xr:uid="{C3E506FF-8312-4532-916E-E2A33924D4D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0" authorId="0" shapeId="0" xr:uid="{41FB2EE2-803D-4B58-A4A4-8EAE34E442A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1" authorId="0" shapeId="0" xr:uid="{14A59EB7-9D67-46C7-8DF5-822CC9983D3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2" authorId="0" shapeId="0" xr:uid="{F830FF1F-9BD9-4D8D-8902-2DD7E04A26F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3" authorId="0" shapeId="0" xr:uid="{AA6EA8B8-CD40-4552-B705-88F43CCBD27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4" authorId="0" shapeId="0" xr:uid="{81362596-428A-4887-B311-D6007ED98FE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5" authorId="0" shapeId="0" xr:uid="{EE9E7952-A019-415E-996B-F70B3BB4668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6" authorId="0" shapeId="0" xr:uid="{D94F66B8-25F2-4E62-9E97-383C51DF5D8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7" authorId="0" shapeId="0" xr:uid="{2CBD0675-B1C1-4475-8B59-92FC727835C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8" authorId="0" shapeId="0" xr:uid="{D97C8D3B-582A-4661-B83D-7CF74AFB4FF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49" authorId="0" shapeId="0" xr:uid="{9DB37E6A-3D62-4BC5-8065-D1CD9143232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50" authorId="0" shapeId="0" xr:uid="{82C8CF03-FBB5-4B94-98AB-5D8A0E59CE9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51" authorId="0" shapeId="0" xr:uid="{3E924700-10AF-4504-A116-5679526BAEC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52" authorId="0" shapeId="0" xr:uid="{440697BF-C092-44E6-9E4B-8C7834C6312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53" authorId="0" shapeId="0" xr:uid="{02C25BA4-EEB4-4A9F-B7EB-6EEAACAE3CE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54" authorId="0" shapeId="0" xr:uid="{67F2AB03-D1FC-4053-9EAF-87DE2B7C1FD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55" authorId="0" shapeId="0" xr:uid="{38DF1A65-46CB-4E32-8102-8B229D4171E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56" authorId="0" shapeId="0" xr:uid="{E29092ED-BECC-407D-B249-B52B23E8598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57" authorId="0" shapeId="0" xr:uid="{C11F3EA3-256D-4DDF-ACEF-284AE946AAA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58" authorId="0" shapeId="0" xr:uid="{1777EC92-9BB5-4BCF-A434-11D6EC26AF7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59" authorId="0" shapeId="0" xr:uid="{3AFE161B-A0A1-4CE4-9245-9F466402231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60" authorId="0" shapeId="0" xr:uid="{6D3292CB-FC75-49D7-88C2-ECCBD39EE185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61" authorId="0" shapeId="0" xr:uid="{5A8364B2-71E7-465A-A1EE-611D72196BE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62" authorId="0" shapeId="0" xr:uid="{2E1C6D24-0D32-4E78-B2AC-6D872741BFB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63" authorId="0" shapeId="0" xr:uid="{DF79D212-82AA-4F88-8066-B5FAD9493C0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64" authorId="0" shapeId="0" xr:uid="{76673D69-3626-4DA0-B195-AE4C66E233A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65" authorId="0" shapeId="0" xr:uid="{A61F0E34-A682-423C-8E1C-7F4FCE329BA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66" authorId="0" shapeId="0" xr:uid="{630FCF75-A57F-40EA-AB43-F208155905B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67" authorId="0" shapeId="0" xr:uid="{3C38655D-AB5F-4BF0-B78E-5544EAD3BE0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68" authorId="0" shapeId="0" xr:uid="{7E6CCC47-40EF-4114-B4B0-79213B1AA8A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69" authorId="0" shapeId="0" xr:uid="{8D6DA30F-44CA-46F8-85DE-7D6C363A79B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70" authorId="0" shapeId="0" xr:uid="{1462E9D2-0FFE-47B6-A48B-A63B6C02E34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71" authorId="0" shapeId="0" xr:uid="{2424181C-83B0-4687-A7AC-A9D8F017965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72" authorId="0" shapeId="0" xr:uid="{ADB70CD1-0B71-4155-9BDB-586FD65BB19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73" authorId="0" shapeId="0" xr:uid="{F262C252-92F0-45FE-8674-40B01E2C519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74" authorId="0" shapeId="0" xr:uid="{F812DAB3-E7CF-410A-AD41-FFB1FF119BB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75" authorId="0" shapeId="0" xr:uid="{61FFE741-863E-4628-839D-22C852E2DE4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76" authorId="0" shapeId="0" xr:uid="{F60A9F89-E03B-4FD3-BF4A-875EB33BCE2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77" authorId="0" shapeId="0" xr:uid="{0758E87C-6004-4A30-8D89-AFEB5C15A25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78" authorId="0" shapeId="0" xr:uid="{096D49A1-64A1-45CB-B566-0A2304BE630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79" authorId="0" shapeId="0" xr:uid="{D1B71ACF-FE9C-498D-BAF0-4369D2F3242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80" authorId="0" shapeId="0" xr:uid="{AF7E577B-3B45-4410-9F0F-848028F9CD0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81" authorId="0" shapeId="0" xr:uid="{3F9CE0BC-23EB-4014-89B0-80C5A1757CC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82" authorId="0" shapeId="0" xr:uid="{51B1FC1E-A665-4891-B144-5F5047D8B9E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83" authorId="0" shapeId="0" xr:uid="{0A17AF28-0E17-4C89-A97C-78F74D0021A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84" authorId="0" shapeId="0" xr:uid="{201DE052-4ACD-443C-AD2C-E824414D55F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85" authorId="0" shapeId="0" xr:uid="{4F23E34D-84A4-44EB-B0F6-76F880B38A6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86" authorId="0" shapeId="0" xr:uid="{EB059308-94A9-4699-A300-7628EB5A128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87" authorId="0" shapeId="0" xr:uid="{41AC6568-9A8A-4ADF-A223-1BD7294579B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88" authorId="0" shapeId="0" xr:uid="{08CB8408-2D33-4C38-ABE8-E10209853FD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89" authorId="0" shapeId="0" xr:uid="{9DBC02B8-3626-4D0B-97A7-59E41D1770C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90" authorId="0" shapeId="0" xr:uid="{9480943B-0532-48C5-82E8-45906126BD3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91" authorId="0" shapeId="0" xr:uid="{82F936B4-FD1F-4A1C-B547-24346C99DFD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92" authorId="0" shapeId="0" xr:uid="{53C28341-E078-4C33-B642-2F9A24419F3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193" authorId="0" shapeId="0" xr:uid="{913AEE37-81C8-4934-9996-3B0A63408F0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94" authorId="0" shapeId="0" xr:uid="{EE8271D1-15BF-4B98-BDBE-F40C7379F3B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95" authorId="0" shapeId="0" xr:uid="{3C6C8544-041D-416C-9DE3-4A60D66C708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96" authorId="0" shapeId="0" xr:uid="{DDA2865B-729D-4D43-852F-598F41B172B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97" authorId="0" shapeId="0" xr:uid="{CF7D6A2E-4EDA-4FD8-885B-B4AD02CFCC7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98" authorId="0" shapeId="0" xr:uid="{6C58B24C-8083-457A-9C01-9B064D6D801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199" authorId="0" shapeId="0" xr:uid="{D8FFF35F-8545-44E9-B218-B7EF20C7671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200" authorId="0" shapeId="0" xr:uid="{563E57E3-4E2E-4785-AF36-5B47AF7CE70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01" authorId="0" shapeId="0" xr:uid="{68491913-6892-4A9B-969B-069EE194BA4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02" authorId="0" shapeId="0" xr:uid="{0D0DD0F8-FDFA-4131-942F-23F00BAF750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03" authorId="0" shapeId="0" xr:uid="{D689BC5D-062A-4FF7-B6E4-7F3AD64EAA39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04" authorId="0" shapeId="0" xr:uid="{60F6F4A9-DBB8-4441-974E-384FE2C30C1A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05" authorId="0" shapeId="0" xr:uid="{DDA8843E-53B9-4251-A3FB-C7CADB3AB54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06" authorId="0" shapeId="0" xr:uid="{CBEE8E24-EBA3-4C70-A79C-CB23AF1877E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207" authorId="0" shapeId="0" xr:uid="{92A45D11-0478-484E-8A8A-8BD04D54909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08" authorId="0" shapeId="0" xr:uid="{DF2836C4-40A3-4155-880D-20EFAF4E436A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09" authorId="0" shapeId="0" xr:uid="{7036C69C-398E-4638-B17E-8D5B4D3F720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10" authorId="0" shapeId="0" xr:uid="{57242088-6BDB-42C7-919D-EDAD79FAEAB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11" authorId="0" shapeId="0" xr:uid="{D223E992-3028-4038-A5DD-5CEE89AC521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12" authorId="0" shapeId="0" xr:uid="{65F50976-5FC6-42C6-B481-FAC53A9A674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13" authorId="0" shapeId="0" xr:uid="{6852AEBA-4C94-43AC-A094-D538035AC42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214" authorId="0" shapeId="0" xr:uid="{597EBADC-1424-4845-96B2-38013CC60DF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15" authorId="0" shapeId="0" xr:uid="{CA324F18-BA10-4082-AE95-2F145C4A3A6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16" authorId="0" shapeId="0" xr:uid="{096E47FC-F6DF-44DB-8D7F-22E48F60235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17" authorId="0" shapeId="0" xr:uid="{98023440-F35E-4442-A21B-11136E095E4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18" authorId="0" shapeId="0" xr:uid="{CC90B5B6-1DB5-4DBA-876E-23B01141201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19" authorId="0" shapeId="0" xr:uid="{166E757B-3806-40F1-8988-7BD08E895D6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20" authorId="0" shapeId="0" xr:uid="{BE6F6DD0-3000-4FB6-8044-0493B592E1E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221" authorId="0" shapeId="0" xr:uid="{167632E2-A7E3-48FC-BD56-38FA9031C83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22" authorId="0" shapeId="0" xr:uid="{25D2E853-03AD-426F-964B-C9EC892EA85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23" authorId="0" shapeId="0" xr:uid="{4F2A133E-EC56-432D-B0F6-A37DD211E3D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24" authorId="0" shapeId="0" xr:uid="{C5E1A331-0E20-4A7F-8026-E9BF9C1521A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25" authorId="0" shapeId="0" xr:uid="{4163DAB2-0CD3-4B32-A030-788B63377D3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26" authorId="0" shapeId="0" xr:uid="{65F37FB2-1E78-4E38-82A3-6887E9A758BC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27" authorId="0" shapeId="0" xr:uid="{4D33D59F-100E-44B9-B030-16E6767CBAA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228" authorId="0" shapeId="0" xr:uid="{2C0E9395-772D-4984-B465-B1EF43B6F32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29" authorId="0" shapeId="0" xr:uid="{5DDF1BC4-A298-4620-BEA6-B37B183B8F3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30" authorId="0" shapeId="0" xr:uid="{FA9F30A1-CC40-4169-A813-6FC912FF82F1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31" authorId="0" shapeId="0" xr:uid="{1255F2B1-AB52-4326-A2B8-17DE4AA61BC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32" authorId="0" shapeId="0" xr:uid="{EA13A9E6-2C6F-4915-80A8-B37034245A1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233" authorId="0" shapeId="0" xr:uid="{103D9356-ABF6-434B-BA49-84D7E003ADE5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34" authorId="0" shapeId="0" xr:uid="{C7ADB89D-4A37-485A-A7CE-227A45A4A62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35" authorId="0" shapeId="0" xr:uid="{C0204EB5-037F-419C-AE07-2C1361206B08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36" authorId="0" shapeId="0" xr:uid="{BA66A5D1-A5B2-42EF-A23C-87884EB79E0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37" authorId="0" shapeId="0" xr:uid="{8291023D-280C-4A47-865A-3B894BC5455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238" authorId="0" shapeId="0" xr:uid="{08A0AA94-E210-4268-A1C2-916C4D06243A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39" authorId="0" shapeId="0" xr:uid="{3F31C20B-6B82-44D6-BB54-F72686F49C4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40" authorId="0" shapeId="0" xr:uid="{19E697BD-06AA-49C6-86FB-01DA4CC8683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41" authorId="0" shapeId="0" xr:uid="{2F791EDA-096E-4DF7-8ACE-E370E9900440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42" authorId="0" shapeId="0" xr:uid="{631221EE-5B72-47EA-9A48-A0A9D358824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243" authorId="0" shapeId="0" xr:uid="{E8E3CA16-37EB-4AB1-9FE7-64A1767BC725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44" authorId="0" shapeId="0" xr:uid="{05AD058D-663B-405C-AF80-59EFADB97285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45" authorId="0" shapeId="0" xr:uid="{FA03063C-C791-4452-B4EE-9BBF1AE4C76E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46" authorId="0" shapeId="0" xr:uid="{AB5BC47B-09EF-4E25-A7FB-1CBEED7BCE93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47" authorId="0" shapeId="0" xr:uid="{C0C2FB10-8A9E-4DC7-9225-FAD9186A1C5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  <comment ref="C248" authorId="0" shapeId="0" xr:uid="{825B2D08-9C52-432B-9EBA-42151348287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49" authorId="0" shapeId="0" xr:uid="{EBAB0632-DAC1-40E5-B8CC-F2BD5C3DF6E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50" authorId="0" shapeId="0" xr:uid="{7B6F2681-068A-48F1-8965-2FE1BD7E8C3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51" authorId="0" shapeId="0" xr:uid="{DFD72E48-373E-48BC-BDF2-E948078575F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Capex from Fraunhofer Industrial Innovation part 2</t>
        </r>
      </text>
    </comment>
    <comment ref="C252" authorId="0" shapeId="0" xr:uid="{6DC0AED4-BC0F-4DA3-BEF5-5591505D4C3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(Caudle et al, 2023) case A</t>
        </r>
      </text>
    </comment>
  </commentList>
</comments>
</file>

<file path=xl/sharedStrings.xml><?xml version="1.0" encoding="utf-8"?>
<sst xmlns="http://schemas.openxmlformats.org/spreadsheetml/2006/main" count="6286" uniqueCount="207">
  <si>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</si>
  <si>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</si>
  <si>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</si>
  <si>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</si>
  <si>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</si>
  <si>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</si>
  <si>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</si>
  <si>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</si>
  <si>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</si>
  <si>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</si>
  <si>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</si>
  <si>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</si>
  <si>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</si>
  <si>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</si>
  <si>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</si>
  <si>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</si>
  <si>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</si>
  <si>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</si>
  <si>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</si>
  <si>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</si>
  <si>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</si>
  <si>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</si>
  <si>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</si>
  <si>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</si>
  <si>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</si>
  <si>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</si>
  <si>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</si>
  <si>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</si>
  <si>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</si>
  <si>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</si>
  <si>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</si>
  <si>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</si>
  <si>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</si>
  <si>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</si>
  <si>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</si>
  <si>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</si>
  <si>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</si>
  <si>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</si>
  <si>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</si>
  <si>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</si>
  <si>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</si>
  <si>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</si>
  <si>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</si>
  <si>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</si>
  <si>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</si>
  <si>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</si>
  <si>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</si>
  <si>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</si>
  <si>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</si>
  <si>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</si>
  <si>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</si>
  <si>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</si>
  <si>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</si>
  <si>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</si>
  <si>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Naphtha</t>
  </si>
  <si>
    <t>Oil_Refining_for_Naphtha</t>
  </si>
  <si>
    <t>All</t>
  </si>
  <si>
    <t>capacity_associated_resource</t>
  </si>
  <si>
    <t>no_import</t>
  </si>
  <si>
    <t>installation_ramp_t</t>
  </si>
  <si>
    <t>CEM_I</t>
  </si>
  <si>
    <t>CEM_II</t>
  </si>
  <si>
    <t>LC3</t>
  </si>
  <si>
    <t>Cement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</si>
  <si>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</si>
  <si>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</si>
  <si>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</si>
  <si>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</si>
  <si>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</si>
  <si>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</si>
  <si>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</si>
  <si>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</si>
  <si>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</si>
  <si>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Waste</t>
  </si>
  <si>
    <t>forced_prod_ratio_max</t>
  </si>
  <si>
    <t>Italy</t>
  </si>
  <si>
    <t>Great Britain</t>
  </si>
  <si>
    <t>Spain</t>
  </si>
  <si>
    <t>Belgium</t>
  </si>
  <si>
    <t>emissions_reduction_ratio_obj</t>
  </si>
  <si>
    <t>Electricity_50%_LF</t>
  </si>
  <si>
    <t>Electricity_25%_LF</t>
  </si>
  <si>
    <t>Baseload</t>
  </si>
  <si>
    <t>50%_LF</t>
  </si>
  <si>
    <t>25%_LF</t>
  </si>
  <si>
    <t>BioNaphtha_making</t>
  </si>
  <si>
    <t>Chemistry</t>
  </si>
  <si>
    <t>Naphta_cracking</t>
  </si>
  <si>
    <t>Naphta_cracking_electrified</t>
  </si>
  <si>
    <t>MethanolToOlefins</t>
  </si>
  <si>
    <t>elec_steam</t>
  </si>
  <si>
    <t>gas_steam</t>
  </si>
  <si>
    <t>OxidativeCouplingOfMethane</t>
  </si>
  <si>
    <t>Haber_Bosch</t>
  </si>
  <si>
    <t>CO2_to_MeOH_3_Step_Gas</t>
  </si>
  <si>
    <t>CO2_to_MeOH_3_Step_Elec</t>
  </si>
  <si>
    <t>CO2_to_MeOH_2_Step_Gas</t>
  </si>
  <si>
    <t>CO2_to_MeOH_2_Step_Elec</t>
  </si>
  <si>
    <t>CO2_to_MeOH_1_Step</t>
  </si>
  <si>
    <t>min_output</t>
  </si>
  <si>
    <t>BF-BOF</t>
  </si>
  <si>
    <t>Steel</t>
  </si>
  <si>
    <t>EAF</t>
  </si>
  <si>
    <t>DRI-EAF</t>
  </si>
  <si>
    <t>Kiln-DRI-EAF</t>
  </si>
  <si>
    <t>Electrowinning</t>
  </si>
  <si>
    <t>CH4</t>
  </si>
  <si>
    <t>H2</t>
  </si>
  <si>
    <t>Bio</t>
  </si>
  <si>
    <t>BF_57</t>
  </si>
  <si>
    <t>min_capacity_factor</t>
  </si>
  <si>
    <t>max_capacity_t</t>
  </si>
  <si>
    <t>tech_age</t>
  </si>
  <si>
    <t>CO2</t>
  </si>
  <si>
    <t>Bio-30%</t>
  </si>
  <si>
    <t>Bio-10%</t>
  </si>
  <si>
    <t>Bio-50%</t>
  </si>
  <si>
    <t>Kiln_heat</t>
  </si>
  <si>
    <t>Glass</t>
  </si>
  <si>
    <t>Batch_preparation_container</t>
  </si>
  <si>
    <t>Batch_preparation_flat</t>
  </si>
  <si>
    <t>Forming_post_forming_flat</t>
  </si>
  <si>
    <t>Forming_post_forming_container</t>
  </si>
  <si>
    <t>Container_batch</t>
  </si>
  <si>
    <t>Flat_batch</t>
  </si>
  <si>
    <t>Melted_container</t>
  </si>
  <si>
    <t>Melted_flat</t>
  </si>
  <si>
    <t>Container_glass</t>
  </si>
  <si>
    <t>Flat_glass</t>
  </si>
  <si>
    <t>Silica_sand</t>
  </si>
  <si>
    <t>Recuperative_container</t>
  </si>
  <si>
    <t>Recuperative_flat</t>
  </si>
  <si>
    <t>Oxy_fuel_container</t>
  </si>
  <si>
    <t>Oxy_fuel_flat</t>
  </si>
  <si>
    <t>TCR_container</t>
  </si>
  <si>
    <t>TCR_flat</t>
  </si>
  <si>
    <t>Regenerative_end-port_container</t>
  </si>
  <si>
    <t>Regenerative_end-port_flat</t>
  </si>
  <si>
    <t>Regenerative_side-port_container</t>
  </si>
  <si>
    <t>Regenerative_side-port_flat</t>
  </si>
  <si>
    <t>Conv_glass_furnace_specific_heat_MWh</t>
  </si>
  <si>
    <t>Oxy_glass_furnace_specific_heat_MWh</t>
  </si>
  <si>
    <t>Gas_heat_conv</t>
  </si>
  <si>
    <t>Hydrogen_heat_conv</t>
  </si>
  <si>
    <t>Gas_heat_oxy</t>
  </si>
  <si>
    <t>Hydrogen_heat_oxy</t>
  </si>
  <si>
    <t>Electric_boost_conv</t>
  </si>
  <si>
    <t>Electric_boost_oxy</t>
  </si>
  <si>
    <t>Hybrid_melter_flat</t>
  </si>
  <si>
    <t>All_electric_furnace_flat</t>
  </si>
  <si>
    <t>Hybrid_melter_container</t>
  </si>
  <si>
    <t>All_electric_furnace_container</t>
  </si>
  <si>
    <t>co2_transport_and_storage_cost</t>
  </si>
  <si>
    <t>E-Fuels</t>
  </si>
  <si>
    <t>E-Kerosene</t>
  </si>
  <si>
    <t>Fischer-Tropsch</t>
  </si>
  <si>
    <t>Fast_Carb</t>
  </si>
  <si>
    <t>Solidia_clinker</t>
  </si>
  <si>
    <t>BYF_Cement</t>
  </si>
  <si>
    <t>Solidia_cement</t>
  </si>
  <si>
    <t>Solidia_Cement</t>
  </si>
  <si>
    <t>Solidia_Clinker</t>
  </si>
  <si>
    <t>BYF_Clinker</t>
  </si>
  <si>
    <t>BYF_clinker</t>
  </si>
  <si>
    <t>BYF_cement</t>
  </si>
  <si>
    <t>Electrified_Solidia_clinker</t>
  </si>
  <si>
    <t>Electrified_BYF_clinker</t>
  </si>
  <si>
    <t>Fast_Carb_Recycling</t>
  </si>
  <si>
    <t>CCS_gasification</t>
  </si>
  <si>
    <t>DAC</t>
  </si>
  <si>
    <t>DAC_CO2</t>
  </si>
  <si>
    <t>methane_leakage_ratio</t>
  </si>
  <si>
    <t>SMR-MSR</t>
  </si>
  <si>
    <t>eSMR-MSR</t>
  </si>
  <si>
    <t>Gasification-MSR</t>
  </si>
  <si>
    <t>Gasification_H2_upgrade-MSR</t>
  </si>
  <si>
    <t>Solidia</t>
  </si>
  <si>
    <t>BYF</t>
  </si>
  <si>
    <t>Reference_plant</t>
  </si>
  <si>
    <t>Oxyfuel_plant</t>
  </si>
  <si>
    <t>Fully_electrified_plant</t>
  </si>
  <si>
    <t>OxyCalciner_HydrogenKiln</t>
  </si>
  <si>
    <t>ElecCalciner_OxyKiln</t>
  </si>
  <si>
    <t>ElecCalciner_HydrogenKiln</t>
  </si>
  <si>
    <t>Solid_fuels</t>
  </si>
  <si>
    <t>Capture_Processing_Unit_Clinker</t>
  </si>
  <si>
    <t>MEA_Capture_Clinker</t>
  </si>
  <si>
    <t>Solidia_clinker_plant</t>
  </si>
  <si>
    <t>BYF_clinker_plant</t>
  </si>
  <si>
    <t>ATR_CCS</t>
  </si>
  <si>
    <t>ATR</t>
  </si>
  <si>
    <t>max_biogas_from_digester_t</t>
  </si>
  <si>
    <t>max_biogas_from_gasification_t</t>
  </si>
  <si>
    <t>ccs_biomass</t>
  </si>
  <si>
    <t>NC_CCS</t>
  </si>
  <si>
    <t>Glass_furnace_CCS_98</t>
  </si>
  <si>
    <t>Glass_furnace_CCS_70</t>
  </si>
  <si>
    <t>Conv</t>
  </si>
  <si>
    <t>Elec</t>
  </si>
  <si>
    <t>Biomass_low_price</t>
  </si>
  <si>
    <t>Biomass_med_price</t>
  </si>
  <si>
    <t>Biomass_high_price</t>
  </si>
  <si>
    <t>Municipal_wastes</t>
  </si>
  <si>
    <t>Agriculture_wastes</t>
  </si>
  <si>
    <t>olefins_carbone_storage_rate</t>
  </si>
  <si>
    <t>methane_gwp</t>
  </si>
  <si>
    <t>Electricity_glass_boosting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</si>
</sst>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5" fillId="0" borderId="0" xfId="0" applyFont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4" fillId="10" borderId="0" xfId="0" applyFont="1" applyFill="1"/>
    <xf numFmtId="11" fontId="0" fillId="0" borderId="3" xfId="0" applyNumberFormat="1" applyBorder="1"/>
    <xf numFmtId="11" fontId="0" fillId="0" borderId="4" xfId="0" applyNumberFormat="1" applyBorder="1"/>
    <xf numFmtId="0" fontId="5" fillId="7" borderId="0" xfId="0" applyFont="1" applyFill="1"/>
    <xf numFmtId="0" fontId="0" fillId="0" borderId="0" xfId="0" applyAlignment="1">
      <alignment vertical="center"/>
    </xf>
    <xf numFmtId="0" fontId="4" fillId="11" borderId="0" xfId="0" applyFont="1" applyFill="1"/>
    <xf numFmtId="0" fontId="0" fillId="12" borderId="0" xfId="0" applyFill="1"/>
    <xf numFmtId="0" fontId="9" fillId="0" borderId="0" xfId="0" applyFont="1"/>
    <xf numFmtId="0" fontId="10" fillId="0" borderId="0" xfId="0" applyFont="1"/>
    <xf numFmtId="0" fontId="5" fillId="13" borderId="0" xfId="0" applyFont="1" applyFill="1"/>
    <xf numFmtId="0" fontId="5" fillId="14" borderId="0" xfId="0" applyFont="1" applyFill="1"/>
    <xf numFmtId="0" fontId="5" fillId="12" borderId="0" xfId="0" applyFont="1" applyFill="1"/>
    <xf numFmtId="9" fontId="0" fillId="7" borderId="0" xfId="1" applyNumberFormat="1" applyFont="1" applyFill="1"/>
    <xf numFmtId="0" fontId="0" fillId="7" borderId="0" xfId="0" applyFill="1"/>
    <xf numFmtId="0" fontId="5" fillId="15" borderId="0" xfId="0" applyFont="1" applyFill="1"/>
    <xf numFmtId="11" fontId="0" fillId="0" borderId="0" xfId="1" applyNumberFormat="1" applyFont="1"/>
    <xf numFmtId="20" fontId="0" fillId="0" borderId="0" xfId="0" applyNumberFormat="1"/>
    <xf numFmtId="0" fontId="0" fillId="0" borderId="0" xfId="0" applyFont="1"/>
    <xf numFmtId="0" fontId="1" fillId="10" borderId="0" xfId="0" applyFont="1" applyFill="1"/>
    <xf numFmtId="0" fontId="0" fillId="12" borderId="0" xfId="0" applyFont="1" applyFill="1"/>
    <xf numFmtId="164" fontId="0" fillId="0" borderId="0" xfId="0" applyNumberFormat="1"/>
    <xf numFmtId="1" fontId="0" fillId="0" borderId="0" xfId="0" applyNumberFormat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11" fontId="0" fillId="0" borderId="4" xfId="0" applyNumberFormat="1" applyFont="1" applyBorder="1"/>
    <xf numFmtId="164" fontId="0" fillId="7" borderId="0" xfId="0" applyNumberFormat="1" applyFill="1"/>
    <xf numFmtId="0" fontId="0" fillId="0" borderId="0" xfId="0" applyNumberFormat="1"/>
    <xf numFmtId="11" fontId="0" fillId="12" borderId="0" xfId="0" applyNumberFormat="1" applyFill="1"/>
    <xf numFmtId="0" fontId="0" fillId="12" borderId="2" xfId="0" applyFont="1" applyFill="1" applyBorder="1"/>
    <xf numFmtId="0" fontId="0" fillId="12" borderId="3" xfId="0" applyFont="1" applyFill="1" applyBorder="1"/>
    <xf numFmtId="0" fontId="0" fillId="12" borderId="1" xfId="0" applyFont="1" applyFill="1" applyBorder="1"/>
    <xf numFmtId="9" fontId="0" fillId="0" borderId="0" xfId="2" applyFont="1"/>
  </cellXfs>
  <cellStyles count="3">
    <cellStyle name="Milliers" xfId="1" builtinId="3"/>
    <cellStyle name="Normal" xfId="0" builtinId="0"/>
    <cellStyle name="Pourcentage" xfId="2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632" totalsRowShown="0" headerRowDxfId="16">
  <autoFilter ref="A1:F632" xr:uid="{0228EFE9-A26D-47DE-80C5-467BC8C55473}">
    <filterColumn colId="0">
      <filters>
        <filter val="BioNaphtha_making"/>
        <filter val="Gasification"/>
        <filter val="Gasification_H2_upgrade-MSR"/>
        <filter val="Gasification-MSR"/>
        <filter val="Oil_Refining_for_Naphtha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69" totalsRowShown="0" headerRowDxfId="15">
  <autoFilter ref="A1:G69" xr:uid="{EA3B7E84-A470-42CF-8AD0-F18C25395176}"/>
  <tableColumns count="7">
    <tableColumn id="1" xr3:uid="{B95E49C5-EF73-47B7-8AE4-47167E61C906}" name="TECHNOLOGIES"/>
    <tableColumn id="2" xr3:uid="{18616BCF-B734-42AD-AD73-2D319469AD7F}" name="TECH_TYPE" dataDxfId="14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71CE69-AC13-4DA8-AD73-2474284678A7}" name="Tableau7" displayName="Tableau7" ref="A1:D127" totalsRowShown="0" headerRowDxfId="13" dataDxfId="12">
  <autoFilter ref="A1:D127" xr:uid="{D14D472E-F40B-43E4-A965-487F09B399F1}"/>
  <tableColumns count="4">
    <tableColumn id="1" xr3:uid="{822235A3-F263-4475-9C75-2A5A6AAFEBC8}" name="TECHNOLOGIES" dataDxfId="11"/>
    <tableColumn id="2" xr3:uid="{3D739A6F-E84D-46D5-A241-A6C57340AADB}" name="TECH_TYPE" dataDxfId="10"/>
    <tableColumn id="3" xr3:uid="{D80150F3-0EA4-48BD-9D74-977B347AE8C0}" name="SECTOR" dataDxfId="9"/>
    <tableColumn id="4" xr3:uid="{6256719F-847C-4EE5-8B0F-48EF8B31674C}" name="YEAR" dataDxfId="8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733" totalsRowShown="0" headerRowDxfId="7">
  <autoFilter ref="A1:F733" xr:uid="{0BE97764-31A2-4AB2-B609-6BCFE43756E3}">
    <filterColumn colId="0">
      <filters>
        <filter val="Electricity"/>
      </filters>
    </filterColumn>
    <filterColumn colId="4">
      <filters>
        <filter val="flow_cost_r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252" totalsRowShown="0">
  <autoFilter ref="A1:G252" xr:uid="{C77C5A8C-74B2-4ED8-BD29-EF56FF759D85}">
    <filterColumn colId="0">
      <filters>
        <filter val="Glass_furnace_CCS_98"/>
      </filters>
    </filterColumn>
    <filterColumn colId="2">
      <filters>
        <filter val="Glass"/>
      </filters>
    </filterColumn>
  </autoFilter>
  <tableColumns count="7">
    <tableColumn id="4" xr3:uid="{B1C762EE-B1E4-4CC5-A3BD-E54AB92279EF}" name="CCS_TYPE" dataDxfId="6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71" totalsRowShown="0" dataDxfId="5">
  <autoFilter ref="A1:E71" xr:uid="{E18CBB7B-2E0F-4553-9D56-639477D4D825}"/>
  <tableColumns count="5">
    <tableColumn id="1" xr3:uid="{C124D719-B23F-4FA6-B2F5-A51B543CD6E7}" name="SECTOR" dataDxfId="4"/>
    <tableColumn id="2" xr3:uid="{83F0E4F7-78B8-4F8F-A7E2-83A9D9C734B0}" name="AREAS" dataDxfId="3"/>
    <tableColumn id="3" xr3:uid="{79CECA88-19F3-43E6-A711-73F8A40FF586}" name="YEAR" dataDxfId="2"/>
    <tableColumn id="4" xr3:uid="{186C9877-FBB1-4E01-9C15-00D0833AC132}" name="Parameter" dataDxfId="1"/>
    <tableColumn id="5" xr3:uid="{0ABE10C7-06A1-47AF-ACBC-FED1D67422A4}" name="Valu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2"/>
  <sheetViews>
    <sheetView zoomScale="85" zoomScaleNormal="85" workbookViewId="0">
      <selection activeCell="B621" sqref="B621"/>
    </sheetView>
  </sheetViews>
  <sheetFormatPr baseColWidth="10" defaultRowHeight="15" x14ac:dyDescent="0.25"/>
  <cols>
    <col min="1" max="1" width="46.7109375" bestFit="1" customWidth="1"/>
    <col min="2" max="2" width="18" customWidth="1"/>
    <col min="5" max="5" width="27.5703125" bestFit="1" customWidth="1"/>
    <col min="6" max="6" width="15.5703125" bestFit="1" customWidth="1"/>
    <col min="8" max="9" width="12" bestFit="1" customWidth="1"/>
  </cols>
  <sheetData>
    <row r="1" spans="1:6" ht="15.75" x14ac:dyDescent="0.25">
      <c r="A1" s="1" t="s">
        <v>14</v>
      </c>
      <c r="B1" s="1" t="s">
        <v>43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32</v>
      </c>
      <c r="F2">
        <v>0.08</v>
      </c>
    </row>
    <row r="3" spans="1:6" hidden="1" x14ac:dyDescent="0.25">
      <c r="E3" t="s">
        <v>38</v>
      </c>
      <c r="F3" s="10">
        <v>1</v>
      </c>
    </row>
    <row r="4" spans="1:6" hidden="1" x14ac:dyDescent="0.25">
      <c r="A4" t="s">
        <v>27</v>
      </c>
      <c r="E4" t="s">
        <v>29</v>
      </c>
      <c r="F4">
        <v>1500</v>
      </c>
    </row>
    <row r="5" spans="1:6" x14ac:dyDescent="0.25">
      <c r="A5" s="17" t="s">
        <v>55</v>
      </c>
      <c r="B5" t="s">
        <v>86</v>
      </c>
      <c r="E5" t="s">
        <v>29</v>
      </c>
      <c r="F5">
        <v>267</v>
      </c>
    </row>
    <row r="6" spans="1:6" hidden="1" x14ac:dyDescent="0.25">
      <c r="A6" t="s">
        <v>18</v>
      </c>
      <c r="D6">
        <v>2015</v>
      </c>
      <c r="E6" t="s">
        <v>29</v>
      </c>
      <c r="F6">
        <v>6300</v>
      </c>
    </row>
    <row r="7" spans="1:6" hidden="1" x14ac:dyDescent="0.25">
      <c r="A7" t="s">
        <v>18</v>
      </c>
      <c r="D7">
        <v>2050</v>
      </c>
      <c r="E7" t="s">
        <v>29</v>
      </c>
      <c r="F7">
        <v>1125</v>
      </c>
    </row>
    <row r="8" spans="1:6" hidden="1" x14ac:dyDescent="0.25">
      <c r="A8" t="s">
        <v>18</v>
      </c>
      <c r="D8">
        <v>2015</v>
      </c>
      <c r="E8" t="s">
        <v>38</v>
      </c>
      <c r="F8">
        <f>0.015*F6</f>
        <v>94.5</v>
      </c>
    </row>
    <row r="9" spans="1:6" hidden="1" x14ac:dyDescent="0.25">
      <c r="A9" t="s">
        <v>18</v>
      </c>
      <c r="D9">
        <v>2050</v>
      </c>
      <c r="E9" t="s">
        <v>38</v>
      </c>
      <c r="F9">
        <f>0.015*F7</f>
        <v>16.875</v>
      </c>
    </row>
    <row r="10" spans="1:6" hidden="1" x14ac:dyDescent="0.25">
      <c r="A10" t="s">
        <v>19</v>
      </c>
      <c r="E10" t="s">
        <v>29</v>
      </c>
      <c r="F10">
        <v>3243</v>
      </c>
    </row>
    <row r="11" spans="1:6" hidden="1" x14ac:dyDescent="0.25">
      <c r="A11" t="s">
        <v>20</v>
      </c>
      <c r="E11" t="s">
        <v>29</v>
      </c>
      <c r="F11">
        <v>3243</v>
      </c>
    </row>
    <row r="12" spans="1:6" hidden="1" x14ac:dyDescent="0.25">
      <c r="A12" t="s">
        <v>19</v>
      </c>
      <c r="E12" t="s">
        <v>38</v>
      </c>
      <c r="F12">
        <v>546</v>
      </c>
    </row>
    <row r="13" spans="1:6" hidden="1" x14ac:dyDescent="0.25">
      <c r="A13" t="s">
        <v>20</v>
      </c>
      <c r="E13" t="s">
        <v>38</v>
      </c>
      <c r="F13">
        <v>546</v>
      </c>
    </row>
    <row r="14" spans="1:6" x14ac:dyDescent="0.25">
      <c r="A14" t="s">
        <v>40</v>
      </c>
      <c r="E14" t="s">
        <v>29</v>
      </c>
      <c r="F14">
        <v>5443</v>
      </c>
    </row>
    <row r="15" spans="1:6" hidden="1" x14ac:dyDescent="0.25">
      <c r="A15" t="s">
        <v>18</v>
      </c>
      <c r="E15" t="s">
        <v>30</v>
      </c>
      <c r="F15">
        <v>1</v>
      </c>
    </row>
    <row r="16" spans="1:6" hidden="1" x14ac:dyDescent="0.25">
      <c r="A16" t="s">
        <v>19</v>
      </c>
      <c r="E16" t="s">
        <v>30</v>
      </c>
      <c r="F16">
        <v>1</v>
      </c>
    </row>
    <row r="17" spans="1:6" hidden="1" x14ac:dyDescent="0.25">
      <c r="A17" t="s">
        <v>20</v>
      </c>
      <c r="E17" t="s">
        <v>30</v>
      </c>
      <c r="F17">
        <v>1</v>
      </c>
    </row>
    <row r="18" spans="1:6" x14ac:dyDescent="0.25">
      <c r="A18" t="s">
        <v>40</v>
      </c>
      <c r="E18" t="s">
        <v>30</v>
      </c>
      <c r="F18">
        <v>1</v>
      </c>
    </row>
    <row r="19" spans="1:6" hidden="1" x14ac:dyDescent="0.25">
      <c r="A19" t="s">
        <v>26</v>
      </c>
      <c r="E19" t="s">
        <v>31</v>
      </c>
      <c r="F19">
        <v>30</v>
      </c>
    </row>
    <row r="20" spans="1:6" hidden="1" x14ac:dyDescent="0.25">
      <c r="A20" t="s">
        <v>27</v>
      </c>
      <c r="E20" t="s">
        <v>31</v>
      </c>
      <c r="F20">
        <v>30</v>
      </c>
    </row>
    <row r="21" spans="1:6" hidden="1" x14ac:dyDescent="0.25">
      <c r="A21" t="s">
        <v>18</v>
      </c>
      <c r="D21">
        <v>2015</v>
      </c>
      <c r="E21" t="s">
        <v>31</v>
      </c>
      <c r="F21" s="7">
        <v>6.8493150684931505</v>
      </c>
    </row>
    <row r="22" spans="1:6" hidden="1" x14ac:dyDescent="0.25">
      <c r="A22" t="s">
        <v>18</v>
      </c>
      <c r="D22">
        <v>2050</v>
      </c>
      <c r="E22" t="s">
        <v>31</v>
      </c>
      <c r="F22" s="7">
        <v>11.415525114155251</v>
      </c>
    </row>
    <row r="23" spans="1:6" hidden="1" x14ac:dyDescent="0.25">
      <c r="A23" t="s">
        <v>19</v>
      </c>
      <c r="E23" t="s">
        <v>31</v>
      </c>
      <c r="F23">
        <v>25</v>
      </c>
    </row>
    <row r="24" spans="1:6" hidden="1" x14ac:dyDescent="0.25">
      <c r="A24" t="s">
        <v>20</v>
      </c>
      <c r="E24" t="s">
        <v>31</v>
      </c>
      <c r="F24">
        <v>25</v>
      </c>
    </row>
    <row r="25" spans="1:6" x14ac:dyDescent="0.25">
      <c r="A25" t="s">
        <v>40</v>
      </c>
      <c r="E25" t="s">
        <v>31</v>
      </c>
      <c r="F25">
        <v>25</v>
      </c>
    </row>
    <row r="26" spans="1:6" x14ac:dyDescent="0.25">
      <c r="A26" s="17" t="s">
        <v>55</v>
      </c>
      <c r="B26" t="s">
        <v>86</v>
      </c>
      <c r="E26" t="s">
        <v>38</v>
      </c>
      <c r="F26">
        <v>5.33</v>
      </c>
    </row>
    <row r="27" spans="1:6" x14ac:dyDescent="0.25">
      <c r="A27" t="s">
        <v>55</v>
      </c>
      <c r="B27" t="s">
        <v>86</v>
      </c>
      <c r="E27" t="s">
        <v>31</v>
      </c>
      <c r="F27">
        <v>20</v>
      </c>
    </row>
    <row r="28" spans="1:6" hidden="1" x14ac:dyDescent="0.25">
      <c r="A28" t="s">
        <v>64</v>
      </c>
      <c r="B28" t="s">
        <v>63</v>
      </c>
      <c r="E28" t="s">
        <v>31</v>
      </c>
      <c r="F28">
        <v>50</v>
      </c>
    </row>
    <row r="29" spans="1:6" hidden="1" x14ac:dyDescent="0.25">
      <c r="A29" t="s">
        <v>65</v>
      </c>
      <c r="B29" t="s">
        <v>63</v>
      </c>
      <c r="E29" t="s">
        <v>31</v>
      </c>
      <c r="F29">
        <v>50</v>
      </c>
    </row>
    <row r="30" spans="1:6" hidden="1" x14ac:dyDescent="0.25">
      <c r="A30" t="s">
        <v>66</v>
      </c>
      <c r="B30" t="s">
        <v>63</v>
      </c>
      <c r="E30" t="s">
        <v>31</v>
      </c>
      <c r="F30">
        <v>50</v>
      </c>
    </row>
    <row r="31" spans="1:6" hidden="1" x14ac:dyDescent="0.25">
      <c r="A31" t="s">
        <v>67</v>
      </c>
      <c r="B31" t="s">
        <v>63</v>
      </c>
      <c r="E31" t="s">
        <v>31</v>
      </c>
      <c r="F31">
        <v>50</v>
      </c>
    </row>
    <row r="32" spans="1:6" hidden="1" x14ac:dyDescent="0.25">
      <c r="A32" t="s">
        <v>68</v>
      </c>
      <c r="B32" t="s">
        <v>63</v>
      </c>
      <c r="E32" t="s">
        <v>31</v>
      </c>
      <c r="F32">
        <v>50</v>
      </c>
    </row>
    <row r="33" spans="1:6" hidden="1" x14ac:dyDescent="0.25">
      <c r="A33" t="s">
        <v>26</v>
      </c>
      <c r="E33" t="s">
        <v>57</v>
      </c>
      <c r="F33" t="s">
        <v>9</v>
      </c>
    </row>
    <row r="34" spans="1:6" hidden="1" x14ac:dyDescent="0.25">
      <c r="A34" t="s">
        <v>27</v>
      </c>
      <c r="E34" t="s">
        <v>57</v>
      </c>
      <c r="F34" t="s">
        <v>9</v>
      </c>
    </row>
    <row r="35" spans="1:6" x14ac:dyDescent="0.25">
      <c r="A35" t="s">
        <v>55</v>
      </c>
      <c r="B35" t="s">
        <v>86</v>
      </c>
      <c r="E35" t="s">
        <v>57</v>
      </c>
      <c r="F35" t="s">
        <v>54</v>
      </c>
    </row>
    <row r="36" spans="1:6" hidden="1" x14ac:dyDescent="0.25">
      <c r="A36" t="s">
        <v>18</v>
      </c>
      <c r="E36" t="s">
        <v>57</v>
      </c>
      <c r="F36" t="s">
        <v>11</v>
      </c>
    </row>
    <row r="37" spans="1:6" hidden="1" x14ac:dyDescent="0.25">
      <c r="A37" t="s">
        <v>19</v>
      </c>
      <c r="E37" t="s">
        <v>57</v>
      </c>
      <c r="F37" t="s">
        <v>11</v>
      </c>
    </row>
    <row r="38" spans="1:6" hidden="1" x14ac:dyDescent="0.25">
      <c r="A38" t="s">
        <v>20</v>
      </c>
      <c r="E38" t="s">
        <v>57</v>
      </c>
      <c r="F38" t="s">
        <v>11</v>
      </c>
    </row>
    <row r="39" spans="1:6" x14ac:dyDescent="0.25">
      <c r="A39" t="s">
        <v>40</v>
      </c>
      <c r="E39" t="s">
        <v>57</v>
      </c>
      <c r="F39" t="s">
        <v>11</v>
      </c>
    </row>
    <row r="40" spans="1:6" hidden="1" x14ac:dyDescent="0.25">
      <c r="A40" t="s">
        <v>33</v>
      </c>
      <c r="E40" t="s">
        <v>57</v>
      </c>
      <c r="F40" t="s">
        <v>11</v>
      </c>
    </row>
    <row r="41" spans="1:6" hidden="1" x14ac:dyDescent="0.25">
      <c r="A41" t="s">
        <v>64</v>
      </c>
      <c r="B41" t="s">
        <v>63</v>
      </c>
      <c r="E41" t="s">
        <v>57</v>
      </c>
      <c r="F41" t="s">
        <v>60</v>
      </c>
    </row>
    <row r="42" spans="1:6" hidden="1" x14ac:dyDescent="0.25">
      <c r="A42" t="s">
        <v>65</v>
      </c>
      <c r="B42" t="s">
        <v>63</v>
      </c>
      <c r="E42" t="s">
        <v>57</v>
      </c>
      <c r="F42" t="s">
        <v>61</v>
      </c>
    </row>
    <row r="43" spans="1:6" hidden="1" x14ac:dyDescent="0.25">
      <c r="A43" t="s">
        <v>66</v>
      </c>
      <c r="B43" t="s">
        <v>63</v>
      </c>
      <c r="E43" t="s">
        <v>57</v>
      </c>
      <c r="F43" t="s">
        <v>72</v>
      </c>
    </row>
    <row r="44" spans="1:6" hidden="1" x14ac:dyDescent="0.25">
      <c r="A44" t="s">
        <v>67</v>
      </c>
      <c r="B44" t="s">
        <v>63</v>
      </c>
      <c r="E44" t="s">
        <v>57</v>
      </c>
      <c r="F44" t="s">
        <v>62</v>
      </c>
    </row>
    <row r="45" spans="1:6" hidden="1" x14ac:dyDescent="0.25">
      <c r="A45" t="s">
        <v>68</v>
      </c>
      <c r="B45" t="s">
        <v>63</v>
      </c>
      <c r="E45" t="s">
        <v>57</v>
      </c>
      <c r="F45" t="s">
        <v>70</v>
      </c>
    </row>
    <row r="46" spans="1:6" hidden="1" x14ac:dyDescent="0.25">
      <c r="A46" t="s">
        <v>26</v>
      </c>
      <c r="C46" t="s">
        <v>23</v>
      </c>
      <c r="D46">
        <v>2015</v>
      </c>
      <c r="E46" t="s">
        <v>34</v>
      </c>
      <c r="F46">
        <v>1598.2</v>
      </c>
    </row>
    <row r="47" spans="1:6" hidden="1" x14ac:dyDescent="0.25">
      <c r="A47" t="s">
        <v>26</v>
      </c>
      <c r="C47" t="s">
        <v>23</v>
      </c>
      <c r="D47">
        <v>2050</v>
      </c>
      <c r="E47" t="s">
        <v>34</v>
      </c>
      <c r="F47">
        <v>775.52</v>
      </c>
    </row>
    <row r="48" spans="1:6" hidden="1" x14ac:dyDescent="0.25">
      <c r="A48" t="s">
        <v>26</v>
      </c>
      <c r="C48" t="s">
        <v>24</v>
      </c>
      <c r="D48">
        <v>2015</v>
      </c>
      <c r="E48" t="s">
        <v>34</v>
      </c>
      <c r="F48">
        <v>1598.2</v>
      </c>
    </row>
    <row r="49" spans="1:6" hidden="1" x14ac:dyDescent="0.25">
      <c r="A49" t="s">
        <v>26</v>
      </c>
      <c r="C49" t="s">
        <v>24</v>
      </c>
      <c r="D49">
        <v>2050</v>
      </c>
      <c r="E49" t="s">
        <v>34</v>
      </c>
      <c r="F49">
        <v>963.72333333333347</v>
      </c>
    </row>
    <row r="50" spans="1:6" hidden="1" x14ac:dyDescent="0.25">
      <c r="A50" t="s">
        <v>26</v>
      </c>
      <c r="C50" t="s">
        <v>75</v>
      </c>
      <c r="D50">
        <v>2015</v>
      </c>
      <c r="E50" t="s">
        <v>34</v>
      </c>
      <c r="F50">
        <v>1598.2</v>
      </c>
    </row>
    <row r="51" spans="1:6" hidden="1" x14ac:dyDescent="0.25">
      <c r="A51" t="s">
        <v>26</v>
      </c>
      <c r="C51" t="s">
        <v>75</v>
      </c>
      <c r="D51">
        <v>2050</v>
      </c>
      <c r="E51" t="s">
        <v>34</v>
      </c>
      <c r="F51">
        <v>833.16</v>
      </c>
    </row>
    <row r="52" spans="1:6" hidden="1" x14ac:dyDescent="0.25">
      <c r="A52" t="s">
        <v>26</v>
      </c>
      <c r="C52" t="s">
        <v>76</v>
      </c>
      <c r="D52">
        <v>2015</v>
      </c>
      <c r="E52" t="s">
        <v>34</v>
      </c>
      <c r="F52">
        <v>1598.2</v>
      </c>
    </row>
    <row r="53" spans="1:6" hidden="1" x14ac:dyDescent="0.25">
      <c r="A53" t="s">
        <v>26</v>
      </c>
      <c r="C53" t="s">
        <v>76</v>
      </c>
      <c r="D53">
        <v>2050</v>
      </c>
      <c r="E53" t="s">
        <v>34</v>
      </c>
      <c r="F53">
        <v>805.88818181818181</v>
      </c>
    </row>
    <row r="54" spans="1:6" hidden="1" x14ac:dyDescent="0.25">
      <c r="A54" t="s">
        <v>26</v>
      </c>
      <c r="C54" t="s">
        <v>77</v>
      </c>
      <c r="D54">
        <v>2015</v>
      </c>
      <c r="E54" t="s">
        <v>34</v>
      </c>
      <c r="F54">
        <v>1598.2</v>
      </c>
    </row>
    <row r="55" spans="1:6" hidden="1" x14ac:dyDescent="0.25">
      <c r="A55" t="s">
        <v>26</v>
      </c>
      <c r="C55" t="s">
        <v>77</v>
      </c>
      <c r="D55">
        <v>2050</v>
      </c>
      <c r="E55" t="s">
        <v>34</v>
      </c>
      <c r="F55">
        <v>762.32642857142866</v>
      </c>
    </row>
    <row r="56" spans="1:6" hidden="1" x14ac:dyDescent="0.25">
      <c r="A56" t="s">
        <v>26</v>
      </c>
      <c r="C56" t="s">
        <v>78</v>
      </c>
      <c r="D56">
        <v>2015</v>
      </c>
      <c r="E56" t="s">
        <v>34</v>
      </c>
      <c r="F56">
        <v>1598.2</v>
      </c>
    </row>
    <row r="57" spans="1:6" hidden="1" x14ac:dyDescent="0.25">
      <c r="A57" t="s">
        <v>26</v>
      </c>
      <c r="C57" t="s">
        <v>78</v>
      </c>
      <c r="D57">
        <v>2050</v>
      </c>
      <c r="E57" t="s">
        <v>34</v>
      </c>
      <c r="F57">
        <v>746.69999999999993</v>
      </c>
    </row>
    <row r="58" spans="1:6" hidden="1" x14ac:dyDescent="0.25">
      <c r="A58" t="s">
        <v>87</v>
      </c>
      <c r="B58" t="s">
        <v>86</v>
      </c>
      <c r="E58" t="s">
        <v>29</v>
      </c>
      <c r="F58" s="27">
        <v>725</v>
      </c>
    </row>
    <row r="59" spans="1:6" hidden="1" x14ac:dyDescent="0.25">
      <c r="A59" t="s">
        <v>87</v>
      </c>
      <c r="B59" t="s">
        <v>86</v>
      </c>
      <c r="E59" t="s">
        <v>38</v>
      </c>
      <c r="F59">
        <v>76.42</v>
      </c>
    </row>
    <row r="60" spans="1:6" hidden="1" x14ac:dyDescent="0.25">
      <c r="A60" t="s">
        <v>88</v>
      </c>
      <c r="B60" t="s">
        <v>86</v>
      </c>
      <c r="E60" t="s">
        <v>29</v>
      </c>
      <c r="F60" s="27">
        <v>1100</v>
      </c>
    </row>
    <row r="61" spans="1:6" hidden="1" x14ac:dyDescent="0.25">
      <c r="A61" t="s">
        <v>88</v>
      </c>
      <c r="B61" t="s">
        <v>86</v>
      </c>
      <c r="E61" t="s">
        <v>38</v>
      </c>
      <c r="F61">
        <v>76.42</v>
      </c>
    </row>
    <row r="62" spans="1:6" hidden="1" x14ac:dyDescent="0.25">
      <c r="A62" t="s">
        <v>89</v>
      </c>
      <c r="B62" t="s">
        <v>86</v>
      </c>
      <c r="E62" t="s">
        <v>29</v>
      </c>
      <c r="F62">
        <v>1000</v>
      </c>
    </row>
    <row r="63" spans="1:6" hidden="1" x14ac:dyDescent="0.25">
      <c r="A63" t="s">
        <v>92</v>
      </c>
      <c r="B63" t="s">
        <v>86</v>
      </c>
      <c r="E63" t="s">
        <v>29</v>
      </c>
      <c r="F63">
        <v>1274</v>
      </c>
    </row>
    <row r="64" spans="1:6" hidden="1" x14ac:dyDescent="0.25">
      <c r="A64" t="s">
        <v>92</v>
      </c>
      <c r="B64" t="s">
        <v>86</v>
      </c>
      <c r="E64" t="s">
        <v>38</v>
      </c>
      <c r="F64">
        <f>0.05*F62</f>
        <v>50</v>
      </c>
    </row>
    <row r="65" spans="1:6" hidden="1" x14ac:dyDescent="0.25">
      <c r="A65" t="s">
        <v>89</v>
      </c>
      <c r="B65" t="s">
        <v>86</v>
      </c>
      <c r="E65" t="s">
        <v>38</v>
      </c>
      <c r="F65">
        <f>0.05*F63</f>
        <v>63.7</v>
      </c>
    </row>
    <row r="66" spans="1:6" hidden="1" x14ac:dyDescent="0.25">
      <c r="A66" t="s">
        <v>93</v>
      </c>
      <c r="E66" t="s">
        <v>29</v>
      </c>
      <c r="F66" s="25">
        <v>1000</v>
      </c>
    </row>
    <row r="67" spans="1:6" hidden="1" x14ac:dyDescent="0.25">
      <c r="A67" t="s">
        <v>93</v>
      </c>
      <c r="E67" t="s">
        <v>38</v>
      </c>
      <c r="F67">
        <f>0.05*F66</f>
        <v>50</v>
      </c>
    </row>
    <row r="68" spans="1:6" hidden="1" x14ac:dyDescent="0.25">
      <c r="A68" t="s">
        <v>172</v>
      </c>
      <c r="E68" t="s">
        <v>29</v>
      </c>
      <c r="F68">
        <v>133</v>
      </c>
    </row>
    <row r="69" spans="1:6" hidden="1" x14ac:dyDescent="0.25">
      <c r="A69" t="s">
        <v>173</v>
      </c>
      <c r="E69" t="s">
        <v>29</v>
      </c>
      <c r="F69">
        <v>133</v>
      </c>
    </row>
    <row r="70" spans="1:6" hidden="1" x14ac:dyDescent="0.25">
      <c r="A70" t="s">
        <v>94</v>
      </c>
      <c r="E70" t="s">
        <v>38</v>
      </c>
      <c r="F70">
        <f>0.05*F75</f>
        <v>15</v>
      </c>
    </row>
    <row r="71" spans="1:6" hidden="1" x14ac:dyDescent="0.25">
      <c r="A71" t="s">
        <v>95</v>
      </c>
      <c r="E71" t="s">
        <v>38</v>
      </c>
      <c r="F71">
        <f t="shared" ref="F71:F74" si="0">0.05*F76</f>
        <v>15</v>
      </c>
    </row>
    <row r="72" spans="1:6" hidden="1" x14ac:dyDescent="0.25">
      <c r="A72" t="s">
        <v>96</v>
      </c>
      <c r="E72" t="s">
        <v>38</v>
      </c>
      <c r="F72">
        <f t="shared" si="0"/>
        <v>15</v>
      </c>
    </row>
    <row r="73" spans="1:6" hidden="1" x14ac:dyDescent="0.25">
      <c r="A73" t="s">
        <v>97</v>
      </c>
      <c r="E73" t="s">
        <v>38</v>
      </c>
      <c r="F73">
        <f t="shared" si="0"/>
        <v>15</v>
      </c>
    </row>
    <row r="74" spans="1:6" hidden="1" x14ac:dyDescent="0.25">
      <c r="A74" t="s">
        <v>98</v>
      </c>
      <c r="E74" t="s">
        <v>38</v>
      </c>
      <c r="F74">
        <f t="shared" si="0"/>
        <v>75</v>
      </c>
    </row>
    <row r="75" spans="1:6" hidden="1" x14ac:dyDescent="0.25">
      <c r="A75" t="s">
        <v>94</v>
      </c>
      <c r="E75" t="s">
        <v>29</v>
      </c>
      <c r="F75">
        <v>300</v>
      </c>
    </row>
    <row r="76" spans="1:6" hidden="1" x14ac:dyDescent="0.25">
      <c r="A76" t="s">
        <v>95</v>
      </c>
      <c r="E76" t="s">
        <v>29</v>
      </c>
      <c r="F76">
        <v>300</v>
      </c>
    </row>
    <row r="77" spans="1:6" hidden="1" x14ac:dyDescent="0.25">
      <c r="A77" t="s">
        <v>96</v>
      </c>
      <c r="E77" t="s">
        <v>29</v>
      </c>
      <c r="F77">
        <v>300</v>
      </c>
    </row>
    <row r="78" spans="1:6" hidden="1" x14ac:dyDescent="0.25">
      <c r="A78" t="s">
        <v>97</v>
      </c>
      <c r="E78" t="s">
        <v>29</v>
      </c>
      <c r="F78">
        <v>300</v>
      </c>
    </row>
    <row r="79" spans="1:6" hidden="1" x14ac:dyDescent="0.25">
      <c r="A79" t="s">
        <v>98</v>
      </c>
      <c r="E79" t="s">
        <v>29</v>
      </c>
      <c r="F79">
        <v>1500</v>
      </c>
    </row>
    <row r="80" spans="1:6" hidden="1" x14ac:dyDescent="0.25">
      <c r="A80" t="s">
        <v>100</v>
      </c>
      <c r="B80" t="s">
        <v>101</v>
      </c>
      <c r="E80" t="s">
        <v>29</v>
      </c>
      <c r="F80">
        <v>442</v>
      </c>
    </row>
    <row r="81" spans="1:6" hidden="1" x14ac:dyDescent="0.25">
      <c r="A81" t="s">
        <v>102</v>
      </c>
      <c r="B81" t="s">
        <v>101</v>
      </c>
      <c r="E81" t="s">
        <v>29</v>
      </c>
      <c r="F81">
        <v>184</v>
      </c>
    </row>
    <row r="82" spans="1:6" hidden="1" x14ac:dyDescent="0.25">
      <c r="A82" t="s">
        <v>103</v>
      </c>
      <c r="B82" t="s">
        <v>101</v>
      </c>
      <c r="E82" t="s">
        <v>29</v>
      </c>
      <c r="F82">
        <v>414</v>
      </c>
    </row>
    <row r="83" spans="1:6" hidden="1" x14ac:dyDescent="0.25">
      <c r="A83" t="s">
        <v>104</v>
      </c>
      <c r="B83" t="s">
        <v>101</v>
      </c>
      <c r="E83" t="s">
        <v>29</v>
      </c>
      <c r="F83">
        <v>414</v>
      </c>
    </row>
    <row r="84" spans="1:6" hidden="1" x14ac:dyDescent="0.25">
      <c r="A84" t="s">
        <v>105</v>
      </c>
      <c r="B84" t="s">
        <v>101</v>
      </c>
      <c r="E84" t="s">
        <v>29</v>
      </c>
      <c r="F84">
        <v>639</v>
      </c>
    </row>
    <row r="85" spans="1:6" hidden="1" x14ac:dyDescent="0.25">
      <c r="A85" t="s">
        <v>27</v>
      </c>
      <c r="E85" t="s">
        <v>57</v>
      </c>
      <c r="F85" t="s">
        <v>9</v>
      </c>
    </row>
    <row r="86" spans="1:6" hidden="1" x14ac:dyDescent="0.25">
      <c r="A86" t="s">
        <v>100</v>
      </c>
      <c r="B86" t="s">
        <v>101</v>
      </c>
      <c r="E86" t="s">
        <v>57</v>
      </c>
      <c r="F86" t="s">
        <v>12</v>
      </c>
    </row>
    <row r="87" spans="1:6" hidden="1" x14ac:dyDescent="0.25">
      <c r="A87" t="s">
        <v>102</v>
      </c>
      <c r="B87" t="s">
        <v>101</v>
      </c>
      <c r="E87" t="s">
        <v>57</v>
      </c>
      <c r="F87" t="s">
        <v>17</v>
      </c>
    </row>
    <row r="88" spans="1:6" hidden="1" x14ac:dyDescent="0.25">
      <c r="A88" t="s">
        <v>103</v>
      </c>
      <c r="B88" t="s">
        <v>101</v>
      </c>
      <c r="E88" t="s">
        <v>57</v>
      </c>
      <c r="F88" t="s">
        <v>12</v>
      </c>
    </row>
    <row r="89" spans="1:6" hidden="1" x14ac:dyDescent="0.25">
      <c r="A89" t="s">
        <v>104</v>
      </c>
      <c r="B89" t="s">
        <v>101</v>
      </c>
      <c r="E89" t="s">
        <v>57</v>
      </c>
      <c r="F89" t="s">
        <v>12</v>
      </c>
    </row>
    <row r="90" spans="1:6" hidden="1" x14ac:dyDescent="0.25">
      <c r="A90" t="s">
        <v>105</v>
      </c>
      <c r="B90" t="s">
        <v>101</v>
      </c>
      <c r="E90" t="s">
        <v>57</v>
      </c>
      <c r="F90" t="s">
        <v>12</v>
      </c>
    </row>
    <row r="91" spans="1:6" hidden="1" x14ac:dyDescent="0.25">
      <c r="A91" t="s">
        <v>27</v>
      </c>
      <c r="E91" t="s">
        <v>31</v>
      </c>
      <c r="F91">
        <v>30</v>
      </c>
    </row>
    <row r="92" spans="1:6" hidden="1" x14ac:dyDescent="0.25">
      <c r="A92" t="s">
        <v>100</v>
      </c>
      <c r="B92" t="s">
        <v>101</v>
      </c>
      <c r="E92" t="s">
        <v>31</v>
      </c>
      <c r="F92">
        <v>25</v>
      </c>
    </row>
    <row r="93" spans="1:6" hidden="1" x14ac:dyDescent="0.25">
      <c r="A93" t="s">
        <v>102</v>
      </c>
      <c r="B93" t="s">
        <v>101</v>
      </c>
      <c r="E93" t="s">
        <v>31</v>
      </c>
      <c r="F93">
        <v>25</v>
      </c>
    </row>
    <row r="94" spans="1:6" hidden="1" x14ac:dyDescent="0.25">
      <c r="A94" t="s">
        <v>103</v>
      </c>
      <c r="B94" t="s">
        <v>101</v>
      </c>
      <c r="E94" t="s">
        <v>31</v>
      </c>
      <c r="F94">
        <v>25</v>
      </c>
    </row>
    <row r="95" spans="1:6" hidden="1" x14ac:dyDescent="0.25">
      <c r="A95" t="s">
        <v>104</v>
      </c>
      <c r="B95" t="s">
        <v>101</v>
      </c>
      <c r="E95" t="s">
        <v>31</v>
      </c>
      <c r="F95">
        <v>25</v>
      </c>
    </row>
    <row r="96" spans="1:6" hidden="1" x14ac:dyDescent="0.25">
      <c r="A96" t="s">
        <v>105</v>
      </c>
      <c r="B96" t="s">
        <v>101</v>
      </c>
      <c r="E96" t="s">
        <v>31</v>
      </c>
      <c r="F96">
        <v>25</v>
      </c>
    </row>
    <row r="97" spans="1:6" hidden="1" x14ac:dyDescent="0.25">
      <c r="A97" t="s">
        <v>103</v>
      </c>
      <c r="B97" t="s">
        <v>101</v>
      </c>
      <c r="D97">
        <v>2015</v>
      </c>
      <c r="E97" t="s">
        <v>59</v>
      </c>
      <c r="F97" s="10">
        <v>0</v>
      </c>
    </row>
    <row r="98" spans="1:6" hidden="1" x14ac:dyDescent="0.25">
      <c r="A98" t="s">
        <v>100</v>
      </c>
      <c r="B98" t="s">
        <v>101</v>
      </c>
      <c r="D98">
        <v>2015</v>
      </c>
      <c r="E98" t="s">
        <v>59</v>
      </c>
      <c r="F98" s="10">
        <v>0</v>
      </c>
    </row>
    <row r="99" spans="1:6" hidden="1" x14ac:dyDescent="0.25">
      <c r="A99" t="s">
        <v>105</v>
      </c>
      <c r="B99" t="s">
        <v>101</v>
      </c>
      <c r="D99">
        <v>2015</v>
      </c>
      <c r="E99" t="s">
        <v>59</v>
      </c>
      <c r="F99" s="10">
        <v>0</v>
      </c>
    </row>
    <row r="100" spans="1:6" hidden="1" x14ac:dyDescent="0.25">
      <c r="A100" t="s">
        <v>102</v>
      </c>
      <c r="B100" t="s">
        <v>101</v>
      </c>
      <c r="D100">
        <v>2015</v>
      </c>
      <c r="E100" t="s">
        <v>59</v>
      </c>
      <c r="F100" s="10">
        <v>0</v>
      </c>
    </row>
    <row r="101" spans="1:6" hidden="1" x14ac:dyDescent="0.25">
      <c r="A101" t="s">
        <v>18</v>
      </c>
      <c r="D101">
        <v>2015</v>
      </c>
      <c r="E101" t="s">
        <v>59</v>
      </c>
      <c r="F101" s="10">
        <v>0</v>
      </c>
    </row>
    <row r="102" spans="1:6" x14ac:dyDescent="0.25">
      <c r="A102" t="s">
        <v>40</v>
      </c>
      <c r="D102">
        <v>2015</v>
      </c>
      <c r="E102" t="s">
        <v>59</v>
      </c>
      <c r="F102" s="10">
        <v>0</v>
      </c>
    </row>
    <row r="103" spans="1:6" hidden="1" x14ac:dyDescent="0.25">
      <c r="A103" t="s">
        <v>33</v>
      </c>
      <c r="D103">
        <v>2015</v>
      </c>
      <c r="E103" t="s">
        <v>59</v>
      </c>
      <c r="F103" s="10">
        <v>0</v>
      </c>
    </row>
    <row r="104" spans="1:6" hidden="1" x14ac:dyDescent="0.25">
      <c r="A104" t="s">
        <v>103</v>
      </c>
      <c r="B104" t="s">
        <v>101</v>
      </c>
      <c r="E104" t="s">
        <v>59</v>
      </c>
      <c r="F104" s="10">
        <v>2500000</v>
      </c>
    </row>
    <row r="105" spans="1:6" hidden="1" x14ac:dyDescent="0.25">
      <c r="A105" t="s">
        <v>100</v>
      </c>
      <c r="B105" t="s">
        <v>101</v>
      </c>
      <c r="E105" t="s">
        <v>59</v>
      </c>
      <c r="F105" s="10">
        <v>3000000</v>
      </c>
    </row>
    <row r="106" spans="1:6" hidden="1" x14ac:dyDescent="0.25">
      <c r="A106" t="s">
        <v>105</v>
      </c>
      <c r="B106" t="s">
        <v>101</v>
      </c>
      <c r="E106" t="s">
        <v>59</v>
      </c>
      <c r="F106" s="10">
        <v>1000000</v>
      </c>
    </row>
    <row r="107" spans="1:6" hidden="1" x14ac:dyDescent="0.25">
      <c r="A107" t="s">
        <v>102</v>
      </c>
      <c r="B107" t="s">
        <v>101</v>
      </c>
      <c r="E107" t="s">
        <v>59</v>
      </c>
      <c r="F107" s="10">
        <v>1500000</v>
      </c>
    </row>
    <row r="108" spans="1:6" hidden="1" x14ac:dyDescent="0.25">
      <c r="A108" t="s">
        <v>18</v>
      </c>
      <c r="E108" t="s">
        <v>59</v>
      </c>
      <c r="F108" s="10">
        <v>200000</v>
      </c>
    </row>
    <row r="109" spans="1:6" x14ac:dyDescent="0.25">
      <c r="A109" t="s">
        <v>40</v>
      </c>
      <c r="E109" t="s">
        <v>59</v>
      </c>
      <c r="F109" s="10">
        <v>50000</v>
      </c>
    </row>
    <row r="110" spans="1:6" hidden="1" x14ac:dyDescent="0.25">
      <c r="A110" t="s">
        <v>33</v>
      </c>
      <c r="E110" t="s">
        <v>59</v>
      </c>
      <c r="F110" s="10">
        <v>250000</v>
      </c>
    </row>
    <row r="111" spans="1:6" hidden="1" x14ac:dyDescent="0.25">
      <c r="A111" t="s">
        <v>100</v>
      </c>
      <c r="B111" t="s">
        <v>101</v>
      </c>
      <c r="E111" t="s">
        <v>110</v>
      </c>
      <c r="F111">
        <v>0</v>
      </c>
    </row>
    <row r="112" spans="1:6" hidden="1" x14ac:dyDescent="0.25">
      <c r="A112" t="s">
        <v>102</v>
      </c>
      <c r="B112" t="s">
        <v>101</v>
      </c>
      <c r="E112" t="s">
        <v>110</v>
      </c>
      <c r="F112">
        <v>0</v>
      </c>
    </row>
    <row r="113" spans="1:6" hidden="1" x14ac:dyDescent="0.25">
      <c r="A113" t="s">
        <v>103</v>
      </c>
      <c r="B113" t="s">
        <v>101</v>
      </c>
      <c r="E113" t="s">
        <v>110</v>
      </c>
      <c r="F113">
        <v>0</v>
      </c>
    </row>
    <row r="114" spans="1:6" hidden="1" x14ac:dyDescent="0.25">
      <c r="A114" t="s">
        <v>104</v>
      </c>
      <c r="B114" t="s">
        <v>101</v>
      </c>
      <c r="E114" t="s">
        <v>110</v>
      </c>
      <c r="F114">
        <v>0</v>
      </c>
    </row>
    <row r="115" spans="1:6" hidden="1" x14ac:dyDescent="0.25">
      <c r="A115" t="s">
        <v>105</v>
      </c>
      <c r="B115" t="s">
        <v>101</v>
      </c>
      <c r="E115" t="s">
        <v>110</v>
      </c>
      <c r="F115">
        <v>0</v>
      </c>
    </row>
    <row r="116" spans="1:6" hidden="1" x14ac:dyDescent="0.25">
      <c r="A116" t="s">
        <v>100</v>
      </c>
      <c r="B116" t="s">
        <v>101</v>
      </c>
      <c r="D116">
        <v>2015</v>
      </c>
      <c r="E116" t="s">
        <v>112</v>
      </c>
      <c r="F116">
        <v>10</v>
      </c>
    </row>
    <row r="117" spans="1:6" hidden="1" x14ac:dyDescent="0.25">
      <c r="A117" t="s">
        <v>102</v>
      </c>
      <c r="B117" t="s">
        <v>101</v>
      </c>
      <c r="D117">
        <v>2015</v>
      </c>
      <c r="E117" t="s">
        <v>112</v>
      </c>
      <c r="F117">
        <v>10</v>
      </c>
    </row>
    <row r="118" spans="1:6" hidden="1" x14ac:dyDescent="0.25">
      <c r="A118" t="s">
        <v>87</v>
      </c>
      <c r="B118" t="s">
        <v>86</v>
      </c>
      <c r="D118">
        <v>2015</v>
      </c>
      <c r="E118" t="s">
        <v>59</v>
      </c>
      <c r="F118" s="10">
        <v>0</v>
      </c>
    </row>
    <row r="119" spans="1:6" hidden="1" x14ac:dyDescent="0.25">
      <c r="A119" t="s">
        <v>88</v>
      </c>
      <c r="B119" t="s">
        <v>86</v>
      </c>
      <c r="D119">
        <v>2015</v>
      </c>
      <c r="E119" t="s">
        <v>59</v>
      </c>
      <c r="F119" s="10">
        <v>0</v>
      </c>
    </row>
    <row r="120" spans="1:6" hidden="1" x14ac:dyDescent="0.25">
      <c r="A120" t="s">
        <v>89</v>
      </c>
      <c r="B120" t="s">
        <v>86</v>
      </c>
      <c r="D120">
        <v>2015</v>
      </c>
      <c r="E120" t="s">
        <v>59</v>
      </c>
      <c r="F120" s="10">
        <v>0</v>
      </c>
    </row>
    <row r="121" spans="1:6" hidden="1" x14ac:dyDescent="0.25">
      <c r="A121" t="s">
        <v>92</v>
      </c>
      <c r="B121" t="s">
        <v>86</v>
      </c>
      <c r="D121">
        <v>2015</v>
      </c>
      <c r="E121" t="s">
        <v>59</v>
      </c>
      <c r="F121" s="10">
        <v>0</v>
      </c>
    </row>
    <row r="122" spans="1:6" hidden="1" x14ac:dyDescent="0.25">
      <c r="A122" t="s">
        <v>93</v>
      </c>
      <c r="B122" t="s">
        <v>86</v>
      </c>
      <c r="D122">
        <v>2015</v>
      </c>
      <c r="E122" t="s">
        <v>59</v>
      </c>
      <c r="F122" s="10">
        <v>0</v>
      </c>
    </row>
    <row r="123" spans="1:6" hidden="1" x14ac:dyDescent="0.25">
      <c r="A123" t="s">
        <v>172</v>
      </c>
      <c r="B123" t="s">
        <v>86</v>
      </c>
      <c r="D123">
        <v>2015</v>
      </c>
      <c r="E123" t="s">
        <v>59</v>
      </c>
      <c r="F123" s="10">
        <v>0</v>
      </c>
    </row>
    <row r="124" spans="1:6" hidden="1" x14ac:dyDescent="0.25">
      <c r="A124" t="s">
        <v>173</v>
      </c>
      <c r="B124" t="s">
        <v>86</v>
      </c>
      <c r="D124">
        <v>2015</v>
      </c>
      <c r="E124" t="s">
        <v>59</v>
      </c>
      <c r="F124" s="10">
        <v>0</v>
      </c>
    </row>
    <row r="125" spans="1:6" hidden="1" x14ac:dyDescent="0.25">
      <c r="A125" t="s">
        <v>94</v>
      </c>
      <c r="B125" t="s">
        <v>86</v>
      </c>
      <c r="D125">
        <v>2015</v>
      </c>
      <c r="E125" t="s">
        <v>59</v>
      </c>
      <c r="F125" s="10">
        <v>0</v>
      </c>
    </row>
    <row r="126" spans="1:6" hidden="1" x14ac:dyDescent="0.25">
      <c r="A126" t="s">
        <v>95</v>
      </c>
      <c r="B126" t="s">
        <v>86</v>
      </c>
      <c r="D126">
        <v>2015</v>
      </c>
      <c r="E126" t="s">
        <v>59</v>
      </c>
      <c r="F126" s="10">
        <v>0</v>
      </c>
    </row>
    <row r="127" spans="1:6" hidden="1" x14ac:dyDescent="0.25">
      <c r="A127" t="s">
        <v>96</v>
      </c>
      <c r="B127" t="s">
        <v>86</v>
      </c>
      <c r="D127">
        <v>2015</v>
      </c>
      <c r="E127" t="s">
        <v>59</v>
      </c>
      <c r="F127" s="10">
        <v>0</v>
      </c>
    </row>
    <row r="128" spans="1:6" hidden="1" x14ac:dyDescent="0.25">
      <c r="A128" t="s">
        <v>97</v>
      </c>
      <c r="B128" t="s">
        <v>86</v>
      </c>
      <c r="D128">
        <v>2015</v>
      </c>
      <c r="E128" t="s">
        <v>59</v>
      </c>
      <c r="F128" s="10">
        <v>0</v>
      </c>
    </row>
    <row r="129" spans="1:6" hidden="1" x14ac:dyDescent="0.25">
      <c r="A129" t="s">
        <v>98</v>
      </c>
      <c r="B129" t="s">
        <v>86</v>
      </c>
      <c r="D129">
        <v>2015</v>
      </c>
      <c r="E129" t="s">
        <v>59</v>
      </c>
      <c r="F129" s="10">
        <v>0</v>
      </c>
    </row>
    <row r="130" spans="1:6" hidden="1" x14ac:dyDescent="0.25">
      <c r="A130" t="s">
        <v>87</v>
      </c>
      <c r="B130" t="s">
        <v>86</v>
      </c>
      <c r="E130" t="s">
        <v>59</v>
      </c>
      <c r="F130" s="10">
        <v>1000000</v>
      </c>
    </row>
    <row r="131" spans="1:6" hidden="1" x14ac:dyDescent="0.25">
      <c r="A131" t="s">
        <v>88</v>
      </c>
      <c r="B131" t="s">
        <v>86</v>
      </c>
      <c r="E131" t="s">
        <v>59</v>
      </c>
      <c r="F131" s="10">
        <v>1000000</v>
      </c>
    </row>
    <row r="132" spans="1:6" hidden="1" x14ac:dyDescent="0.25">
      <c r="A132" t="s">
        <v>89</v>
      </c>
      <c r="B132" t="s">
        <v>86</v>
      </c>
      <c r="E132" t="s">
        <v>59</v>
      </c>
      <c r="F132" s="10">
        <v>500000</v>
      </c>
    </row>
    <row r="133" spans="1:6" hidden="1" x14ac:dyDescent="0.25">
      <c r="A133" t="s">
        <v>92</v>
      </c>
      <c r="B133" t="s">
        <v>86</v>
      </c>
      <c r="E133" t="s">
        <v>59</v>
      </c>
      <c r="F133" s="10">
        <v>500000</v>
      </c>
    </row>
    <row r="134" spans="1:6" hidden="1" x14ac:dyDescent="0.25">
      <c r="A134" t="s">
        <v>93</v>
      </c>
      <c r="B134" t="s">
        <v>86</v>
      </c>
      <c r="E134" t="s">
        <v>59</v>
      </c>
      <c r="F134" s="10">
        <v>0</v>
      </c>
    </row>
    <row r="135" spans="1:6" hidden="1" x14ac:dyDescent="0.25">
      <c r="A135" t="s">
        <v>172</v>
      </c>
      <c r="B135" t="s">
        <v>86</v>
      </c>
      <c r="E135" t="s">
        <v>59</v>
      </c>
      <c r="F135" s="10">
        <v>1000000</v>
      </c>
    </row>
    <row r="136" spans="1:6" hidden="1" x14ac:dyDescent="0.25">
      <c r="A136" t="s">
        <v>173</v>
      </c>
      <c r="B136" t="s">
        <v>86</v>
      </c>
      <c r="E136" t="s">
        <v>59</v>
      </c>
      <c r="F136" s="10">
        <v>1000000</v>
      </c>
    </row>
    <row r="137" spans="1:6" hidden="1" x14ac:dyDescent="0.25">
      <c r="A137" t="s">
        <v>94</v>
      </c>
      <c r="B137" t="s">
        <v>86</v>
      </c>
      <c r="E137" t="s">
        <v>59</v>
      </c>
      <c r="F137" s="10">
        <v>1000000</v>
      </c>
    </row>
    <row r="138" spans="1:6" hidden="1" x14ac:dyDescent="0.25">
      <c r="A138" t="s">
        <v>95</v>
      </c>
      <c r="B138" t="s">
        <v>86</v>
      </c>
      <c r="E138" t="s">
        <v>59</v>
      </c>
      <c r="F138" s="10">
        <v>1000000</v>
      </c>
    </row>
    <row r="139" spans="1:6" hidden="1" x14ac:dyDescent="0.25">
      <c r="A139" t="s">
        <v>96</v>
      </c>
      <c r="B139" t="s">
        <v>86</v>
      </c>
      <c r="E139" t="s">
        <v>59</v>
      </c>
      <c r="F139" s="10">
        <v>1000000</v>
      </c>
    </row>
    <row r="140" spans="1:6" hidden="1" x14ac:dyDescent="0.25">
      <c r="A140" t="s">
        <v>97</v>
      </c>
      <c r="B140" t="s">
        <v>86</v>
      </c>
      <c r="E140" t="s">
        <v>59</v>
      </c>
      <c r="F140" s="10">
        <v>1000000</v>
      </c>
    </row>
    <row r="141" spans="1:6" hidden="1" x14ac:dyDescent="0.25">
      <c r="A141" t="s">
        <v>98</v>
      </c>
      <c r="B141" t="s">
        <v>86</v>
      </c>
      <c r="E141" t="s">
        <v>59</v>
      </c>
      <c r="F141" s="10">
        <v>1000000</v>
      </c>
    </row>
    <row r="142" spans="1:6" x14ac:dyDescent="0.25">
      <c r="A142" t="s">
        <v>85</v>
      </c>
      <c r="B142" t="s">
        <v>86</v>
      </c>
      <c r="E142" t="s">
        <v>57</v>
      </c>
      <c r="F142" s="10" t="s">
        <v>54</v>
      </c>
    </row>
    <row r="143" spans="1:6" hidden="1" x14ac:dyDescent="0.25">
      <c r="A143" t="s">
        <v>87</v>
      </c>
      <c r="B143" t="s">
        <v>86</v>
      </c>
      <c r="E143" t="s">
        <v>57</v>
      </c>
      <c r="F143" t="s">
        <v>53</v>
      </c>
    </row>
    <row r="144" spans="1:6" hidden="1" x14ac:dyDescent="0.25">
      <c r="A144" t="s">
        <v>88</v>
      </c>
      <c r="B144" t="s">
        <v>86</v>
      </c>
      <c r="E144" t="s">
        <v>57</v>
      </c>
      <c r="F144" t="s">
        <v>53</v>
      </c>
    </row>
    <row r="145" spans="1:6" hidden="1" x14ac:dyDescent="0.25">
      <c r="A145" t="s">
        <v>89</v>
      </c>
      <c r="B145" t="s">
        <v>86</v>
      </c>
      <c r="E145" t="s">
        <v>57</v>
      </c>
      <c r="F145" t="s">
        <v>53</v>
      </c>
    </row>
    <row r="146" spans="1:6" hidden="1" x14ac:dyDescent="0.25">
      <c r="A146" t="s">
        <v>92</v>
      </c>
      <c r="B146" t="s">
        <v>86</v>
      </c>
      <c r="E146" t="s">
        <v>57</v>
      </c>
      <c r="F146" t="s">
        <v>53</v>
      </c>
    </row>
    <row r="147" spans="1:6" hidden="1" x14ac:dyDescent="0.25">
      <c r="A147" t="s">
        <v>93</v>
      </c>
      <c r="E147" t="s">
        <v>57</v>
      </c>
      <c r="F147" t="s">
        <v>52</v>
      </c>
    </row>
    <row r="148" spans="1:6" hidden="1" x14ac:dyDescent="0.25">
      <c r="A148" t="s">
        <v>172</v>
      </c>
      <c r="E148" t="s">
        <v>57</v>
      </c>
      <c r="F148" t="s">
        <v>25</v>
      </c>
    </row>
    <row r="149" spans="1:6" hidden="1" x14ac:dyDescent="0.25">
      <c r="A149" t="s">
        <v>173</v>
      </c>
      <c r="E149" t="s">
        <v>57</v>
      </c>
      <c r="F149" t="s">
        <v>25</v>
      </c>
    </row>
    <row r="150" spans="1:6" hidden="1" x14ac:dyDescent="0.25">
      <c r="A150" t="s">
        <v>95</v>
      </c>
      <c r="E150" t="s">
        <v>57</v>
      </c>
      <c r="F150" t="s">
        <v>25</v>
      </c>
    </row>
    <row r="151" spans="1:6" hidden="1" x14ac:dyDescent="0.25">
      <c r="A151" t="s">
        <v>96</v>
      </c>
      <c r="E151" t="s">
        <v>57</v>
      </c>
      <c r="F151" t="s">
        <v>25</v>
      </c>
    </row>
    <row r="152" spans="1:6" hidden="1" x14ac:dyDescent="0.25">
      <c r="A152" t="s">
        <v>97</v>
      </c>
      <c r="E152" t="s">
        <v>57</v>
      </c>
      <c r="F152" t="s">
        <v>25</v>
      </c>
    </row>
    <row r="153" spans="1:6" hidden="1" x14ac:dyDescent="0.25">
      <c r="A153" t="s">
        <v>98</v>
      </c>
      <c r="E153" t="s">
        <v>57</v>
      </c>
      <c r="F153" t="s">
        <v>25</v>
      </c>
    </row>
    <row r="154" spans="1:6" x14ac:dyDescent="0.25">
      <c r="A154" t="s">
        <v>85</v>
      </c>
      <c r="B154" t="s">
        <v>86</v>
      </c>
      <c r="E154" t="s">
        <v>31</v>
      </c>
      <c r="F154">
        <v>30</v>
      </c>
    </row>
    <row r="155" spans="1:6" hidden="1" x14ac:dyDescent="0.25">
      <c r="A155" t="s">
        <v>87</v>
      </c>
      <c r="B155" t="s">
        <v>86</v>
      </c>
      <c r="E155" t="s">
        <v>31</v>
      </c>
      <c r="F155">
        <v>20</v>
      </c>
    </row>
    <row r="156" spans="1:6" hidden="1" x14ac:dyDescent="0.25">
      <c r="A156" t="s">
        <v>88</v>
      </c>
      <c r="B156" t="s">
        <v>86</v>
      </c>
      <c r="E156" t="s">
        <v>31</v>
      </c>
      <c r="F156">
        <v>20</v>
      </c>
    </row>
    <row r="157" spans="1:6" hidden="1" x14ac:dyDescent="0.25">
      <c r="A157" t="s">
        <v>89</v>
      </c>
      <c r="B157" t="s">
        <v>86</v>
      </c>
      <c r="E157" t="s">
        <v>31</v>
      </c>
      <c r="F157">
        <v>20</v>
      </c>
    </row>
    <row r="158" spans="1:6" hidden="1" x14ac:dyDescent="0.25">
      <c r="A158" t="s">
        <v>92</v>
      </c>
      <c r="B158" t="s">
        <v>86</v>
      </c>
      <c r="E158" t="s">
        <v>31</v>
      </c>
      <c r="F158">
        <v>20</v>
      </c>
    </row>
    <row r="159" spans="1:6" hidden="1" x14ac:dyDescent="0.25">
      <c r="A159" t="s">
        <v>93</v>
      </c>
      <c r="E159" t="s">
        <v>31</v>
      </c>
      <c r="F159">
        <v>20</v>
      </c>
    </row>
    <row r="160" spans="1:6" hidden="1" x14ac:dyDescent="0.25">
      <c r="A160" t="s">
        <v>172</v>
      </c>
      <c r="E160" t="s">
        <v>31</v>
      </c>
      <c r="F160">
        <v>20</v>
      </c>
    </row>
    <row r="161" spans="1:6" hidden="1" x14ac:dyDescent="0.25">
      <c r="A161" t="s">
        <v>173</v>
      </c>
      <c r="E161" t="s">
        <v>31</v>
      </c>
      <c r="F161">
        <v>20</v>
      </c>
    </row>
    <row r="162" spans="1:6" hidden="1" x14ac:dyDescent="0.25">
      <c r="A162" t="s">
        <v>94</v>
      </c>
      <c r="E162" t="s">
        <v>31</v>
      </c>
      <c r="F162">
        <v>20</v>
      </c>
    </row>
    <row r="163" spans="1:6" hidden="1" x14ac:dyDescent="0.25">
      <c r="A163" t="s">
        <v>95</v>
      </c>
      <c r="E163" t="s">
        <v>31</v>
      </c>
      <c r="F163">
        <v>20</v>
      </c>
    </row>
    <row r="164" spans="1:6" hidden="1" x14ac:dyDescent="0.25">
      <c r="A164" t="s">
        <v>96</v>
      </c>
      <c r="E164" t="s">
        <v>31</v>
      </c>
      <c r="F164">
        <v>20</v>
      </c>
    </row>
    <row r="165" spans="1:6" hidden="1" x14ac:dyDescent="0.25">
      <c r="A165" t="s">
        <v>97</v>
      </c>
      <c r="E165" t="s">
        <v>31</v>
      </c>
      <c r="F165">
        <v>20</v>
      </c>
    </row>
    <row r="166" spans="1:6" hidden="1" x14ac:dyDescent="0.25">
      <c r="A166" t="s">
        <v>98</v>
      </c>
      <c r="E166" t="s">
        <v>31</v>
      </c>
      <c r="F166">
        <v>20</v>
      </c>
    </row>
    <row r="167" spans="1:6" hidden="1" x14ac:dyDescent="0.25">
      <c r="A167" t="s">
        <v>184</v>
      </c>
      <c r="B167" t="s">
        <v>63</v>
      </c>
      <c r="E167" t="s">
        <v>57</v>
      </c>
      <c r="F167" t="s">
        <v>117</v>
      </c>
    </row>
    <row r="168" spans="1:6" hidden="1" x14ac:dyDescent="0.25">
      <c r="A168" t="s">
        <v>184</v>
      </c>
      <c r="B168" t="s">
        <v>63</v>
      </c>
      <c r="E168" t="s">
        <v>31</v>
      </c>
      <c r="F168">
        <v>50</v>
      </c>
    </row>
    <row r="169" spans="1:6" hidden="1" x14ac:dyDescent="0.25">
      <c r="A169" t="s">
        <v>184</v>
      </c>
      <c r="B169" t="s">
        <v>63</v>
      </c>
      <c r="C169" t="s">
        <v>23</v>
      </c>
      <c r="D169">
        <v>2015</v>
      </c>
      <c r="E169" t="s">
        <v>59</v>
      </c>
      <c r="F169">
        <v>0</v>
      </c>
    </row>
    <row r="170" spans="1:6" hidden="1" x14ac:dyDescent="0.25">
      <c r="A170" t="s">
        <v>184</v>
      </c>
      <c r="B170" t="s">
        <v>63</v>
      </c>
      <c r="C170" t="s">
        <v>24</v>
      </c>
      <c r="D170">
        <v>2015</v>
      </c>
      <c r="E170" t="s">
        <v>59</v>
      </c>
      <c r="F170">
        <v>0</v>
      </c>
    </row>
    <row r="171" spans="1:6" hidden="1" x14ac:dyDescent="0.25">
      <c r="A171" t="s">
        <v>184</v>
      </c>
      <c r="B171" t="s">
        <v>63</v>
      </c>
      <c r="C171" t="s">
        <v>75</v>
      </c>
      <c r="D171">
        <v>2015</v>
      </c>
      <c r="E171" t="s">
        <v>59</v>
      </c>
      <c r="F171">
        <v>0</v>
      </c>
    </row>
    <row r="172" spans="1:6" hidden="1" x14ac:dyDescent="0.25">
      <c r="A172" t="s">
        <v>184</v>
      </c>
      <c r="B172" t="s">
        <v>63</v>
      </c>
      <c r="C172" t="s">
        <v>76</v>
      </c>
      <c r="D172">
        <v>2015</v>
      </c>
      <c r="E172" t="s">
        <v>59</v>
      </c>
      <c r="F172">
        <v>0</v>
      </c>
    </row>
    <row r="173" spans="1:6" hidden="1" x14ac:dyDescent="0.25">
      <c r="A173" t="s">
        <v>184</v>
      </c>
      <c r="B173" t="s">
        <v>63</v>
      </c>
      <c r="C173" t="s">
        <v>77</v>
      </c>
      <c r="D173">
        <v>2015</v>
      </c>
      <c r="E173" t="s">
        <v>59</v>
      </c>
      <c r="F173">
        <v>0</v>
      </c>
    </row>
    <row r="174" spans="1:6" hidden="1" x14ac:dyDescent="0.25">
      <c r="A174" t="s">
        <v>184</v>
      </c>
      <c r="B174" t="s">
        <v>63</v>
      </c>
      <c r="C174" t="s">
        <v>78</v>
      </c>
      <c r="D174">
        <v>2015</v>
      </c>
      <c r="E174" t="s">
        <v>59</v>
      </c>
      <c r="F174">
        <v>0</v>
      </c>
    </row>
    <row r="175" spans="1:6" hidden="1" x14ac:dyDescent="0.25">
      <c r="A175" t="s">
        <v>184</v>
      </c>
      <c r="B175" t="s">
        <v>63</v>
      </c>
      <c r="C175" t="s">
        <v>23</v>
      </c>
      <c r="E175" t="s">
        <v>59</v>
      </c>
      <c r="F175" s="10">
        <v>800000</v>
      </c>
    </row>
    <row r="176" spans="1:6" hidden="1" x14ac:dyDescent="0.25">
      <c r="A176" t="s">
        <v>184</v>
      </c>
      <c r="B176" t="s">
        <v>63</v>
      </c>
      <c r="C176" t="s">
        <v>24</v>
      </c>
      <c r="E176" t="s">
        <v>59</v>
      </c>
      <c r="F176" s="10">
        <v>1650000.0000000002</v>
      </c>
    </row>
    <row r="177" spans="1:6" hidden="1" x14ac:dyDescent="0.25">
      <c r="A177" t="s">
        <v>184</v>
      </c>
      <c r="B177" t="s">
        <v>63</v>
      </c>
      <c r="C177" t="s">
        <v>75</v>
      </c>
      <c r="E177" t="s">
        <v>59</v>
      </c>
      <c r="F177">
        <v>1050000</v>
      </c>
    </row>
    <row r="178" spans="1:6" hidden="1" x14ac:dyDescent="0.25">
      <c r="A178" t="s">
        <v>184</v>
      </c>
      <c r="B178" t="s">
        <v>63</v>
      </c>
      <c r="C178" t="s">
        <v>76</v>
      </c>
      <c r="E178" t="s">
        <v>59</v>
      </c>
      <c r="F178">
        <v>550000</v>
      </c>
    </row>
    <row r="179" spans="1:6" hidden="1" x14ac:dyDescent="0.25">
      <c r="A179" t="s">
        <v>184</v>
      </c>
      <c r="B179" t="s">
        <v>63</v>
      </c>
      <c r="C179" t="s">
        <v>77</v>
      </c>
      <c r="E179" t="s">
        <v>59</v>
      </c>
      <c r="F179">
        <v>750000</v>
      </c>
    </row>
    <row r="180" spans="1:6" hidden="1" x14ac:dyDescent="0.25">
      <c r="A180" t="s">
        <v>184</v>
      </c>
      <c r="B180" t="s">
        <v>63</v>
      </c>
      <c r="C180" t="s">
        <v>78</v>
      </c>
      <c r="E180" t="s">
        <v>59</v>
      </c>
      <c r="F180">
        <v>325000</v>
      </c>
    </row>
    <row r="181" spans="1:6" hidden="1" x14ac:dyDescent="0.25">
      <c r="A181" t="s">
        <v>119</v>
      </c>
      <c r="B181" t="s">
        <v>118</v>
      </c>
      <c r="E181" t="s">
        <v>31</v>
      </c>
      <c r="F181">
        <v>20</v>
      </c>
    </row>
    <row r="182" spans="1:6" hidden="1" x14ac:dyDescent="0.25">
      <c r="A182" t="s">
        <v>120</v>
      </c>
      <c r="B182" t="s">
        <v>118</v>
      </c>
      <c r="E182" t="s">
        <v>31</v>
      </c>
      <c r="F182">
        <v>20</v>
      </c>
    </row>
    <row r="183" spans="1:6" hidden="1" x14ac:dyDescent="0.25">
      <c r="A183" t="s">
        <v>136</v>
      </c>
      <c r="B183" t="s">
        <v>118</v>
      </c>
      <c r="E183" t="s">
        <v>31</v>
      </c>
      <c r="F183">
        <v>12</v>
      </c>
    </row>
    <row r="184" spans="1:6" hidden="1" x14ac:dyDescent="0.25">
      <c r="A184" t="s">
        <v>138</v>
      </c>
      <c r="B184" t="s">
        <v>118</v>
      </c>
      <c r="E184" t="s">
        <v>31</v>
      </c>
      <c r="F184">
        <v>12</v>
      </c>
    </row>
    <row r="185" spans="1:6" hidden="1" x14ac:dyDescent="0.25">
      <c r="A185" t="s">
        <v>130</v>
      </c>
      <c r="B185" t="s">
        <v>118</v>
      </c>
      <c r="E185" t="s">
        <v>31</v>
      </c>
      <c r="F185">
        <v>12</v>
      </c>
    </row>
    <row r="186" spans="1:6" hidden="1" x14ac:dyDescent="0.25">
      <c r="A186" t="s">
        <v>132</v>
      </c>
      <c r="B186" t="s">
        <v>118</v>
      </c>
      <c r="E186" t="s">
        <v>31</v>
      </c>
      <c r="F186">
        <v>10</v>
      </c>
    </row>
    <row r="187" spans="1:6" hidden="1" x14ac:dyDescent="0.25">
      <c r="A187" t="s">
        <v>134</v>
      </c>
      <c r="B187" t="s">
        <v>118</v>
      </c>
      <c r="E187" t="s">
        <v>31</v>
      </c>
      <c r="F187">
        <v>10</v>
      </c>
    </row>
    <row r="188" spans="1:6" hidden="1" x14ac:dyDescent="0.25">
      <c r="A188" t="s">
        <v>137</v>
      </c>
      <c r="B188" t="s">
        <v>118</v>
      </c>
      <c r="E188" t="s">
        <v>31</v>
      </c>
      <c r="F188">
        <v>14</v>
      </c>
    </row>
    <row r="189" spans="1:6" hidden="1" x14ac:dyDescent="0.25">
      <c r="A189" t="s">
        <v>139</v>
      </c>
      <c r="B189" t="s">
        <v>118</v>
      </c>
      <c r="E189" t="s">
        <v>31</v>
      </c>
      <c r="F189">
        <v>14</v>
      </c>
    </row>
    <row r="190" spans="1:6" hidden="1" x14ac:dyDescent="0.25">
      <c r="A190" t="s">
        <v>131</v>
      </c>
      <c r="B190" t="s">
        <v>118</v>
      </c>
      <c r="E190" t="s">
        <v>31</v>
      </c>
      <c r="F190">
        <v>14</v>
      </c>
    </row>
    <row r="191" spans="1:6" hidden="1" x14ac:dyDescent="0.25">
      <c r="A191" t="s">
        <v>133</v>
      </c>
      <c r="B191" t="s">
        <v>118</v>
      </c>
      <c r="E191" t="s">
        <v>31</v>
      </c>
      <c r="F191">
        <v>10</v>
      </c>
    </row>
    <row r="192" spans="1:6" hidden="1" x14ac:dyDescent="0.25">
      <c r="A192" t="s">
        <v>135</v>
      </c>
      <c r="B192" t="s">
        <v>118</v>
      </c>
      <c r="E192" t="s">
        <v>31</v>
      </c>
      <c r="F192">
        <v>10</v>
      </c>
    </row>
    <row r="193" spans="1:6" hidden="1" x14ac:dyDescent="0.25">
      <c r="A193" t="s">
        <v>148</v>
      </c>
      <c r="B193" t="s">
        <v>118</v>
      </c>
      <c r="E193" t="s">
        <v>31</v>
      </c>
      <c r="F193">
        <v>10</v>
      </c>
    </row>
    <row r="194" spans="1:6" hidden="1" x14ac:dyDescent="0.25">
      <c r="A194" t="s">
        <v>149</v>
      </c>
      <c r="B194" t="s">
        <v>118</v>
      </c>
      <c r="E194" t="s">
        <v>31</v>
      </c>
      <c r="F194">
        <v>6</v>
      </c>
    </row>
    <row r="195" spans="1:6" hidden="1" x14ac:dyDescent="0.25">
      <c r="A195" t="s">
        <v>146</v>
      </c>
      <c r="B195" t="s">
        <v>118</v>
      </c>
      <c r="E195" t="s">
        <v>31</v>
      </c>
      <c r="F195">
        <v>20</v>
      </c>
    </row>
    <row r="196" spans="1:6" hidden="1" x14ac:dyDescent="0.25">
      <c r="A196" t="s">
        <v>142</v>
      </c>
      <c r="B196" t="s">
        <v>118</v>
      </c>
      <c r="E196" t="s">
        <v>31</v>
      </c>
      <c r="F196">
        <v>20</v>
      </c>
    </row>
    <row r="197" spans="1:6" hidden="1" x14ac:dyDescent="0.25">
      <c r="A197" t="s">
        <v>143</v>
      </c>
      <c r="B197" t="s">
        <v>118</v>
      </c>
      <c r="E197" t="s">
        <v>31</v>
      </c>
      <c r="F197">
        <v>20</v>
      </c>
    </row>
    <row r="198" spans="1:6" hidden="1" x14ac:dyDescent="0.25">
      <c r="A198" t="s">
        <v>147</v>
      </c>
      <c r="B198" t="s">
        <v>118</v>
      </c>
      <c r="E198" t="s">
        <v>31</v>
      </c>
      <c r="F198">
        <v>20</v>
      </c>
    </row>
    <row r="199" spans="1:6" hidden="1" x14ac:dyDescent="0.25">
      <c r="A199" t="s">
        <v>144</v>
      </c>
      <c r="B199" t="s">
        <v>118</v>
      </c>
      <c r="E199" t="s">
        <v>31</v>
      </c>
      <c r="F199">
        <v>20</v>
      </c>
    </row>
    <row r="200" spans="1:6" hidden="1" x14ac:dyDescent="0.25">
      <c r="A200" t="s">
        <v>145</v>
      </c>
      <c r="B200" t="s">
        <v>118</v>
      </c>
      <c r="E200" t="s">
        <v>31</v>
      </c>
      <c r="F200">
        <v>20</v>
      </c>
    </row>
    <row r="201" spans="1:6" hidden="1" x14ac:dyDescent="0.25">
      <c r="A201" t="s">
        <v>122</v>
      </c>
      <c r="B201" t="s">
        <v>118</v>
      </c>
      <c r="E201" t="s">
        <v>31</v>
      </c>
      <c r="F201">
        <v>20</v>
      </c>
    </row>
    <row r="202" spans="1:6" hidden="1" x14ac:dyDescent="0.25">
      <c r="A202" t="s">
        <v>121</v>
      </c>
      <c r="B202" t="s">
        <v>118</v>
      </c>
      <c r="E202" t="s">
        <v>31</v>
      </c>
      <c r="F202">
        <v>20</v>
      </c>
    </row>
    <row r="203" spans="1:6" hidden="1" x14ac:dyDescent="0.25">
      <c r="A203" t="s">
        <v>136</v>
      </c>
      <c r="B203" t="s">
        <v>118</v>
      </c>
      <c r="E203" t="s">
        <v>29</v>
      </c>
      <c r="F203">
        <v>181</v>
      </c>
    </row>
    <row r="204" spans="1:6" hidden="1" x14ac:dyDescent="0.25">
      <c r="A204" t="s">
        <v>138</v>
      </c>
      <c r="B204" t="s">
        <v>118</v>
      </c>
      <c r="E204" t="s">
        <v>29</v>
      </c>
      <c r="F204">
        <v>181</v>
      </c>
    </row>
    <row r="205" spans="1:6" hidden="1" x14ac:dyDescent="0.25">
      <c r="A205" t="s">
        <v>130</v>
      </c>
      <c r="B205" t="s">
        <v>118</v>
      </c>
      <c r="E205" t="s">
        <v>29</v>
      </c>
      <c r="F205">
        <v>181</v>
      </c>
    </row>
    <row r="206" spans="1:6" hidden="1" x14ac:dyDescent="0.25">
      <c r="A206" t="s">
        <v>132</v>
      </c>
      <c r="B206" t="s">
        <v>118</v>
      </c>
      <c r="E206" t="s">
        <v>29</v>
      </c>
      <c r="F206">
        <v>211</v>
      </c>
    </row>
    <row r="207" spans="1:6" hidden="1" x14ac:dyDescent="0.25">
      <c r="A207" t="s">
        <v>134</v>
      </c>
      <c r="B207" t="s">
        <v>118</v>
      </c>
      <c r="E207" t="s">
        <v>29</v>
      </c>
      <c r="F207">
        <v>211</v>
      </c>
    </row>
    <row r="208" spans="1:6" hidden="1" x14ac:dyDescent="0.25">
      <c r="A208" t="s">
        <v>137</v>
      </c>
      <c r="B208" t="s">
        <v>118</v>
      </c>
      <c r="E208" t="s">
        <v>29</v>
      </c>
      <c r="F208">
        <v>181</v>
      </c>
    </row>
    <row r="209" spans="1:6" hidden="1" x14ac:dyDescent="0.25">
      <c r="A209" t="s">
        <v>139</v>
      </c>
      <c r="B209" t="s">
        <v>118</v>
      </c>
      <c r="E209" t="s">
        <v>29</v>
      </c>
      <c r="F209">
        <v>181</v>
      </c>
    </row>
    <row r="210" spans="1:6" hidden="1" x14ac:dyDescent="0.25">
      <c r="A210" t="s">
        <v>131</v>
      </c>
      <c r="B210" t="s">
        <v>118</v>
      </c>
      <c r="E210" t="s">
        <v>29</v>
      </c>
      <c r="F210">
        <v>181</v>
      </c>
    </row>
    <row r="211" spans="1:6" hidden="1" x14ac:dyDescent="0.25">
      <c r="A211" t="s">
        <v>133</v>
      </c>
      <c r="B211" t="s">
        <v>118</v>
      </c>
      <c r="E211" t="s">
        <v>29</v>
      </c>
      <c r="F211">
        <v>211</v>
      </c>
    </row>
    <row r="212" spans="1:6" hidden="1" x14ac:dyDescent="0.25">
      <c r="A212" t="s">
        <v>135</v>
      </c>
      <c r="B212" t="s">
        <v>118</v>
      </c>
      <c r="E212" t="s">
        <v>29</v>
      </c>
      <c r="F212">
        <v>211</v>
      </c>
    </row>
    <row r="213" spans="1:6" hidden="1" x14ac:dyDescent="0.25">
      <c r="A213" t="s">
        <v>148</v>
      </c>
      <c r="B213" t="s">
        <v>118</v>
      </c>
      <c r="E213" t="s">
        <v>29</v>
      </c>
      <c r="F213">
        <v>389</v>
      </c>
    </row>
    <row r="214" spans="1:6" hidden="1" x14ac:dyDescent="0.25">
      <c r="A214" t="s">
        <v>149</v>
      </c>
      <c r="B214" t="s">
        <v>118</v>
      </c>
      <c r="E214" t="s">
        <v>29</v>
      </c>
      <c r="F214">
        <v>389</v>
      </c>
    </row>
    <row r="215" spans="1:6" hidden="1" x14ac:dyDescent="0.25">
      <c r="A215" t="s">
        <v>136</v>
      </c>
      <c r="B215" t="s">
        <v>118</v>
      </c>
      <c r="E215" t="s">
        <v>38</v>
      </c>
      <c r="F215">
        <v>6</v>
      </c>
    </row>
    <row r="216" spans="1:6" hidden="1" x14ac:dyDescent="0.25">
      <c r="A216" t="s">
        <v>138</v>
      </c>
      <c r="B216" t="s">
        <v>118</v>
      </c>
      <c r="E216" t="s">
        <v>38</v>
      </c>
      <c r="F216">
        <v>6</v>
      </c>
    </row>
    <row r="217" spans="1:6" hidden="1" x14ac:dyDescent="0.25">
      <c r="A217" t="s">
        <v>130</v>
      </c>
      <c r="B217" t="s">
        <v>118</v>
      </c>
      <c r="E217" t="s">
        <v>38</v>
      </c>
      <c r="F217">
        <v>6</v>
      </c>
    </row>
    <row r="218" spans="1:6" hidden="1" x14ac:dyDescent="0.25">
      <c r="A218" t="s">
        <v>132</v>
      </c>
      <c r="B218" t="s">
        <v>118</v>
      </c>
      <c r="E218" t="s">
        <v>38</v>
      </c>
      <c r="F218">
        <v>6</v>
      </c>
    </row>
    <row r="219" spans="1:6" hidden="1" x14ac:dyDescent="0.25">
      <c r="A219" t="s">
        <v>134</v>
      </c>
      <c r="B219" t="s">
        <v>118</v>
      </c>
      <c r="E219" t="s">
        <v>38</v>
      </c>
      <c r="F219">
        <v>6</v>
      </c>
    </row>
    <row r="220" spans="1:6" hidden="1" x14ac:dyDescent="0.25">
      <c r="A220" t="s">
        <v>137</v>
      </c>
      <c r="B220" t="s">
        <v>118</v>
      </c>
      <c r="E220" t="s">
        <v>38</v>
      </c>
      <c r="F220">
        <v>6</v>
      </c>
    </row>
    <row r="221" spans="1:6" hidden="1" x14ac:dyDescent="0.25">
      <c r="A221" t="s">
        <v>139</v>
      </c>
      <c r="B221" t="s">
        <v>118</v>
      </c>
      <c r="E221" t="s">
        <v>38</v>
      </c>
      <c r="F221">
        <v>6</v>
      </c>
    </row>
    <row r="222" spans="1:6" hidden="1" x14ac:dyDescent="0.25">
      <c r="A222" t="s">
        <v>131</v>
      </c>
      <c r="B222" t="s">
        <v>118</v>
      </c>
      <c r="E222" t="s">
        <v>38</v>
      </c>
      <c r="F222">
        <v>6</v>
      </c>
    </row>
    <row r="223" spans="1:6" hidden="1" x14ac:dyDescent="0.25">
      <c r="A223" t="s">
        <v>133</v>
      </c>
      <c r="B223" t="s">
        <v>118</v>
      </c>
      <c r="E223" t="s">
        <v>38</v>
      </c>
      <c r="F223">
        <v>6</v>
      </c>
    </row>
    <row r="224" spans="1:6" hidden="1" x14ac:dyDescent="0.25">
      <c r="A224" t="s">
        <v>135</v>
      </c>
      <c r="B224" t="s">
        <v>118</v>
      </c>
      <c r="E224" t="s">
        <v>38</v>
      </c>
      <c r="F224">
        <v>6</v>
      </c>
    </row>
    <row r="225" spans="1:6" hidden="1" x14ac:dyDescent="0.25">
      <c r="A225" t="s">
        <v>148</v>
      </c>
      <c r="B225" t="s">
        <v>118</v>
      </c>
      <c r="E225" t="s">
        <v>38</v>
      </c>
      <c r="F225">
        <v>12</v>
      </c>
    </row>
    <row r="226" spans="1:6" hidden="1" x14ac:dyDescent="0.25">
      <c r="A226" t="s">
        <v>149</v>
      </c>
      <c r="B226" t="s">
        <v>118</v>
      </c>
      <c r="E226" t="s">
        <v>38</v>
      </c>
      <c r="F226">
        <v>12</v>
      </c>
    </row>
    <row r="227" spans="1:6" hidden="1" x14ac:dyDescent="0.25">
      <c r="A227" t="s">
        <v>119</v>
      </c>
      <c r="B227" t="s">
        <v>118</v>
      </c>
      <c r="E227" t="s">
        <v>57</v>
      </c>
      <c r="F227" t="s">
        <v>123</v>
      </c>
    </row>
    <row r="228" spans="1:6" hidden="1" x14ac:dyDescent="0.25">
      <c r="A228" t="s">
        <v>120</v>
      </c>
      <c r="B228" t="s">
        <v>118</v>
      </c>
      <c r="E228" t="s">
        <v>57</v>
      </c>
      <c r="F228" t="s">
        <v>124</v>
      </c>
    </row>
    <row r="229" spans="1:6" hidden="1" x14ac:dyDescent="0.25">
      <c r="A229" t="s">
        <v>136</v>
      </c>
      <c r="B229" t="s">
        <v>118</v>
      </c>
      <c r="E229" t="s">
        <v>57</v>
      </c>
      <c r="F229" t="s">
        <v>125</v>
      </c>
    </row>
    <row r="230" spans="1:6" hidden="1" x14ac:dyDescent="0.25">
      <c r="A230" t="s">
        <v>138</v>
      </c>
      <c r="B230" t="s">
        <v>118</v>
      </c>
      <c r="E230" t="s">
        <v>57</v>
      </c>
      <c r="F230" t="s">
        <v>125</v>
      </c>
    </row>
    <row r="231" spans="1:6" hidden="1" x14ac:dyDescent="0.25">
      <c r="A231" t="s">
        <v>130</v>
      </c>
      <c r="B231" t="s">
        <v>118</v>
      </c>
      <c r="E231" t="s">
        <v>57</v>
      </c>
      <c r="F231" t="s">
        <v>125</v>
      </c>
    </row>
    <row r="232" spans="1:6" hidden="1" x14ac:dyDescent="0.25">
      <c r="A232" t="s">
        <v>132</v>
      </c>
      <c r="B232" t="s">
        <v>118</v>
      </c>
      <c r="E232" t="s">
        <v>57</v>
      </c>
      <c r="F232" t="s">
        <v>125</v>
      </c>
    </row>
    <row r="233" spans="1:6" hidden="1" x14ac:dyDescent="0.25">
      <c r="A233" t="s">
        <v>134</v>
      </c>
      <c r="B233" t="s">
        <v>118</v>
      </c>
      <c r="E233" t="s">
        <v>57</v>
      </c>
      <c r="F233" t="s">
        <v>125</v>
      </c>
    </row>
    <row r="234" spans="1:6" hidden="1" x14ac:dyDescent="0.25">
      <c r="A234" t="s">
        <v>137</v>
      </c>
      <c r="B234" t="s">
        <v>118</v>
      </c>
      <c r="E234" t="s">
        <v>57</v>
      </c>
      <c r="F234" t="s">
        <v>126</v>
      </c>
    </row>
    <row r="235" spans="1:6" hidden="1" x14ac:dyDescent="0.25">
      <c r="A235" t="s">
        <v>139</v>
      </c>
      <c r="B235" t="s">
        <v>118</v>
      </c>
      <c r="E235" t="s">
        <v>57</v>
      </c>
      <c r="F235" t="s">
        <v>126</v>
      </c>
    </row>
    <row r="236" spans="1:6" hidden="1" x14ac:dyDescent="0.25">
      <c r="A236" t="s">
        <v>131</v>
      </c>
      <c r="B236" t="s">
        <v>118</v>
      </c>
      <c r="E236" t="s">
        <v>57</v>
      </c>
      <c r="F236" t="s">
        <v>126</v>
      </c>
    </row>
    <row r="237" spans="1:6" hidden="1" x14ac:dyDescent="0.25">
      <c r="A237" t="s">
        <v>133</v>
      </c>
      <c r="B237" t="s">
        <v>118</v>
      </c>
      <c r="E237" t="s">
        <v>57</v>
      </c>
      <c r="F237" t="s">
        <v>126</v>
      </c>
    </row>
    <row r="238" spans="1:6" hidden="1" x14ac:dyDescent="0.25">
      <c r="A238" t="s">
        <v>135</v>
      </c>
      <c r="B238" t="s">
        <v>118</v>
      </c>
      <c r="E238" t="s">
        <v>57</v>
      </c>
      <c r="F238" t="s">
        <v>126</v>
      </c>
    </row>
    <row r="239" spans="1:6" hidden="1" x14ac:dyDescent="0.25">
      <c r="A239" t="s">
        <v>148</v>
      </c>
      <c r="B239" t="s">
        <v>118</v>
      </c>
      <c r="E239" t="s">
        <v>57</v>
      </c>
      <c r="F239" t="s">
        <v>126</v>
      </c>
    </row>
    <row r="240" spans="1:6" hidden="1" x14ac:dyDescent="0.25">
      <c r="A240" t="s">
        <v>149</v>
      </c>
      <c r="B240" t="s">
        <v>118</v>
      </c>
      <c r="E240" t="s">
        <v>57</v>
      </c>
      <c r="F240" t="s">
        <v>126</v>
      </c>
    </row>
    <row r="241" spans="1:6" hidden="1" x14ac:dyDescent="0.25">
      <c r="A241" t="s">
        <v>146</v>
      </c>
      <c r="B241" t="s">
        <v>118</v>
      </c>
      <c r="E241" t="s">
        <v>57</v>
      </c>
      <c r="F241" t="s">
        <v>140</v>
      </c>
    </row>
    <row r="242" spans="1:6" hidden="1" x14ac:dyDescent="0.25">
      <c r="A242" t="s">
        <v>142</v>
      </c>
      <c r="B242" t="s">
        <v>118</v>
      </c>
      <c r="E242" t="s">
        <v>57</v>
      </c>
      <c r="F242" t="s">
        <v>140</v>
      </c>
    </row>
    <row r="243" spans="1:6" hidden="1" x14ac:dyDescent="0.25">
      <c r="A243" t="s">
        <v>143</v>
      </c>
      <c r="B243" t="s">
        <v>118</v>
      </c>
      <c r="E243" t="s">
        <v>57</v>
      </c>
      <c r="F243" t="s">
        <v>140</v>
      </c>
    </row>
    <row r="244" spans="1:6" hidden="1" x14ac:dyDescent="0.25">
      <c r="A244" t="s">
        <v>147</v>
      </c>
      <c r="B244" t="s">
        <v>118</v>
      </c>
      <c r="E244" t="s">
        <v>57</v>
      </c>
      <c r="F244" t="s">
        <v>141</v>
      </c>
    </row>
    <row r="245" spans="1:6" hidden="1" x14ac:dyDescent="0.25">
      <c r="A245" t="s">
        <v>144</v>
      </c>
      <c r="B245" t="s">
        <v>118</v>
      </c>
      <c r="E245" t="s">
        <v>57</v>
      </c>
      <c r="F245" t="s">
        <v>141</v>
      </c>
    </row>
    <row r="246" spans="1:6" hidden="1" x14ac:dyDescent="0.25">
      <c r="A246" t="s">
        <v>145</v>
      </c>
      <c r="B246" t="s">
        <v>118</v>
      </c>
      <c r="E246" t="s">
        <v>57</v>
      </c>
      <c r="F246" t="s">
        <v>141</v>
      </c>
    </row>
    <row r="247" spans="1:6" hidden="1" x14ac:dyDescent="0.25">
      <c r="A247" t="s">
        <v>122</v>
      </c>
      <c r="B247" t="s">
        <v>118</v>
      </c>
      <c r="E247" t="s">
        <v>57</v>
      </c>
      <c r="F247" t="s">
        <v>127</v>
      </c>
    </row>
    <row r="248" spans="1:6" hidden="1" x14ac:dyDescent="0.25">
      <c r="A248" t="s">
        <v>121</v>
      </c>
      <c r="B248" t="s">
        <v>118</v>
      </c>
      <c r="E248" t="s">
        <v>57</v>
      </c>
      <c r="F248" t="s">
        <v>128</v>
      </c>
    </row>
    <row r="249" spans="1:6" hidden="1" x14ac:dyDescent="0.25">
      <c r="A249" t="s">
        <v>136</v>
      </c>
      <c r="B249" t="s">
        <v>118</v>
      </c>
      <c r="D249">
        <v>2015</v>
      </c>
      <c r="E249" t="s">
        <v>59</v>
      </c>
      <c r="F249">
        <v>0</v>
      </c>
    </row>
    <row r="250" spans="1:6" hidden="1" x14ac:dyDescent="0.25">
      <c r="A250" t="s">
        <v>138</v>
      </c>
      <c r="B250" t="s">
        <v>118</v>
      </c>
      <c r="D250">
        <v>2015</v>
      </c>
      <c r="E250" t="s">
        <v>59</v>
      </c>
      <c r="F250">
        <v>0</v>
      </c>
    </row>
    <row r="251" spans="1:6" hidden="1" x14ac:dyDescent="0.25">
      <c r="A251" t="s">
        <v>130</v>
      </c>
      <c r="B251" t="s">
        <v>118</v>
      </c>
      <c r="D251">
        <v>2015</v>
      </c>
      <c r="E251" t="s">
        <v>59</v>
      </c>
      <c r="F251">
        <v>0</v>
      </c>
    </row>
    <row r="252" spans="1:6" hidden="1" x14ac:dyDescent="0.25">
      <c r="A252" t="s">
        <v>132</v>
      </c>
      <c r="B252" t="s">
        <v>118</v>
      </c>
      <c r="D252">
        <v>2015</v>
      </c>
      <c r="E252" t="s">
        <v>59</v>
      </c>
      <c r="F252">
        <v>0</v>
      </c>
    </row>
    <row r="253" spans="1:6" hidden="1" x14ac:dyDescent="0.25">
      <c r="A253" t="s">
        <v>134</v>
      </c>
      <c r="B253" t="s">
        <v>118</v>
      </c>
      <c r="D253">
        <v>2015</v>
      </c>
      <c r="E253" t="s">
        <v>59</v>
      </c>
      <c r="F253">
        <v>0</v>
      </c>
    </row>
    <row r="254" spans="1:6" hidden="1" x14ac:dyDescent="0.25">
      <c r="A254" t="s">
        <v>137</v>
      </c>
      <c r="B254" t="s">
        <v>118</v>
      </c>
      <c r="D254">
        <v>2015</v>
      </c>
      <c r="E254" t="s">
        <v>59</v>
      </c>
      <c r="F254">
        <v>0</v>
      </c>
    </row>
    <row r="255" spans="1:6" hidden="1" x14ac:dyDescent="0.25">
      <c r="A255" t="s">
        <v>139</v>
      </c>
      <c r="B255" t="s">
        <v>118</v>
      </c>
      <c r="D255">
        <v>2015</v>
      </c>
      <c r="E255" t="s">
        <v>59</v>
      </c>
      <c r="F255">
        <v>0</v>
      </c>
    </row>
    <row r="256" spans="1:6" hidden="1" x14ac:dyDescent="0.25">
      <c r="A256" t="s">
        <v>131</v>
      </c>
      <c r="B256" t="s">
        <v>118</v>
      </c>
      <c r="D256">
        <v>2015</v>
      </c>
      <c r="E256" t="s">
        <v>59</v>
      </c>
      <c r="F256">
        <v>0</v>
      </c>
    </row>
    <row r="257" spans="1:6" hidden="1" x14ac:dyDescent="0.25">
      <c r="A257" t="s">
        <v>133</v>
      </c>
      <c r="B257" t="s">
        <v>118</v>
      </c>
      <c r="D257">
        <v>2015</v>
      </c>
      <c r="E257" t="s">
        <v>59</v>
      </c>
      <c r="F257">
        <v>0</v>
      </c>
    </row>
    <row r="258" spans="1:6" hidden="1" x14ac:dyDescent="0.25">
      <c r="A258" t="s">
        <v>135</v>
      </c>
      <c r="B258" t="s">
        <v>118</v>
      </c>
      <c r="D258">
        <v>2015</v>
      </c>
      <c r="E258" t="s">
        <v>59</v>
      </c>
      <c r="F258">
        <v>0</v>
      </c>
    </row>
    <row r="259" spans="1:6" hidden="1" x14ac:dyDescent="0.25">
      <c r="A259" t="s">
        <v>148</v>
      </c>
      <c r="B259" t="s">
        <v>118</v>
      </c>
      <c r="D259">
        <v>2015</v>
      </c>
      <c r="E259" t="s">
        <v>59</v>
      </c>
      <c r="F259">
        <v>0</v>
      </c>
    </row>
    <row r="260" spans="1:6" hidden="1" x14ac:dyDescent="0.25">
      <c r="A260" t="s">
        <v>149</v>
      </c>
      <c r="B260" t="s">
        <v>118</v>
      </c>
      <c r="D260">
        <v>2015</v>
      </c>
      <c r="E260" t="s">
        <v>59</v>
      </c>
      <c r="F260">
        <v>0</v>
      </c>
    </row>
    <row r="261" spans="1:6" hidden="1" x14ac:dyDescent="0.25">
      <c r="A261" t="s">
        <v>136</v>
      </c>
      <c r="B261" t="s">
        <v>118</v>
      </c>
      <c r="E261" t="s">
        <v>59</v>
      </c>
      <c r="F261" s="10">
        <v>1000000</v>
      </c>
    </row>
    <row r="262" spans="1:6" hidden="1" x14ac:dyDescent="0.25">
      <c r="A262" t="s">
        <v>138</v>
      </c>
      <c r="B262" t="s">
        <v>118</v>
      </c>
      <c r="E262" t="s">
        <v>59</v>
      </c>
      <c r="F262" s="10">
        <v>1000000</v>
      </c>
    </row>
    <row r="263" spans="1:6" hidden="1" x14ac:dyDescent="0.25">
      <c r="A263" t="s">
        <v>130</v>
      </c>
      <c r="B263" t="s">
        <v>118</v>
      </c>
      <c r="E263" t="s">
        <v>59</v>
      </c>
      <c r="F263" s="10">
        <v>1000000</v>
      </c>
    </row>
    <row r="264" spans="1:6" hidden="1" x14ac:dyDescent="0.25">
      <c r="A264" t="s">
        <v>132</v>
      </c>
      <c r="B264" t="s">
        <v>118</v>
      </c>
      <c r="E264" t="s">
        <v>59</v>
      </c>
      <c r="F264" s="10">
        <v>1000000</v>
      </c>
    </row>
    <row r="265" spans="1:6" hidden="1" x14ac:dyDescent="0.25">
      <c r="A265" t="s">
        <v>134</v>
      </c>
      <c r="B265" t="s">
        <v>118</v>
      </c>
      <c r="E265" t="s">
        <v>59</v>
      </c>
      <c r="F265" s="10">
        <v>1000000</v>
      </c>
    </row>
    <row r="266" spans="1:6" hidden="1" x14ac:dyDescent="0.25">
      <c r="A266" t="s">
        <v>137</v>
      </c>
      <c r="B266" t="s">
        <v>118</v>
      </c>
      <c r="E266" t="s">
        <v>59</v>
      </c>
      <c r="F266" s="10">
        <v>1000000</v>
      </c>
    </row>
    <row r="267" spans="1:6" hidden="1" x14ac:dyDescent="0.25">
      <c r="A267" t="s">
        <v>139</v>
      </c>
      <c r="B267" t="s">
        <v>118</v>
      </c>
      <c r="E267" t="s">
        <v>59</v>
      </c>
      <c r="F267" s="10">
        <v>1000000</v>
      </c>
    </row>
    <row r="268" spans="1:6" hidden="1" x14ac:dyDescent="0.25">
      <c r="A268" t="s">
        <v>131</v>
      </c>
      <c r="B268" t="s">
        <v>118</v>
      </c>
      <c r="E268" t="s">
        <v>59</v>
      </c>
      <c r="F268" s="10">
        <v>1000000</v>
      </c>
    </row>
    <row r="269" spans="1:6" hidden="1" x14ac:dyDescent="0.25">
      <c r="A269" t="s">
        <v>133</v>
      </c>
      <c r="B269" t="s">
        <v>118</v>
      </c>
      <c r="E269" t="s">
        <v>59</v>
      </c>
      <c r="F269" s="10">
        <v>1000000</v>
      </c>
    </row>
    <row r="270" spans="1:6" hidden="1" x14ac:dyDescent="0.25">
      <c r="A270" t="s">
        <v>135</v>
      </c>
      <c r="B270" t="s">
        <v>118</v>
      </c>
      <c r="E270" t="s">
        <v>59</v>
      </c>
      <c r="F270" s="10">
        <v>1000000</v>
      </c>
    </row>
    <row r="271" spans="1:6" hidden="1" x14ac:dyDescent="0.25">
      <c r="A271" t="s">
        <v>148</v>
      </c>
      <c r="B271" t="s">
        <v>118</v>
      </c>
      <c r="E271" t="s">
        <v>59</v>
      </c>
      <c r="F271" s="10">
        <v>1000000</v>
      </c>
    </row>
    <row r="272" spans="1:6" hidden="1" x14ac:dyDescent="0.25">
      <c r="A272" t="s">
        <v>149</v>
      </c>
      <c r="B272" t="s">
        <v>118</v>
      </c>
      <c r="E272" t="s">
        <v>59</v>
      </c>
      <c r="F272" s="10">
        <v>1000000</v>
      </c>
    </row>
    <row r="273" spans="1:6" hidden="1" x14ac:dyDescent="0.25">
      <c r="A273" t="s">
        <v>137</v>
      </c>
      <c r="B273" t="s">
        <v>118</v>
      </c>
      <c r="D273">
        <v>2015</v>
      </c>
      <c r="E273" t="s">
        <v>112</v>
      </c>
      <c r="F273">
        <v>7</v>
      </c>
    </row>
    <row r="274" spans="1:6" hidden="1" x14ac:dyDescent="0.25">
      <c r="A274" t="s">
        <v>139</v>
      </c>
      <c r="B274" t="s">
        <v>118</v>
      </c>
      <c r="D274">
        <v>2015</v>
      </c>
      <c r="E274" t="s">
        <v>112</v>
      </c>
      <c r="F274">
        <v>7</v>
      </c>
    </row>
    <row r="275" spans="1:6" hidden="1" x14ac:dyDescent="0.25">
      <c r="A275" t="s">
        <v>131</v>
      </c>
      <c r="B275" t="s">
        <v>118</v>
      </c>
      <c r="D275">
        <v>2015</v>
      </c>
      <c r="E275" t="s">
        <v>112</v>
      </c>
      <c r="F275">
        <v>7</v>
      </c>
    </row>
    <row r="276" spans="1:6" hidden="1" x14ac:dyDescent="0.25">
      <c r="A276" t="s">
        <v>136</v>
      </c>
      <c r="B276" t="s">
        <v>118</v>
      </c>
      <c r="D276">
        <v>2015</v>
      </c>
      <c r="E276" t="s">
        <v>112</v>
      </c>
      <c r="F276">
        <v>7</v>
      </c>
    </row>
    <row r="277" spans="1:6" hidden="1" x14ac:dyDescent="0.25">
      <c r="A277" t="s">
        <v>138</v>
      </c>
      <c r="B277" t="s">
        <v>118</v>
      </c>
      <c r="D277">
        <v>2015</v>
      </c>
      <c r="E277" t="s">
        <v>112</v>
      </c>
      <c r="F277">
        <v>7</v>
      </c>
    </row>
    <row r="278" spans="1:6" hidden="1" x14ac:dyDescent="0.25">
      <c r="A278" t="s">
        <v>130</v>
      </c>
      <c r="B278" t="s">
        <v>118</v>
      </c>
      <c r="D278">
        <v>2015</v>
      </c>
      <c r="E278" t="s">
        <v>112</v>
      </c>
      <c r="F278">
        <v>7</v>
      </c>
    </row>
    <row r="279" spans="1:6" hidden="1" x14ac:dyDescent="0.25">
      <c r="A279" t="s">
        <v>150</v>
      </c>
      <c r="B279" t="s">
        <v>118</v>
      </c>
      <c r="E279" t="s">
        <v>31</v>
      </c>
      <c r="F279">
        <v>10</v>
      </c>
    </row>
    <row r="280" spans="1:6" hidden="1" x14ac:dyDescent="0.25">
      <c r="A280" t="s">
        <v>151</v>
      </c>
      <c r="B280" t="s">
        <v>118</v>
      </c>
      <c r="E280" t="s">
        <v>31</v>
      </c>
      <c r="F280">
        <v>6</v>
      </c>
    </row>
    <row r="281" spans="1:6" hidden="1" x14ac:dyDescent="0.25">
      <c r="A281" t="s">
        <v>150</v>
      </c>
      <c r="B281" t="s">
        <v>118</v>
      </c>
      <c r="E281" t="s">
        <v>29</v>
      </c>
      <c r="F281">
        <v>389</v>
      </c>
    </row>
    <row r="282" spans="1:6" hidden="1" x14ac:dyDescent="0.25">
      <c r="A282" t="s">
        <v>151</v>
      </c>
      <c r="B282" t="s">
        <v>118</v>
      </c>
      <c r="E282" t="s">
        <v>29</v>
      </c>
      <c r="F282">
        <v>389</v>
      </c>
    </row>
    <row r="283" spans="1:6" hidden="1" x14ac:dyDescent="0.25">
      <c r="A283" t="s">
        <v>150</v>
      </c>
      <c r="B283" t="s">
        <v>118</v>
      </c>
      <c r="E283" t="s">
        <v>38</v>
      </c>
      <c r="F283">
        <v>12</v>
      </c>
    </row>
    <row r="284" spans="1:6" hidden="1" x14ac:dyDescent="0.25">
      <c r="A284" t="s">
        <v>151</v>
      </c>
      <c r="B284" t="s">
        <v>118</v>
      </c>
      <c r="E284" t="s">
        <v>38</v>
      </c>
      <c r="F284">
        <v>12</v>
      </c>
    </row>
    <row r="285" spans="1:6" hidden="1" x14ac:dyDescent="0.25">
      <c r="A285" t="s">
        <v>150</v>
      </c>
      <c r="B285" t="s">
        <v>118</v>
      </c>
      <c r="E285" t="s">
        <v>57</v>
      </c>
      <c r="F285" t="s">
        <v>125</v>
      </c>
    </row>
    <row r="286" spans="1:6" hidden="1" x14ac:dyDescent="0.25">
      <c r="A286" t="s">
        <v>151</v>
      </c>
      <c r="B286" t="s">
        <v>118</v>
      </c>
      <c r="E286" t="s">
        <v>57</v>
      </c>
      <c r="F286" t="s">
        <v>125</v>
      </c>
    </row>
    <row r="287" spans="1:6" hidden="1" x14ac:dyDescent="0.25">
      <c r="A287" t="s">
        <v>150</v>
      </c>
      <c r="B287" t="s">
        <v>118</v>
      </c>
      <c r="D287">
        <v>2015</v>
      </c>
      <c r="E287" t="s">
        <v>59</v>
      </c>
      <c r="F287">
        <v>0</v>
      </c>
    </row>
    <row r="288" spans="1:6" hidden="1" x14ac:dyDescent="0.25">
      <c r="A288" t="s">
        <v>151</v>
      </c>
      <c r="B288" t="s">
        <v>118</v>
      </c>
      <c r="D288">
        <v>2015</v>
      </c>
      <c r="E288" t="s">
        <v>59</v>
      </c>
      <c r="F288">
        <v>0</v>
      </c>
    </row>
    <row r="289" spans="1:10" hidden="1" x14ac:dyDescent="0.25">
      <c r="A289" t="s">
        <v>150</v>
      </c>
      <c r="B289" t="s">
        <v>118</v>
      </c>
      <c r="E289" t="s">
        <v>59</v>
      </c>
      <c r="F289" s="10">
        <v>1000000</v>
      </c>
    </row>
    <row r="290" spans="1:10" hidden="1" x14ac:dyDescent="0.25">
      <c r="A290" t="s">
        <v>151</v>
      </c>
      <c r="B290" t="s">
        <v>118</v>
      </c>
      <c r="E290" t="s">
        <v>59</v>
      </c>
      <c r="F290" s="10">
        <v>1000000</v>
      </c>
    </row>
    <row r="291" spans="1:10" hidden="1" x14ac:dyDescent="0.25">
      <c r="A291" t="s">
        <v>33</v>
      </c>
      <c r="E291" t="s">
        <v>31</v>
      </c>
      <c r="F291">
        <v>30</v>
      </c>
    </row>
    <row r="292" spans="1:10" hidden="1" x14ac:dyDescent="0.25">
      <c r="A292" t="s">
        <v>33</v>
      </c>
      <c r="E292" t="s">
        <v>38</v>
      </c>
      <c r="F292">
        <f>0.03*F293</f>
        <v>95.009999999999991</v>
      </c>
    </row>
    <row r="293" spans="1:10" hidden="1" x14ac:dyDescent="0.25">
      <c r="A293" t="s">
        <v>33</v>
      </c>
      <c r="E293" t="s">
        <v>29</v>
      </c>
      <c r="F293">
        <v>3167</v>
      </c>
    </row>
    <row r="294" spans="1:10" hidden="1" x14ac:dyDescent="0.25">
      <c r="A294" t="s">
        <v>155</v>
      </c>
      <c r="B294" t="s">
        <v>153</v>
      </c>
      <c r="E294" t="s">
        <v>29</v>
      </c>
      <c r="F294">
        <f>170000000/(24.5*8760)</f>
        <v>792.09766098220109</v>
      </c>
    </row>
    <row r="295" spans="1:10" hidden="1" x14ac:dyDescent="0.25">
      <c r="A295" t="s">
        <v>155</v>
      </c>
      <c r="B295" t="s">
        <v>153</v>
      </c>
      <c r="E295" t="s">
        <v>38</v>
      </c>
      <c r="F295">
        <f>0.083/35.3*43*1000</f>
        <v>101.10481586402267</v>
      </c>
    </row>
    <row r="296" spans="1:10" hidden="1" x14ac:dyDescent="0.25">
      <c r="A296" t="s">
        <v>155</v>
      </c>
      <c r="B296" t="s">
        <v>153</v>
      </c>
      <c r="E296" t="s">
        <v>31</v>
      </c>
      <c r="F296">
        <v>20</v>
      </c>
    </row>
    <row r="297" spans="1:10" hidden="1" x14ac:dyDescent="0.25">
      <c r="A297" t="s">
        <v>155</v>
      </c>
      <c r="B297" t="s">
        <v>153</v>
      </c>
      <c r="E297" t="s">
        <v>59</v>
      </c>
      <c r="F297" s="36">
        <v>0</v>
      </c>
    </row>
    <row r="298" spans="1:10" hidden="1" x14ac:dyDescent="0.25">
      <c r="A298" t="s">
        <v>93</v>
      </c>
      <c r="B298" t="s">
        <v>153</v>
      </c>
      <c r="E298" t="s">
        <v>59</v>
      </c>
      <c r="F298" s="10">
        <v>0</v>
      </c>
    </row>
    <row r="299" spans="1:10" hidden="1" x14ac:dyDescent="0.25">
      <c r="A299" t="s">
        <v>172</v>
      </c>
      <c r="B299" t="s">
        <v>153</v>
      </c>
      <c r="E299" t="s">
        <v>59</v>
      </c>
      <c r="F299" s="10">
        <v>1000000</v>
      </c>
    </row>
    <row r="300" spans="1:10" hidden="1" x14ac:dyDescent="0.25">
      <c r="A300" t="s">
        <v>173</v>
      </c>
      <c r="B300" t="s">
        <v>153</v>
      </c>
      <c r="E300" t="s">
        <v>59</v>
      </c>
      <c r="F300" s="10">
        <v>1000000</v>
      </c>
    </row>
    <row r="301" spans="1:10" hidden="1" x14ac:dyDescent="0.25">
      <c r="A301" t="s">
        <v>94</v>
      </c>
      <c r="B301" t="s">
        <v>153</v>
      </c>
      <c r="E301" t="s">
        <v>59</v>
      </c>
      <c r="F301" s="10">
        <v>1000000</v>
      </c>
    </row>
    <row r="302" spans="1:10" hidden="1" x14ac:dyDescent="0.25">
      <c r="A302" t="s">
        <v>95</v>
      </c>
      <c r="B302" t="s">
        <v>153</v>
      </c>
      <c r="E302" t="s">
        <v>59</v>
      </c>
      <c r="F302" s="10">
        <v>1000000</v>
      </c>
      <c r="J302" s="37"/>
    </row>
    <row r="303" spans="1:10" hidden="1" x14ac:dyDescent="0.25">
      <c r="A303" t="s">
        <v>96</v>
      </c>
      <c r="B303" t="s">
        <v>153</v>
      </c>
      <c r="E303" t="s">
        <v>59</v>
      </c>
      <c r="F303" s="10">
        <v>1000000</v>
      </c>
    </row>
    <row r="304" spans="1:10" hidden="1" x14ac:dyDescent="0.25">
      <c r="A304" t="s">
        <v>97</v>
      </c>
      <c r="B304" t="s">
        <v>153</v>
      </c>
      <c r="E304" t="s">
        <v>59</v>
      </c>
      <c r="F304" s="10">
        <v>1000000</v>
      </c>
    </row>
    <row r="305" spans="1:6" hidden="1" x14ac:dyDescent="0.25">
      <c r="A305" t="s">
        <v>98</v>
      </c>
      <c r="B305" t="s">
        <v>153</v>
      </c>
      <c r="E305" t="s">
        <v>59</v>
      </c>
      <c r="F305" s="10">
        <v>1000000</v>
      </c>
    </row>
    <row r="306" spans="1:6" hidden="1" x14ac:dyDescent="0.25">
      <c r="A306" t="s">
        <v>155</v>
      </c>
      <c r="B306" t="s">
        <v>153</v>
      </c>
      <c r="E306" t="s">
        <v>57</v>
      </c>
      <c r="F306" t="s">
        <v>154</v>
      </c>
    </row>
    <row r="307" spans="1:6" hidden="1" x14ac:dyDescent="0.25">
      <c r="A307" t="s">
        <v>167</v>
      </c>
      <c r="B307" t="s">
        <v>63</v>
      </c>
      <c r="E307" t="s">
        <v>29</v>
      </c>
    </row>
    <row r="308" spans="1:6" hidden="1" x14ac:dyDescent="0.25">
      <c r="A308" t="s">
        <v>167</v>
      </c>
      <c r="B308" t="s">
        <v>63</v>
      </c>
      <c r="E308" t="s">
        <v>38</v>
      </c>
      <c r="F308">
        <v>28.5</v>
      </c>
    </row>
    <row r="309" spans="1:6" hidden="1" x14ac:dyDescent="0.25">
      <c r="A309" t="s">
        <v>167</v>
      </c>
      <c r="B309" t="s">
        <v>63</v>
      </c>
      <c r="E309" t="s">
        <v>31</v>
      </c>
      <c r="F309">
        <v>50</v>
      </c>
    </row>
    <row r="310" spans="1:6" hidden="1" x14ac:dyDescent="0.25">
      <c r="A310" t="s">
        <v>167</v>
      </c>
      <c r="B310" t="s">
        <v>63</v>
      </c>
      <c r="E310" t="s">
        <v>57</v>
      </c>
      <c r="F310" t="s">
        <v>156</v>
      </c>
    </row>
    <row r="311" spans="1:6" hidden="1" x14ac:dyDescent="0.25">
      <c r="A311" t="s">
        <v>157</v>
      </c>
      <c r="B311" t="s">
        <v>63</v>
      </c>
      <c r="E311" t="s">
        <v>29</v>
      </c>
      <c r="F311" s="42">
        <f>F371</f>
        <v>219.04457309746107</v>
      </c>
    </row>
    <row r="312" spans="1:6" hidden="1" x14ac:dyDescent="0.25">
      <c r="A312" t="s">
        <v>163</v>
      </c>
      <c r="B312" t="s">
        <v>63</v>
      </c>
      <c r="E312" t="s">
        <v>29</v>
      </c>
      <c r="F312" s="42">
        <f>F311</f>
        <v>219.04457309746107</v>
      </c>
    </row>
    <row r="313" spans="1:6" hidden="1" x14ac:dyDescent="0.25">
      <c r="A313" t="s">
        <v>165</v>
      </c>
      <c r="B313" t="s">
        <v>63</v>
      </c>
      <c r="E313" t="s">
        <v>29</v>
      </c>
      <c r="F313" s="42">
        <f>F372</f>
        <v>330.51459835184482</v>
      </c>
    </row>
    <row r="314" spans="1:6" hidden="1" x14ac:dyDescent="0.25">
      <c r="A314" t="s">
        <v>166</v>
      </c>
      <c r="B314" t="s">
        <v>63</v>
      </c>
      <c r="E314" t="s">
        <v>29</v>
      </c>
      <c r="F314" s="42">
        <f>F313</f>
        <v>330.51459835184482</v>
      </c>
    </row>
    <row r="315" spans="1:6" hidden="1" x14ac:dyDescent="0.25">
      <c r="A315" t="s">
        <v>157</v>
      </c>
      <c r="B315" t="s">
        <v>63</v>
      </c>
      <c r="E315" t="s">
        <v>38</v>
      </c>
      <c r="F315">
        <f>F377</f>
        <v>10.952228654873053</v>
      </c>
    </row>
    <row r="316" spans="1:6" hidden="1" x14ac:dyDescent="0.25">
      <c r="A316" t="s">
        <v>163</v>
      </c>
      <c r="B316" t="s">
        <v>63</v>
      </c>
      <c r="E316" t="s">
        <v>38</v>
      </c>
      <c r="F316">
        <f>F315</f>
        <v>10.952228654873053</v>
      </c>
    </row>
    <row r="317" spans="1:6" hidden="1" x14ac:dyDescent="0.25">
      <c r="A317" t="s">
        <v>165</v>
      </c>
      <c r="B317" t="s">
        <v>63</v>
      </c>
      <c r="E317" t="s">
        <v>38</v>
      </c>
      <c r="F317">
        <f>F378</f>
        <v>16.525729917592241</v>
      </c>
    </row>
    <row r="318" spans="1:6" hidden="1" x14ac:dyDescent="0.25">
      <c r="A318" t="s">
        <v>166</v>
      </c>
      <c r="B318" t="s">
        <v>63</v>
      </c>
      <c r="E318" t="s">
        <v>38</v>
      </c>
      <c r="F318">
        <f>F317</f>
        <v>16.525729917592241</v>
      </c>
    </row>
    <row r="319" spans="1:6" hidden="1" x14ac:dyDescent="0.25">
      <c r="A319" t="s">
        <v>157</v>
      </c>
      <c r="B319" t="s">
        <v>63</v>
      </c>
      <c r="E319" t="s">
        <v>31</v>
      </c>
      <c r="F319">
        <v>25</v>
      </c>
    </row>
    <row r="320" spans="1:6" hidden="1" x14ac:dyDescent="0.25">
      <c r="A320" t="s">
        <v>163</v>
      </c>
      <c r="B320" t="s">
        <v>63</v>
      </c>
      <c r="E320" t="s">
        <v>31</v>
      </c>
      <c r="F320">
        <v>25</v>
      </c>
    </row>
    <row r="321" spans="1:6" hidden="1" x14ac:dyDescent="0.25">
      <c r="A321" t="s">
        <v>165</v>
      </c>
      <c r="B321" t="s">
        <v>63</v>
      </c>
      <c r="E321" t="s">
        <v>31</v>
      </c>
      <c r="F321">
        <v>25</v>
      </c>
    </row>
    <row r="322" spans="1:6" hidden="1" x14ac:dyDescent="0.25">
      <c r="A322" t="s">
        <v>166</v>
      </c>
      <c r="B322" t="s">
        <v>63</v>
      </c>
      <c r="E322" t="s">
        <v>31</v>
      </c>
      <c r="F322">
        <v>25</v>
      </c>
    </row>
    <row r="323" spans="1:6" hidden="1" x14ac:dyDescent="0.25">
      <c r="A323" t="s">
        <v>159</v>
      </c>
      <c r="B323" t="s">
        <v>63</v>
      </c>
      <c r="E323" t="s">
        <v>57</v>
      </c>
      <c r="F323" t="s">
        <v>161</v>
      </c>
    </row>
    <row r="324" spans="1:6" hidden="1" x14ac:dyDescent="0.25">
      <c r="A324" t="s">
        <v>163</v>
      </c>
      <c r="B324" t="s">
        <v>63</v>
      </c>
      <c r="E324" t="s">
        <v>57</v>
      </c>
      <c r="F324" t="s">
        <v>162</v>
      </c>
    </row>
    <row r="325" spans="1:6" hidden="1" x14ac:dyDescent="0.25">
      <c r="A325" t="s">
        <v>165</v>
      </c>
      <c r="B325" t="s">
        <v>63</v>
      </c>
      <c r="E325" t="s">
        <v>57</v>
      </c>
      <c r="F325" t="s">
        <v>161</v>
      </c>
    </row>
    <row r="326" spans="1:6" hidden="1" x14ac:dyDescent="0.25">
      <c r="A326" t="s">
        <v>166</v>
      </c>
      <c r="B326" t="s">
        <v>63</v>
      </c>
      <c r="E326" t="s">
        <v>57</v>
      </c>
      <c r="F326" t="s">
        <v>162</v>
      </c>
    </row>
    <row r="327" spans="1:6" hidden="1" x14ac:dyDescent="0.25">
      <c r="A327" t="s">
        <v>159</v>
      </c>
      <c r="B327" t="s">
        <v>63</v>
      </c>
      <c r="E327" t="s">
        <v>29</v>
      </c>
    </row>
    <row r="328" spans="1:6" hidden="1" x14ac:dyDescent="0.25">
      <c r="A328" t="s">
        <v>159</v>
      </c>
      <c r="B328" t="s">
        <v>63</v>
      </c>
      <c r="E328" t="s">
        <v>38</v>
      </c>
      <c r="F328">
        <v>28.5</v>
      </c>
    </row>
    <row r="329" spans="1:6" hidden="1" x14ac:dyDescent="0.25">
      <c r="A329" t="s">
        <v>159</v>
      </c>
      <c r="B329" t="s">
        <v>63</v>
      </c>
      <c r="E329" t="s">
        <v>31</v>
      </c>
      <c r="F329">
        <v>50</v>
      </c>
    </row>
    <row r="330" spans="1:6" hidden="1" x14ac:dyDescent="0.25">
      <c r="A330" t="s">
        <v>159</v>
      </c>
      <c r="B330" t="s">
        <v>63</v>
      </c>
      <c r="E330" t="s">
        <v>57</v>
      </c>
      <c r="F330" t="s">
        <v>160</v>
      </c>
    </row>
    <row r="331" spans="1:6" hidden="1" x14ac:dyDescent="0.25">
      <c r="A331" t="s">
        <v>164</v>
      </c>
      <c r="B331" t="s">
        <v>63</v>
      </c>
      <c r="E331" t="s">
        <v>29</v>
      </c>
    </row>
    <row r="332" spans="1:6" hidden="1" x14ac:dyDescent="0.25">
      <c r="A332" t="s">
        <v>164</v>
      </c>
      <c r="B332" t="s">
        <v>63</v>
      </c>
      <c r="E332" t="s">
        <v>38</v>
      </c>
      <c r="F332">
        <v>28.5</v>
      </c>
    </row>
    <row r="333" spans="1:6" hidden="1" x14ac:dyDescent="0.25">
      <c r="A333" t="s">
        <v>164</v>
      </c>
      <c r="B333" t="s">
        <v>63</v>
      </c>
      <c r="E333" t="s">
        <v>31</v>
      </c>
      <c r="F333">
        <v>50</v>
      </c>
    </row>
    <row r="334" spans="1:6" hidden="1" x14ac:dyDescent="0.25">
      <c r="A334" t="s">
        <v>164</v>
      </c>
      <c r="B334" t="s">
        <v>63</v>
      </c>
      <c r="E334" t="s">
        <v>57</v>
      </c>
      <c r="F334" t="s">
        <v>158</v>
      </c>
    </row>
    <row r="335" spans="1:6" x14ac:dyDescent="0.25">
      <c r="A335" t="s">
        <v>40</v>
      </c>
      <c r="E335" t="s">
        <v>38</v>
      </c>
      <c r="F335">
        <f>0.09*F14</f>
        <v>489.87</v>
      </c>
    </row>
    <row r="336" spans="1:6" hidden="1" x14ac:dyDescent="0.25">
      <c r="A336" t="s">
        <v>169</v>
      </c>
      <c r="D336">
        <v>2030</v>
      </c>
      <c r="E336" t="s">
        <v>29</v>
      </c>
      <c r="F336">
        <v>378</v>
      </c>
    </row>
    <row r="337" spans="1:6" hidden="1" x14ac:dyDescent="0.25">
      <c r="A337" t="s">
        <v>169</v>
      </c>
      <c r="D337">
        <v>2050</v>
      </c>
      <c r="E337" t="s">
        <v>29</v>
      </c>
      <c r="F337">
        <v>222</v>
      </c>
    </row>
    <row r="338" spans="1:6" hidden="1" x14ac:dyDescent="0.25">
      <c r="A338" t="s">
        <v>169</v>
      </c>
      <c r="E338" t="s">
        <v>31</v>
      </c>
      <c r="F338">
        <v>30</v>
      </c>
    </row>
    <row r="339" spans="1:6" hidden="1" x14ac:dyDescent="0.25">
      <c r="A339" t="s">
        <v>169</v>
      </c>
      <c r="E339" t="s">
        <v>57</v>
      </c>
      <c r="F339" t="s">
        <v>170</v>
      </c>
    </row>
    <row r="340" spans="1:6" hidden="1" x14ac:dyDescent="0.25">
      <c r="A340" t="s">
        <v>169</v>
      </c>
      <c r="B340" t="s">
        <v>56</v>
      </c>
      <c r="C340" t="s">
        <v>78</v>
      </c>
      <c r="E340" t="s">
        <v>59</v>
      </c>
      <c r="F340" s="10">
        <v>500000</v>
      </c>
    </row>
    <row r="341" spans="1:6" hidden="1" x14ac:dyDescent="0.25">
      <c r="A341" t="s">
        <v>169</v>
      </c>
      <c r="B341" t="s">
        <v>56</v>
      </c>
      <c r="E341" t="s">
        <v>59</v>
      </c>
      <c r="F341" s="10">
        <v>1000000</v>
      </c>
    </row>
    <row r="342" spans="1:6" hidden="1" x14ac:dyDescent="0.25">
      <c r="A342" t="s">
        <v>169</v>
      </c>
      <c r="E342" t="s">
        <v>38</v>
      </c>
      <c r="F342">
        <f>0.037*F336</f>
        <v>13.985999999999999</v>
      </c>
    </row>
    <row r="343" spans="1:6" hidden="1" x14ac:dyDescent="0.25">
      <c r="A343" t="s">
        <v>100</v>
      </c>
      <c r="B343" t="s">
        <v>101</v>
      </c>
      <c r="E343" t="s">
        <v>38</v>
      </c>
      <c r="F343">
        <v>53</v>
      </c>
    </row>
    <row r="344" spans="1:6" hidden="1" x14ac:dyDescent="0.25">
      <c r="A344" t="s">
        <v>102</v>
      </c>
      <c r="B344" t="s">
        <v>101</v>
      </c>
      <c r="E344" t="s">
        <v>38</v>
      </c>
      <c r="F344">
        <v>53</v>
      </c>
    </row>
    <row r="345" spans="1:6" hidden="1" x14ac:dyDescent="0.25">
      <c r="A345" t="s">
        <v>103</v>
      </c>
      <c r="B345" t="s">
        <v>101</v>
      </c>
      <c r="E345" t="s">
        <v>38</v>
      </c>
      <c r="F345">
        <v>53</v>
      </c>
    </row>
    <row r="346" spans="1:6" hidden="1" x14ac:dyDescent="0.25">
      <c r="A346" t="s">
        <v>104</v>
      </c>
      <c r="B346" t="s">
        <v>101</v>
      </c>
      <c r="E346" t="s">
        <v>38</v>
      </c>
      <c r="F346">
        <v>53</v>
      </c>
    </row>
    <row r="347" spans="1:6" hidden="1" x14ac:dyDescent="0.25">
      <c r="A347" t="s">
        <v>105</v>
      </c>
      <c r="B347" t="s">
        <v>101</v>
      </c>
      <c r="E347" t="s">
        <v>38</v>
      </c>
      <c r="F347">
        <v>53</v>
      </c>
    </row>
    <row r="348" spans="1:6" x14ac:dyDescent="0.25">
      <c r="A348" t="s">
        <v>174</v>
      </c>
      <c r="D348">
        <v>2015</v>
      </c>
      <c r="E348" t="s">
        <v>59</v>
      </c>
      <c r="F348" s="10">
        <v>0</v>
      </c>
    </row>
    <row r="349" spans="1:6" x14ac:dyDescent="0.25">
      <c r="A349" t="s">
        <v>175</v>
      </c>
      <c r="D349">
        <v>2015</v>
      </c>
      <c r="E349" t="s">
        <v>59</v>
      </c>
      <c r="F349" s="10">
        <v>0</v>
      </c>
    </row>
    <row r="350" spans="1:6" x14ac:dyDescent="0.25">
      <c r="A350" t="s">
        <v>174</v>
      </c>
      <c r="E350" t="s">
        <v>29</v>
      </c>
      <c r="F350">
        <v>2206</v>
      </c>
    </row>
    <row r="351" spans="1:6" x14ac:dyDescent="0.25">
      <c r="A351" t="s">
        <v>175</v>
      </c>
      <c r="E351" t="s">
        <v>29</v>
      </c>
      <c r="F351">
        <v>1078</v>
      </c>
    </row>
    <row r="352" spans="1:6" x14ac:dyDescent="0.25">
      <c r="A352" t="s">
        <v>174</v>
      </c>
      <c r="E352" t="s">
        <v>38</v>
      </c>
      <c r="F352">
        <v>538</v>
      </c>
    </row>
    <row r="353" spans="1:6" x14ac:dyDescent="0.25">
      <c r="A353" t="s">
        <v>175</v>
      </c>
      <c r="E353" t="s">
        <v>38</v>
      </c>
      <c r="F353">
        <v>305</v>
      </c>
    </row>
    <row r="354" spans="1:6" hidden="1" x14ac:dyDescent="0.25">
      <c r="A354" t="s">
        <v>172</v>
      </c>
      <c r="E354" t="s">
        <v>38</v>
      </c>
      <c r="F354">
        <v>87</v>
      </c>
    </row>
    <row r="355" spans="1:6" hidden="1" x14ac:dyDescent="0.25">
      <c r="A355" t="s">
        <v>173</v>
      </c>
      <c r="E355" t="s">
        <v>38</v>
      </c>
      <c r="F355">
        <v>87</v>
      </c>
    </row>
    <row r="356" spans="1:6" x14ac:dyDescent="0.25">
      <c r="A356" t="s">
        <v>174</v>
      </c>
      <c r="E356" t="s">
        <v>31</v>
      </c>
      <c r="F356">
        <v>20</v>
      </c>
    </row>
    <row r="357" spans="1:6" x14ac:dyDescent="0.25">
      <c r="A357" t="s">
        <v>175</v>
      </c>
      <c r="E357" t="s">
        <v>31</v>
      </c>
      <c r="F357">
        <v>20</v>
      </c>
    </row>
    <row r="358" spans="1:6" x14ac:dyDescent="0.25">
      <c r="A358" t="s">
        <v>174</v>
      </c>
      <c r="E358" t="s">
        <v>57</v>
      </c>
      <c r="F358" t="s">
        <v>25</v>
      </c>
    </row>
    <row r="359" spans="1:6" x14ac:dyDescent="0.25">
      <c r="A359" t="s">
        <v>175</v>
      </c>
      <c r="E359" t="s">
        <v>57</v>
      </c>
      <c r="F359" t="s">
        <v>25</v>
      </c>
    </row>
    <row r="360" spans="1:6" x14ac:dyDescent="0.25">
      <c r="A360" t="s">
        <v>174</v>
      </c>
      <c r="B360" t="s">
        <v>86</v>
      </c>
      <c r="E360" t="s">
        <v>59</v>
      </c>
      <c r="F360" s="10">
        <v>1000000</v>
      </c>
    </row>
    <row r="361" spans="1:6" x14ac:dyDescent="0.25">
      <c r="A361" t="s">
        <v>175</v>
      </c>
      <c r="B361" t="s">
        <v>86</v>
      </c>
      <c r="E361" t="s">
        <v>59</v>
      </c>
      <c r="F361" s="10">
        <v>1000000</v>
      </c>
    </row>
    <row r="362" spans="1:6" x14ac:dyDescent="0.25">
      <c r="A362" t="s">
        <v>174</v>
      </c>
      <c r="B362" t="s">
        <v>153</v>
      </c>
      <c r="E362" t="s">
        <v>59</v>
      </c>
      <c r="F362" s="10">
        <v>1000000</v>
      </c>
    </row>
    <row r="363" spans="1:6" x14ac:dyDescent="0.25">
      <c r="A363" t="s">
        <v>175</v>
      </c>
      <c r="B363" t="s">
        <v>153</v>
      </c>
      <c r="E363" t="s">
        <v>59</v>
      </c>
      <c r="F363" s="10">
        <v>1000000</v>
      </c>
    </row>
    <row r="364" spans="1:6" hidden="1" x14ac:dyDescent="0.25">
      <c r="A364" t="s">
        <v>178</v>
      </c>
      <c r="B364" t="s">
        <v>63</v>
      </c>
      <c r="E364" t="s">
        <v>31</v>
      </c>
      <c r="F364">
        <v>25</v>
      </c>
    </row>
    <row r="365" spans="1:6" hidden="1" x14ac:dyDescent="0.25">
      <c r="A365" t="s">
        <v>179</v>
      </c>
      <c r="B365" t="s">
        <v>63</v>
      </c>
      <c r="E365" t="s">
        <v>31</v>
      </c>
      <c r="F365">
        <v>25</v>
      </c>
    </row>
    <row r="366" spans="1:6" hidden="1" x14ac:dyDescent="0.25">
      <c r="A366" t="s">
        <v>180</v>
      </c>
      <c r="B366" t="s">
        <v>63</v>
      </c>
      <c r="E366" t="s">
        <v>31</v>
      </c>
      <c r="F366">
        <v>25</v>
      </c>
    </row>
    <row r="367" spans="1:6" hidden="1" x14ac:dyDescent="0.25">
      <c r="A367" t="s">
        <v>181</v>
      </c>
      <c r="B367" t="s">
        <v>63</v>
      </c>
      <c r="E367" t="s">
        <v>31</v>
      </c>
      <c r="F367">
        <v>25</v>
      </c>
    </row>
    <row r="368" spans="1:6" hidden="1" x14ac:dyDescent="0.25">
      <c r="A368" t="s">
        <v>182</v>
      </c>
      <c r="B368" t="s">
        <v>63</v>
      </c>
      <c r="E368" t="s">
        <v>31</v>
      </c>
      <c r="F368">
        <v>25</v>
      </c>
    </row>
    <row r="369" spans="1:6" hidden="1" x14ac:dyDescent="0.25">
      <c r="A369" t="s">
        <v>183</v>
      </c>
      <c r="B369" t="s">
        <v>63</v>
      </c>
      <c r="E369" t="s">
        <v>31</v>
      </c>
      <c r="F369">
        <v>25</v>
      </c>
    </row>
    <row r="370" spans="1:6" hidden="1" x14ac:dyDescent="0.25">
      <c r="A370" t="s">
        <v>178</v>
      </c>
      <c r="B370" t="s">
        <v>63</v>
      </c>
      <c r="E370" t="s">
        <v>29</v>
      </c>
      <c r="F370" s="42">
        <f>203000000/(2985.5*365)</f>
        <v>186.28852237871172</v>
      </c>
    </row>
    <row r="371" spans="1:6" hidden="1" x14ac:dyDescent="0.25">
      <c r="A371" t="s">
        <v>179</v>
      </c>
      <c r="B371" t="s">
        <v>63</v>
      </c>
      <c r="E371" t="s">
        <v>29</v>
      </c>
      <c r="F371" s="42">
        <f>F370+(31860000+1735000)/(117.079*8760)</f>
        <v>219.04457309746107</v>
      </c>
    </row>
    <row r="372" spans="1:6" hidden="1" x14ac:dyDescent="0.25">
      <c r="A372" t="s">
        <v>180</v>
      </c>
      <c r="B372" t="s">
        <v>63</v>
      </c>
      <c r="E372" t="s">
        <v>29</v>
      </c>
      <c r="F372" s="42">
        <f>F370+(198400000-50480000)/(117.079*8760)</f>
        <v>330.51459835184482</v>
      </c>
    </row>
    <row r="373" spans="1:6" hidden="1" x14ac:dyDescent="0.25">
      <c r="A373" t="s">
        <v>181</v>
      </c>
      <c r="B373" t="s">
        <v>63</v>
      </c>
      <c r="E373" t="s">
        <v>29</v>
      </c>
      <c r="F373" s="42">
        <f>F370+(31860000+1735000)/(117.079*8760)</f>
        <v>219.04457309746107</v>
      </c>
    </row>
    <row r="374" spans="1:6" hidden="1" x14ac:dyDescent="0.25">
      <c r="A374" t="s">
        <v>182</v>
      </c>
      <c r="B374" t="s">
        <v>63</v>
      </c>
      <c r="E374" t="s">
        <v>29</v>
      </c>
      <c r="F374" s="42">
        <f>F370+(161000000-50330000-9060000-9460000-6000000-6900000)/(117.079*8760)</f>
        <v>263.55945613257052</v>
      </c>
    </row>
    <row r="375" spans="1:6" hidden="1" x14ac:dyDescent="0.25">
      <c r="A375" t="s">
        <v>183</v>
      </c>
      <c r="B375" t="s">
        <v>63</v>
      </c>
      <c r="E375" t="s">
        <v>29</v>
      </c>
      <c r="F375" s="42">
        <f>F370+(161000000-50330000-9060000-9460000-6000000-6900000)/(117.079*8760)</f>
        <v>263.55945613257052</v>
      </c>
    </row>
    <row r="376" spans="1:6" hidden="1" x14ac:dyDescent="0.25">
      <c r="A376" t="s">
        <v>178</v>
      </c>
      <c r="B376" t="s">
        <v>63</v>
      </c>
      <c r="E376" t="s">
        <v>38</v>
      </c>
      <c r="F376">
        <f>0.05*F370</f>
        <v>9.3144261189355859</v>
      </c>
    </row>
    <row r="377" spans="1:6" hidden="1" x14ac:dyDescent="0.25">
      <c r="A377" t="s">
        <v>179</v>
      </c>
      <c r="B377" t="s">
        <v>63</v>
      </c>
      <c r="E377" t="s">
        <v>38</v>
      </c>
      <c r="F377">
        <f t="shared" ref="F377:F381" si="1">0.05*F371</f>
        <v>10.952228654873053</v>
      </c>
    </row>
    <row r="378" spans="1:6" hidden="1" x14ac:dyDescent="0.25">
      <c r="A378" t="s">
        <v>180</v>
      </c>
      <c r="B378" t="s">
        <v>63</v>
      </c>
      <c r="E378" t="s">
        <v>38</v>
      </c>
      <c r="F378">
        <f t="shared" si="1"/>
        <v>16.525729917592241</v>
      </c>
    </row>
    <row r="379" spans="1:6" hidden="1" x14ac:dyDescent="0.25">
      <c r="A379" t="s">
        <v>181</v>
      </c>
      <c r="B379" t="s">
        <v>63</v>
      </c>
      <c r="E379" t="s">
        <v>38</v>
      </c>
      <c r="F379">
        <f t="shared" si="1"/>
        <v>10.952228654873053</v>
      </c>
    </row>
    <row r="380" spans="1:6" hidden="1" x14ac:dyDescent="0.25">
      <c r="A380" t="s">
        <v>182</v>
      </c>
      <c r="B380" t="s">
        <v>63</v>
      </c>
      <c r="E380" t="s">
        <v>38</v>
      </c>
      <c r="F380">
        <f t="shared" si="1"/>
        <v>13.177972806628526</v>
      </c>
    </row>
    <row r="381" spans="1:6" hidden="1" x14ac:dyDescent="0.25">
      <c r="A381" t="s">
        <v>183</v>
      </c>
      <c r="B381" t="s">
        <v>63</v>
      </c>
      <c r="E381" t="s">
        <v>38</v>
      </c>
      <c r="F381">
        <f t="shared" si="1"/>
        <v>13.177972806628526</v>
      </c>
    </row>
    <row r="382" spans="1:6" hidden="1" x14ac:dyDescent="0.25">
      <c r="A382" t="s">
        <v>178</v>
      </c>
      <c r="B382" t="s">
        <v>63</v>
      </c>
      <c r="C382" t="s">
        <v>23</v>
      </c>
      <c r="D382">
        <v>2015</v>
      </c>
      <c r="E382" t="s">
        <v>59</v>
      </c>
      <c r="F382">
        <v>0</v>
      </c>
    </row>
    <row r="383" spans="1:6" hidden="1" x14ac:dyDescent="0.25">
      <c r="A383" t="s">
        <v>179</v>
      </c>
      <c r="B383" t="s">
        <v>63</v>
      </c>
      <c r="C383" t="s">
        <v>23</v>
      </c>
      <c r="D383">
        <v>2015</v>
      </c>
      <c r="E383" t="s">
        <v>59</v>
      </c>
      <c r="F383">
        <v>0</v>
      </c>
    </row>
    <row r="384" spans="1:6" hidden="1" x14ac:dyDescent="0.25">
      <c r="A384" t="s">
        <v>180</v>
      </c>
      <c r="B384" t="s">
        <v>63</v>
      </c>
      <c r="C384" t="s">
        <v>23</v>
      </c>
      <c r="D384">
        <v>2015</v>
      </c>
      <c r="E384" t="s">
        <v>59</v>
      </c>
      <c r="F384">
        <v>0</v>
      </c>
    </row>
    <row r="385" spans="1:6" hidden="1" x14ac:dyDescent="0.25">
      <c r="A385" t="s">
        <v>181</v>
      </c>
      <c r="B385" t="s">
        <v>63</v>
      </c>
      <c r="C385" t="s">
        <v>23</v>
      </c>
      <c r="D385">
        <v>2015</v>
      </c>
      <c r="E385" t="s">
        <v>59</v>
      </c>
      <c r="F385">
        <v>0</v>
      </c>
    </row>
    <row r="386" spans="1:6" hidden="1" x14ac:dyDescent="0.25">
      <c r="A386" t="s">
        <v>182</v>
      </c>
      <c r="B386" t="s">
        <v>63</v>
      </c>
      <c r="C386" t="s">
        <v>23</v>
      </c>
      <c r="D386">
        <v>2015</v>
      </c>
      <c r="E386" t="s">
        <v>59</v>
      </c>
      <c r="F386">
        <v>0</v>
      </c>
    </row>
    <row r="387" spans="1:6" hidden="1" x14ac:dyDescent="0.25">
      <c r="A387" t="s">
        <v>183</v>
      </c>
      <c r="B387" t="s">
        <v>63</v>
      </c>
      <c r="C387" t="s">
        <v>23</v>
      </c>
      <c r="D387">
        <v>2015</v>
      </c>
      <c r="E387" t="s">
        <v>59</v>
      </c>
      <c r="F387">
        <v>0</v>
      </c>
    </row>
    <row r="388" spans="1:6" hidden="1" x14ac:dyDescent="0.25">
      <c r="A388" t="s">
        <v>178</v>
      </c>
      <c r="B388" t="s">
        <v>63</v>
      </c>
      <c r="C388" t="s">
        <v>24</v>
      </c>
      <c r="D388">
        <v>2015</v>
      </c>
      <c r="E388" t="s">
        <v>59</v>
      </c>
      <c r="F388">
        <v>0</v>
      </c>
    </row>
    <row r="389" spans="1:6" hidden="1" x14ac:dyDescent="0.25">
      <c r="A389" t="s">
        <v>179</v>
      </c>
      <c r="B389" t="s">
        <v>63</v>
      </c>
      <c r="C389" t="s">
        <v>24</v>
      </c>
      <c r="D389">
        <v>2015</v>
      </c>
      <c r="E389" t="s">
        <v>59</v>
      </c>
      <c r="F389">
        <v>0</v>
      </c>
    </row>
    <row r="390" spans="1:6" hidden="1" x14ac:dyDescent="0.25">
      <c r="A390" t="s">
        <v>180</v>
      </c>
      <c r="B390" t="s">
        <v>63</v>
      </c>
      <c r="C390" t="s">
        <v>24</v>
      </c>
      <c r="D390">
        <v>2015</v>
      </c>
      <c r="E390" t="s">
        <v>59</v>
      </c>
      <c r="F390">
        <v>0</v>
      </c>
    </row>
    <row r="391" spans="1:6" hidden="1" x14ac:dyDescent="0.25">
      <c r="A391" t="s">
        <v>181</v>
      </c>
      <c r="B391" t="s">
        <v>63</v>
      </c>
      <c r="C391" t="s">
        <v>24</v>
      </c>
      <c r="D391">
        <v>2015</v>
      </c>
      <c r="E391" t="s">
        <v>59</v>
      </c>
      <c r="F391">
        <v>0</v>
      </c>
    </row>
    <row r="392" spans="1:6" hidden="1" x14ac:dyDescent="0.25">
      <c r="A392" t="s">
        <v>182</v>
      </c>
      <c r="B392" t="s">
        <v>63</v>
      </c>
      <c r="C392" t="s">
        <v>24</v>
      </c>
      <c r="D392">
        <v>2015</v>
      </c>
      <c r="E392" t="s">
        <v>59</v>
      </c>
      <c r="F392">
        <v>0</v>
      </c>
    </row>
    <row r="393" spans="1:6" hidden="1" x14ac:dyDescent="0.25">
      <c r="A393" t="s">
        <v>183</v>
      </c>
      <c r="B393" t="s">
        <v>63</v>
      </c>
      <c r="C393" t="s">
        <v>24</v>
      </c>
      <c r="D393">
        <v>2015</v>
      </c>
      <c r="E393" t="s">
        <v>59</v>
      </c>
      <c r="F393">
        <v>0</v>
      </c>
    </row>
    <row r="394" spans="1:6" hidden="1" x14ac:dyDescent="0.25">
      <c r="A394" t="s">
        <v>178</v>
      </c>
      <c r="B394" t="s">
        <v>63</v>
      </c>
      <c r="C394" t="s">
        <v>75</v>
      </c>
      <c r="D394">
        <v>2015</v>
      </c>
      <c r="E394" t="s">
        <v>59</v>
      </c>
      <c r="F394">
        <v>0</v>
      </c>
    </row>
    <row r="395" spans="1:6" hidden="1" x14ac:dyDescent="0.25">
      <c r="A395" t="s">
        <v>179</v>
      </c>
      <c r="B395" t="s">
        <v>63</v>
      </c>
      <c r="C395" t="s">
        <v>75</v>
      </c>
      <c r="D395">
        <v>2015</v>
      </c>
      <c r="E395" t="s">
        <v>59</v>
      </c>
      <c r="F395">
        <v>0</v>
      </c>
    </row>
    <row r="396" spans="1:6" hidden="1" x14ac:dyDescent="0.25">
      <c r="A396" t="s">
        <v>180</v>
      </c>
      <c r="B396" t="s">
        <v>63</v>
      </c>
      <c r="C396" t="s">
        <v>75</v>
      </c>
      <c r="D396">
        <v>2015</v>
      </c>
      <c r="E396" t="s">
        <v>59</v>
      </c>
      <c r="F396">
        <v>0</v>
      </c>
    </row>
    <row r="397" spans="1:6" hidden="1" x14ac:dyDescent="0.25">
      <c r="A397" t="s">
        <v>181</v>
      </c>
      <c r="B397" t="s">
        <v>63</v>
      </c>
      <c r="C397" t="s">
        <v>75</v>
      </c>
      <c r="D397">
        <v>2015</v>
      </c>
      <c r="E397" t="s">
        <v>59</v>
      </c>
      <c r="F397">
        <v>0</v>
      </c>
    </row>
    <row r="398" spans="1:6" hidden="1" x14ac:dyDescent="0.25">
      <c r="A398" t="s">
        <v>182</v>
      </c>
      <c r="B398" t="s">
        <v>63</v>
      </c>
      <c r="C398" t="s">
        <v>75</v>
      </c>
      <c r="D398">
        <v>2015</v>
      </c>
      <c r="E398" t="s">
        <v>59</v>
      </c>
      <c r="F398">
        <v>0</v>
      </c>
    </row>
    <row r="399" spans="1:6" hidden="1" x14ac:dyDescent="0.25">
      <c r="A399" t="s">
        <v>183</v>
      </c>
      <c r="B399" t="s">
        <v>63</v>
      </c>
      <c r="C399" t="s">
        <v>75</v>
      </c>
      <c r="D399">
        <v>2015</v>
      </c>
      <c r="E399" t="s">
        <v>59</v>
      </c>
      <c r="F399">
        <v>0</v>
      </c>
    </row>
    <row r="400" spans="1:6" hidden="1" x14ac:dyDescent="0.25">
      <c r="A400" t="s">
        <v>178</v>
      </c>
      <c r="B400" t="s">
        <v>63</v>
      </c>
      <c r="C400" t="s">
        <v>77</v>
      </c>
      <c r="D400">
        <v>2015</v>
      </c>
      <c r="E400" t="s">
        <v>59</v>
      </c>
      <c r="F400">
        <v>0</v>
      </c>
    </row>
    <row r="401" spans="1:6" hidden="1" x14ac:dyDescent="0.25">
      <c r="A401" t="s">
        <v>179</v>
      </c>
      <c r="B401" t="s">
        <v>63</v>
      </c>
      <c r="C401" t="s">
        <v>77</v>
      </c>
      <c r="D401">
        <v>2015</v>
      </c>
      <c r="E401" t="s">
        <v>59</v>
      </c>
      <c r="F401">
        <v>0</v>
      </c>
    </row>
    <row r="402" spans="1:6" hidden="1" x14ac:dyDescent="0.25">
      <c r="A402" t="s">
        <v>180</v>
      </c>
      <c r="B402" t="s">
        <v>63</v>
      </c>
      <c r="C402" t="s">
        <v>77</v>
      </c>
      <c r="D402">
        <v>2015</v>
      </c>
      <c r="E402" t="s">
        <v>59</v>
      </c>
      <c r="F402">
        <v>0</v>
      </c>
    </row>
    <row r="403" spans="1:6" hidden="1" x14ac:dyDescent="0.25">
      <c r="A403" t="s">
        <v>181</v>
      </c>
      <c r="B403" t="s">
        <v>63</v>
      </c>
      <c r="C403" t="s">
        <v>77</v>
      </c>
      <c r="D403">
        <v>2015</v>
      </c>
      <c r="E403" t="s">
        <v>59</v>
      </c>
      <c r="F403">
        <v>0</v>
      </c>
    </row>
    <row r="404" spans="1:6" hidden="1" x14ac:dyDescent="0.25">
      <c r="A404" t="s">
        <v>182</v>
      </c>
      <c r="B404" t="s">
        <v>63</v>
      </c>
      <c r="C404" t="s">
        <v>77</v>
      </c>
      <c r="D404">
        <v>2015</v>
      </c>
      <c r="E404" t="s">
        <v>59</v>
      </c>
      <c r="F404">
        <v>0</v>
      </c>
    </row>
    <row r="405" spans="1:6" hidden="1" x14ac:dyDescent="0.25">
      <c r="A405" t="s">
        <v>183</v>
      </c>
      <c r="B405" t="s">
        <v>63</v>
      </c>
      <c r="C405" t="s">
        <v>77</v>
      </c>
      <c r="D405">
        <v>2015</v>
      </c>
      <c r="E405" t="s">
        <v>59</v>
      </c>
      <c r="F405">
        <v>0</v>
      </c>
    </row>
    <row r="406" spans="1:6" hidden="1" x14ac:dyDescent="0.25">
      <c r="A406" t="s">
        <v>178</v>
      </c>
      <c r="B406" t="s">
        <v>63</v>
      </c>
      <c r="C406" t="s">
        <v>76</v>
      </c>
      <c r="D406">
        <v>2015</v>
      </c>
      <c r="E406" t="s">
        <v>59</v>
      </c>
      <c r="F406">
        <v>0</v>
      </c>
    </row>
    <row r="407" spans="1:6" hidden="1" x14ac:dyDescent="0.25">
      <c r="A407" t="s">
        <v>179</v>
      </c>
      <c r="B407" t="s">
        <v>63</v>
      </c>
      <c r="C407" t="s">
        <v>76</v>
      </c>
      <c r="D407">
        <v>2015</v>
      </c>
      <c r="E407" t="s">
        <v>59</v>
      </c>
      <c r="F407">
        <v>0</v>
      </c>
    </row>
    <row r="408" spans="1:6" hidden="1" x14ac:dyDescent="0.25">
      <c r="A408" t="s">
        <v>180</v>
      </c>
      <c r="B408" t="s">
        <v>63</v>
      </c>
      <c r="C408" t="s">
        <v>76</v>
      </c>
      <c r="D408">
        <v>2015</v>
      </c>
      <c r="E408" t="s">
        <v>59</v>
      </c>
      <c r="F408">
        <v>0</v>
      </c>
    </row>
    <row r="409" spans="1:6" hidden="1" x14ac:dyDescent="0.25">
      <c r="A409" t="s">
        <v>181</v>
      </c>
      <c r="B409" t="s">
        <v>63</v>
      </c>
      <c r="C409" t="s">
        <v>76</v>
      </c>
      <c r="D409">
        <v>2015</v>
      </c>
      <c r="E409" t="s">
        <v>59</v>
      </c>
      <c r="F409">
        <v>0</v>
      </c>
    </row>
    <row r="410" spans="1:6" hidden="1" x14ac:dyDescent="0.25">
      <c r="A410" t="s">
        <v>182</v>
      </c>
      <c r="B410" t="s">
        <v>63</v>
      </c>
      <c r="C410" t="s">
        <v>76</v>
      </c>
      <c r="D410">
        <v>2015</v>
      </c>
      <c r="E410" t="s">
        <v>59</v>
      </c>
      <c r="F410">
        <v>0</v>
      </c>
    </row>
    <row r="411" spans="1:6" hidden="1" x14ac:dyDescent="0.25">
      <c r="A411" t="s">
        <v>183</v>
      </c>
      <c r="B411" t="s">
        <v>63</v>
      </c>
      <c r="C411" t="s">
        <v>76</v>
      </c>
      <c r="D411">
        <v>2015</v>
      </c>
      <c r="E411" t="s">
        <v>59</v>
      </c>
      <c r="F411">
        <v>0</v>
      </c>
    </row>
    <row r="412" spans="1:6" hidden="1" x14ac:dyDescent="0.25">
      <c r="A412" t="s">
        <v>178</v>
      </c>
      <c r="B412" t="s">
        <v>63</v>
      </c>
      <c r="C412" t="s">
        <v>78</v>
      </c>
      <c r="D412">
        <v>2015</v>
      </c>
      <c r="E412" t="s">
        <v>59</v>
      </c>
      <c r="F412">
        <v>0</v>
      </c>
    </row>
    <row r="413" spans="1:6" hidden="1" x14ac:dyDescent="0.25">
      <c r="A413" t="s">
        <v>179</v>
      </c>
      <c r="B413" t="s">
        <v>63</v>
      </c>
      <c r="C413" t="s">
        <v>78</v>
      </c>
      <c r="D413">
        <v>2015</v>
      </c>
      <c r="E413" t="s">
        <v>59</v>
      </c>
      <c r="F413">
        <v>0</v>
      </c>
    </row>
    <row r="414" spans="1:6" hidden="1" x14ac:dyDescent="0.25">
      <c r="A414" t="s">
        <v>180</v>
      </c>
      <c r="B414" t="s">
        <v>63</v>
      </c>
      <c r="C414" t="s">
        <v>78</v>
      </c>
      <c r="D414">
        <v>2015</v>
      </c>
      <c r="E414" t="s">
        <v>59</v>
      </c>
      <c r="F414">
        <v>0</v>
      </c>
    </row>
    <row r="415" spans="1:6" hidden="1" x14ac:dyDescent="0.25">
      <c r="A415" t="s">
        <v>181</v>
      </c>
      <c r="B415" t="s">
        <v>63</v>
      </c>
      <c r="C415" t="s">
        <v>78</v>
      </c>
      <c r="D415">
        <v>2015</v>
      </c>
      <c r="E415" t="s">
        <v>59</v>
      </c>
      <c r="F415">
        <v>0</v>
      </c>
    </row>
    <row r="416" spans="1:6" hidden="1" x14ac:dyDescent="0.25">
      <c r="A416" t="s">
        <v>182</v>
      </c>
      <c r="B416" t="s">
        <v>63</v>
      </c>
      <c r="C416" t="s">
        <v>78</v>
      </c>
      <c r="D416">
        <v>2015</v>
      </c>
      <c r="E416" t="s">
        <v>59</v>
      </c>
      <c r="F416">
        <v>0</v>
      </c>
    </row>
    <row r="417" spans="1:6" hidden="1" x14ac:dyDescent="0.25">
      <c r="A417" t="s">
        <v>183</v>
      </c>
      <c r="B417" t="s">
        <v>63</v>
      </c>
      <c r="C417" t="s">
        <v>78</v>
      </c>
      <c r="D417">
        <v>2015</v>
      </c>
      <c r="E417" t="s">
        <v>59</v>
      </c>
      <c r="F417">
        <v>0</v>
      </c>
    </row>
    <row r="418" spans="1:6" hidden="1" x14ac:dyDescent="0.25">
      <c r="A418" t="s">
        <v>178</v>
      </c>
      <c r="B418" t="s">
        <v>63</v>
      </c>
      <c r="C418" t="s">
        <v>23</v>
      </c>
      <c r="E418" t="s">
        <v>59</v>
      </c>
      <c r="F418" s="10">
        <v>3200000</v>
      </c>
    </row>
    <row r="419" spans="1:6" hidden="1" x14ac:dyDescent="0.25">
      <c r="A419" t="s">
        <v>179</v>
      </c>
      <c r="B419" t="s">
        <v>63</v>
      </c>
      <c r="C419" t="s">
        <v>23</v>
      </c>
      <c r="E419" t="s">
        <v>59</v>
      </c>
      <c r="F419" s="10">
        <v>3200000</v>
      </c>
    </row>
    <row r="420" spans="1:6" hidden="1" x14ac:dyDescent="0.25">
      <c r="A420" t="s">
        <v>180</v>
      </c>
      <c r="B420" t="s">
        <v>63</v>
      </c>
      <c r="C420" t="s">
        <v>23</v>
      </c>
      <c r="E420" t="s">
        <v>59</v>
      </c>
      <c r="F420" s="10">
        <v>3200000</v>
      </c>
    </row>
    <row r="421" spans="1:6" hidden="1" x14ac:dyDescent="0.25">
      <c r="A421" t="s">
        <v>181</v>
      </c>
      <c r="B421" t="s">
        <v>63</v>
      </c>
      <c r="C421" t="s">
        <v>23</v>
      </c>
      <c r="E421" t="s">
        <v>59</v>
      </c>
      <c r="F421" s="10">
        <v>3200000</v>
      </c>
    </row>
    <row r="422" spans="1:6" hidden="1" x14ac:dyDescent="0.25">
      <c r="A422" t="s">
        <v>182</v>
      </c>
      <c r="B422" t="s">
        <v>63</v>
      </c>
      <c r="C422" t="s">
        <v>23</v>
      </c>
      <c r="E422" t="s">
        <v>59</v>
      </c>
      <c r="F422" s="10">
        <v>3200000</v>
      </c>
    </row>
    <row r="423" spans="1:6" hidden="1" x14ac:dyDescent="0.25">
      <c r="A423" t="s">
        <v>183</v>
      </c>
      <c r="B423" t="s">
        <v>63</v>
      </c>
      <c r="C423" t="s">
        <v>23</v>
      </c>
      <c r="E423" t="s">
        <v>59</v>
      </c>
      <c r="F423" s="10">
        <v>3200000</v>
      </c>
    </row>
    <row r="424" spans="1:6" hidden="1" x14ac:dyDescent="0.25">
      <c r="A424" t="s">
        <v>178</v>
      </c>
      <c r="B424" t="s">
        <v>63</v>
      </c>
      <c r="C424" t="s">
        <v>24</v>
      </c>
      <c r="E424" t="s">
        <v>59</v>
      </c>
      <c r="F424" s="10">
        <v>6600000.0000000009</v>
      </c>
    </row>
    <row r="425" spans="1:6" hidden="1" x14ac:dyDescent="0.25">
      <c r="A425" t="s">
        <v>179</v>
      </c>
      <c r="B425" t="s">
        <v>63</v>
      </c>
      <c r="C425" t="s">
        <v>24</v>
      </c>
      <c r="E425" t="s">
        <v>59</v>
      </c>
      <c r="F425" s="10">
        <v>6600000.0000000009</v>
      </c>
    </row>
    <row r="426" spans="1:6" hidden="1" x14ac:dyDescent="0.25">
      <c r="A426" t="s">
        <v>180</v>
      </c>
      <c r="B426" t="s">
        <v>63</v>
      </c>
      <c r="C426" t="s">
        <v>24</v>
      </c>
      <c r="E426" t="s">
        <v>59</v>
      </c>
      <c r="F426" s="10">
        <v>6600000.0000000009</v>
      </c>
    </row>
    <row r="427" spans="1:6" hidden="1" x14ac:dyDescent="0.25">
      <c r="A427" t="s">
        <v>181</v>
      </c>
      <c r="B427" t="s">
        <v>63</v>
      </c>
      <c r="C427" t="s">
        <v>24</v>
      </c>
      <c r="E427" t="s">
        <v>59</v>
      </c>
      <c r="F427" s="10">
        <v>6600000.0000000009</v>
      </c>
    </row>
    <row r="428" spans="1:6" hidden="1" x14ac:dyDescent="0.25">
      <c r="A428" t="s">
        <v>182</v>
      </c>
      <c r="B428" t="s">
        <v>63</v>
      </c>
      <c r="C428" t="s">
        <v>24</v>
      </c>
      <c r="E428" t="s">
        <v>59</v>
      </c>
      <c r="F428" s="10">
        <v>6600000.0000000009</v>
      </c>
    </row>
    <row r="429" spans="1:6" hidden="1" x14ac:dyDescent="0.25">
      <c r="A429" t="s">
        <v>183</v>
      </c>
      <c r="B429" t="s">
        <v>63</v>
      </c>
      <c r="C429" t="s">
        <v>24</v>
      </c>
      <c r="E429" t="s">
        <v>59</v>
      </c>
      <c r="F429" s="10">
        <v>6600000.0000000009</v>
      </c>
    </row>
    <row r="430" spans="1:6" hidden="1" x14ac:dyDescent="0.25">
      <c r="A430" t="s">
        <v>178</v>
      </c>
      <c r="B430" t="s">
        <v>63</v>
      </c>
      <c r="C430" t="s">
        <v>75</v>
      </c>
      <c r="E430" t="s">
        <v>59</v>
      </c>
      <c r="F430">
        <v>4200000</v>
      </c>
    </row>
    <row r="431" spans="1:6" hidden="1" x14ac:dyDescent="0.25">
      <c r="A431" t="s">
        <v>179</v>
      </c>
      <c r="B431" t="s">
        <v>63</v>
      </c>
      <c r="C431" t="s">
        <v>75</v>
      </c>
      <c r="E431" t="s">
        <v>59</v>
      </c>
      <c r="F431">
        <v>4200000</v>
      </c>
    </row>
    <row r="432" spans="1:6" hidden="1" x14ac:dyDescent="0.25">
      <c r="A432" t="s">
        <v>180</v>
      </c>
      <c r="B432" t="s">
        <v>63</v>
      </c>
      <c r="C432" t="s">
        <v>75</v>
      </c>
      <c r="E432" t="s">
        <v>59</v>
      </c>
      <c r="F432">
        <v>4200000</v>
      </c>
    </row>
    <row r="433" spans="1:6" hidden="1" x14ac:dyDescent="0.25">
      <c r="A433" t="s">
        <v>181</v>
      </c>
      <c r="B433" t="s">
        <v>63</v>
      </c>
      <c r="C433" t="s">
        <v>75</v>
      </c>
      <c r="E433" t="s">
        <v>59</v>
      </c>
      <c r="F433">
        <v>4200000</v>
      </c>
    </row>
    <row r="434" spans="1:6" hidden="1" x14ac:dyDescent="0.25">
      <c r="A434" t="s">
        <v>182</v>
      </c>
      <c r="B434" t="s">
        <v>63</v>
      </c>
      <c r="C434" t="s">
        <v>75</v>
      </c>
      <c r="E434" t="s">
        <v>59</v>
      </c>
      <c r="F434">
        <v>4200000</v>
      </c>
    </row>
    <row r="435" spans="1:6" hidden="1" x14ac:dyDescent="0.25">
      <c r="A435" t="s">
        <v>183</v>
      </c>
      <c r="B435" t="s">
        <v>63</v>
      </c>
      <c r="C435" t="s">
        <v>75</v>
      </c>
      <c r="E435" t="s">
        <v>59</v>
      </c>
      <c r="F435">
        <v>4200000</v>
      </c>
    </row>
    <row r="436" spans="1:6" hidden="1" x14ac:dyDescent="0.25">
      <c r="A436" t="s">
        <v>178</v>
      </c>
      <c r="B436" t="s">
        <v>63</v>
      </c>
      <c r="C436" t="s">
        <v>76</v>
      </c>
      <c r="E436" t="s">
        <v>59</v>
      </c>
      <c r="F436">
        <v>2200000</v>
      </c>
    </row>
    <row r="437" spans="1:6" hidden="1" x14ac:dyDescent="0.25">
      <c r="A437" t="s">
        <v>179</v>
      </c>
      <c r="B437" t="s">
        <v>63</v>
      </c>
      <c r="C437" t="s">
        <v>76</v>
      </c>
      <c r="E437" t="s">
        <v>59</v>
      </c>
      <c r="F437">
        <v>2200000</v>
      </c>
    </row>
    <row r="438" spans="1:6" hidden="1" x14ac:dyDescent="0.25">
      <c r="A438" t="s">
        <v>180</v>
      </c>
      <c r="B438" t="s">
        <v>63</v>
      </c>
      <c r="C438" t="s">
        <v>76</v>
      </c>
      <c r="E438" t="s">
        <v>59</v>
      </c>
      <c r="F438">
        <v>2200000</v>
      </c>
    </row>
    <row r="439" spans="1:6" hidden="1" x14ac:dyDescent="0.25">
      <c r="A439" t="s">
        <v>181</v>
      </c>
      <c r="B439" t="s">
        <v>63</v>
      </c>
      <c r="C439" t="s">
        <v>76</v>
      </c>
      <c r="E439" t="s">
        <v>59</v>
      </c>
      <c r="F439">
        <v>2200000</v>
      </c>
    </row>
    <row r="440" spans="1:6" hidden="1" x14ac:dyDescent="0.25">
      <c r="A440" t="s">
        <v>182</v>
      </c>
      <c r="B440" t="s">
        <v>63</v>
      </c>
      <c r="C440" t="s">
        <v>76</v>
      </c>
      <c r="E440" t="s">
        <v>59</v>
      </c>
      <c r="F440">
        <v>2200000</v>
      </c>
    </row>
    <row r="441" spans="1:6" hidden="1" x14ac:dyDescent="0.25">
      <c r="A441" t="s">
        <v>183</v>
      </c>
      <c r="B441" t="s">
        <v>63</v>
      </c>
      <c r="C441" t="s">
        <v>76</v>
      </c>
      <c r="E441" t="s">
        <v>59</v>
      </c>
      <c r="F441">
        <v>2200000</v>
      </c>
    </row>
    <row r="442" spans="1:6" hidden="1" x14ac:dyDescent="0.25">
      <c r="A442" t="s">
        <v>178</v>
      </c>
      <c r="B442" t="s">
        <v>63</v>
      </c>
      <c r="C442" t="s">
        <v>77</v>
      </c>
      <c r="E442" t="s">
        <v>59</v>
      </c>
      <c r="F442">
        <v>3000000</v>
      </c>
    </row>
    <row r="443" spans="1:6" hidden="1" x14ac:dyDescent="0.25">
      <c r="A443" t="s">
        <v>179</v>
      </c>
      <c r="B443" t="s">
        <v>63</v>
      </c>
      <c r="C443" t="s">
        <v>77</v>
      </c>
      <c r="E443" t="s">
        <v>59</v>
      </c>
      <c r="F443">
        <v>3000000</v>
      </c>
    </row>
    <row r="444" spans="1:6" hidden="1" x14ac:dyDescent="0.25">
      <c r="A444" t="s">
        <v>180</v>
      </c>
      <c r="B444" t="s">
        <v>63</v>
      </c>
      <c r="C444" t="s">
        <v>77</v>
      </c>
      <c r="E444" t="s">
        <v>59</v>
      </c>
      <c r="F444">
        <v>3000000</v>
      </c>
    </row>
    <row r="445" spans="1:6" hidden="1" x14ac:dyDescent="0.25">
      <c r="A445" t="s">
        <v>181</v>
      </c>
      <c r="B445" t="s">
        <v>63</v>
      </c>
      <c r="C445" t="s">
        <v>77</v>
      </c>
      <c r="E445" t="s">
        <v>59</v>
      </c>
      <c r="F445">
        <v>3000000</v>
      </c>
    </row>
    <row r="446" spans="1:6" hidden="1" x14ac:dyDescent="0.25">
      <c r="A446" t="s">
        <v>182</v>
      </c>
      <c r="B446" t="s">
        <v>63</v>
      </c>
      <c r="C446" t="s">
        <v>77</v>
      </c>
      <c r="E446" t="s">
        <v>59</v>
      </c>
      <c r="F446">
        <v>3000000</v>
      </c>
    </row>
    <row r="447" spans="1:6" hidden="1" x14ac:dyDescent="0.25">
      <c r="A447" t="s">
        <v>183</v>
      </c>
      <c r="B447" t="s">
        <v>63</v>
      </c>
      <c r="C447" t="s">
        <v>77</v>
      </c>
      <c r="E447" t="s">
        <v>59</v>
      </c>
      <c r="F447">
        <v>3000000</v>
      </c>
    </row>
    <row r="448" spans="1:6" hidden="1" x14ac:dyDescent="0.25">
      <c r="A448" t="s">
        <v>178</v>
      </c>
      <c r="B448" t="s">
        <v>63</v>
      </c>
      <c r="C448" t="s">
        <v>78</v>
      </c>
      <c r="E448" t="s">
        <v>59</v>
      </c>
      <c r="F448">
        <v>1300000</v>
      </c>
    </row>
    <row r="449" spans="1:6" hidden="1" x14ac:dyDescent="0.25">
      <c r="A449" t="s">
        <v>179</v>
      </c>
      <c r="B449" t="s">
        <v>63</v>
      </c>
      <c r="C449" t="s">
        <v>78</v>
      </c>
      <c r="E449" t="s">
        <v>59</v>
      </c>
      <c r="F449">
        <v>1300000</v>
      </c>
    </row>
    <row r="450" spans="1:6" hidden="1" x14ac:dyDescent="0.25">
      <c r="A450" t="s">
        <v>180</v>
      </c>
      <c r="B450" t="s">
        <v>63</v>
      </c>
      <c r="C450" t="s">
        <v>78</v>
      </c>
      <c r="E450" t="s">
        <v>59</v>
      </c>
      <c r="F450">
        <v>1300000</v>
      </c>
    </row>
    <row r="451" spans="1:6" hidden="1" x14ac:dyDescent="0.25">
      <c r="A451" t="s">
        <v>181</v>
      </c>
      <c r="B451" t="s">
        <v>63</v>
      </c>
      <c r="C451" t="s">
        <v>78</v>
      </c>
      <c r="E451" t="s">
        <v>59</v>
      </c>
      <c r="F451">
        <v>1300000</v>
      </c>
    </row>
    <row r="452" spans="1:6" hidden="1" x14ac:dyDescent="0.25">
      <c r="A452" t="s">
        <v>182</v>
      </c>
      <c r="B452" t="s">
        <v>63</v>
      </c>
      <c r="C452" t="s">
        <v>78</v>
      </c>
      <c r="E452" t="s">
        <v>59</v>
      </c>
      <c r="F452">
        <v>1300000</v>
      </c>
    </row>
    <row r="453" spans="1:6" hidden="1" x14ac:dyDescent="0.25">
      <c r="A453" t="s">
        <v>183</v>
      </c>
      <c r="B453" t="s">
        <v>63</v>
      </c>
      <c r="C453" t="s">
        <v>78</v>
      </c>
      <c r="E453" t="s">
        <v>59</v>
      </c>
      <c r="F453">
        <v>1300000</v>
      </c>
    </row>
    <row r="454" spans="1:6" hidden="1" x14ac:dyDescent="0.25">
      <c r="A454" t="s">
        <v>178</v>
      </c>
      <c r="B454" t="s">
        <v>63</v>
      </c>
      <c r="E454" t="s">
        <v>57</v>
      </c>
      <c r="F454" t="s">
        <v>71</v>
      </c>
    </row>
    <row r="455" spans="1:6" hidden="1" x14ac:dyDescent="0.25">
      <c r="A455" t="s">
        <v>179</v>
      </c>
      <c r="B455" t="s">
        <v>63</v>
      </c>
      <c r="E455" t="s">
        <v>57</v>
      </c>
      <c r="F455" t="s">
        <v>71</v>
      </c>
    </row>
    <row r="456" spans="1:6" hidden="1" x14ac:dyDescent="0.25">
      <c r="A456" t="s">
        <v>180</v>
      </c>
      <c r="B456" t="s">
        <v>63</v>
      </c>
      <c r="E456" t="s">
        <v>57</v>
      </c>
      <c r="F456" t="s">
        <v>71</v>
      </c>
    </row>
    <row r="457" spans="1:6" hidden="1" x14ac:dyDescent="0.25">
      <c r="A457" t="s">
        <v>181</v>
      </c>
      <c r="B457" t="s">
        <v>63</v>
      </c>
      <c r="E457" t="s">
        <v>57</v>
      </c>
      <c r="F457" t="s">
        <v>71</v>
      </c>
    </row>
    <row r="458" spans="1:6" hidden="1" x14ac:dyDescent="0.25">
      <c r="A458" t="s">
        <v>182</v>
      </c>
      <c r="B458" t="s">
        <v>63</v>
      </c>
      <c r="E458" t="s">
        <v>57</v>
      </c>
      <c r="F458" t="s">
        <v>71</v>
      </c>
    </row>
    <row r="459" spans="1:6" hidden="1" x14ac:dyDescent="0.25">
      <c r="A459" t="s">
        <v>183</v>
      </c>
      <c r="B459" t="s">
        <v>63</v>
      </c>
      <c r="E459" t="s">
        <v>57</v>
      </c>
      <c r="F459" t="s">
        <v>71</v>
      </c>
    </row>
    <row r="460" spans="1:6" hidden="1" x14ac:dyDescent="0.25">
      <c r="A460" t="s">
        <v>187</v>
      </c>
      <c r="E460" t="s">
        <v>29</v>
      </c>
      <c r="F460">
        <f>F371</f>
        <v>219.04457309746107</v>
      </c>
    </row>
    <row r="461" spans="1:6" hidden="1" x14ac:dyDescent="0.25">
      <c r="A461" t="s">
        <v>188</v>
      </c>
      <c r="E461" t="s">
        <v>29</v>
      </c>
      <c r="F461">
        <f>F371</f>
        <v>219.04457309746107</v>
      </c>
    </row>
    <row r="462" spans="1:6" hidden="1" x14ac:dyDescent="0.25">
      <c r="A462" t="s">
        <v>187</v>
      </c>
      <c r="E462" t="s">
        <v>38</v>
      </c>
      <c r="F462">
        <f>F377</f>
        <v>10.952228654873053</v>
      </c>
    </row>
    <row r="463" spans="1:6" hidden="1" x14ac:dyDescent="0.25">
      <c r="A463" t="s">
        <v>188</v>
      </c>
      <c r="E463" t="s">
        <v>38</v>
      </c>
      <c r="F463">
        <f>F377</f>
        <v>10.952228654873053</v>
      </c>
    </row>
    <row r="464" spans="1:6" hidden="1" x14ac:dyDescent="0.25">
      <c r="A464" t="s">
        <v>187</v>
      </c>
      <c r="E464" t="s">
        <v>31</v>
      </c>
      <c r="F464">
        <v>25</v>
      </c>
    </row>
    <row r="465" spans="1:6" hidden="1" x14ac:dyDescent="0.25">
      <c r="A465" t="s">
        <v>188</v>
      </c>
      <c r="E465" t="s">
        <v>31</v>
      </c>
      <c r="F465">
        <v>25</v>
      </c>
    </row>
    <row r="466" spans="1:6" hidden="1" x14ac:dyDescent="0.25">
      <c r="A466" t="s">
        <v>187</v>
      </c>
      <c r="E466" t="s">
        <v>57</v>
      </c>
      <c r="F466" t="s">
        <v>161</v>
      </c>
    </row>
    <row r="467" spans="1:6" hidden="1" x14ac:dyDescent="0.25">
      <c r="A467" t="s">
        <v>188</v>
      </c>
      <c r="E467" t="s">
        <v>57</v>
      </c>
      <c r="F467" t="s">
        <v>162</v>
      </c>
    </row>
    <row r="468" spans="1:6" hidden="1" x14ac:dyDescent="0.25">
      <c r="A468" t="s">
        <v>190</v>
      </c>
      <c r="E468" t="s">
        <v>29</v>
      </c>
      <c r="F468" s="42">
        <f>1090*1000000/(607*365)</f>
        <v>4919.7716142718509</v>
      </c>
    </row>
    <row r="469" spans="1:6" hidden="1" x14ac:dyDescent="0.25">
      <c r="A469" t="s">
        <v>190</v>
      </c>
      <c r="E469" t="s">
        <v>38</v>
      </c>
      <c r="F469" s="42">
        <f>75*1000000/(607*365)</f>
        <v>338.51639547742093</v>
      </c>
    </row>
    <row r="470" spans="1:6" hidden="1" x14ac:dyDescent="0.25">
      <c r="A470" t="s">
        <v>190</v>
      </c>
      <c r="E470" t="s">
        <v>31</v>
      </c>
      <c r="F470">
        <v>25</v>
      </c>
    </row>
    <row r="471" spans="1:6" hidden="1" x14ac:dyDescent="0.25">
      <c r="A471" t="s">
        <v>190</v>
      </c>
      <c r="E471" t="s">
        <v>57</v>
      </c>
      <c r="F471" t="s">
        <v>11</v>
      </c>
    </row>
    <row r="472" spans="1:6" hidden="1" x14ac:dyDescent="0.25">
      <c r="A472" t="s">
        <v>199</v>
      </c>
      <c r="E472" t="s">
        <v>31</v>
      </c>
      <c r="F472">
        <v>30</v>
      </c>
    </row>
    <row r="473" spans="1:6" hidden="1" x14ac:dyDescent="0.25">
      <c r="A473" t="s">
        <v>200</v>
      </c>
      <c r="E473" t="s">
        <v>31</v>
      </c>
      <c r="F473">
        <v>30</v>
      </c>
    </row>
    <row r="474" spans="1:6" hidden="1" x14ac:dyDescent="0.25">
      <c r="A474" t="s">
        <v>201</v>
      </c>
      <c r="E474" t="s">
        <v>31</v>
      </c>
      <c r="F474">
        <v>30</v>
      </c>
    </row>
    <row r="475" spans="1:6" hidden="1" x14ac:dyDescent="0.25">
      <c r="A475" t="s">
        <v>202</v>
      </c>
      <c r="E475" t="s">
        <v>31</v>
      </c>
      <c r="F475">
        <v>30</v>
      </c>
    </row>
    <row r="476" spans="1:6" hidden="1" x14ac:dyDescent="0.25">
      <c r="A476" t="s">
        <v>203</v>
      </c>
      <c r="E476" t="s">
        <v>31</v>
      </c>
      <c r="F476">
        <v>30</v>
      </c>
    </row>
    <row r="477" spans="1:6" hidden="1" x14ac:dyDescent="0.25">
      <c r="A477" t="s">
        <v>199</v>
      </c>
      <c r="E477" t="s">
        <v>57</v>
      </c>
      <c r="F477" t="s">
        <v>6</v>
      </c>
    </row>
    <row r="478" spans="1:6" hidden="1" x14ac:dyDescent="0.25">
      <c r="A478" t="s">
        <v>200</v>
      </c>
      <c r="E478" t="s">
        <v>57</v>
      </c>
      <c r="F478" t="s">
        <v>6</v>
      </c>
    </row>
    <row r="479" spans="1:6" hidden="1" x14ac:dyDescent="0.25">
      <c r="A479" t="s">
        <v>201</v>
      </c>
      <c r="E479" t="s">
        <v>57</v>
      </c>
      <c r="F479" t="s">
        <v>6</v>
      </c>
    </row>
    <row r="480" spans="1:6" hidden="1" x14ac:dyDescent="0.25">
      <c r="A480" t="s">
        <v>202</v>
      </c>
      <c r="E480" t="s">
        <v>57</v>
      </c>
      <c r="F480" t="s">
        <v>73</v>
      </c>
    </row>
    <row r="481" spans="1:6" hidden="1" x14ac:dyDescent="0.25">
      <c r="A481" t="s">
        <v>203</v>
      </c>
      <c r="E481" t="s">
        <v>57</v>
      </c>
      <c r="F481" t="s">
        <v>73</v>
      </c>
    </row>
    <row r="482" spans="1:6" hidden="1" x14ac:dyDescent="0.25">
      <c r="A482" t="s">
        <v>199</v>
      </c>
      <c r="B482" t="s">
        <v>56</v>
      </c>
      <c r="E482" t="s">
        <v>57</v>
      </c>
      <c r="F482" t="s">
        <v>6</v>
      </c>
    </row>
    <row r="483" spans="1:6" hidden="1" x14ac:dyDescent="0.25">
      <c r="A483" t="s">
        <v>200</v>
      </c>
      <c r="B483" t="s">
        <v>56</v>
      </c>
      <c r="E483" t="s">
        <v>57</v>
      </c>
      <c r="F483" t="s">
        <v>6</v>
      </c>
    </row>
    <row r="484" spans="1:6" hidden="1" x14ac:dyDescent="0.25">
      <c r="A484" t="s">
        <v>201</v>
      </c>
      <c r="B484" t="s">
        <v>56</v>
      </c>
      <c r="E484" t="s">
        <v>57</v>
      </c>
      <c r="F484" t="s">
        <v>6</v>
      </c>
    </row>
    <row r="485" spans="1:6" hidden="1" x14ac:dyDescent="0.25">
      <c r="A485" t="s">
        <v>202</v>
      </c>
      <c r="B485" t="s">
        <v>56</v>
      </c>
      <c r="E485" t="s">
        <v>57</v>
      </c>
      <c r="F485" t="s">
        <v>73</v>
      </c>
    </row>
    <row r="486" spans="1:6" hidden="1" x14ac:dyDescent="0.25">
      <c r="A486" t="s">
        <v>203</v>
      </c>
      <c r="B486" t="s">
        <v>56</v>
      </c>
      <c r="E486" t="s">
        <v>57</v>
      </c>
      <c r="F486" t="s">
        <v>73</v>
      </c>
    </row>
    <row r="487" spans="1:6" hidden="1" x14ac:dyDescent="0.25">
      <c r="A487" t="s">
        <v>199</v>
      </c>
      <c r="C487" t="s">
        <v>23</v>
      </c>
      <c r="D487">
        <v>2015</v>
      </c>
      <c r="E487" t="s">
        <v>34</v>
      </c>
      <c r="F487" s="42">
        <v>130.27037884829403</v>
      </c>
    </row>
    <row r="488" spans="1:6" hidden="1" x14ac:dyDescent="0.25">
      <c r="A488" t="s">
        <v>200</v>
      </c>
      <c r="C488" t="s">
        <v>23</v>
      </c>
      <c r="D488">
        <v>2015</v>
      </c>
      <c r="E488" t="s">
        <v>34</v>
      </c>
      <c r="F488" s="42">
        <v>209.88771119916282</v>
      </c>
    </row>
    <row r="489" spans="1:6" hidden="1" x14ac:dyDescent="0.25">
      <c r="A489" t="s">
        <v>201</v>
      </c>
      <c r="C489" t="s">
        <v>23</v>
      </c>
      <c r="D489">
        <v>2015</v>
      </c>
      <c r="E489" t="s">
        <v>34</v>
      </c>
      <c r="F489" s="42">
        <v>755.82358739547033</v>
      </c>
    </row>
    <row r="490" spans="1:6" hidden="1" x14ac:dyDescent="0.25">
      <c r="A490" t="s">
        <v>202</v>
      </c>
      <c r="C490" t="s">
        <v>23</v>
      </c>
      <c r="D490">
        <v>2015</v>
      </c>
      <c r="E490" t="s">
        <v>34</v>
      </c>
      <c r="F490">
        <v>2.0855244973402738</v>
      </c>
    </row>
    <row r="491" spans="1:6" hidden="1" x14ac:dyDescent="0.25">
      <c r="A491" t="s">
        <v>203</v>
      </c>
      <c r="C491" t="s">
        <v>23</v>
      </c>
      <c r="D491">
        <v>2015</v>
      </c>
      <c r="E491" t="s">
        <v>34</v>
      </c>
      <c r="F491">
        <v>67.780121893812762</v>
      </c>
    </row>
    <row r="492" spans="1:6" hidden="1" x14ac:dyDescent="0.25">
      <c r="A492" t="s">
        <v>199</v>
      </c>
      <c r="C492" t="s">
        <v>23</v>
      </c>
      <c r="D492">
        <v>2050</v>
      </c>
      <c r="E492" t="s">
        <v>34</v>
      </c>
      <c r="F492" s="42">
        <v>117.31635457763406</v>
      </c>
    </row>
    <row r="493" spans="1:6" hidden="1" x14ac:dyDescent="0.25">
      <c r="A493" t="s">
        <v>200</v>
      </c>
      <c r="C493" t="s">
        <v>23</v>
      </c>
      <c r="D493">
        <v>2050</v>
      </c>
      <c r="E493" t="s">
        <v>34</v>
      </c>
      <c r="F493" s="42">
        <v>185.75280210861138</v>
      </c>
    </row>
    <row r="494" spans="1:6" hidden="1" x14ac:dyDescent="0.25">
      <c r="A494" t="s">
        <v>201</v>
      </c>
      <c r="C494" t="s">
        <v>23</v>
      </c>
      <c r="D494">
        <v>2050</v>
      </c>
      <c r="E494" t="s">
        <v>34</v>
      </c>
      <c r="F494" s="42">
        <v>1056.7808886241764</v>
      </c>
    </row>
    <row r="495" spans="1:6" hidden="1" x14ac:dyDescent="0.25">
      <c r="A495" t="s">
        <v>202</v>
      </c>
      <c r="C495" t="s">
        <v>23</v>
      </c>
      <c r="D495">
        <v>2050</v>
      </c>
      <c r="E495" t="s">
        <v>34</v>
      </c>
      <c r="F495">
        <v>1.3490105750147405</v>
      </c>
    </row>
    <row r="496" spans="1:6" hidden="1" x14ac:dyDescent="0.25">
      <c r="A496" t="s">
        <v>203</v>
      </c>
      <c r="C496" t="s">
        <v>23</v>
      </c>
      <c r="D496">
        <v>2050</v>
      </c>
      <c r="E496" t="s">
        <v>34</v>
      </c>
      <c r="F496">
        <v>54.773912701610328</v>
      </c>
    </row>
    <row r="497" spans="1:6" hidden="1" x14ac:dyDescent="0.25">
      <c r="A497" t="s">
        <v>199</v>
      </c>
      <c r="C497" t="s">
        <v>24</v>
      </c>
      <c r="D497">
        <v>2015</v>
      </c>
      <c r="E497" t="s">
        <v>34</v>
      </c>
      <c r="F497" s="42">
        <v>125.12189139228524</v>
      </c>
    </row>
    <row r="498" spans="1:6" hidden="1" x14ac:dyDescent="0.25">
      <c r="A498" t="s">
        <v>200</v>
      </c>
      <c r="C498" t="s">
        <v>24</v>
      </c>
      <c r="D498">
        <v>2015</v>
      </c>
      <c r="E498" t="s">
        <v>34</v>
      </c>
      <c r="F498" s="42">
        <v>224.05321344642877</v>
      </c>
    </row>
    <row r="499" spans="1:6" hidden="1" x14ac:dyDescent="0.25">
      <c r="A499" t="s">
        <v>201</v>
      </c>
      <c r="C499" t="s">
        <v>24</v>
      </c>
      <c r="D499">
        <v>2015</v>
      </c>
      <c r="E499" t="s">
        <v>34</v>
      </c>
      <c r="F499" s="42">
        <v>826.74148028958973</v>
      </c>
    </row>
    <row r="500" spans="1:6" hidden="1" x14ac:dyDescent="0.25">
      <c r="A500" t="s">
        <v>202</v>
      </c>
      <c r="C500" t="s">
        <v>24</v>
      </c>
      <c r="D500">
        <v>2015</v>
      </c>
      <c r="E500" t="s">
        <v>34</v>
      </c>
      <c r="F500">
        <v>1.8052681402306057</v>
      </c>
    </row>
    <row r="501" spans="1:6" hidden="1" x14ac:dyDescent="0.25">
      <c r="A501" t="s">
        <v>203</v>
      </c>
      <c r="C501" t="s">
        <v>24</v>
      </c>
      <c r="D501">
        <v>2015</v>
      </c>
      <c r="E501" t="s">
        <v>34</v>
      </c>
      <c r="F501">
        <v>99.35287881953532</v>
      </c>
    </row>
    <row r="502" spans="1:6" hidden="1" x14ac:dyDescent="0.25">
      <c r="A502" t="s">
        <v>199</v>
      </c>
      <c r="C502" t="s">
        <v>24</v>
      </c>
      <c r="D502">
        <v>2050</v>
      </c>
      <c r="E502" t="s">
        <v>34</v>
      </c>
      <c r="F502" s="42">
        <v>119.04024548893189</v>
      </c>
    </row>
    <row r="503" spans="1:6" hidden="1" x14ac:dyDescent="0.25">
      <c r="A503" t="s">
        <v>200</v>
      </c>
      <c r="C503" t="s">
        <v>24</v>
      </c>
      <c r="D503">
        <v>2050</v>
      </c>
      <c r="E503" t="s">
        <v>34</v>
      </c>
      <c r="F503" s="42">
        <v>212.90300923906568</v>
      </c>
    </row>
    <row r="504" spans="1:6" hidden="1" x14ac:dyDescent="0.25">
      <c r="A504" t="s">
        <v>201</v>
      </c>
      <c r="C504" t="s">
        <v>24</v>
      </c>
      <c r="D504">
        <v>2050</v>
      </c>
      <c r="E504" t="s">
        <v>34</v>
      </c>
      <c r="F504" s="42">
        <v>1159.5240387568219</v>
      </c>
    </row>
    <row r="505" spans="1:6" hidden="1" x14ac:dyDescent="0.25">
      <c r="A505" t="s">
        <v>202</v>
      </c>
      <c r="C505" t="s">
        <v>24</v>
      </c>
      <c r="D505">
        <v>2050</v>
      </c>
      <c r="E505" t="s">
        <v>34</v>
      </c>
      <c r="F505">
        <v>1.1538629294784</v>
      </c>
    </row>
    <row r="506" spans="1:6" hidden="1" x14ac:dyDescent="0.25">
      <c r="A506" t="s">
        <v>203</v>
      </c>
      <c r="C506" t="s">
        <v>24</v>
      </c>
      <c r="D506">
        <v>2050</v>
      </c>
      <c r="E506" t="s">
        <v>34</v>
      </c>
      <c r="F506">
        <v>91.770951319229951</v>
      </c>
    </row>
    <row r="507" spans="1:6" hidden="1" x14ac:dyDescent="0.25">
      <c r="A507" t="s">
        <v>199</v>
      </c>
      <c r="C507" t="s">
        <v>75</v>
      </c>
      <c r="D507">
        <v>2015</v>
      </c>
      <c r="E507" t="s">
        <v>34</v>
      </c>
      <c r="F507" s="42">
        <v>130.31200854459172</v>
      </c>
    </row>
    <row r="508" spans="1:6" hidden="1" x14ac:dyDescent="0.25">
      <c r="A508" t="s">
        <v>200</v>
      </c>
      <c r="C508" t="s">
        <v>75</v>
      </c>
      <c r="D508">
        <v>2015</v>
      </c>
      <c r="E508" t="s">
        <v>34</v>
      </c>
      <c r="F508" s="42">
        <v>272.83450560616615</v>
      </c>
    </row>
    <row r="509" spans="1:6" hidden="1" x14ac:dyDescent="0.25">
      <c r="A509" t="s">
        <v>201</v>
      </c>
      <c r="C509" t="s">
        <v>75</v>
      </c>
      <c r="D509">
        <v>2015</v>
      </c>
      <c r="E509" t="s">
        <v>34</v>
      </c>
      <c r="F509" s="42">
        <v>654.8483869054495</v>
      </c>
    </row>
    <row r="510" spans="1:6" hidden="1" x14ac:dyDescent="0.25">
      <c r="A510" t="s">
        <v>202</v>
      </c>
      <c r="C510" t="s">
        <v>75</v>
      </c>
      <c r="D510">
        <v>2015</v>
      </c>
      <c r="E510" t="s">
        <v>34</v>
      </c>
      <c r="F510">
        <v>2.2703288386553924</v>
      </c>
    </row>
    <row r="511" spans="1:6" hidden="1" x14ac:dyDescent="0.25">
      <c r="A511" t="s">
        <v>203</v>
      </c>
      <c r="C511" t="s">
        <v>75</v>
      </c>
      <c r="D511">
        <v>2015</v>
      </c>
      <c r="E511" t="s">
        <v>34</v>
      </c>
      <c r="F511">
        <v>103.82367195656245</v>
      </c>
    </row>
    <row r="512" spans="1:6" hidden="1" x14ac:dyDescent="0.25">
      <c r="A512" t="s">
        <v>199</v>
      </c>
      <c r="C512" t="s">
        <v>75</v>
      </c>
      <c r="D512">
        <v>2050</v>
      </c>
      <c r="E512" t="s">
        <v>34</v>
      </c>
      <c r="F512" s="42">
        <v>120.14301403083118</v>
      </c>
    </row>
    <row r="513" spans="1:6" hidden="1" x14ac:dyDescent="0.25">
      <c r="A513" t="s">
        <v>200</v>
      </c>
      <c r="C513" t="s">
        <v>75</v>
      </c>
      <c r="D513">
        <v>2050</v>
      </c>
      <c r="E513" t="s">
        <v>34</v>
      </c>
      <c r="F513" s="42">
        <v>210.64472207808029</v>
      </c>
    </row>
    <row r="514" spans="1:6" hidden="1" x14ac:dyDescent="0.25">
      <c r="A514" t="s">
        <v>201</v>
      </c>
      <c r="C514" t="s">
        <v>75</v>
      </c>
      <c r="D514">
        <v>2050</v>
      </c>
      <c r="E514" t="s">
        <v>34</v>
      </c>
      <c r="F514" s="42">
        <v>987.68943165167673</v>
      </c>
    </row>
    <row r="515" spans="1:6" hidden="1" x14ac:dyDescent="0.25">
      <c r="A515" t="s">
        <v>202</v>
      </c>
      <c r="C515" t="s">
        <v>75</v>
      </c>
      <c r="D515">
        <v>2050</v>
      </c>
      <c r="E515" t="s">
        <v>34</v>
      </c>
      <c r="F515">
        <v>1.2780653327074025</v>
      </c>
    </row>
    <row r="516" spans="1:6" hidden="1" x14ac:dyDescent="0.25">
      <c r="A516" t="s">
        <v>203</v>
      </c>
      <c r="C516" t="s">
        <v>75</v>
      </c>
      <c r="D516">
        <v>2050</v>
      </c>
      <c r="E516" t="s">
        <v>34</v>
      </c>
      <c r="F516">
        <v>91.148839178198116</v>
      </c>
    </row>
    <row r="517" spans="1:6" hidden="1" x14ac:dyDescent="0.25">
      <c r="A517" t="s">
        <v>199</v>
      </c>
      <c r="C517" t="s">
        <v>76</v>
      </c>
      <c r="D517">
        <v>2015</v>
      </c>
      <c r="E517" t="s">
        <v>34</v>
      </c>
      <c r="F517" s="42">
        <v>120.05971341553212</v>
      </c>
    </row>
    <row r="518" spans="1:6" hidden="1" x14ac:dyDescent="0.25">
      <c r="A518" t="s">
        <v>200</v>
      </c>
      <c r="C518" t="s">
        <v>76</v>
      </c>
      <c r="D518">
        <v>2015</v>
      </c>
      <c r="E518" t="s">
        <v>34</v>
      </c>
      <c r="F518" s="42">
        <v>295.27080256614772</v>
      </c>
    </row>
    <row r="519" spans="1:6" hidden="1" x14ac:dyDescent="0.25">
      <c r="A519" t="s">
        <v>201</v>
      </c>
      <c r="C519" t="s">
        <v>76</v>
      </c>
      <c r="D519">
        <v>2015</v>
      </c>
      <c r="E519" t="s">
        <v>34</v>
      </c>
      <c r="F519" s="42">
        <v>565.11932629782518</v>
      </c>
    </row>
    <row r="520" spans="1:6" hidden="1" x14ac:dyDescent="0.25">
      <c r="A520" t="s">
        <v>202</v>
      </c>
      <c r="C520" t="s">
        <v>76</v>
      </c>
      <c r="D520">
        <v>2015</v>
      </c>
      <c r="E520" t="s">
        <v>34</v>
      </c>
      <c r="F520">
        <v>1.0209239006146791</v>
      </c>
    </row>
    <row r="521" spans="1:6" hidden="1" x14ac:dyDescent="0.25">
      <c r="A521" t="s">
        <v>203</v>
      </c>
      <c r="C521" t="s">
        <v>76</v>
      </c>
      <c r="D521">
        <v>2015</v>
      </c>
      <c r="E521" t="s">
        <v>34</v>
      </c>
      <c r="F521">
        <v>114.58066756825689</v>
      </c>
    </row>
    <row r="522" spans="1:6" hidden="1" x14ac:dyDescent="0.25">
      <c r="A522" t="s">
        <v>199</v>
      </c>
      <c r="C522" t="s">
        <v>76</v>
      </c>
      <c r="D522">
        <v>2050</v>
      </c>
      <c r="E522" t="s">
        <v>34</v>
      </c>
      <c r="F522" s="42">
        <v>94.966833387589162</v>
      </c>
    </row>
    <row r="523" spans="1:6" hidden="1" x14ac:dyDescent="0.25">
      <c r="A523" t="s">
        <v>200</v>
      </c>
      <c r="C523" t="s">
        <v>76</v>
      </c>
      <c r="D523">
        <v>2050</v>
      </c>
      <c r="E523" t="s">
        <v>34</v>
      </c>
      <c r="F523" s="42">
        <v>210.10042934138443</v>
      </c>
    </row>
    <row r="524" spans="1:6" hidden="1" x14ac:dyDescent="0.25">
      <c r="A524" t="s">
        <v>201</v>
      </c>
      <c r="C524" t="s">
        <v>76</v>
      </c>
      <c r="D524">
        <v>2050</v>
      </c>
      <c r="E524" t="s">
        <v>34</v>
      </c>
      <c r="F524" s="42">
        <v>889.65989459341984</v>
      </c>
    </row>
    <row r="525" spans="1:6" hidden="1" x14ac:dyDescent="0.25">
      <c r="A525" t="s">
        <v>202</v>
      </c>
      <c r="C525" t="s">
        <v>76</v>
      </c>
      <c r="D525">
        <v>2050</v>
      </c>
      <c r="E525" t="s">
        <v>34</v>
      </c>
      <c r="F525">
        <v>0.49595344924718904</v>
      </c>
    </row>
    <row r="526" spans="1:6" hidden="1" x14ac:dyDescent="0.25">
      <c r="A526" t="s">
        <v>203</v>
      </c>
      <c r="C526" t="s">
        <v>76</v>
      </c>
      <c r="D526">
        <v>2050</v>
      </c>
      <c r="E526" t="s">
        <v>34</v>
      </c>
      <c r="F526">
        <v>84.510158991002967</v>
      </c>
    </row>
    <row r="527" spans="1:6" hidden="1" x14ac:dyDescent="0.25">
      <c r="A527" t="s">
        <v>199</v>
      </c>
      <c r="C527" t="s">
        <v>77</v>
      </c>
      <c r="D527">
        <v>2015</v>
      </c>
      <c r="E527" t="s">
        <v>34</v>
      </c>
      <c r="F527" s="42">
        <v>132.56180939388702</v>
      </c>
    </row>
    <row r="528" spans="1:6" hidden="1" x14ac:dyDescent="0.25">
      <c r="A528" t="s">
        <v>200</v>
      </c>
      <c r="C528" t="s">
        <v>77</v>
      </c>
      <c r="D528">
        <v>2015</v>
      </c>
      <c r="E528" t="s">
        <v>34</v>
      </c>
      <c r="F528" s="42">
        <v>313.81804060178791</v>
      </c>
    </row>
    <row r="529" spans="1:6" hidden="1" x14ac:dyDescent="0.25">
      <c r="A529" t="s">
        <v>201</v>
      </c>
      <c r="C529" t="s">
        <v>77</v>
      </c>
      <c r="D529">
        <v>2015</v>
      </c>
      <c r="E529" t="s">
        <v>34</v>
      </c>
      <c r="F529" s="42">
        <v>620.8989143028067</v>
      </c>
    </row>
    <row r="530" spans="1:6" hidden="1" x14ac:dyDescent="0.25">
      <c r="A530" t="s">
        <v>202</v>
      </c>
      <c r="C530" t="s">
        <v>77</v>
      </c>
      <c r="D530">
        <v>2015</v>
      </c>
      <c r="E530" t="s">
        <v>34</v>
      </c>
      <c r="F530">
        <v>5.6486316270760832E-3</v>
      </c>
    </row>
    <row r="531" spans="1:6" hidden="1" x14ac:dyDescent="0.25">
      <c r="A531" t="s">
        <v>203</v>
      </c>
      <c r="C531" t="s">
        <v>77</v>
      </c>
      <c r="D531">
        <v>2015</v>
      </c>
      <c r="E531" t="s">
        <v>34</v>
      </c>
      <c r="F531">
        <v>106.67400765452712</v>
      </c>
    </row>
    <row r="532" spans="1:6" hidden="1" x14ac:dyDescent="0.25">
      <c r="A532" t="s">
        <v>199</v>
      </c>
      <c r="C532" t="s">
        <v>77</v>
      </c>
      <c r="D532">
        <v>2050</v>
      </c>
      <c r="E532" t="s">
        <v>34</v>
      </c>
      <c r="F532" s="42">
        <v>116.52976736742538</v>
      </c>
    </row>
    <row r="533" spans="1:6" hidden="1" x14ac:dyDescent="0.25">
      <c r="A533" t="s">
        <v>200</v>
      </c>
      <c r="C533" t="s">
        <v>77</v>
      </c>
      <c r="D533">
        <v>2050</v>
      </c>
      <c r="E533" t="s">
        <v>34</v>
      </c>
      <c r="F533" s="42">
        <v>214.47114354314218</v>
      </c>
    </row>
    <row r="534" spans="1:6" hidden="1" x14ac:dyDescent="0.25">
      <c r="A534" t="s">
        <v>201</v>
      </c>
      <c r="C534" t="s">
        <v>77</v>
      </c>
      <c r="D534">
        <v>2050</v>
      </c>
      <c r="E534" t="s">
        <v>34</v>
      </c>
      <c r="F534" s="42">
        <v>823.40594784284474</v>
      </c>
    </row>
    <row r="535" spans="1:6" hidden="1" x14ac:dyDescent="0.25">
      <c r="A535" t="s">
        <v>202</v>
      </c>
      <c r="C535" t="s">
        <v>77</v>
      </c>
      <c r="D535">
        <v>2050</v>
      </c>
      <c r="E535" t="s">
        <v>34</v>
      </c>
      <c r="F535">
        <v>3.3402495954226842E-3</v>
      </c>
    </row>
    <row r="536" spans="1:6" hidden="1" x14ac:dyDescent="0.25">
      <c r="A536" t="s">
        <v>203</v>
      </c>
      <c r="C536" t="s">
        <v>77</v>
      </c>
      <c r="D536">
        <v>2050</v>
      </c>
      <c r="E536" t="s">
        <v>34</v>
      </c>
      <c r="F536">
        <v>90.796200275066482</v>
      </c>
    </row>
    <row r="537" spans="1:6" hidden="1" x14ac:dyDescent="0.25">
      <c r="A537" t="s">
        <v>199</v>
      </c>
      <c r="C537" t="s">
        <v>78</v>
      </c>
      <c r="D537">
        <v>2015</v>
      </c>
      <c r="E537" t="s">
        <v>34</v>
      </c>
      <c r="F537" s="42">
        <v>123.38479094863304</v>
      </c>
    </row>
    <row r="538" spans="1:6" hidden="1" x14ac:dyDescent="0.25">
      <c r="A538" t="s">
        <v>200</v>
      </c>
      <c r="C538" t="s">
        <v>78</v>
      </c>
      <c r="D538">
        <v>2015</v>
      </c>
      <c r="E538" t="s">
        <v>34</v>
      </c>
      <c r="F538" s="42">
        <v>232.50490385719337</v>
      </c>
    </row>
    <row r="539" spans="1:6" hidden="1" x14ac:dyDescent="0.25">
      <c r="A539" t="s">
        <v>201</v>
      </c>
      <c r="C539" t="s">
        <v>78</v>
      </c>
      <c r="D539">
        <v>2015</v>
      </c>
      <c r="E539" t="s">
        <v>34</v>
      </c>
      <c r="F539" s="42">
        <v>581.41133924869268</v>
      </c>
    </row>
    <row r="540" spans="1:6" hidden="1" x14ac:dyDescent="0.25">
      <c r="A540" t="s">
        <v>202</v>
      </c>
      <c r="C540" t="s">
        <v>78</v>
      </c>
      <c r="D540">
        <v>2015</v>
      </c>
      <c r="E540" t="s">
        <v>34</v>
      </c>
      <c r="F540">
        <v>1.5067181274729382</v>
      </c>
    </row>
    <row r="541" spans="1:6" hidden="1" x14ac:dyDescent="0.25">
      <c r="A541" t="s">
        <v>203</v>
      </c>
      <c r="C541" t="s">
        <v>78</v>
      </c>
      <c r="D541">
        <v>2015</v>
      </c>
      <c r="E541" t="s">
        <v>34</v>
      </c>
      <c r="F541">
        <v>92.868832770759468</v>
      </c>
    </row>
    <row r="542" spans="1:6" hidden="1" x14ac:dyDescent="0.25">
      <c r="A542" t="s">
        <v>199</v>
      </c>
      <c r="C542" t="s">
        <v>78</v>
      </c>
      <c r="D542">
        <v>2050</v>
      </c>
      <c r="E542" t="s">
        <v>34</v>
      </c>
      <c r="F542" s="42">
        <v>102.64606989792627</v>
      </c>
    </row>
    <row r="543" spans="1:6" hidden="1" x14ac:dyDescent="0.25">
      <c r="A543" t="s">
        <v>200</v>
      </c>
      <c r="C543" t="s">
        <v>78</v>
      </c>
      <c r="D543">
        <v>2050</v>
      </c>
      <c r="E543" t="s">
        <v>34</v>
      </c>
      <c r="F543" s="42">
        <v>157.88503513066004</v>
      </c>
    </row>
    <row r="544" spans="1:6" hidden="1" x14ac:dyDescent="0.25">
      <c r="A544" t="s">
        <v>201</v>
      </c>
      <c r="C544" t="s">
        <v>78</v>
      </c>
      <c r="D544">
        <v>2050</v>
      </c>
      <c r="E544" t="s">
        <v>34</v>
      </c>
      <c r="F544" s="42">
        <v>665.30258495452813</v>
      </c>
    </row>
    <row r="545" spans="1:9" hidden="1" x14ac:dyDescent="0.25">
      <c r="A545" t="s">
        <v>202</v>
      </c>
      <c r="C545" t="s">
        <v>78</v>
      </c>
      <c r="D545">
        <v>2050</v>
      </c>
      <c r="E545" t="s">
        <v>34</v>
      </c>
      <c r="F545">
        <v>0.83407268860142658</v>
      </c>
    </row>
    <row r="546" spans="1:9" hidden="1" x14ac:dyDescent="0.25">
      <c r="A546" t="s">
        <v>203</v>
      </c>
      <c r="C546" t="s">
        <v>78</v>
      </c>
      <c r="D546">
        <v>2050</v>
      </c>
      <c r="E546" t="s">
        <v>34</v>
      </c>
      <c r="F546">
        <v>75.936030966196583</v>
      </c>
    </row>
    <row r="547" spans="1:9" hidden="1" x14ac:dyDescent="0.25">
      <c r="A547" t="s">
        <v>199</v>
      </c>
      <c r="B547" t="s">
        <v>56</v>
      </c>
      <c r="C547" t="s">
        <v>23</v>
      </c>
      <c r="D547">
        <v>2015</v>
      </c>
      <c r="E547" t="s">
        <v>111</v>
      </c>
      <c r="F547" s="10">
        <v>10448220.731466249</v>
      </c>
    </row>
    <row r="548" spans="1:9" hidden="1" x14ac:dyDescent="0.25">
      <c r="A548" t="s">
        <v>200</v>
      </c>
      <c r="B548" t="s">
        <v>56</v>
      </c>
      <c r="C548" t="s">
        <v>23</v>
      </c>
      <c r="D548">
        <v>2015</v>
      </c>
      <c r="E548" t="s">
        <v>111</v>
      </c>
      <c r="F548" s="10">
        <v>12255316.150362471</v>
      </c>
    </row>
    <row r="549" spans="1:9" hidden="1" x14ac:dyDescent="0.25">
      <c r="A549" t="s">
        <v>201</v>
      </c>
      <c r="B549" t="s">
        <v>56</v>
      </c>
      <c r="C549" t="s">
        <v>23</v>
      </c>
      <c r="D549">
        <v>2015</v>
      </c>
      <c r="E549" t="s">
        <v>111</v>
      </c>
      <c r="F549" s="10">
        <v>3754803.8974067229</v>
      </c>
    </row>
    <row r="550" spans="1:9" hidden="1" x14ac:dyDescent="0.25">
      <c r="A550" t="s">
        <v>202</v>
      </c>
      <c r="B550" t="s">
        <v>56</v>
      </c>
      <c r="C550" t="s">
        <v>23</v>
      </c>
      <c r="D550">
        <v>2015</v>
      </c>
      <c r="E550" t="s">
        <v>111</v>
      </c>
      <c r="F550" s="10">
        <v>12365790.254237289</v>
      </c>
    </row>
    <row r="551" spans="1:9" hidden="1" x14ac:dyDescent="0.25">
      <c r="A551" t="s">
        <v>203</v>
      </c>
      <c r="B551" t="s">
        <v>56</v>
      </c>
      <c r="C551" t="s">
        <v>23</v>
      </c>
      <c r="D551">
        <v>2015</v>
      </c>
      <c r="E551" t="s">
        <v>111</v>
      </c>
      <c r="F551" s="10">
        <v>30094533.898305085</v>
      </c>
    </row>
    <row r="552" spans="1:9" hidden="1" x14ac:dyDescent="0.25">
      <c r="A552" t="s">
        <v>199</v>
      </c>
      <c r="B552" t="s">
        <v>56</v>
      </c>
      <c r="C552" t="s">
        <v>23</v>
      </c>
      <c r="D552">
        <v>2050</v>
      </c>
      <c r="E552" t="s">
        <v>111</v>
      </c>
      <c r="F552" s="10">
        <v>8868156.2520824876</v>
      </c>
      <c r="I552" s="10"/>
    </row>
    <row r="553" spans="1:9" hidden="1" x14ac:dyDescent="0.25">
      <c r="A553" t="s">
        <v>200</v>
      </c>
      <c r="B553" t="s">
        <v>56</v>
      </c>
      <c r="C553" t="s">
        <v>23</v>
      </c>
      <c r="D553">
        <v>2050</v>
      </c>
      <c r="E553" t="s">
        <v>111</v>
      </c>
      <c r="F553" s="10">
        <v>15880908.852822183</v>
      </c>
    </row>
    <row r="554" spans="1:9" hidden="1" x14ac:dyDescent="0.25">
      <c r="A554" t="s">
        <v>201</v>
      </c>
      <c r="B554" t="s">
        <v>56</v>
      </c>
      <c r="C554" t="s">
        <v>23</v>
      </c>
      <c r="D554">
        <v>2050</v>
      </c>
      <c r="E554" t="s">
        <v>111</v>
      </c>
      <c r="F554" s="10">
        <v>2957728.4886263604</v>
      </c>
    </row>
    <row r="555" spans="1:9" hidden="1" x14ac:dyDescent="0.25">
      <c r="A555" t="s">
        <v>202</v>
      </c>
      <c r="B555" t="s">
        <v>56</v>
      </c>
      <c r="C555" t="s">
        <v>23</v>
      </c>
      <c r="D555">
        <v>2050</v>
      </c>
      <c r="E555" t="s">
        <v>111</v>
      </c>
      <c r="F555" s="10">
        <v>14023338.983050849</v>
      </c>
    </row>
    <row r="556" spans="1:9" hidden="1" x14ac:dyDescent="0.25">
      <c r="A556" t="s">
        <v>203</v>
      </c>
      <c r="B556" t="s">
        <v>56</v>
      </c>
      <c r="C556" t="s">
        <v>23</v>
      </c>
      <c r="D556">
        <v>2050</v>
      </c>
      <c r="E556" t="s">
        <v>111</v>
      </c>
      <c r="F556" s="10">
        <v>21819798.728813559</v>
      </c>
    </row>
    <row r="557" spans="1:9" hidden="1" x14ac:dyDescent="0.25">
      <c r="A557" t="s">
        <v>199</v>
      </c>
      <c r="B557" t="s">
        <v>56</v>
      </c>
      <c r="C557" t="s">
        <v>24</v>
      </c>
      <c r="D557">
        <v>2015</v>
      </c>
      <c r="E557" t="s">
        <v>111</v>
      </c>
      <c r="F557" s="10">
        <v>3624480.9587594811</v>
      </c>
    </row>
    <row r="558" spans="1:9" hidden="1" x14ac:dyDescent="0.25">
      <c r="A558" t="s">
        <v>200</v>
      </c>
      <c r="B558" t="s">
        <v>56</v>
      </c>
      <c r="C558" t="s">
        <v>24</v>
      </c>
      <c r="D558">
        <v>2015</v>
      </c>
      <c r="E558" t="s">
        <v>111</v>
      </c>
      <c r="F558" s="10">
        <v>6164609.7722433452</v>
      </c>
    </row>
    <row r="559" spans="1:9" hidden="1" x14ac:dyDescent="0.25">
      <c r="A559" t="s">
        <v>201</v>
      </c>
      <c r="B559" t="s">
        <v>56</v>
      </c>
      <c r="C559" t="s">
        <v>24</v>
      </c>
      <c r="D559">
        <v>2015</v>
      </c>
      <c r="E559" t="s">
        <v>111</v>
      </c>
      <c r="F559" s="10">
        <v>2680212.3764114073</v>
      </c>
    </row>
    <row r="560" spans="1:9" hidden="1" x14ac:dyDescent="0.25">
      <c r="A560" t="s">
        <v>202</v>
      </c>
      <c r="B560" t="s">
        <v>56</v>
      </c>
      <c r="C560" t="s">
        <v>24</v>
      </c>
      <c r="D560">
        <v>2015</v>
      </c>
      <c r="E560" t="s">
        <v>111</v>
      </c>
      <c r="F560" s="10">
        <v>19009777.542372882</v>
      </c>
    </row>
    <row r="561" spans="1:6" hidden="1" x14ac:dyDescent="0.25">
      <c r="A561" t="s">
        <v>203</v>
      </c>
      <c r="B561" t="s">
        <v>56</v>
      </c>
      <c r="C561" t="s">
        <v>24</v>
      </c>
      <c r="D561">
        <v>2015</v>
      </c>
      <c r="E561" t="s">
        <v>111</v>
      </c>
      <c r="F561" s="10">
        <v>30583355.932203386</v>
      </c>
    </row>
    <row r="562" spans="1:6" hidden="1" x14ac:dyDescent="0.25">
      <c r="A562" t="s">
        <v>199</v>
      </c>
      <c r="B562" t="s">
        <v>56</v>
      </c>
      <c r="C562" t="s">
        <v>24</v>
      </c>
      <c r="D562">
        <v>2050</v>
      </c>
      <c r="E562" t="s">
        <v>111</v>
      </c>
      <c r="F562" s="10">
        <v>5229617.0674832435</v>
      </c>
    </row>
    <row r="563" spans="1:6" hidden="1" x14ac:dyDescent="0.25">
      <c r="A563" t="s">
        <v>200</v>
      </c>
      <c r="B563" t="s">
        <v>56</v>
      </c>
      <c r="C563" t="s">
        <v>24</v>
      </c>
      <c r="D563">
        <v>2050</v>
      </c>
      <c r="E563" t="s">
        <v>111</v>
      </c>
      <c r="F563" s="10">
        <v>7196654.9712370606</v>
      </c>
    </row>
    <row r="564" spans="1:6" hidden="1" x14ac:dyDescent="0.25">
      <c r="A564" t="s">
        <v>201</v>
      </c>
      <c r="B564" t="s">
        <v>56</v>
      </c>
      <c r="C564" t="s">
        <v>24</v>
      </c>
      <c r="D564">
        <v>2050</v>
      </c>
      <c r="E564" t="s">
        <v>111</v>
      </c>
      <c r="F564" s="10">
        <v>3590404.5203159167</v>
      </c>
    </row>
    <row r="565" spans="1:6" hidden="1" x14ac:dyDescent="0.25">
      <c r="A565" t="s">
        <v>202</v>
      </c>
      <c r="B565" t="s">
        <v>56</v>
      </c>
      <c r="C565" t="s">
        <v>24</v>
      </c>
      <c r="D565">
        <v>2050</v>
      </c>
      <c r="E565" t="s">
        <v>111</v>
      </c>
      <c r="F565" s="10">
        <v>16177455.508474577</v>
      </c>
    </row>
    <row r="566" spans="1:6" hidden="1" x14ac:dyDescent="0.25">
      <c r="A566" t="s">
        <v>203</v>
      </c>
      <c r="B566" t="s">
        <v>56</v>
      </c>
      <c r="C566" t="s">
        <v>24</v>
      </c>
      <c r="D566">
        <v>2050</v>
      </c>
      <c r="E566" t="s">
        <v>111</v>
      </c>
      <c r="F566" s="10">
        <v>26103891.949152544</v>
      </c>
    </row>
    <row r="567" spans="1:6" hidden="1" x14ac:dyDescent="0.25">
      <c r="A567" t="s">
        <v>199</v>
      </c>
      <c r="B567" t="s">
        <v>56</v>
      </c>
      <c r="C567" t="s">
        <v>75</v>
      </c>
      <c r="D567">
        <v>2015</v>
      </c>
      <c r="E567" t="s">
        <v>111</v>
      </c>
      <c r="F567" s="10">
        <v>2250876.2400030075</v>
      </c>
    </row>
    <row r="568" spans="1:6" hidden="1" x14ac:dyDescent="0.25">
      <c r="A568" t="s">
        <v>200</v>
      </c>
      <c r="B568" t="s">
        <v>56</v>
      </c>
      <c r="C568" t="s">
        <v>75</v>
      </c>
      <c r="D568">
        <v>2015</v>
      </c>
      <c r="E568" t="s">
        <v>111</v>
      </c>
      <c r="F568" s="10">
        <v>5622447.5345470216</v>
      </c>
    </row>
    <row r="569" spans="1:6" hidden="1" x14ac:dyDescent="0.25">
      <c r="A569" t="s">
        <v>201</v>
      </c>
      <c r="B569" t="s">
        <v>56</v>
      </c>
      <c r="C569" t="s">
        <v>75</v>
      </c>
      <c r="D569">
        <v>2015</v>
      </c>
      <c r="E569" t="s">
        <v>111</v>
      </c>
      <c r="F569" s="10">
        <v>692312.86216129712</v>
      </c>
    </row>
    <row r="570" spans="1:6" hidden="1" x14ac:dyDescent="0.25">
      <c r="A570" t="s">
        <v>202</v>
      </c>
      <c r="B570" t="s">
        <v>56</v>
      </c>
      <c r="C570" t="s">
        <v>75</v>
      </c>
      <c r="D570">
        <v>2015</v>
      </c>
      <c r="E570" t="s">
        <v>111</v>
      </c>
      <c r="F570" s="10">
        <v>4707525.4237288134</v>
      </c>
    </row>
    <row r="571" spans="1:6" hidden="1" x14ac:dyDescent="0.25">
      <c r="A571" t="s">
        <v>203</v>
      </c>
      <c r="B571" t="s">
        <v>56</v>
      </c>
      <c r="C571" t="s">
        <v>75</v>
      </c>
      <c r="D571">
        <v>2015</v>
      </c>
      <c r="E571" t="s">
        <v>111</v>
      </c>
      <c r="F571" s="10">
        <v>7671724.5762711866</v>
      </c>
    </row>
    <row r="572" spans="1:6" hidden="1" x14ac:dyDescent="0.25">
      <c r="A572" t="s">
        <v>199</v>
      </c>
      <c r="B572" t="s">
        <v>56</v>
      </c>
      <c r="C572" t="s">
        <v>75</v>
      </c>
      <c r="D572">
        <v>2050</v>
      </c>
      <c r="E572" t="s">
        <v>111</v>
      </c>
      <c r="F572" s="10">
        <v>2730308.5749391317</v>
      </c>
    </row>
    <row r="573" spans="1:6" hidden="1" x14ac:dyDescent="0.25">
      <c r="A573" t="s">
        <v>200</v>
      </c>
      <c r="B573" t="s">
        <v>56</v>
      </c>
      <c r="C573" t="s">
        <v>75</v>
      </c>
      <c r="D573">
        <v>2050</v>
      </c>
      <c r="E573" t="s">
        <v>111</v>
      </c>
      <c r="F573" s="10">
        <v>7188731.0780219045</v>
      </c>
    </row>
    <row r="574" spans="1:6" hidden="1" x14ac:dyDescent="0.25">
      <c r="A574" t="s">
        <v>201</v>
      </c>
      <c r="B574" t="s">
        <v>56</v>
      </c>
      <c r="C574" t="s">
        <v>75</v>
      </c>
      <c r="D574">
        <v>2050</v>
      </c>
      <c r="E574" t="s">
        <v>111</v>
      </c>
      <c r="F574" s="10">
        <v>575577.73553004721</v>
      </c>
    </row>
    <row r="575" spans="1:6" hidden="1" x14ac:dyDescent="0.25">
      <c r="A575" t="s">
        <v>202</v>
      </c>
      <c r="B575" t="s">
        <v>56</v>
      </c>
      <c r="C575" t="s">
        <v>75</v>
      </c>
      <c r="D575">
        <v>2050</v>
      </c>
      <c r="E575" t="s">
        <v>111</v>
      </c>
      <c r="F575" s="10">
        <v>5400101.6949152546</v>
      </c>
    </row>
    <row r="576" spans="1:6" hidden="1" x14ac:dyDescent="0.25">
      <c r="A576" t="s">
        <v>203</v>
      </c>
      <c r="B576" t="s">
        <v>56</v>
      </c>
      <c r="C576" t="s">
        <v>75</v>
      </c>
      <c r="D576">
        <v>2050</v>
      </c>
      <c r="E576" t="s">
        <v>111</v>
      </c>
      <c r="F576" s="10">
        <v>4876978.8135593226</v>
      </c>
    </row>
    <row r="577" spans="1:6" hidden="1" x14ac:dyDescent="0.25">
      <c r="A577" t="s">
        <v>199</v>
      </c>
      <c r="B577" t="s">
        <v>56</v>
      </c>
      <c r="C577" t="s">
        <v>76</v>
      </c>
      <c r="D577">
        <v>2015</v>
      </c>
      <c r="E577" t="s">
        <v>111</v>
      </c>
      <c r="F577" s="10">
        <v>1301173.4259136606</v>
      </c>
    </row>
    <row r="578" spans="1:6" hidden="1" x14ac:dyDescent="0.25">
      <c r="A578" t="s">
        <v>200</v>
      </c>
      <c r="B578" t="s">
        <v>56</v>
      </c>
      <c r="C578" t="s">
        <v>76</v>
      </c>
      <c r="D578">
        <v>2015</v>
      </c>
      <c r="E578" t="s">
        <v>111</v>
      </c>
      <c r="F578" s="10">
        <v>1911702.5765665402</v>
      </c>
    </row>
    <row r="579" spans="1:6" hidden="1" x14ac:dyDescent="0.25">
      <c r="A579" t="s">
        <v>201</v>
      </c>
      <c r="B579" t="s">
        <v>56</v>
      </c>
      <c r="C579" t="s">
        <v>76</v>
      </c>
      <c r="D579">
        <v>2015</v>
      </c>
      <c r="E579" t="s">
        <v>111</v>
      </c>
      <c r="F579" s="10">
        <v>718847.34524302639</v>
      </c>
    </row>
    <row r="580" spans="1:6" hidden="1" x14ac:dyDescent="0.25">
      <c r="A580" t="s">
        <v>202</v>
      </c>
      <c r="B580" t="s">
        <v>56</v>
      </c>
      <c r="C580" t="s">
        <v>76</v>
      </c>
      <c r="D580">
        <v>2015</v>
      </c>
      <c r="E580" t="s">
        <v>111</v>
      </c>
      <c r="F580" s="10">
        <v>2450866.5254237289</v>
      </c>
    </row>
    <row r="581" spans="1:6" hidden="1" x14ac:dyDescent="0.25">
      <c r="A581" t="s">
        <v>203</v>
      </c>
      <c r="B581" t="s">
        <v>56</v>
      </c>
      <c r="C581" t="s">
        <v>76</v>
      </c>
      <c r="D581">
        <v>2015</v>
      </c>
      <c r="E581" t="s">
        <v>111</v>
      </c>
      <c r="F581" s="10">
        <v>8391762.7118644081</v>
      </c>
    </row>
    <row r="582" spans="1:6" hidden="1" x14ac:dyDescent="0.25">
      <c r="A582" t="s">
        <v>199</v>
      </c>
      <c r="B582" t="s">
        <v>56</v>
      </c>
      <c r="C582" t="s">
        <v>76</v>
      </c>
      <c r="D582">
        <v>2050</v>
      </c>
      <c r="E582" t="s">
        <v>111</v>
      </c>
      <c r="F582" s="10">
        <v>945559.7342091254</v>
      </c>
    </row>
    <row r="583" spans="1:6" hidden="1" x14ac:dyDescent="0.25">
      <c r="A583" t="s">
        <v>200</v>
      </c>
      <c r="B583" t="s">
        <v>56</v>
      </c>
      <c r="C583" t="s">
        <v>76</v>
      </c>
      <c r="D583">
        <v>2050</v>
      </c>
      <c r="E583" t="s">
        <v>111</v>
      </c>
      <c r="F583" s="10">
        <v>4023362.8715905203</v>
      </c>
    </row>
    <row r="584" spans="1:6" hidden="1" x14ac:dyDescent="0.25">
      <c r="A584" t="s">
        <v>201</v>
      </c>
      <c r="B584" t="s">
        <v>56</v>
      </c>
      <c r="C584" t="s">
        <v>76</v>
      </c>
      <c r="D584">
        <v>2050</v>
      </c>
      <c r="E584" t="s">
        <v>111</v>
      </c>
      <c r="F584" s="10">
        <v>1099886.9855529144</v>
      </c>
    </row>
    <row r="585" spans="1:6" hidden="1" x14ac:dyDescent="0.25">
      <c r="A585" t="s">
        <v>202</v>
      </c>
      <c r="B585" t="s">
        <v>56</v>
      </c>
      <c r="C585" t="s">
        <v>76</v>
      </c>
      <c r="D585">
        <v>2050</v>
      </c>
      <c r="E585" t="s">
        <v>111</v>
      </c>
      <c r="F585" s="10">
        <v>3561756.3559322036</v>
      </c>
    </row>
    <row r="586" spans="1:6" hidden="1" x14ac:dyDescent="0.25">
      <c r="A586" t="s">
        <v>203</v>
      </c>
      <c r="B586" t="s">
        <v>56</v>
      </c>
      <c r="C586" t="s">
        <v>76</v>
      </c>
      <c r="D586">
        <v>2050</v>
      </c>
      <c r="E586" t="s">
        <v>111</v>
      </c>
      <c r="F586" s="10">
        <v>7529938.559322034</v>
      </c>
    </row>
    <row r="587" spans="1:6" hidden="1" x14ac:dyDescent="0.25">
      <c r="A587" t="s">
        <v>199</v>
      </c>
      <c r="B587" t="s">
        <v>56</v>
      </c>
      <c r="C587" t="s">
        <v>77</v>
      </c>
      <c r="D587">
        <v>2015</v>
      </c>
      <c r="E587" t="s">
        <v>111</v>
      </c>
      <c r="F587" s="10">
        <v>4786135.0490100915</v>
      </c>
    </row>
    <row r="588" spans="1:6" hidden="1" x14ac:dyDescent="0.25">
      <c r="A588" t="s">
        <v>200</v>
      </c>
      <c r="B588" t="s">
        <v>56</v>
      </c>
      <c r="C588" t="s">
        <v>77</v>
      </c>
      <c r="D588">
        <v>2015</v>
      </c>
      <c r="E588" t="s">
        <v>111</v>
      </c>
      <c r="F588" s="10">
        <v>6332393.6642246051</v>
      </c>
    </row>
    <row r="589" spans="1:6" hidden="1" x14ac:dyDescent="0.25">
      <c r="A589" t="s">
        <v>201</v>
      </c>
      <c r="B589" t="s">
        <v>56</v>
      </c>
      <c r="C589" t="s">
        <v>77</v>
      </c>
      <c r="D589">
        <v>2015</v>
      </c>
      <c r="E589" t="s">
        <v>111</v>
      </c>
      <c r="F589" s="10">
        <v>1261053.3388025244</v>
      </c>
    </row>
    <row r="590" spans="1:6" hidden="1" x14ac:dyDescent="0.25">
      <c r="A590" t="s">
        <v>202</v>
      </c>
      <c r="B590" t="s">
        <v>56</v>
      </c>
      <c r="C590" t="s">
        <v>77</v>
      </c>
      <c r="D590">
        <v>2015</v>
      </c>
      <c r="E590" t="s">
        <v>111</v>
      </c>
      <c r="F590" s="10">
        <v>4144569.9152542376</v>
      </c>
    </row>
    <row r="591" spans="1:6" hidden="1" x14ac:dyDescent="0.25">
      <c r="A591" t="s">
        <v>203</v>
      </c>
      <c r="B591" t="s">
        <v>56</v>
      </c>
      <c r="C591" t="s">
        <v>77</v>
      </c>
      <c r="D591">
        <v>2015</v>
      </c>
      <c r="E591" t="s">
        <v>111</v>
      </c>
      <c r="F591" s="10">
        <v>10095002.118644068</v>
      </c>
    </row>
    <row r="592" spans="1:6" hidden="1" x14ac:dyDescent="0.25">
      <c r="A592" t="s">
        <v>199</v>
      </c>
      <c r="B592" t="s">
        <v>56</v>
      </c>
      <c r="C592" t="s">
        <v>77</v>
      </c>
      <c r="D592">
        <v>2050</v>
      </c>
      <c r="E592" t="s">
        <v>111</v>
      </c>
      <c r="F592" s="10">
        <v>1927840.5385994983</v>
      </c>
    </row>
    <row r="593" spans="1:6" hidden="1" x14ac:dyDescent="0.25">
      <c r="A593" t="s">
        <v>200</v>
      </c>
      <c r="B593" t="s">
        <v>56</v>
      </c>
      <c r="C593" t="s">
        <v>77</v>
      </c>
      <c r="D593">
        <v>2050</v>
      </c>
      <c r="E593" t="s">
        <v>111</v>
      </c>
      <c r="F593" s="10">
        <v>12494439.91780144</v>
      </c>
    </row>
    <row r="594" spans="1:6" hidden="1" x14ac:dyDescent="0.25">
      <c r="A594" t="s">
        <v>201</v>
      </c>
      <c r="B594" t="s">
        <v>56</v>
      </c>
      <c r="C594" t="s">
        <v>77</v>
      </c>
      <c r="D594">
        <v>2050</v>
      </c>
      <c r="E594" t="s">
        <v>111</v>
      </c>
      <c r="F594" s="10">
        <v>1192307.4214896038</v>
      </c>
    </row>
    <row r="595" spans="1:6" hidden="1" x14ac:dyDescent="0.25">
      <c r="A595" t="s">
        <v>202</v>
      </c>
      <c r="B595" t="s">
        <v>56</v>
      </c>
      <c r="C595" t="s">
        <v>77</v>
      </c>
      <c r="D595">
        <v>2050</v>
      </c>
      <c r="E595" t="s">
        <v>111</v>
      </c>
      <c r="F595" s="10">
        <v>4778713.9830508474</v>
      </c>
    </row>
    <row r="596" spans="1:6" hidden="1" x14ac:dyDescent="0.25">
      <c r="A596" t="s">
        <v>203</v>
      </c>
      <c r="B596" t="s">
        <v>56</v>
      </c>
      <c r="C596" t="s">
        <v>77</v>
      </c>
      <c r="D596">
        <v>2050</v>
      </c>
      <c r="E596" t="s">
        <v>111</v>
      </c>
      <c r="F596" s="10">
        <v>7226226.6949152546</v>
      </c>
    </row>
    <row r="597" spans="1:6" hidden="1" x14ac:dyDescent="0.25">
      <c r="A597" t="s">
        <v>199</v>
      </c>
      <c r="B597" t="s">
        <v>56</v>
      </c>
      <c r="C597" t="s">
        <v>78</v>
      </c>
      <c r="D597">
        <v>2015</v>
      </c>
      <c r="E597" t="s">
        <v>111</v>
      </c>
      <c r="F597" s="10">
        <v>1077918.2506487535</v>
      </c>
    </row>
    <row r="598" spans="1:6" hidden="1" x14ac:dyDescent="0.25">
      <c r="A598" t="s">
        <v>200</v>
      </c>
      <c r="B598" t="s">
        <v>56</v>
      </c>
      <c r="C598" t="s">
        <v>78</v>
      </c>
      <c r="D598">
        <v>2015</v>
      </c>
      <c r="E598" t="s">
        <v>111</v>
      </c>
      <c r="F598" s="10">
        <v>785100.68982382771</v>
      </c>
    </row>
    <row r="599" spans="1:6" hidden="1" x14ac:dyDescent="0.25">
      <c r="A599" t="s">
        <v>201</v>
      </c>
      <c r="B599" t="s">
        <v>56</v>
      </c>
      <c r="C599" t="s">
        <v>78</v>
      </c>
      <c r="D599">
        <v>2015</v>
      </c>
      <c r="E599" t="s">
        <v>111</v>
      </c>
      <c r="F599" s="10">
        <v>246255.10484584933</v>
      </c>
    </row>
    <row r="600" spans="1:6" hidden="1" x14ac:dyDescent="0.25">
      <c r="A600" t="s">
        <v>202</v>
      </c>
      <c r="B600" t="s">
        <v>56</v>
      </c>
      <c r="C600" t="s">
        <v>78</v>
      </c>
      <c r="D600">
        <v>2015</v>
      </c>
      <c r="E600" t="s">
        <v>111</v>
      </c>
      <c r="F600" s="10">
        <v>4839273.3050847463</v>
      </c>
    </row>
    <row r="601" spans="1:6" hidden="1" x14ac:dyDescent="0.25">
      <c r="A601" t="s">
        <v>203</v>
      </c>
      <c r="B601" t="s">
        <v>56</v>
      </c>
      <c r="C601" t="s">
        <v>78</v>
      </c>
      <c r="D601">
        <v>2015</v>
      </c>
      <c r="E601" t="s">
        <v>111</v>
      </c>
      <c r="F601" s="10">
        <v>808919.49152542383</v>
      </c>
    </row>
    <row r="602" spans="1:6" hidden="1" x14ac:dyDescent="0.25">
      <c r="A602" t="s">
        <v>199</v>
      </c>
      <c r="B602" t="s">
        <v>56</v>
      </c>
      <c r="C602" t="s">
        <v>78</v>
      </c>
      <c r="D602">
        <v>2050</v>
      </c>
      <c r="E602" t="s">
        <v>111</v>
      </c>
      <c r="F602" s="10">
        <v>629010.895166478</v>
      </c>
    </row>
    <row r="603" spans="1:6" hidden="1" x14ac:dyDescent="0.25">
      <c r="A603" t="s">
        <v>200</v>
      </c>
      <c r="B603" t="s">
        <v>56</v>
      </c>
      <c r="C603" t="s">
        <v>78</v>
      </c>
      <c r="D603">
        <v>2050</v>
      </c>
      <c r="E603" t="s">
        <v>111</v>
      </c>
      <c r="F603" s="10">
        <v>1415325.3059114106</v>
      </c>
    </row>
    <row r="604" spans="1:6" hidden="1" x14ac:dyDescent="0.25">
      <c r="A604" t="s">
        <v>201</v>
      </c>
      <c r="B604" t="s">
        <v>56</v>
      </c>
      <c r="C604" t="s">
        <v>78</v>
      </c>
      <c r="D604">
        <v>2050</v>
      </c>
      <c r="E604" t="s">
        <v>111</v>
      </c>
      <c r="F604" s="10">
        <v>200101.04155401894</v>
      </c>
    </row>
    <row r="605" spans="1:6" hidden="1" x14ac:dyDescent="0.25">
      <c r="A605" t="s">
        <v>202</v>
      </c>
      <c r="B605" t="s">
        <v>56</v>
      </c>
      <c r="C605" t="s">
        <v>78</v>
      </c>
      <c r="D605">
        <v>2050</v>
      </c>
      <c r="E605" t="s">
        <v>111</v>
      </c>
      <c r="F605" s="10">
        <v>6182016.9491525423</v>
      </c>
    </row>
    <row r="606" spans="1:6" hidden="1" x14ac:dyDescent="0.25">
      <c r="A606" t="s">
        <v>203</v>
      </c>
      <c r="B606" t="s">
        <v>56</v>
      </c>
      <c r="C606" t="s">
        <v>78</v>
      </c>
      <c r="D606">
        <v>2050</v>
      </c>
      <c r="E606" t="s">
        <v>111</v>
      </c>
      <c r="F606" s="10">
        <v>755296.61016949173</v>
      </c>
    </row>
    <row r="607" spans="1:6" x14ac:dyDescent="0.25">
      <c r="A607" t="s">
        <v>55</v>
      </c>
      <c r="B607" t="s">
        <v>86</v>
      </c>
      <c r="C607" t="s">
        <v>23</v>
      </c>
      <c r="D607">
        <v>2015</v>
      </c>
      <c r="E607" t="s">
        <v>59</v>
      </c>
      <c r="F607" s="10">
        <v>0</v>
      </c>
    </row>
    <row r="608" spans="1:6" x14ac:dyDescent="0.25">
      <c r="A608" t="s">
        <v>55</v>
      </c>
      <c r="B608" t="s">
        <v>86</v>
      </c>
      <c r="C608" t="s">
        <v>24</v>
      </c>
      <c r="D608">
        <v>2015</v>
      </c>
      <c r="E608" t="s">
        <v>59</v>
      </c>
      <c r="F608" s="10">
        <v>0</v>
      </c>
    </row>
    <row r="609" spans="1:6" x14ac:dyDescent="0.25">
      <c r="A609" t="s">
        <v>55</v>
      </c>
      <c r="B609" t="s">
        <v>86</v>
      </c>
      <c r="C609" t="s">
        <v>75</v>
      </c>
      <c r="D609">
        <v>2015</v>
      </c>
      <c r="E609" t="s">
        <v>59</v>
      </c>
      <c r="F609" s="10">
        <v>0</v>
      </c>
    </row>
    <row r="610" spans="1:6" x14ac:dyDescent="0.25">
      <c r="A610" t="s">
        <v>55</v>
      </c>
      <c r="B610" t="s">
        <v>86</v>
      </c>
      <c r="C610" t="s">
        <v>76</v>
      </c>
      <c r="D610">
        <v>2015</v>
      </c>
      <c r="E610" t="s">
        <v>59</v>
      </c>
      <c r="F610" s="10">
        <v>0</v>
      </c>
    </row>
    <row r="611" spans="1:6" x14ac:dyDescent="0.25">
      <c r="A611" t="s">
        <v>55</v>
      </c>
      <c r="B611" t="s">
        <v>86</v>
      </c>
      <c r="C611" t="s">
        <v>77</v>
      </c>
      <c r="D611">
        <v>2015</v>
      </c>
      <c r="E611" t="s">
        <v>59</v>
      </c>
      <c r="F611" s="10">
        <v>0</v>
      </c>
    </row>
    <row r="612" spans="1:6" x14ac:dyDescent="0.25">
      <c r="A612" t="s">
        <v>55</v>
      </c>
      <c r="B612" t="s">
        <v>86</v>
      </c>
      <c r="C612" t="s">
        <v>78</v>
      </c>
      <c r="D612">
        <v>2015</v>
      </c>
      <c r="E612" t="s">
        <v>59</v>
      </c>
      <c r="F612" s="10">
        <v>0</v>
      </c>
    </row>
    <row r="613" spans="1:6" x14ac:dyDescent="0.25">
      <c r="A613" t="s">
        <v>85</v>
      </c>
      <c r="B613" t="s">
        <v>86</v>
      </c>
      <c r="C613" t="s">
        <v>23</v>
      </c>
      <c r="D613">
        <v>2015</v>
      </c>
      <c r="E613" t="s">
        <v>59</v>
      </c>
      <c r="F613" s="10">
        <v>0</v>
      </c>
    </row>
    <row r="614" spans="1:6" x14ac:dyDescent="0.25">
      <c r="A614" t="s">
        <v>85</v>
      </c>
      <c r="B614" t="s">
        <v>86</v>
      </c>
      <c r="C614" t="s">
        <v>24</v>
      </c>
      <c r="D614">
        <v>2015</v>
      </c>
      <c r="E614" t="s">
        <v>59</v>
      </c>
      <c r="F614" s="10">
        <v>0</v>
      </c>
    </row>
    <row r="615" spans="1:6" x14ac:dyDescent="0.25">
      <c r="A615" t="s">
        <v>85</v>
      </c>
      <c r="B615" t="s">
        <v>86</v>
      </c>
      <c r="C615" t="s">
        <v>75</v>
      </c>
      <c r="D615">
        <v>2015</v>
      </c>
      <c r="E615" t="s">
        <v>59</v>
      </c>
      <c r="F615" s="10">
        <v>0</v>
      </c>
    </row>
    <row r="616" spans="1:6" x14ac:dyDescent="0.25">
      <c r="A616" t="s">
        <v>85</v>
      </c>
      <c r="B616" t="s">
        <v>86</v>
      </c>
      <c r="C616" t="s">
        <v>76</v>
      </c>
      <c r="D616">
        <v>2015</v>
      </c>
      <c r="E616" t="s">
        <v>59</v>
      </c>
      <c r="F616" s="10">
        <v>0</v>
      </c>
    </row>
    <row r="617" spans="1:6" x14ac:dyDescent="0.25">
      <c r="A617" t="s">
        <v>85</v>
      </c>
      <c r="B617" t="s">
        <v>86</v>
      </c>
      <c r="C617" t="s">
        <v>77</v>
      </c>
      <c r="D617">
        <v>2015</v>
      </c>
      <c r="E617" t="s">
        <v>59</v>
      </c>
      <c r="F617" s="10">
        <v>0</v>
      </c>
    </row>
    <row r="618" spans="1:6" x14ac:dyDescent="0.25">
      <c r="A618" t="s">
        <v>85</v>
      </c>
      <c r="B618" t="s">
        <v>86</v>
      </c>
      <c r="C618" t="s">
        <v>78</v>
      </c>
      <c r="D618">
        <v>2015</v>
      </c>
      <c r="E618" t="s">
        <v>59</v>
      </c>
      <c r="F618" s="10">
        <v>0</v>
      </c>
    </row>
    <row r="619" spans="1:6" x14ac:dyDescent="0.25">
      <c r="A619" t="s">
        <v>55</v>
      </c>
      <c r="B619" t="s">
        <v>86</v>
      </c>
      <c r="C619" t="s">
        <v>23</v>
      </c>
      <c r="E619" t="s">
        <v>59</v>
      </c>
      <c r="F619" s="10">
        <f>2.31*0.05*RESOURCES!F296</f>
        <v>508200</v>
      </c>
    </row>
    <row r="620" spans="1:6" x14ac:dyDescent="0.25">
      <c r="A620" t="s">
        <v>55</v>
      </c>
      <c r="B620" t="s">
        <v>86</v>
      </c>
      <c r="C620" t="s">
        <v>24</v>
      </c>
      <c r="E620" t="s">
        <v>59</v>
      </c>
      <c r="F620" s="10">
        <f>2.31*0.05*RESOURCES!F311</f>
        <v>1062600</v>
      </c>
    </row>
    <row r="621" spans="1:6" x14ac:dyDescent="0.25">
      <c r="A621" t="s">
        <v>55</v>
      </c>
      <c r="B621" t="s">
        <v>86</v>
      </c>
      <c r="C621" t="s">
        <v>75</v>
      </c>
      <c r="E621" t="s">
        <v>59</v>
      </c>
      <c r="F621" s="10">
        <f>2.31*0.05*RESOURCES!F325</f>
        <v>101640.00000000001</v>
      </c>
    </row>
    <row r="622" spans="1:6" x14ac:dyDescent="0.25">
      <c r="A622" t="s">
        <v>55</v>
      </c>
      <c r="B622" t="s">
        <v>86</v>
      </c>
      <c r="C622" t="s">
        <v>76</v>
      </c>
      <c r="E622" t="s">
        <v>59</v>
      </c>
      <c r="F622" s="10">
        <f>2.31*0.05*RESOURCES!F339</f>
        <v>0</v>
      </c>
    </row>
    <row r="623" spans="1:6" x14ac:dyDescent="0.25">
      <c r="A623" t="s">
        <v>55</v>
      </c>
      <c r="B623" t="s">
        <v>86</v>
      </c>
      <c r="C623" t="s">
        <v>77</v>
      </c>
      <c r="E623" t="s">
        <v>59</v>
      </c>
      <c r="F623" s="10">
        <f>2.31*0.05*RESOURCES!F353</f>
        <v>311850</v>
      </c>
    </row>
    <row r="624" spans="1:6" x14ac:dyDescent="0.25">
      <c r="A624" t="s">
        <v>55</v>
      </c>
      <c r="B624" t="s">
        <v>86</v>
      </c>
      <c r="C624" t="s">
        <v>78</v>
      </c>
      <c r="E624" t="s">
        <v>59</v>
      </c>
      <c r="F624" s="10">
        <f>2.31*0.05*RESOURCES!F367</f>
        <v>427350</v>
      </c>
    </row>
    <row r="625" spans="1:6" x14ac:dyDescent="0.25">
      <c r="A625" t="s">
        <v>85</v>
      </c>
      <c r="B625" t="s">
        <v>86</v>
      </c>
      <c r="C625" t="s">
        <v>23</v>
      </c>
      <c r="E625" t="s">
        <v>59</v>
      </c>
      <c r="F625" s="10">
        <f>F619</f>
        <v>508200</v>
      </c>
    </row>
    <row r="626" spans="1:6" x14ac:dyDescent="0.25">
      <c r="A626" t="s">
        <v>85</v>
      </c>
      <c r="B626" t="s">
        <v>86</v>
      </c>
      <c r="C626" t="s">
        <v>24</v>
      </c>
      <c r="E626" t="s">
        <v>59</v>
      </c>
      <c r="F626" s="10">
        <f>F620</f>
        <v>1062600</v>
      </c>
    </row>
    <row r="627" spans="1:6" x14ac:dyDescent="0.25">
      <c r="A627" t="s">
        <v>85</v>
      </c>
      <c r="B627" t="s">
        <v>86</v>
      </c>
      <c r="C627" t="s">
        <v>75</v>
      </c>
      <c r="E627" t="s">
        <v>59</v>
      </c>
      <c r="F627" s="10">
        <f t="shared" ref="F627:F630" si="2">F621</f>
        <v>101640.00000000001</v>
      </c>
    </row>
    <row r="628" spans="1:6" x14ac:dyDescent="0.25">
      <c r="A628" t="s">
        <v>85</v>
      </c>
      <c r="B628" t="s">
        <v>86</v>
      </c>
      <c r="C628" t="s">
        <v>76</v>
      </c>
      <c r="E628" t="s">
        <v>59</v>
      </c>
      <c r="F628" s="10">
        <f t="shared" si="2"/>
        <v>0</v>
      </c>
    </row>
    <row r="629" spans="1:6" x14ac:dyDescent="0.25">
      <c r="A629" t="s">
        <v>85</v>
      </c>
      <c r="B629" t="s">
        <v>86</v>
      </c>
      <c r="C629" t="s">
        <v>77</v>
      </c>
      <c r="E629" t="s">
        <v>59</v>
      </c>
      <c r="F629" s="10">
        <f t="shared" si="2"/>
        <v>311850</v>
      </c>
    </row>
    <row r="630" spans="1:6" x14ac:dyDescent="0.25">
      <c r="A630" t="s">
        <v>85</v>
      </c>
      <c r="B630" t="s">
        <v>86</v>
      </c>
      <c r="C630" t="s">
        <v>78</v>
      </c>
      <c r="E630" t="s">
        <v>59</v>
      </c>
      <c r="F630" s="10">
        <f t="shared" si="2"/>
        <v>427350</v>
      </c>
    </row>
    <row r="631" spans="1:6" x14ac:dyDescent="0.25">
      <c r="A631" t="s">
        <v>85</v>
      </c>
      <c r="B631" t="s">
        <v>86</v>
      </c>
      <c r="E631" t="s">
        <v>29</v>
      </c>
      <c r="F631">
        <f>F350*TECHNOLOGIES_RESOURCES!$F$53/TECHNOLOGIES_RESOURCES!$F$64</f>
        <v>2917.3224489795921</v>
      </c>
    </row>
    <row r="632" spans="1:6" x14ac:dyDescent="0.25">
      <c r="A632" t="s">
        <v>85</v>
      </c>
      <c r="B632" t="s">
        <v>86</v>
      </c>
      <c r="E632" t="s">
        <v>38</v>
      </c>
      <c r="F632">
        <f>F352*TECHNOLOGIES_RESOURCES!$F$53/TECHNOLOGIES_RESOURCES!$F$64</f>
        <v>711.47755102040821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topLeftCell="A40" workbookViewId="0">
      <selection activeCell="G62" sqref="G62"/>
    </sheetView>
  </sheetViews>
  <sheetFormatPr baseColWidth="10" defaultRowHeight="15" x14ac:dyDescent="0.25"/>
  <cols>
    <col min="1" max="1" width="49.42578125" bestFit="1" customWidth="1"/>
    <col min="2" max="2" width="16.140625" style="38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28" t="s">
        <v>15</v>
      </c>
      <c r="C1" s="1" t="s">
        <v>43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ht="15.75" x14ac:dyDescent="0.25">
      <c r="A2" t="s">
        <v>184</v>
      </c>
      <c r="B2" s="38" t="s">
        <v>73</v>
      </c>
      <c r="C2" t="s">
        <v>63</v>
      </c>
      <c r="F2" t="s">
        <v>28</v>
      </c>
      <c r="G2" s="28" t="s">
        <v>117</v>
      </c>
    </row>
    <row r="3" spans="1:7" ht="15.75" x14ac:dyDescent="0.25">
      <c r="A3" t="s">
        <v>184</v>
      </c>
      <c r="B3" s="38" t="s">
        <v>5</v>
      </c>
      <c r="C3" t="s">
        <v>63</v>
      </c>
      <c r="F3" t="s">
        <v>28</v>
      </c>
      <c r="G3" s="28" t="s">
        <v>117</v>
      </c>
    </row>
    <row r="4" spans="1:7" ht="15.75" x14ac:dyDescent="0.25">
      <c r="A4" t="s">
        <v>184</v>
      </c>
      <c r="B4" s="38" t="s">
        <v>6</v>
      </c>
      <c r="C4" t="s">
        <v>63</v>
      </c>
      <c r="F4" t="s">
        <v>28</v>
      </c>
      <c r="G4" s="28" t="s">
        <v>117</v>
      </c>
    </row>
    <row r="5" spans="1:7" ht="15.75" x14ac:dyDescent="0.25">
      <c r="A5" t="s">
        <v>184</v>
      </c>
      <c r="B5" s="38" t="s">
        <v>73</v>
      </c>
      <c r="C5" t="s">
        <v>63</v>
      </c>
      <c r="E5">
        <v>2015</v>
      </c>
      <c r="F5" t="s">
        <v>37</v>
      </c>
      <c r="G5" s="28">
        <v>0.5</v>
      </c>
    </row>
    <row r="6" spans="1:7" ht="15.75" x14ac:dyDescent="0.25">
      <c r="A6" t="s">
        <v>184</v>
      </c>
      <c r="B6" s="38" t="s">
        <v>5</v>
      </c>
      <c r="C6" t="s">
        <v>63</v>
      </c>
      <c r="E6">
        <v>2015</v>
      </c>
      <c r="F6" t="s">
        <v>37</v>
      </c>
      <c r="G6" s="28">
        <v>0.5</v>
      </c>
    </row>
    <row r="7" spans="1:7" ht="15.75" x14ac:dyDescent="0.25">
      <c r="A7" t="s">
        <v>184</v>
      </c>
      <c r="B7" s="38" t="s">
        <v>73</v>
      </c>
      <c r="C7" t="s">
        <v>63</v>
      </c>
      <c r="E7">
        <v>2016</v>
      </c>
      <c r="F7" t="s">
        <v>37</v>
      </c>
      <c r="G7" s="28">
        <v>0.5</v>
      </c>
    </row>
    <row r="8" spans="1:7" ht="15.75" x14ac:dyDescent="0.25">
      <c r="A8" t="s">
        <v>184</v>
      </c>
      <c r="B8" s="38" t="s">
        <v>5</v>
      </c>
      <c r="C8" t="s">
        <v>63</v>
      </c>
      <c r="E8">
        <v>2016</v>
      </c>
      <c r="F8" t="s">
        <v>37</v>
      </c>
      <c r="G8" s="28">
        <v>0.5</v>
      </c>
    </row>
    <row r="9" spans="1:7" ht="15.75" x14ac:dyDescent="0.25">
      <c r="A9" t="s">
        <v>184</v>
      </c>
      <c r="B9" s="38" t="s">
        <v>73</v>
      </c>
      <c r="C9" t="s">
        <v>63</v>
      </c>
      <c r="E9">
        <v>2017</v>
      </c>
      <c r="F9" t="s">
        <v>37</v>
      </c>
      <c r="G9" s="28">
        <v>0.5</v>
      </c>
    </row>
    <row r="10" spans="1:7" ht="15.75" x14ac:dyDescent="0.25">
      <c r="A10" t="s">
        <v>184</v>
      </c>
      <c r="B10" s="38" t="s">
        <v>5</v>
      </c>
      <c r="C10" t="s">
        <v>63</v>
      </c>
      <c r="E10">
        <v>2017</v>
      </c>
      <c r="F10" t="s">
        <v>37</v>
      </c>
      <c r="G10" s="28">
        <v>0.5</v>
      </c>
    </row>
    <row r="11" spans="1:7" ht="15.75" x14ac:dyDescent="0.25">
      <c r="A11" t="s">
        <v>184</v>
      </c>
      <c r="B11" s="38" t="s">
        <v>73</v>
      </c>
      <c r="C11" t="s">
        <v>63</v>
      </c>
      <c r="E11">
        <v>2018</v>
      </c>
      <c r="F11" t="s">
        <v>37</v>
      </c>
      <c r="G11" s="28">
        <v>0.5</v>
      </c>
    </row>
    <row r="12" spans="1:7" ht="15.75" x14ac:dyDescent="0.25">
      <c r="A12" t="s">
        <v>184</v>
      </c>
      <c r="B12" s="38" t="s">
        <v>5</v>
      </c>
      <c r="C12" t="s">
        <v>63</v>
      </c>
      <c r="E12">
        <v>2018</v>
      </c>
      <c r="F12" t="s">
        <v>37</v>
      </c>
      <c r="G12" s="28">
        <v>0.5</v>
      </c>
    </row>
    <row r="13" spans="1:7" ht="15.75" x14ac:dyDescent="0.25">
      <c r="A13" t="s">
        <v>184</v>
      </c>
      <c r="B13" s="38" t="s">
        <v>73</v>
      </c>
      <c r="C13" t="s">
        <v>63</v>
      </c>
      <c r="E13">
        <v>2019</v>
      </c>
      <c r="F13" t="s">
        <v>37</v>
      </c>
      <c r="G13" s="28">
        <v>0.5</v>
      </c>
    </row>
    <row r="14" spans="1:7" ht="15.75" x14ac:dyDescent="0.25">
      <c r="A14" t="s">
        <v>184</v>
      </c>
      <c r="B14" s="38" t="s">
        <v>5</v>
      </c>
      <c r="C14" t="s">
        <v>63</v>
      </c>
      <c r="E14">
        <v>2019</v>
      </c>
      <c r="F14" t="s">
        <v>37</v>
      </c>
      <c r="G14" s="28">
        <v>0.5</v>
      </c>
    </row>
    <row r="15" spans="1:7" ht="15.75" x14ac:dyDescent="0.25">
      <c r="A15" t="s">
        <v>184</v>
      </c>
      <c r="B15" s="38" t="s">
        <v>73</v>
      </c>
      <c r="C15" t="s">
        <v>63</v>
      </c>
      <c r="F15" s="17" t="s">
        <v>74</v>
      </c>
      <c r="G15" s="28">
        <v>0.75</v>
      </c>
    </row>
    <row r="16" spans="1:7" x14ac:dyDescent="0.25">
      <c r="A16" t="s">
        <v>136</v>
      </c>
      <c r="C16" t="s">
        <v>118</v>
      </c>
      <c r="E16">
        <v>2015</v>
      </c>
      <c r="F16" t="s">
        <v>37</v>
      </c>
      <c r="G16">
        <v>0.75</v>
      </c>
    </row>
    <row r="17" spans="1:7" x14ac:dyDescent="0.25">
      <c r="A17" t="s">
        <v>139</v>
      </c>
      <c r="C17" t="s">
        <v>118</v>
      </c>
      <c r="E17">
        <v>2015</v>
      </c>
      <c r="F17" t="s">
        <v>37</v>
      </c>
      <c r="G17">
        <v>0.9</v>
      </c>
    </row>
    <row r="18" spans="1:7" x14ac:dyDescent="0.25">
      <c r="A18" t="s">
        <v>130</v>
      </c>
      <c r="C18" t="s">
        <v>118</v>
      </c>
      <c r="E18">
        <v>2015</v>
      </c>
      <c r="F18" t="s">
        <v>37</v>
      </c>
      <c r="G18">
        <v>0.25</v>
      </c>
    </row>
    <row r="19" spans="1:7" x14ac:dyDescent="0.25">
      <c r="A19" t="s">
        <v>131</v>
      </c>
      <c r="C19" t="s">
        <v>118</v>
      </c>
      <c r="E19">
        <v>2015</v>
      </c>
      <c r="F19" t="s">
        <v>37</v>
      </c>
      <c r="G19">
        <v>9.9999999999999978E-2</v>
      </c>
    </row>
    <row r="20" spans="1:7" x14ac:dyDescent="0.25">
      <c r="A20" t="s">
        <v>136</v>
      </c>
      <c r="C20" t="s">
        <v>118</v>
      </c>
      <c r="F20" t="s">
        <v>28</v>
      </c>
      <c r="G20" t="s">
        <v>125</v>
      </c>
    </row>
    <row r="21" spans="1:7" x14ac:dyDescent="0.25">
      <c r="A21" t="s">
        <v>139</v>
      </c>
      <c r="C21" t="s">
        <v>118</v>
      </c>
      <c r="F21" t="s">
        <v>28</v>
      </c>
      <c r="G21" t="s">
        <v>126</v>
      </c>
    </row>
    <row r="22" spans="1:7" x14ac:dyDescent="0.25">
      <c r="A22" t="s">
        <v>130</v>
      </c>
      <c r="C22" t="s">
        <v>118</v>
      </c>
      <c r="F22" t="s">
        <v>28</v>
      </c>
      <c r="G22" t="s">
        <v>125</v>
      </c>
    </row>
    <row r="23" spans="1:7" x14ac:dyDescent="0.25">
      <c r="A23" t="s">
        <v>131</v>
      </c>
      <c r="C23" t="s">
        <v>118</v>
      </c>
      <c r="F23" t="s">
        <v>28</v>
      </c>
      <c r="G23" t="s">
        <v>126</v>
      </c>
    </row>
    <row r="24" spans="1:7" x14ac:dyDescent="0.25">
      <c r="A24" s="27" t="s">
        <v>143</v>
      </c>
      <c r="B24" s="40"/>
      <c r="C24" s="27" t="s">
        <v>118</v>
      </c>
      <c r="D24" s="27"/>
      <c r="E24" s="27"/>
      <c r="F24" s="27" t="s">
        <v>28</v>
      </c>
      <c r="G24" s="27" t="s">
        <v>140</v>
      </c>
    </row>
    <row r="25" spans="1:7" x14ac:dyDescent="0.25">
      <c r="A25" s="27" t="s">
        <v>143</v>
      </c>
      <c r="B25" s="40"/>
      <c r="C25" s="27" t="s">
        <v>118</v>
      </c>
      <c r="D25" s="27"/>
      <c r="E25" s="27"/>
      <c r="F25" s="27" t="s">
        <v>74</v>
      </c>
      <c r="G25" s="27">
        <v>0.3</v>
      </c>
    </row>
    <row r="26" spans="1:7" x14ac:dyDescent="0.25">
      <c r="A26" s="27" t="s">
        <v>145</v>
      </c>
      <c r="B26" s="40"/>
      <c r="C26" s="27" t="s">
        <v>118</v>
      </c>
      <c r="D26" s="27"/>
      <c r="E26" s="27"/>
      <c r="F26" s="27" t="s">
        <v>28</v>
      </c>
      <c r="G26" s="27" t="s">
        <v>141</v>
      </c>
    </row>
    <row r="27" spans="1:7" x14ac:dyDescent="0.25">
      <c r="A27" s="27" t="s">
        <v>145</v>
      </c>
      <c r="B27" s="40"/>
      <c r="C27" s="27" t="s">
        <v>118</v>
      </c>
      <c r="D27" s="27"/>
      <c r="E27" s="27"/>
      <c r="F27" s="27" t="s">
        <v>74</v>
      </c>
      <c r="G27" s="27">
        <v>0.3</v>
      </c>
    </row>
    <row r="28" spans="1:7" x14ac:dyDescent="0.25">
      <c r="A28" t="s">
        <v>146</v>
      </c>
      <c r="C28" t="s">
        <v>118</v>
      </c>
      <c r="F28" t="s">
        <v>28</v>
      </c>
      <c r="G28" t="s">
        <v>140</v>
      </c>
    </row>
    <row r="29" spans="1:7" x14ac:dyDescent="0.25">
      <c r="A29" t="s">
        <v>146</v>
      </c>
      <c r="C29" t="s">
        <v>118</v>
      </c>
      <c r="E29">
        <v>2015</v>
      </c>
      <c r="F29" t="s">
        <v>74</v>
      </c>
      <c r="G29">
        <v>7.4999999999999997E-2</v>
      </c>
    </row>
    <row r="30" spans="1:7" x14ac:dyDescent="0.25">
      <c r="A30" t="s">
        <v>146</v>
      </c>
      <c r="C30" t="s">
        <v>118</v>
      </c>
      <c r="E30">
        <f>E29+1</f>
        <v>2016</v>
      </c>
      <c r="F30" t="s">
        <v>74</v>
      </c>
      <c r="G30">
        <v>7.4999999999999997E-2</v>
      </c>
    </row>
    <row r="31" spans="1:7" x14ac:dyDescent="0.25">
      <c r="A31" t="s">
        <v>146</v>
      </c>
      <c r="C31" t="s">
        <v>118</v>
      </c>
      <c r="E31">
        <f t="shared" ref="E31:E33" si="0">E30+1</f>
        <v>2017</v>
      </c>
      <c r="F31" t="s">
        <v>74</v>
      </c>
      <c r="G31">
        <v>7.4999999999999997E-2</v>
      </c>
    </row>
    <row r="32" spans="1:7" x14ac:dyDescent="0.25">
      <c r="A32" t="s">
        <v>146</v>
      </c>
      <c r="C32" t="s">
        <v>118</v>
      </c>
      <c r="E32">
        <f t="shared" si="0"/>
        <v>2018</v>
      </c>
      <c r="F32" t="s">
        <v>74</v>
      </c>
      <c r="G32">
        <v>7.4999999999999997E-2</v>
      </c>
    </row>
    <row r="33" spans="1:7" x14ac:dyDescent="0.25">
      <c r="A33" t="s">
        <v>146</v>
      </c>
      <c r="C33" t="s">
        <v>118</v>
      </c>
      <c r="E33">
        <f t="shared" si="0"/>
        <v>2019</v>
      </c>
      <c r="F33" t="s">
        <v>74</v>
      </c>
      <c r="G33">
        <v>7.4999999999999997E-2</v>
      </c>
    </row>
    <row r="34" spans="1:7" x14ac:dyDescent="0.25">
      <c r="A34" t="s">
        <v>146</v>
      </c>
      <c r="C34" t="s">
        <v>118</v>
      </c>
      <c r="E34">
        <f t="shared" ref="E34:E39" si="1">E33+1</f>
        <v>2020</v>
      </c>
      <c r="F34" t="s">
        <v>74</v>
      </c>
      <c r="G34">
        <v>7.4999999999999997E-2</v>
      </c>
    </row>
    <row r="35" spans="1:7" x14ac:dyDescent="0.25">
      <c r="A35" t="s">
        <v>146</v>
      </c>
      <c r="C35" t="s">
        <v>118</v>
      </c>
      <c r="E35">
        <f t="shared" si="1"/>
        <v>2021</v>
      </c>
      <c r="F35" t="s">
        <v>74</v>
      </c>
      <c r="G35">
        <f>($G$63-$G$52)/10+G34</f>
        <v>9.2499999999999999E-2</v>
      </c>
    </row>
    <row r="36" spans="1:7" x14ac:dyDescent="0.25">
      <c r="A36" t="s">
        <v>146</v>
      </c>
      <c r="C36" t="s">
        <v>118</v>
      </c>
      <c r="E36">
        <f t="shared" si="1"/>
        <v>2022</v>
      </c>
      <c r="F36" t="s">
        <v>74</v>
      </c>
      <c r="G36">
        <f t="shared" ref="G36:G43" si="2">($G$63-$G$52)/10+G35</f>
        <v>0.11</v>
      </c>
    </row>
    <row r="37" spans="1:7" x14ac:dyDescent="0.25">
      <c r="A37" t="s">
        <v>146</v>
      </c>
      <c r="C37" t="s">
        <v>118</v>
      </c>
      <c r="E37">
        <f t="shared" si="1"/>
        <v>2023</v>
      </c>
      <c r="F37" t="s">
        <v>74</v>
      </c>
      <c r="G37">
        <f t="shared" si="2"/>
        <v>0.1275</v>
      </c>
    </row>
    <row r="38" spans="1:7" x14ac:dyDescent="0.25">
      <c r="A38" t="s">
        <v>146</v>
      </c>
      <c r="C38" t="s">
        <v>118</v>
      </c>
      <c r="E38">
        <f t="shared" si="1"/>
        <v>2024</v>
      </c>
      <c r="F38" t="s">
        <v>74</v>
      </c>
      <c r="G38">
        <f t="shared" si="2"/>
        <v>0.14499999999999999</v>
      </c>
    </row>
    <row r="39" spans="1:7" x14ac:dyDescent="0.25">
      <c r="A39" t="s">
        <v>146</v>
      </c>
      <c r="C39" t="s">
        <v>118</v>
      </c>
      <c r="E39">
        <f t="shared" si="1"/>
        <v>2025</v>
      </c>
      <c r="F39" t="s">
        <v>74</v>
      </c>
      <c r="G39">
        <f t="shared" si="2"/>
        <v>0.16249999999999998</v>
      </c>
    </row>
    <row r="40" spans="1:7" x14ac:dyDescent="0.25">
      <c r="A40" t="s">
        <v>146</v>
      </c>
      <c r="C40" t="s">
        <v>118</v>
      </c>
      <c r="E40">
        <f t="shared" ref="E40:E44" si="3">E39+1</f>
        <v>2026</v>
      </c>
      <c r="F40" t="s">
        <v>74</v>
      </c>
      <c r="G40">
        <f t="shared" si="2"/>
        <v>0.17999999999999997</v>
      </c>
    </row>
    <row r="41" spans="1:7" x14ac:dyDescent="0.25">
      <c r="A41" t="s">
        <v>146</v>
      </c>
      <c r="C41" t="s">
        <v>118</v>
      </c>
      <c r="E41">
        <f t="shared" si="3"/>
        <v>2027</v>
      </c>
      <c r="F41" t="s">
        <v>74</v>
      </c>
      <c r="G41">
        <f t="shared" si="2"/>
        <v>0.19749999999999995</v>
      </c>
    </row>
    <row r="42" spans="1:7" x14ac:dyDescent="0.25">
      <c r="A42" t="s">
        <v>146</v>
      </c>
      <c r="C42" t="s">
        <v>118</v>
      </c>
      <c r="E42">
        <f t="shared" si="3"/>
        <v>2028</v>
      </c>
      <c r="F42" t="s">
        <v>74</v>
      </c>
      <c r="G42">
        <f t="shared" si="2"/>
        <v>0.21499999999999994</v>
      </c>
    </row>
    <row r="43" spans="1:7" x14ac:dyDescent="0.25">
      <c r="A43" t="s">
        <v>146</v>
      </c>
      <c r="C43" t="s">
        <v>118</v>
      </c>
      <c r="E43">
        <f t="shared" si="3"/>
        <v>2029</v>
      </c>
      <c r="F43" t="s">
        <v>74</v>
      </c>
      <c r="G43">
        <f t="shared" si="2"/>
        <v>0.23249999999999993</v>
      </c>
    </row>
    <row r="44" spans="1:7" x14ac:dyDescent="0.25">
      <c r="A44" t="s">
        <v>146</v>
      </c>
      <c r="C44" t="s">
        <v>118</v>
      </c>
      <c r="E44">
        <f t="shared" si="3"/>
        <v>2030</v>
      </c>
      <c r="F44" t="s">
        <v>74</v>
      </c>
      <c r="G44">
        <v>0.25</v>
      </c>
    </row>
    <row r="45" spans="1:7" x14ac:dyDescent="0.25">
      <c r="A45" t="s">
        <v>146</v>
      </c>
      <c r="C45" t="s">
        <v>118</v>
      </c>
      <c r="F45" t="s">
        <v>74</v>
      </c>
      <c r="G45">
        <v>0.25</v>
      </c>
    </row>
    <row r="46" spans="1:7" x14ac:dyDescent="0.25">
      <c r="A46" t="s">
        <v>147</v>
      </c>
      <c r="C46" t="s">
        <v>118</v>
      </c>
      <c r="F46" t="s">
        <v>28</v>
      </c>
      <c r="G46" t="s">
        <v>141</v>
      </c>
    </row>
    <row r="47" spans="1:7" x14ac:dyDescent="0.25">
      <c r="A47" t="s">
        <v>147</v>
      </c>
      <c r="C47" t="s">
        <v>118</v>
      </c>
      <c r="E47">
        <v>2015</v>
      </c>
      <c r="F47" t="s">
        <v>74</v>
      </c>
      <c r="G47">
        <v>7.4999999999999997E-2</v>
      </c>
    </row>
    <row r="48" spans="1:7" x14ac:dyDescent="0.25">
      <c r="A48" t="s">
        <v>147</v>
      </c>
      <c r="C48" t="s">
        <v>118</v>
      </c>
      <c r="E48">
        <f>E47+1</f>
        <v>2016</v>
      </c>
      <c r="F48" t="s">
        <v>74</v>
      </c>
      <c r="G48">
        <v>7.4999999999999997E-2</v>
      </c>
    </row>
    <row r="49" spans="1:7" x14ac:dyDescent="0.25">
      <c r="A49" t="s">
        <v>147</v>
      </c>
      <c r="C49" t="s">
        <v>118</v>
      </c>
      <c r="E49">
        <f t="shared" ref="E49:E62" si="4">E48+1</f>
        <v>2017</v>
      </c>
      <c r="F49" t="s">
        <v>74</v>
      </c>
      <c r="G49">
        <v>7.4999999999999997E-2</v>
      </c>
    </row>
    <row r="50" spans="1:7" x14ac:dyDescent="0.25">
      <c r="A50" t="s">
        <v>147</v>
      </c>
      <c r="C50" t="s">
        <v>118</v>
      </c>
      <c r="E50">
        <f t="shared" si="4"/>
        <v>2018</v>
      </c>
      <c r="F50" t="s">
        <v>74</v>
      </c>
      <c r="G50">
        <v>7.4999999999999997E-2</v>
      </c>
    </row>
    <row r="51" spans="1:7" x14ac:dyDescent="0.25">
      <c r="A51" t="s">
        <v>147</v>
      </c>
      <c r="C51" t="s">
        <v>118</v>
      </c>
      <c r="E51">
        <f t="shared" si="4"/>
        <v>2019</v>
      </c>
      <c r="F51" t="s">
        <v>74</v>
      </c>
      <c r="G51">
        <v>7.4999999999999997E-2</v>
      </c>
    </row>
    <row r="52" spans="1:7" x14ac:dyDescent="0.25">
      <c r="A52" t="s">
        <v>147</v>
      </c>
      <c r="C52" t="s">
        <v>118</v>
      </c>
      <c r="E52">
        <f t="shared" si="4"/>
        <v>2020</v>
      </c>
      <c r="F52" t="s">
        <v>74</v>
      </c>
      <c r="G52">
        <v>7.4999999999999997E-2</v>
      </c>
    </row>
    <row r="53" spans="1:7" x14ac:dyDescent="0.25">
      <c r="A53" t="s">
        <v>147</v>
      </c>
      <c r="C53" t="s">
        <v>118</v>
      </c>
      <c r="E53">
        <f t="shared" si="4"/>
        <v>2021</v>
      </c>
      <c r="F53" t="s">
        <v>74</v>
      </c>
      <c r="G53">
        <f>($G$63-$G$52)/10+G52</f>
        <v>9.2499999999999999E-2</v>
      </c>
    </row>
    <row r="54" spans="1:7" x14ac:dyDescent="0.25">
      <c r="A54" t="s">
        <v>147</v>
      </c>
      <c r="C54" t="s">
        <v>118</v>
      </c>
      <c r="E54">
        <f t="shared" si="4"/>
        <v>2022</v>
      </c>
      <c r="F54" t="s">
        <v>74</v>
      </c>
      <c r="G54">
        <f t="shared" ref="G54:G61" si="5">($G$63-$G$52)/10+G53</f>
        <v>0.11</v>
      </c>
    </row>
    <row r="55" spans="1:7" x14ac:dyDescent="0.25">
      <c r="A55" t="s">
        <v>147</v>
      </c>
      <c r="C55" t="s">
        <v>118</v>
      </c>
      <c r="E55">
        <f t="shared" si="4"/>
        <v>2023</v>
      </c>
      <c r="F55" t="s">
        <v>74</v>
      </c>
      <c r="G55">
        <f t="shared" si="5"/>
        <v>0.1275</v>
      </c>
    </row>
    <row r="56" spans="1:7" x14ac:dyDescent="0.25">
      <c r="A56" t="s">
        <v>147</v>
      </c>
      <c r="C56" t="s">
        <v>118</v>
      </c>
      <c r="E56">
        <f t="shared" si="4"/>
        <v>2024</v>
      </c>
      <c r="F56" t="s">
        <v>74</v>
      </c>
      <c r="G56">
        <f t="shared" si="5"/>
        <v>0.14499999999999999</v>
      </c>
    </row>
    <row r="57" spans="1:7" x14ac:dyDescent="0.25">
      <c r="A57" t="s">
        <v>147</v>
      </c>
      <c r="C57" t="s">
        <v>118</v>
      </c>
      <c r="E57">
        <f t="shared" si="4"/>
        <v>2025</v>
      </c>
      <c r="F57" t="s">
        <v>74</v>
      </c>
      <c r="G57">
        <f t="shared" si="5"/>
        <v>0.16249999999999998</v>
      </c>
    </row>
    <row r="58" spans="1:7" x14ac:dyDescent="0.25">
      <c r="A58" t="s">
        <v>147</v>
      </c>
      <c r="C58" t="s">
        <v>118</v>
      </c>
      <c r="E58">
        <f t="shared" si="4"/>
        <v>2026</v>
      </c>
      <c r="F58" t="s">
        <v>74</v>
      </c>
      <c r="G58">
        <f t="shared" si="5"/>
        <v>0.17999999999999997</v>
      </c>
    </row>
    <row r="59" spans="1:7" x14ac:dyDescent="0.25">
      <c r="A59" t="s">
        <v>147</v>
      </c>
      <c r="C59" t="s">
        <v>118</v>
      </c>
      <c r="E59">
        <f t="shared" si="4"/>
        <v>2027</v>
      </c>
      <c r="F59" t="s">
        <v>74</v>
      </c>
      <c r="G59">
        <f t="shared" si="5"/>
        <v>0.19749999999999995</v>
      </c>
    </row>
    <row r="60" spans="1:7" x14ac:dyDescent="0.25">
      <c r="A60" t="s">
        <v>147</v>
      </c>
      <c r="C60" t="s">
        <v>118</v>
      </c>
      <c r="E60">
        <f t="shared" si="4"/>
        <v>2028</v>
      </c>
      <c r="F60" t="s">
        <v>74</v>
      </c>
      <c r="G60">
        <f t="shared" si="5"/>
        <v>0.21499999999999994</v>
      </c>
    </row>
    <row r="61" spans="1:7" x14ac:dyDescent="0.25">
      <c r="A61" t="s">
        <v>147</v>
      </c>
      <c r="C61" t="s">
        <v>118</v>
      </c>
      <c r="E61">
        <f t="shared" si="4"/>
        <v>2029</v>
      </c>
      <c r="F61" t="s">
        <v>74</v>
      </c>
      <c r="G61">
        <f t="shared" si="5"/>
        <v>0.23249999999999993</v>
      </c>
    </row>
    <row r="62" spans="1:7" x14ac:dyDescent="0.25">
      <c r="A62" t="s">
        <v>147</v>
      </c>
      <c r="C62" t="s">
        <v>118</v>
      </c>
      <c r="E62">
        <f t="shared" si="4"/>
        <v>2030</v>
      </c>
      <c r="F62" t="s">
        <v>74</v>
      </c>
      <c r="G62">
        <v>0.25</v>
      </c>
    </row>
    <row r="63" spans="1:7" x14ac:dyDescent="0.25">
      <c r="A63" t="s">
        <v>147</v>
      </c>
      <c r="C63" t="s">
        <v>118</v>
      </c>
      <c r="F63" t="s">
        <v>74</v>
      </c>
      <c r="G63">
        <v>0.25</v>
      </c>
    </row>
    <row r="64" spans="1:7" x14ac:dyDescent="0.25">
      <c r="A64" s="27" t="s">
        <v>149</v>
      </c>
      <c r="B64" s="40"/>
      <c r="C64" s="27" t="s">
        <v>118</v>
      </c>
      <c r="D64" s="27"/>
      <c r="E64" s="27">
        <v>2050</v>
      </c>
      <c r="F64" s="27" t="s">
        <v>37</v>
      </c>
      <c r="G64" s="27">
        <v>0</v>
      </c>
    </row>
    <row r="65" spans="1:7" x14ac:dyDescent="0.25">
      <c r="A65" s="27" t="s">
        <v>149</v>
      </c>
      <c r="B65" s="40"/>
      <c r="C65" s="27" t="s">
        <v>118</v>
      </c>
      <c r="D65" s="27"/>
      <c r="E65" s="27">
        <v>2050</v>
      </c>
      <c r="F65" s="27" t="s">
        <v>28</v>
      </c>
      <c r="G65" s="27" t="s">
        <v>126</v>
      </c>
    </row>
    <row r="66" spans="1:7" x14ac:dyDescent="0.25">
      <c r="A66" s="27" t="s">
        <v>151</v>
      </c>
      <c r="B66" s="40"/>
      <c r="C66" s="27" t="s">
        <v>118</v>
      </c>
      <c r="D66" s="27"/>
      <c r="E66" s="27">
        <v>2050</v>
      </c>
      <c r="F66" s="27" t="s">
        <v>37</v>
      </c>
      <c r="G66" s="27">
        <v>0</v>
      </c>
    </row>
    <row r="67" spans="1:7" x14ac:dyDescent="0.25">
      <c r="A67" s="27" t="s">
        <v>151</v>
      </c>
      <c r="B67" s="40"/>
      <c r="C67" s="27" t="s">
        <v>118</v>
      </c>
      <c r="D67" s="27"/>
      <c r="E67" s="27">
        <v>2050</v>
      </c>
      <c r="F67" s="27" t="s">
        <v>28</v>
      </c>
      <c r="G67" s="27" t="s">
        <v>125</v>
      </c>
    </row>
    <row r="68" spans="1:7" x14ac:dyDescent="0.25">
      <c r="A68" s="27" t="s">
        <v>100</v>
      </c>
      <c r="B68" s="40"/>
      <c r="C68" s="27" t="s">
        <v>101</v>
      </c>
      <c r="D68" s="27"/>
      <c r="E68" s="27"/>
      <c r="F68" s="27" t="s">
        <v>37</v>
      </c>
      <c r="G68" s="27">
        <v>0</v>
      </c>
    </row>
    <row r="69" spans="1:7" x14ac:dyDescent="0.25">
      <c r="A69" s="27" t="s">
        <v>100</v>
      </c>
      <c r="B69" s="40"/>
      <c r="C69" s="27" t="s">
        <v>101</v>
      </c>
      <c r="D69" s="27"/>
      <c r="E69" s="27"/>
      <c r="F69" s="27" t="s">
        <v>28</v>
      </c>
      <c r="G69" s="27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27"/>
  <sheetViews>
    <sheetView tabSelected="1" zoomScale="85" zoomScaleNormal="85" workbookViewId="0">
      <pane xSplit="4" ySplit="1" topLeftCell="E89" activePane="bottomRight" state="frozen"/>
      <selection pane="topRight" activeCell="E1" sqref="E1"/>
      <selection pane="bottomLeft" activeCell="A2" sqref="A2"/>
      <selection pane="bottomRight" activeCell="J95" sqref="J95"/>
    </sheetView>
  </sheetViews>
  <sheetFormatPr baseColWidth="10" defaultRowHeight="15" x14ac:dyDescent="0.25"/>
  <cols>
    <col min="1" max="1" width="50.140625" customWidth="1"/>
    <col min="2" max="2" width="25" bestFit="1" customWidth="1"/>
    <col min="3" max="4" width="16.140625" customWidth="1"/>
    <col min="5" max="6" width="12" bestFit="1" customWidth="1"/>
    <col min="7" max="7" width="12.7109375" bestFit="1" customWidth="1"/>
    <col min="9" max="10" width="17.28515625" bestFit="1" customWidth="1"/>
    <col min="11" max="11" width="24" bestFit="1" customWidth="1"/>
    <col min="12" max="12" width="12" bestFit="1" customWidth="1"/>
    <col min="14" max="18" width="11.42578125" customWidth="1"/>
    <col min="19" max="19" width="13.42578125" customWidth="1"/>
    <col min="20" max="20" width="15.5703125" customWidth="1"/>
    <col min="21" max="24" width="11.42578125" customWidth="1"/>
    <col min="25" max="25" width="13" bestFit="1" customWidth="1"/>
    <col min="26" max="26" width="15.7109375" customWidth="1"/>
    <col min="27" max="27" width="11.42578125" customWidth="1"/>
    <col min="29" max="29" width="13.42578125" customWidth="1"/>
    <col min="30" max="39" width="11.42578125" customWidth="1"/>
    <col min="41" max="42" width="18.7109375" customWidth="1"/>
    <col min="43" max="43" width="16.140625" bestFit="1" customWidth="1"/>
    <col min="44" max="44" width="10.7109375" bestFit="1" customWidth="1"/>
    <col min="45" max="45" width="17.5703125" bestFit="1" customWidth="1"/>
    <col min="46" max="46" width="11.85546875" bestFit="1" customWidth="1"/>
    <col min="47" max="47" width="16" bestFit="1" customWidth="1"/>
  </cols>
  <sheetData>
    <row r="1" spans="1:48" ht="15.75" x14ac:dyDescent="0.25">
      <c r="A1" s="29" t="s">
        <v>14</v>
      </c>
      <c r="B1" s="29" t="s">
        <v>15</v>
      </c>
      <c r="C1" s="29" t="s">
        <v>43</v>
      </c>
      <c r="D1" s="29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80</v>
      </c>
      <c r="J1" s="2" t="s">
        <v>81</v>
      </c>
      <c r="K1" s="2" t="s">
        <v>206</v>
      </c>
      <c r="L1" s="2" t="s">
        <v>9</v>
      </c>
      <c r="M1" s="2" t="s">
        <v>11</v>
      </c>
      <c r="N1" s="2" t="s">
        <v>25</v>
      </c>
      <c r="O1" s="2" t="s">
        <v>54</v>
      </c>
      <c r="P1" s="2" t="s">
        <v>53</v>
      </c>
      <c r="Q1" s="18" t="s">
        <v>52</v>
      </c>
      <c r="R1" s="18" t="s">
        <v>154</v>
      </c>
      <c r="S1" s="3" t="s">
        <v>12</v>
      </c>
      <c r="T1" s="3" t="s">
        <v>17</v>
      </c>
      <c r="U1" s="4" t="s">
        <v>36</v>
      </c>
      <c r="V1" s="4" t="s">
        <v>16</v>
      </c>
      <c r="W1" s="5" t="s">
        <v>21</v>
      </c>
      <c r="X1" s="16" t="s">
        <v>170</v>
      </c>
      <c r="Y1" s="16" t="s">
        <v>113</v>
      </c>
      <c r="Z1" s="39" t="s">
        <v>117</v>
      </c>
      <c r="AA1" s="21" t="s">
        <v>73</v>
      </c>
      <c r="AB1" s="21" t="s">
        <v>69</v>
      </c>
      <c r="AC1" s="21" t="s">
        <v>70</v>
      </c>
      <c r="AD1" s="21" t="s">
        <v>71</v>
      </c>
      <c r="AE1" s="21" t="s">
        <v>161</v>
      </c>
      <c r="AF1" s="21" t="s">
        <v>162</v>
      </c>
      <c r="AG1" s="21" t="s">
        <v>60</v>
      </c>
      <c r="AH1" s="21" t="s">
        <v>61</v>
      </c>
      <c r="AI1" s="21" t="s">
        <v>72</v>
      </c>
      <c r="AJ1" s="21" t="s">
        <v>156</v>
      </c>
      <c r="AK1" s="21" t="s">
        <v>160</v>
      </c>
      <c r="AL1" s="21" t="s">
        <v>158</v>
      </c>
      <c r="AM1" s="21" t="s">
        <v>62</v>
      </c>
      <c r="AN1" s="31" t="s">
        <v>129</v>
      </c>
      <c r="AO1" s="31" t="s">
        <v>140</v>
      </c>
      <c r="AP1" s="31" t="s">
        <v>141</v>
      </c>
      <c r="AQ1" s="31" t="s">
        <v>123</v>
      </c>
      <c r="AR1" s="31" t="s">
        <v>124</v>
      </c>
      <c r="AS1" s="31" t="s">
        <v>125</v>
      </c>
      <c r="AT1" s="31" t="s">
        <v>126</v>
      </c>
      <c r="AU1" s="31" t="s">
        <v>127</v>
      </c>
      <c r="AV1" s="31" t="s">
        <v>128</v>
      </c>
    </row>
    <row r="2" spans="1:48" x14ac:dyDescent="0.25">
      <c r="A2" s="8" t="s">
        <v>26</v>
      </c>
      <c r="B2" s="8"/>
      <c r="C2" s="8"/>
      <c r="D2" s="8">
        <v>2025</v>
      </c>
      <c r="L2">
        <v>-1</v>
      </c>
      <c r="Y2">
        <v>0.185</v>
      </c>
    </row>
    <row r="3" spans="1:48" x14ac:dyDescent="0.25">
      <c r="A3" s="19" t="s">
        <v>199</v>
      </c>
      <c r="B3" s="19"/>
      <c r="C3" s="19"/>
      <c r="D3" s="19"/>
      <c r="F3">
        <v>-1</v>
      </c>
      <c r="Y3">
        <v>0.95</v>
      </c>
    </row>
    <row r="4" spans="1:48" x14ac:dyDescent="0.25">
      <c r="A4" s="19" t="s">
        <v>200</v>
      </c>
      <c r="B4" s="19"/>
      <c r="C4" s="19"/>
      <c r="D4" s="19"/>
      <c r="F4">
        <v>-1</v>
      </c>
      <c r="Y4">
        <v>0.95</v>
      </c>
    </row>
    <row r="5" spans="1:48" x14ac:dyDescent="0.25">
      <c r="A5" s="19" t="s">
        <v>201</v>
      </c>
      <c r="B5" s="19"/>
      <c r="C5" s="19"/>
      <c r="D5" s="19"/>
      <c r="F5">
        <v>-1</v>
      </c>
      <c r="Y5">
        <v>0.95</v>
      </c>
    </row>
    <row r="6" spans="1:48" x14ac:dyDescent="0.25">
      <c r="A6" s="19" t="s">
        <v>202</v>
      </c>
      <c r="B6" s="19"/>
      <c r="C6" s="19"/>
      <c r="D6" s="19"/>
      <c r="Y6" s="41">
        <v>5.305E-2</v>
      </c>
      <c r="AA6">
        <v>-1</v>
      </c>
    </row>
    <row r="7" spans="1:48" x14ac:dyDescent="0.25">
      <c r="A7" s="19" t="s">
        <v>203</v>
      </c>
      <c r="B7" s="19"/>
      <c r="C7" s="19"/>
      <c r="D7" s="19"/>
      <c r="Y7" s="41">
        <v>0.22092000000000001</v>
      </c>
      <c r="AA7">
        <v>-1</v>
      </c>
    </row>
    <row r="8" spans="1:48" x14ac:dyDescent="0.25">
      <c r="A8" s="8" t="s">
        <v>27</v>
      </c>
      <c r="B8" s="8"/>
      <c r="C8" s="8"/>
      <c r="D8" s="8">
        <v>2040</v>
      </c>
      <c r="H8">
        <v>0.38100000000000001</v>
      </c>
      <c r="L8">
        <v>-1</v>
      </c>
      <c r="M8">
        <v>1.3</v>
      </c>
      <c r="Y8">
        <v>2.75</v>
      </c>
    </row>
    <row r="9" spans="1:48" x14ac:dyDescent="0.25">
      <c r="A9" s="19" t="s">
        <v>55</v>
      </c>
      <c r="B9" s="8" t="s">
        <v>197</v>
      </c>
      <c r="C9" s="8" t="s">
        <v>86</v>
      </c>
      <c r="D9" s="8"/>
      <c r="G9">
        <v>1.0009999999999999</v>
      </c>
      <c r="H9">
        <v>4.9000000000000002E-2</v>
      </c>
      <c r="L9" s="41">
        <v>0</v>
      </c>
      <c r="M9">
        <v>1.7000000000000001E-2</v>
      </c>
      <c r="O9">
        <v>-1</v>
      </c>
      <c r="Y9">
        <v>-0.23400000000000001</v>
      </c>
    </row>
    <row r="10" spans="1:48" x14ac:dyDescent="0.25">
      <c r="A10" s="19" t="s">
        <v>55</v>
      </c>
      <c r="B10" s="8" t="s">
        <v>11</v>
      </c>
      <c r="C10" s="8" t="s">
        <v>86</v>
      </c>
      <c r="D10" s="8">
        <v>2030</v>
      </c>
      <c r="G10">
        <v>1.0009999999999999</v>
      </c>
      <c r="H10">
        <v>4.9000000000000002E-2</v>
      </c>
      <c r="L10">
        <v>-5.8999999999999997E-2</v>
      </c>
      <c r="M10" s="41">
        <v>4.5999999999999999E-2</v>
      </c>
      <c r="O10">
        <v>-1</v>
      </c>
    </row>
    <row r="11" spans="1:48" x14ac:dyDescent="0.25">
      <c r="A11" s="19" t="s">
        <v>55</v>
      </c>
      <c r="B11" s="8" t="s">
        <v>198</v>
      </c>
      <c r="C11" s="8" t="s">
        <v>86</v>
      </c>
      <c r="D11" s="8">
        <v>2040</v>
      </c>
      <c r="G11">
        <v>1.0009999999999999</v>
      </c>
      <c r="H11">
        <v>1.0069999999999999</v>
      </c>
      <c r="L11">
        <v>-5.8999999999999997E-2</v>
      </c>
      <c r="M11">
        <f>0.017</f>
        <v>1.7000000000000001E-2</v>
      </c>
      <c r="O11">
        <v>-1</v>
      </c>
    </row>
    <row r="12" spans="1:48" x14ac:dyDescent="0.25">
      <c r="A12" s="8" t="s">
        <v>169</v>
      </c>
      <c r="B12" s="8"/>
      <c r="C12" s="8"/>
      <c r="D12" s="8">
        <v>2030</v>
      </c>
      <c r="H12">
        <v>1.458</v>
      </c>
      <c r="X12">
        <v>-1</v>
      </c>
    </row>
    <row r="13" spans="1:48" x14ac:dyDescent="0.25">
      <c r="A13" s="8" t="s">
        <v>169</v>
      </c>
      <c r="B13" s="8"/>
      <c r="C13" s="8"/>
      <c r="D13" s="8">
        <v>2050</v>
      </c>
      <c r="H13">
        <v>1.3160000000000001</v>
      </c>
      <c r="X13">
        <v>-1</v>
      </c>
    </row>
    <row r="14" spans="1:48" x14ac:dyDescent="0.25">
      <c r="A14" s="9" t="s">
        <v>18</v>
      </c>
      <c r="B14" s="9" t="s">
        <v>82</v>
      </c>
      <c r="C14" s="9"/>
      <c r="D14" s="9">
        <v>2020</v>
      </c>
      <c r="H14">
        <v>53</v>
      </c>
      <c r="M14">
        <v>-1</v>
      </c>
      <c r="W14">
        <v>-8</v>
      </c>
    </row>
    <row r="15" spans="1:48" x14ac:dyDescent="0.25">
      <c r="A15" s="9" t="s">
        <v>18</v>
      </c>
      <c r="B15" s="9" t="s">
        <v>82</v>
      </c>
      <c r="C15" s="9"/>
      <c r="D15" s="9">
        <v>2030</v>
      </c>
      <c r="H15">
        <v>53</v>
      </c>
      <c r="M15">
        <v>-1</v>
      </c>
      <c r="W15">
        <v>-8</v>
      </c>
    </row>
    <row r="16" spans="1:48" x14ac:dyDescent="0.25">
      <c r="A16" s="9" t="s">
        <v>18</v>
      </c>
      <c r="B16" s="9" t="s">
        <v>82</v>
      </c>
      <c r="C16" s="9"/>
      <c r="D16" s="9">
        <v>2050</v>
      </c>
      <c r="H16">
        <v>45</v>
      </c>
      <c r="M16">
        <v>-1</v>
      </c>
      <c r="W16">
        <v>-8</v>
      </c>
    </row>
    <row r="17" spans="1:30" x14ac:dyDescent="0.25">
      <c r="A17" s="9" t="s">
        <v>18</v>
      </c>
      <c r="B17" s="9" t="s">
        <v>83</v>
      </c>
      <c r="C17" s="9"/>
      <c r="D17" s="9">
        <v>2030</v>
      </c>
      <c r="I17">
        <v>53</v>
      </c>
      <c r="M17">
        <v>-1</v>
      </c>
      <c r="W17">
        <v>-8</v>
      </c>
    </row>
    <row r="18" spans="1:30" x14ac:dyDescent="0.25">
      <c r="A18" s="9" t="s">
        <v>18</v>
      </c>
      <c r="B18" s="9" t="s">
        <v>83</v>
      </c>
      <c r="C18" s="9"/>
      <c r="D18" s="9">
        <v>2050</v>
      </c>
      <c r="I18">
        <v>45</v>
      </c>
      <c r="M18">
        <v>-1</v>
      </c>
      <c r="W18">
        <v>-8</v>
      </c>
    </row>
    <row r="19" spans="1:30" x14ac:dyDescent="0.25">
      <c r="A19" s="9" t="s">
        <v>18</v>
      </c>
      <c r="B19" s="9" t="s">
        <v>84</v>
      </c>
      <c r="C19" s="9"/>
      <c r="D19" s="9">
        <v>2030</v>
      </c>
      <c r="J19">
        <v>53</v>
      </c>
      <c r="M19">
        <v>-1</v>
      </c>
      <c r="W19">
        <v>-8</v>
      </c>
    </row>
    <row r="20" spans="1:30" x14ac:dyDescent="0.25">
      <c r="A20" s="9" t="s">
        <v>18</v>
      </c>
      <c r="B20" s="9" t="s">
        <v>84</v>
      </c>
      <c r="C20" s="9"/>
      <c r="D20" s="9">
        <v>2050</v>
      </c>
      <c r="J20">
        <v>45</v>
      </c>
      <c r="M20">
        <v>-1</v>
      </c>
      <c r="W20">
        <v>-8</v>
      </c>
    </row>
    <row r="21" spans="1:30" x14ac:dyDescent="0.25">
      <c r="A21" s="9" t="s">
        <v>19</v>
      </c>
      <c r="B21" s="9"/>
      <c r="C21" s="9"/>
      <c r="D21" s="9"/>
      <c r="H21">
        <v>0.57999999999999996</v>
      </c>
      <c r="L21">
        <v>3.33</v>
      </c>
      <c r="M21">
        <v>-1</v>
      </c>
      <c r="Y21">
        <v>-9.23</v>
      </c>
    </row>
    <row r="22" spans="1:30" x14ac:dyDescent="0.25">
      <c r="A22" s="9" t="s">
        <v>20</v>
      </c>
      <c r="B22" s="9"/>
      <c r="C22" s="9"/>
      <c r="D22" s="9">
        <v>2030</v>
      </c>
      <c r="H22">
        <v>11.17</v>
      </c>
      <c r="L22">
        <v>2.0099999999999998</v>
      </c>
      <c r="M22">
        <v>-1</v>
      </c>
      <c r="Y22" s="7">
        <v>-5.81</v>
      </c>
      <c r="AA22" s="7"/>
    </row>
    <row r="23" spans="1:30" x14ac:dyDescent="0.25">
      <c r="A23" s="9" t="s">
        <v>20</v>
      </c>
      <c r="B23" s="9" t="s">
        <v>83</v>
      </c>
      <c r="C23" s="9"/>
      <c r="D23" s="9">
        <v>2030</v>
      </c>
      <c r="I23">
        <v>18.36</v>
      </c>
      <c r="L23">
        <v>2.0099999999999998</v>
      </c>
      <c r="M23">
        <v>-1</v>
      </c>
      <c r="Y23" s="7">
        <v>-5.81</v>
      </c>
      <c r="AA23" s="7"/>
    </row>
    <row r="24" spans="1:30" x14ac:dyDescent="0.25">
      <c r="A24" s="9" t="s">
        <v>20</v>
      </c>
      <c r="B24" s="9" t="s">
        <v>84</v>
      </c>
      <c r="C24" s="9"/>
      <c r="D24" s="9">
        <v>2030</v>
      </c>
      <c r="J24">
        <v>18.36</v>
      </c>
      <c r="L24">
        <v>2.0099999999999998</v>
      </c>
      <c r="M24">
        <v>-1</v>
      </c>
      <c r="Y24" s="7">
        <v>-5.81</v>
      </c>
      <c r="AA24" s="7"/>
    </row>
    <row r="25" spans="1:30" x14ac:dyDescent="0.25">
      <c r="A25" s="9" t="s">
        <v>190</v>
      </c>
      <c r="B25" s="9"/>
      <c r="C25" s="9"/>
      <c r="D25" s="9">
        <v>2030</v>
      </c>
      <c r="H25">
        <v>2.35</v>
      </c>
      <c r="L25" s="7">
        <f>0.15*277.7777777/13.1</f>
        <v>3.1806615767175574</v>
      </c>
      <c r="M25">
        <v>-1</v>
      </c>
      <c r="Y25" s="7">
        <v>-8.39</v>
      </c>
      <c r="AA25" s="7"/>
    </row>
    <row r="26" spans="1:30" x14ac:dyDescent="0.25">
      <c r="A26" s="9" t="s">
        <v>40</v>
      </c>
      <c r="B26" s="9"/>
      <c r="C26" s="9"/>
      <c r="D26" s="9">
        <v>2025</v>
      </c>
      <c r="F26">
        <v>10.4</v>
      </c>
      <c r="H26">
        <v>3.5</v>
      </c>
      <c r="L26">
        <v>-1.29</v>
      </c>
      <c r="M26">
        <v>-1</v>
      </c>
      <c r="N26">
        <v>0.4</v>
      </c>
      <c r="Y26">
        <v>-6.47</v>
      </c>
    </row>
    <row r="27" spans="1:30" x14ac:dyDescent="0.25">
      <c r="A27" s="9" t="s">
        <v>33</v>
      </c>
      <c r="B27" s="9"/>
      <c r="C27" s="9"/>
      <c r="D27" s="9">
        <v>2035</v>
      </c>
      <c r="H27">
        <v>13.9</v>
      </c>
      <c r="L27">
        <v>4.7300000000000004</v>
      </c>
      <c r="M27">
        <v>-1</v>
      </c>
    </row>
    <row r="28" spans="1:30" x14ac:dyDescent="0.25">
      <c r="A28" s="20" t="s">
        <v>184</v>
      </c>
      <c r="B28" s="20" t="s">
        <v>5</v>
      </c>
      <c r="C28" s="20" t="s">
        <v>63</v>
      </c>
      <c r="D28" s="20"/>
      <c r="E28">
        <f>1/8.39</f>
        <v>0.11918951132300357</v>
      </c>
      <c r="Z28">
        <v>-1</v>
      </c>
    </row>
    <row r="29" spans="1:30" x14ac:dyDescent="0.25">
      <c r="A29" s="20" t="s">
        <v>184</v>
      </c>
      <c r="B29" s="20" t="s">
        <v>6</v>
      </c>
      <c r="C29" s="20" t="s">
        <v>63</v>
      </c>
      <c r="D29" s="20"/>
      <c r="F29">
        <f>1/8.22</f>
        <v>0.121654501216545</v>
      </c>
      <c r="Z29">
        <v>-1</v>
      </c>
    </row>
    <row r="30" spans="1:30" x14ac:dyDescent="0.25">
      <c r="A30" s="20" t="s">
        <v>184</v>
      </c>
      <c r="B30" s="20" t="s">
        <v>73</v>
      </c>
      <c r="C30" s="20" t="s">
        <v>63</v>
      </c>
      <c r="D30" s="20"/>
      <c r="Z30">
        <v>-1</v>
      </c>
      <c r="AA30">
        <f>0.059/0.277777</f>
        <v>0.21240059472166523</v>
      </c>
    </row>
    <row r="31" spans="1:30" x14ac:dyDescent="0.25">
      <c r="A31" s="20" t="s">
        <v>178</v>
      </c>
      <c r="B31" s="20"/>
      <c r="C31" s="20" t="s">
        <v>63</v>
      </c>
      <c r="D31" s="20">
        <v>2015</v>
      </c>
      <c r="H31" s="41">
        <v>0.13170000000000001</v>
      </c>
      <c r="Y31" s="41">
        <f>-0.8596</f>
        <v>-0.85960000000000003</v>
      </c>
      <c r="Z31" s="41">
        <f>(1.99+1.21)*0.27777778</f>
        <v>0.88888889599999998</v>
      </c>
      <c r="AB31">
        <v>1.6</v>
      </c>
      <c r="AD31">
        <v>-1</v>
      </c>
    </row>
    <row r="32" spans="1:30" x14ac:dyDescent="0.25">
      <c r="A32" s="20" t="s">
        <v>179</v>
      </c>
      <c r="B32" s="20"/>
      <c r="C32" s="20" t="s">
        <v>63</v>
      </c>
      <c r="D32" s="20">
        <v>2020</v>
      </c>
      <c r="H32" s="41">
        <f>0.1317*(0.57+0.11*2)/0.47</f>
        <v>0.22136808510638298</v>
      </c>
      <c r="Y32" s="41">
        <f>-0.8596</f>
        <v>-0.85960000000000003</v>
      </c>
      <c r="Z32" s="41">
        <f>(1.99+1.21)*0.27777778</f>
        <v>0.88888889599999998</v>
      </c>
      <c r="AB32">
        <v>1.6</v>
      </c>
      <c r="AD32">
        <v>-1</v>
      </c>
    </row>
    <row r="33" spans="1:39" x14ac:dyDescent="0.25">
      <c r="A33" s="20" t="s">
        <v>180</v>
      </c>
      <c r="B33" s="20"/>
      <c r="C33" s="20" t="s">
        <v>63</v>
      </c>
      <c r="D33" s="20">
        <v>2030</v>
      </c>
      <c r="H33" s="41">
        <f>(2.5+1.65)*0.27777778</f>
        <v>1.152777787</v>
      </c>
      <c r="Y33" s="41">
        <f>-0.0439-0.5364</f>
        <v>-0.58030000000000004</v>
      </c>
      <c r="Z33" s="41"/>
      <c r="AB33">
        <v>1.6</v>
      </c>
      <c r="AD33">
        <v>-1</v>
      </c>
    </row>
    <row r="34" spans="1:39" x14ac:dyDescent="0.25">
      <c r="A34" s="20" t="s">
        <v>181</v>
      </c>
      <c r="B34" s="20"/>
      <c r="C34" s="20" t="s">
        <v>63</v>
      </c>
      <c r="D34" s="20">
        <v>2030</v>
      </c>
      <c r="H34" s="41"/>
      <c r="M34" s="41">
        <f>1/120</f>
        <v>8.3333333333333332E-3</v>
      </c>
      <c r="Y34" s="41">
        <f>-0.8404-0.039</f>
        <v>-0.87940000000000007</v>
      </c>
      <c r="Z34" s="41">
        <f>(2.97)*0.27777778</f>
        <v>0.82500000659999995</v>
      </c>
      <c r="AB34">
        <v>1.6</v>
      </c>
      <c r="AD34">
        <v>-1</v>
      </c>
    </row>
    <row r="35" spans="1:39" x14ac:dyDescent="0.25">
      <c r="A35" s="20" t="s">
        <v>182</v>
      </c>
      <c r="B35" s="20"/>
      <c r="C35" s="20" t="s">
        <v>63</v>
      </c>
      <c r="D35" s="20">
        <v>2030</v>
      </c>
      <c r="H35" s="41">
        <f>(2.5)*0.27777778</f>
        <v>0.69444444999999999</v>
      </c>
      <c r="Y35" s="41">
        <f>-0.534-0.1826</f>
        <v>-0.71660000000000001</v>
      </c>
      <c r="Z35" s="41">
        <f>1.37*0.27777778</f>
        <v>0.38055555860000001</v>
      </c>
      <c r="AB35">
        <v>1.6</v>
      </c>
      <c r="AD35">
        <v>-1</v>
      </c>
    </row>
    <row r="36" spans="1:39" x14ac:dyDescent="0.25">
      <c r="A36" s="20" t="s">
        <v>183</v>
      </c>
      <c r="B36" s="20"/>
      <c r="C36" s="20" t="s">
        <v>63</v>
      </c>
      <c r="D36" s="20">
        <v>2030</v>
      </c>
      <c r="H36" s="41">
        <f>(2.5)*0.27777778</f>
        <v>0.69444444999999999</v>
      </c>
      <c r="M36" s="41">
        <f>1/120</f>
        <v>8.3333333333333332E-3</v>
      </c>
      <c r="Y36" s="41">
        <f>-0.534-0.039</f>
        <v>-0.57300000000000006</v>
      </c>
      <c r="AB36">
        <v>1.6</v>
      </c>
      <c r="AD36">
        <v>-1</v>
      </c>
    </row>
    <row r="37" spans="1:39" x14ac:dyDescent="0.25">
      <c r="A37" s="20" t="s">
        <v>64</v>
      </c>
      <c r="B37" s="20"/>
      <c r="C37" s="20" t="s">
        <v>63</v>
      </c>
      <c r="D37" s="20"/>
      <c r="H37">
        <v>4.4999999999999998E-2</v>
      </c>
      <c r="AD37">
        <v>0.95</v>
      </c>
      <c r="AG37">
        <v>-1</v>
      </c>
    </row>
    <row r="38" spans="1:39" x14ac:dyDescent="0.25">
      <c r="A38" s="20" t="s">
        <v>65</v>
      </c>
      <c r="B38" s="20"/>
      <c r="C38" s="20" t="s">
        <v>63</v>
      </c>
      <c r="D38" s="20"/>
      <c r="H38">
        <v>4.4999999999999998E-2</v>
      </c>
      <c r="AD38">
        <v>0.65</v>
      </c>
      <c r="AH38">
        <v>-1</v>
      </c>
    </row>
    <row r="39" spans="1:39" x14ac:dyDescent="0.25">
      <c r="A39" s="20" t="s">
        <v>66</v>
      </c>
      <c r="B39" s="20"/>
      <c r="C39" s="20" t="s">
        <v>63</v>
      </c>
      <c r="D39" s="20"/>
      <c r="H39">
        <v>4.4999999999999998E-2</v>
      </c>
      <c r="AD39">
        <v>0.5</v>
      </c>
      <c r="AI39">
        <v>-1</v>
      </c>
    </row>
    <row r="40" spans="1:39" x14ac:dyDescent="0.25">
      <c r="A40" s="20" t="s">
        <v>67</v>
      </c>
      <c r="B40" s="20"/>
      <c r="C40" s="20" t="s">
        <v>63</v>
      </c>
      <c r="D40" s="20"/>
      <c r="H40">
        <v>4.4999999999999998E-2</v>
      </c>
      <c r="AB40">
        <v>0.15</v>
      </c>
      <c r="AC40">
        <v>0.3</v>
      </c>
      <c r="AD40">
        <v>0.5</v>
      </c>
      <c r="AM40">
        <v>-1</v>
      </c>
    </row>
    <row r="41" spans="1:39" x14ac:dyDescent="0.25">
      <c r="A41" s="20" t="s">
        <v>68</v>
      </c>
      <c r="B41" s="20" t="s">
        <v>5</v>
      </c>
      <c r="C41" s="20" t="s">
        <v>63</v>
      </c>
      <c r="D41" s="20"/>
      <c r="E41">
        <v>8.8999999999999996E-2</v>
      </c>
      <c r="Y41">
        <v>-0.249</v>
      </c>
      <c r="AC41">
        <v>-1</v>
      </c>
    </row>
    <row r="42" spans="1:39" x14ac:dyDescent="0.25">
      <c r="A42" s="20" t="s">
        <v>68</v>
      </c>
      <c r="B42" s="20" t="s">
        <v>6</v>
      </c>
      <c r="C42" s="20" t="s">
        <v>63</v>
      </c>
      <c r="D42" s="20"/>
      <c r="F42">
        <v>9.0999999999999998E-2</v>
      </c>
      <c r="Y42">
        <v>-9.0999999999999998E-2</v>
      </c>
      <c r="AC42">
        <v>-1</v>
      </c>
    </row>
    <row r="43" spans="1:39" x14ac:dyDescent="0.25">
      <c r="A43" s="20" t="s">
        <v>68</v>
      </c>
      <c r="B43" s="20" t="s">
        <v>9</v>
      </c>
      <c r="C43" s="20" t="s">
        <v>63</v>
      </c>
      <c r="D43" s="20"/>
      <c r="H43">
        <v>0.72</v>
      </c>
      <c r="AC43">
        <v>-1</v>
      </c>
    </row>
    <row r="44" spans="1:39" x14ac:dyDescent="0.25">
      <c r="A44" s="20" t="s">
        <v>68</v>
      </c>
      <c r="B44" s="20" t="s">
        <v>11</v>
      </c>
      <c r="C44" s="20" t="s">
        <v>63</v>
      </c>
      <c r="D44" s="20"/>
      <c r="L44">
        <v>5.5E-2</v>
      </c>
      <c r="Y44">
        <v>-0.14000000000000001</v>
      </c>
      <c r="AC44">
        <v>-1</v>
      </c>
    </row>
    <row r="45" spans="1:39" x14ac:dyDescent="0.25">
      <c r="A45" s="20" t="s">
        <v>68</v>
      </c>
      <c r="B45" s="20" t="s">
        <v>8</v>
      </c>
      <c r="C45" s="20" t="s">
        <v>63</v>
      </c>
      <c r="D45" s="20"/>
      <c r="M45">
        <v>2.1600000000000001E-2</v>
      </c>
      <c r="AC45">
        <v>-1</v>
      </c>
    </row>
    <row r="46" spans="1:39" x14ac:dyDescent="0.25">
      <c r="A46" s="20" t="s">
        <v>167</v>
      </c>
      <c r="B46" s="20"/>
      <c r="C46" s="20" t="s">
        <v>63</v>
      </c>
      <c r="D46" s="20"/>
      <c r="H46">
        <v>4.4999999999999998E-2</v>
      </c>
      <c r="Y46">
        <v>0.05</v>
      </c>
      <c r="AJ46">
        <v>-1</v>
      </c>
    </row>
    <row r="47" spans="1:39" x14ac:dyDescent="0.25">
      <c r="A47" s="20" t="s">
        <v>187</v>
      </c>
      <c r="B47" s="20" t="s">
        <v>176</v>
      </c>
      <c r="C47" s="20" t="s">
        <v>63</v>
      </c>
      <c r="D47" s="20"/>
      <c r="H47" s="41">
        <f>H32</f>
        <v>0.22136808510638298</v>
      </c>
      <c r="Y47">
        <f>$Y$32+0.5364+0.0439-0.375</f>
        <v>-0.6543000000000001</v>
      </c>
      <c r="Z47" s="41">
        <f>Z31</f>
        <v>0.88888889599999998</v>
      </c>
      <c r="AB47">
        <f>0.72*AB31</f>
        <v>1.1519999999999999</v>
      </c>
      <c r="AE47">
        <v>-1</v>
      </c>
    </row>
    <row r="48" spans="1:39" x14ac:dyDescent="0.25">
      <c r="A48" s="20" t="s">
        <v>188</v>
      </c>
      <c r="B48" s="20" t="s">
        <v>177</v>
      </c>
      <c r="C48" s="20" t="s">
        <v>63</v>
      </c>
      <c r="D48" s="20"/>
      <c r="H48" s="41">
        <f>H32</f>
        <v>0.22136808510638298</v>
      </c>
      <c r="Y48">
        <f>-0.409+($Y$32+0.5364+0.0439)/Z32*Z48</f>
        <v>-0.58216599999999996</v>
      </c>
      <c r="Z48">
        <f>Z31*0.62</f>
        <v>0.55111111552000003</v>
      </c>
      <c r="AB48">
        <f>0.7*AB31</f>
        <v>1.1199999999999999</v>
      </c>
      <c r="AF48">
        <v>-1</v>
      </c>
    </row>
    <row r="49" spans="1:38" x14ac:dyDescent="0.25">
      <c r="A49" s="20" t="s">
        <v>159</v>
      </c>
      <c r="B49" s="20"/>
      <c r="C49" s="20" t="s">
        <v>63</v>
      </c>
      <c r="D49" s="20">
        <v>2030</v>
      </c>
      <c r="H49">
        <v>4.4999999999999998E-2</v>
      </c>
      <c r="Y49">
        <f>0.3*AE49</f>
        <v>0.222</v>
      </c>
      <c r="AE49">
        <v>0.74</v>
      </c>
      <c r="AK49">
        <v>-1</v>
      </c>
    </row>
    <row r="50" spans="1:38" x14ac:dyDescent="0.25">
      <c r="A50" s="20" t="s">
        <v>159</v>
      </c>
      <c r="B50" s="20"/>
      <c r="C50" s="20" t="s">
        <v>63</v>
      </c>
      <c r="D50" s="20">
        <v>2050</v>
      </c>
      <c r="H50">
        <v>4.4999999999999998E-2</v>
      </c>
      <c r="Y50">
        <f>0.3*AE50</f>
        <v>0.19500000000000001</v>
      </c>
      <c r="AE50">
        <v>0.65</v>
      </c>
      <c r="AK50">
        <v>-1</v>
      </c>
    </row>
    <row r="51" spans="1:38" x14ac:dyDescent="0.25">
      <c r="A51" s="20" t="s">
        <v>164</v>
      </c>
      <c r="B51" s="20"/>
      <c r="C51" s="20" t="s">
        <v>63</v>
      </c>
      <c r="D51" s="20">
        <v>2030</v>
      </c>
      <c r="H51">
        <v>4.4999999999999998E-2</v>
      </c>
      <c r="AF51">
        <v>0.74</v>
      </c>
      <c r="AL51">
        <v>-1</v>
      </c>
    </row>
    <row r="52" spans="1:38" x14ac:dyDescent="0.25">
      <c r="A52" s="20" t="s">
        <v>164</v>
      </c>
      <c r="B52" s="20"/>
      <c r="C52" s="20" t="s">
        <v>63</v>
      </c>
      <c r="D52" s="20">
        <v>2050</v>
      </c>
      <c r="H52">
        <v>4.4999999999999998E-2</v>
      </c>
      <c r="AF52">
        <v>0.65</v>
      </c>
      <c r="AL52">
        <v>-1</v>
      </c>
    </row>
    <row r="53" spans="1:38" x14ac:dyDescent="0.25">
      <c r="A53" s="24" t="s">
        <v>85</v>
      </c>
      <c r="B53" s="24"/>
      <c r="C53" s="24" t="s">
        <v>86</v>
      </c>
      <c r="D53" s="24">
        <v>2035</v>
      </c>
      <c r="F53">
        <f>8*18/28*0.27</f>
        <v>1.3885714285714288</v>
      </c>
      <c r="O53">
        <v>-1</v>
      </c>
      <c r="Y53">
        <f>-6.463*0.27</f>
        <v>-1.7450100000000002</v>
      </c>
    </row>
    <row r="54" spans="1:38" x14ac:dyDescent="0.25">
      <c r="A54" s="24" t="s">
        <v>87</v>
      </c>
      <c r="B54" s="24"/>
      <c r="C54" s="24" t="s">
        <v>86</v>
      </c>
      <c r="D54" s="24"/>
      <c r="H54">
        <f>0.21/1.55</f>
        <v>0.13548387096774192</v>
      </c>
      <c r="L54">
        <f>-0.057/1.55</f>
        <v>-3.6774193548387096E-2</v>
      </c>
      <c r="M54">
        <f>-0.032/1.55</f>
        <v>-2.0645161290322581E-2</v>
      </c>
      <c r="O54">
        <f>3.58/1.55</f>
        <v>2.3096774193548386</v>
      </c>
      <c r="P54">
        <v>-1</v>
      </c>
      <c r="Y54">
        <f>-1.27/1.55</f>
        <v>-0.8193548387096774</v>
      </c>
    </row>
    <row r="55" spans="1:38" x14ac:dyDescent="0.25">
      <c r="A55" s="24" t="s">
        <v>88</v>
      </c>
      <c r="B55" s="24"/>
      <c r="C55" s="24" t="s">
        <v>86</v>
      </c>
      <c r="D55" s="32">
        <v>2030</v>
      </c>
      <c r="H55">
        <f>6.78/1.55</f>
        <v>4.3741935483870966</v>
      </c>
      <c r="L55">
        <f>-0.55/1.55</f>
        <v>-0.35483870967741937</v>
      </c>
      <c r="M55">
        <f>-0.032/1.55</f>
        <v>-2.0645161290322581E-2</v>
      </c>
      <c r="O55">
        <f>3.58/1.55</f>
        <v>2.3096774193548386</v>
      </c>
      <c r="P55">
        <v>-1</v>
      </c>
      <c r="Y55">
        <f>-0.95/1.55</f>
        <v>-0.61290322580645151</v>
      </c>
    </row>
    <row r="56" spans="1:38" x14ac:dyDescent="0.25">
      <c r="A56" s="24" t="s">
        <v>88</v>
      </c>
      <c r="B56" s="24" t="s">
        <v>83</v>
      </c>
      <c r="C56" s="24" t="s">
        <v>86</v>
      </c>
      <c r="D56" s="32">
        <v>2030</v>
      </c>
      <c r="I56">
        <f>6.78/1.55</f>
        <v>4.3741935483870966</v>
      </c>
      <c r="L56">
        <f>-0.55/1.55</f>
        <v>-0.35483870967741937</v>
      </c>
      <c r="M56">
        <f>-0.032/1.55</f>
        <v>-2.0645161290322581E-2</v>
      </c>
      <c r="O56">
        <f>3.58/1.55</f>
        <v>2.3096774193548386</v>
      </c>
      <c r="P56">
        <v>-1</v>
      </c>
      <c r="Y56">
        <f t="shared" ref="Y56:Y57" si="0">-0.95/1.55</f>
        <v>-0.61290322580645151</v>
      </c>
    </row>
    <row r="57" spans="1:38" x14ac:dyDescent="0.25">
      <c r="A57" s="24" t="s">
        <v>88</v>
      </c>
      <c r="B57" s="24" t="s">
        <v>84</v>
      </c>
      <c r="C57" s="24" t="s">
        <v>86</v>
      </c>
      <c r="D57" s="32">
        <v>2030</v>
      </c>
      <c r="J57">
        <f>6.78/1.55</f>
        <v>4.3741935483870966</v>
      </c>
      <c r="L57">
        <f>-0.55/1.55</f>
        <v>-0.35483870967741937</v>
      </c>
      <c r="M57">
        <f>-0.032/1.55</f>
        <v>-2.0645161290322581E-2</v>
      </c>
      <c r="O57">
        <f>3.58/1.55</f>
        <v>2.3096774193548386</v>
      </c>
      <c r="P57">
        <v>-1</v>
      </c>
      <c r="Y57">
        <f t="shared" si="0"/>
        <v>-0.61290322580645151</v>
      </c>
    </row>
    <row r="58" spans="1:38" x14ac:dyDescent="0.25">
      <c r="A58" s="24" t="s">
        <v>89</v>
      </c>
      <c r="B58" s="24" t="s">
        <v>90</v>
      </c>
      <c r="C58" s="24" t="s">
        <v>86</v>
      </c>
      <c r="D58" s="24">
        <v>2030</v>
      </c>
      <c r="H58">
        <f>0.417+1.48*0.954/0.86</f>
        <v>2.0587674418604647</v>
      </c>
      <c r="N58">
        <f>2.57/0.86</f>
        <v>2.9883720930232558</v>
      </c>
      <c r="P58">
        <v>-1</v>
      </c>
    </row>
    <row r="59" spans="1:38" x14ac:dyDescent="0.25">
      <c r="A59" s="24" t="s">
        <v>89</v>
      </c>
      <c r="B59" s="24" t="s">
        <v>91</v>
      </c>
      <c r="C59" s="24" t="s">
        <v>86</v>
      </c>
      <c r="D59" s="24">
        <v>2030</v>
      </c>
      <c r="H59">
        <f>0.417/0.86</f>
        <v>0.48488372093023252</v>
      </c>
      <c r="L59">
        <f>0.078*1.48/0.86</f>
        <v>0.13423255813953489</v>
      </c>
      <c r="N59">
        <f>2.57/0.86</f>
        <v>2.9883720930232558</v>
      </c>
      <c r="P59">
        <v>-1</v>
      </c>
      <c r="Y59">
        <f>-2.75*L59</f>
        <v>-0.36913953488372092</v>
      </c>
    </row>
    <row r="60" spans="1:38" x14ac:dyDescent="0.25">
      <c r="A60" s="24" t="s">
        <v>92</v>
      </c>
      <c r="B60" s="24"/>
      <c r="C60" s="24" t="s">
        <v>86</v>
      </c>
      <c r="D60" s="24">
        <v>2035</v>
      </c>
      <c r="H60">
        <v>3.9950000000000001</v>
      </c>
      <c r="L60">
        <v>3</v>
      </c>
      <c r="P60">
        <v>-1</v>
      </c>
    </row>
    <row r="61" spans="1:38" x14ac:dyDescent="0.25">
      <c r="A61" s="24" t="s">
        <v>93</v>
      </c>
      <c r="B61" s="24"/>
      <c r="C61" s="24" t="s">
        <v>86</v>
      </c>
      <c r="D61" s="24"/>
      <c r="H61">
        <f>0.64+0.421*0.82</f>
        <v>0.98521999999999998</v>
      </c>
      <c r="M61">
        <v>0.18</v>
      </c>
      <c r="Q61">
        <v>-1</v>
      </c>
    </row>
    <row r="62" spans="1:38" x14ac:dyDescent="0.25">
      <c r="A62" s="24" t="s">
        <v>172</v>
      </c>
      <c r="B62" s="24"/>
      <c r="C62" s="24" t="s">
        <v>86</v>
      </c>
      <c r="D62" s="24"/>
      <c r="H62">
        <v>0.32100000000000001</v>
      </c>
      <c r="L62">
        <f>0.532+0.15</f>
        <v>0.68200000000000005</v>
      </c>
      <c r="N62">
        <v>-1</v>
      </c>
      <c r="Y62">
        <f>-0.059-0.15*2.75</f>
        <v>-0.47149999999999997</v>
      </c>
    </row>
    <row r="63" spans="1:38" x14ac:dyDescent="0.25">
      <c r="A63" s="24" t="s">
        <v>173</v>
      </c>
      <c r="B63" s="24"/>
      <c r="C63" s="24" t="s">
        <v>86</v>
      </c>
      <c r="D63" s="24">
        <v>2030</v>
      </c>
      <c r="H63">
        <f>H62+1.571</f>
        <v>1.8919999999999999</v>
      </c>
      <c r="L63">
        <f>0.532</f>
        <v>0.53200000000000003</v>
      </c>
      <c r="N63">
        <v>-1</v>
      </c>
      <c r="Y63">
        <f>-0.059</f>
        <v>-5.8999999999999997E-2</v>
      </c>
    </row>
    <row r="64" spans="1:38" x14ac:dyDescent="0.25">
      <c r="A64" s="24" t="s">
        <v>174</v>
      </c>
      <c r="B64" s="24"/>
      <c r="C64" s="24" t="s">
        <v>86</v>
      </c>
      <c r="D64" s="24">
        <v>2025</v>
      </c>
      <c r="F64">
        <v>1.05</v>
      </c>
      <c r="N64">
        <v>-1</v>
      </c>
      <c r="Y64">
        <v>-0.38100000000000001</v>
      </c>
    </row>
    <row r="65" spans="1:25" x14ac:dyDescent="0.25">
      <c r="A65" s="24" t="s">
        <v>175</v>
      </c>
      <c r="B65" s="24"/>
      <c r="C65" s="24" t="s">
        <v>86</v>
      </c>
      <c r="D65" s="24">
        <v>2025</v>
      </c>
      <c r="F65">
        <v>0.53</v>
      </c>
      <c r="H65">
        <v>4.7359999999999998</v>
      </c>
      <c r="N65">
        <v>-1</v>
      </c>
      <c r="Y65">
        <v>-1.4999999999999999E-2</v>
      </c>
    </row>
    <row r="66" spans="1:25" x14ac:dyDescent="0.25">
      <c r="A66" s="24" t="s">
        <v>94</v>
      </c>
      <c r="B66" s="24"/>
      <c r="C66" s="24" t="s">
        <v>86</v>
      </c>
      <c r="D66" s="24">
        <v>2030</v>
      </c>
      <c r="H66">
        <v>3.2000000000000001E-2</v>
      </c>
      <c r="L66">
        <v>0.13300000000000001</v>
      </c>
      <c r="M66">
        <v>0.156</v>
      </c>
      <c r="N66">
        <v>-1</v>
      </c>
      <c r="Y66">
        <f>1.385-0.315</f>
        <v>1.07</v>
      </c>
    </row>
    <row r="67" spans="1:25" x14ac:dyDescent="0.25">
      <c r="A67" s="24" t="s">
        <v>95</v>
      </c>
      <c r="B67" s="24"/>
      <c r="C67" s="24" t="s">
        <v>86</v>
      </c>
      <c r="D67" s="24">
        <v>2030</v>
      </c>
      <c r="H67">
        <v>1.6040000000000001</v>
      </c>
      <c r="M67">
        <v>0.156</v>
      </c>
      <c r="N67">
        <v>-1</v>
      </c>
      <c r="Y67">
        <f>1.385-0.001</f>
        <v>1.3840000000000001</v>
      </c>
    </row>
    <row r="68" spans="1:25" x14ac:dyDescent="0.25">
      <c r="A68" s="24" t="s">
        <v>96</v>
      </c>
      <c r="B68" s="24"/>
      <c r="C68" s="24" t="s">
        <v>86</v>
      </c>
      <c r="D68" s="24">
        <v>2035</v>
      </c>
      <c r="H68">
        <v>3.2000000000000001E-2</v>
      </c>
      <c r="L68">
        <v>0.13300000000000001</v>
      </c>
      <c r="M68">
        <v>0.19500000000000001</v>
      </c>
      <c r="N68">
        <v>-1</v>
      </c>
      <c r="Y68">
        <f>1.425-0.315</f>
        <v>1.1100000000000001</v>
      </c>
    </row>
    <row r="69" spans="1:25" x14ac:dyDescent="0.25">
      <c r="A69" s="24" t="s">
        <v>97</v>
      </c>
      <c r="B69" s="24"/>
      <c r="C69" s="24" t="s">
        <v>86</v>
      </c>
      <c r="D69" s="24">
        <v>2035</v>
      </c>
      <c r="H69">
        <v>1.6040000000000001</v>
      </c>
      <c r="M69">
        <v>0.19500000000000001</v>
      </c>
      <c r="N69">
        <v>-1</v>
      </c>
      <c r="Y69">
        <f>1.425-0.001</f>
        <v>1.4240000000000002</v>
      </c>
    </row>
    <row r="70" spans="1:25" x14ac:dyDescent="0.25">
      <c r="A70" s="24" t="s">
        <v>98</v>
      </c>
      <c r="B70" s="24"/>
      <c r="C70" s="24" t="s">
        <v>86</v>
      </c>
      <c r="D70" s="24">
        <v>2045</v>
      </c>
      <c r="H70">
        <v>13.8</v>
      </c>
      <c r="M70">
        <v>-4.7E-2</v>
      </c>
      <c r="N70">
        <v>-1</v>
      </c>
      <c r="W70">
        <v>-1.667</v>
      </c>
      <c r="Y70">
        <v>1.375</v>
      </c>
    </row>
    <row r="71" spans="1:25" x14ac:dyDescent="0.25">
      <c r="A71" s="26" t="s">
        <v>100</v>
      </c>
      <c r="B71" s="26" t="s">
        <v>5</v>
      </c>
      <c r="C71" s="26" t="s">
        <v>101</v>
      </c>
      <c r="D71" s="26"/>
      <c r="E71">
        <v>0.7</v>
      </c>
      <c r="H71">
        <f>0.194</f>
        <v>0.19400000000000001</v>
      </c>
      <c r="S71">
        <v>-1</v>
      </c>
      <c r="U71">
        <v>1.8</v>
      </c>
      <c r="Y71">
        <v>-1.76</v>
      </c>
    </row>
    <row r="72" spans="1:25" x14ac:dyDescent="0.25">
      <c r="A72" s="26" t="s">
        <v>100</v>
      </c>
      <c r="B72" s="26" t="s">
        <v>107</v>
      </c>
      <c r="C72" s="26" t="s">
        <v>101</v>
      </c>
      <c r="D72" s="26">
        <v>2030</v>
      </c>
      <c r="E72">
        <v>0.57999999999999996</v>
      </c>
      <c r="H72">
        <f>0.194</f>
        <v>0.19400000000000001</v>
      </c>
      <c r="M72">
        <v>2.8000000000000001E-2</v>
      </c>
      <c r="S72">
        <v>-1</v>
      </c>
      <c r="U72">
        <v>1.8</v>
      </c>
      <c r="Y72">
        <v>-1.3</v>
      </c>
    </row>
    <row r="73" spans="1:25" x14ac:dyDescent="0.25">
      <c r="A73" s="26" t="s">
        <v>100</v>
      </c>
      <c r="B73" s="26" t="s">
        <v>115</v>
      </c>
      <c r="C73" s="26" t="s">
        <v>101</v>
      </c>
      <c r="D73" s="26">
        <v>2030</v>
      </c>
      <c r="E73" s="7">
        <f>E71*0.85/0.92</f>
        <v>0.64673913043478259</v>
      </c>
      <c r="F73">
        <v>7.0000000000000007E-2</v>
      </c>
      <c r="H73">
        <f>0.194</f>
        <v>0.19400000000000001</v>
      </c>
      <c r="S73">
        <v>-1</v>
      </c>
      <c r="U73">
        <v>1.8</v>
      </c>
      <c r="Y73">
        <v>-1.76</v>
      </c>
    </row>
    <row r="74" spans="1:25" x14ac:dyDescent="0.25">
      <c r="A74" s="26" t="s">
        <v>100</v>
      </c>
      <c r="B74" s="26" t="s">
        <v>114</v>
      </c>
      <c r="C74" s="26" t="s">
        <v>101</v>
      </c>
      <c r="D74" s="26">
        <v>2030</v>
      </c>
      <c r="E74" s="7">
        <f>(E73+E75)/2</f>
        <v>0.49836956521739129</v>
      </c>
      <c r="F74" s="7">
        <f>(0.415+0.07)/2</f>
        <v>0.24249999999999999</v>
      </c>
      <c r="H74">
        <f t="shared" ref="H74:H75" si="1">0.194</f>
        <v>0.19400000000000001</v>
      </c>
      <c r="S74">
        <v>-1</v>
      </c>
      <c r="U74">
        <v>1.8</v>
      </c>
      <c r="Y74">
        <v>-1.76</v>
      </c>
    </row>
    <row r="75" spans="1:25" x14ac:dyDescent="0.25">
      <c r="A75" s="26" t="s">
        <v>100</v>
      </c>
      <c r="B75" s="26" t="s">
        <v>116</v>
      </c>
      <c r="C75" s="26" t="s">
        <v>101</v>
      </c>
      <c r="D75" s="26">
        <v>2030</v>
      </c>
      <c r="E75">
        <v>0.35</v>
      </c>
      <c r="F75" s="7">
        <v>0.41499999999999998</v>
      </c>
      <c r="H75">
        <f t="shared" si="1"/>
        <v>0.19400000000000001</v>
      </c>
      <c r="S75">
        <v>-1</v>
      </c>
      <c r="U75">
        <v>1.8</v>
      </c>
      <c r="Y75">
        <v>-1.76</v>
      </c>
    </row>
    <row r="76" spans="1:25" x14ac:dyDescent="0.25">
      <c r="A76" s="26" t="s">
        <v>102</v>
      </c>
      <c r="B76" s="26"/>
      <c r="C76" s="26" t="s">
        <v>101</v>
      </c>
      <c r="D76" s="26"/>
      <c r="H76">
        <v>0.5</v>
      </c>
      <c r="T76">
        <v>-1</v>
      </c>
      <c r="V76">
        <v>1</v>
      </c>
      <c r="Y76">
        <v>-0.06</v>
      </c>
    </row>
    <row r="77" spans="1:25" x14ac:dyDescent="0.25">
      <c r="A77" s="26" t="s">
        <v>103</v>
      </c>
      <c r="B77" s="26" t="s">
        <v>107</v>
      </c>
      <c r="C77" s="26" t="s">
        <v>101</v>
      </c>
      <c r="D77" s="26">
        <v>2030</v>
      </c>
      <c r="H77">
        <v>1.2310000000000001</v>
      </c>
      <c r="M77">
        <v>5.0999999999999997E-2</v>
      </c>
      <c r="S77">
        <v>-1</v>
      </c>
      <c r="U77">
        <v>1.6</v>
      </c>
      <c r="Y77">
        <v>-0.06</v>
      </c>
    </row>
    <row r="78" spans="1:25" x14ac:dyDescent="0.25">
      <c r="A78" s="26" t="s">
        <v>103</v>
      </c>
      <c r="B78" s="26" t="s">
        <v>106</v>
      </c>
      <c r="C78" s="26" t="s">
        <v>101</v>
      </c>
      <c r="D78" s="26">
        <v>2025</v>
      </c>
      <c r="H78">
        <v>1.2310000000000001</v>
      </c>
      <c r="L78">
        <v>0.214</v>
      </c>
      <c r="S78">
        <v>-1</v>
      </c>
      <c r="U78">
        <v>1.6</v>
      </c>
      <c r="Y78">
        <v>-0.85899999999999999</v>
      </c>
    </row>
    <row r="79" spans="1:25" x14ac:dyDescent="0.25">
      <c r="A79" s="26" t="s">
        <v>104</v>
      </c>
      <c r="B79" s="26" t="s">
        <v>108</v>
      </c>
      <c r="C79" s="26" t="s">
        <v>101</v>
      </c>
      <c r="D79" s="26">
        <v>2035</v>
      </c>
      <c r="F79">
        <v>1.03</v>
      </c>
      <c r="H79">
        <v>1.298</v>
      </c>
      <c r="S79">
        <v>-1</v>
      </c>
      <c r="U79">
        <v>1.6</v>
      </c>
      <c r="Y79">
        <v>-1.355</v>
      </c>
    </row>
    <row r="80" spans="1:25" x14ac:dyDescent="0.25">
      <c r="A80" s="26" t="s">
        <v>105</v>
      </c>
      <c r="B80" s="26"/>
      <c r="C80" s="26" t="s">
        <v>101</v>
      </c>
      <c r="D80" s="26">
        <v>2035</v>
      </c>
      <c r="H80">
        <v>3.6</v>
      </c>
      <c r="S80">
        <v>-1</v>
      </c>
      <c r="U80">
        <v>1.6</v>
      </c>
    </row>
    <row r="81" spans="1:46" x14ac:dyDescent="0.25">
      <c r="A81" s="26" t="s">
        <v>105</v>
      </c>
      <c r="B81" s="26" t="s">
        <v>83</v>
      </c>
      <c r="C81" s="26" t="s">
        <v>101</v>
      </c>
      <c r="D81" s="26">
        <v>2035</v>
      </c>
      <c r="I81">
        <v>3.6</v>
      </c>
      <c r="S81">
        <v>-1</v>
      </c>
      <c r="U81">
        <v>1.6</v>
      </c>
    </row>
    <row r="82" spans="1:46" x14ac:dyDescent="0.25">
      <c r="A82" s="26" t="s">
        <v>105</v>
      </c>
      <c r="B82" s="26" t="s">
        <v>84</v>
      </c>
      <c r="C82" s="26" t="s">
        <v>101</v>
      </c>
      <c r="D82" s="26">
        <v>2035</v>
      </c>
      <c r="J82">
        <v>3.6</v>
      </c>
      <c r="S82">
        <v>-1</v>
      </c>
      <c r="U82">
        <v>1.6</v>
      </c>
    </row>
    <row r="83" spans="1:46" x14ac:dyDescent="0.25">
      <c r="A83" s="30" t="s">
        <v>119</v>
      </c>
      <c r="B83" s="30"/>
      <c r="C83" s="30" t="s">
        <v>118</v>
      </c>
      <c r="D83" s="30">
        <v>2015</v>
      </c>
      <c r="H83">
        <f>0.15*0.277777</f>
        <v>4.1666549999999997E-2</v>
      </c>
      <c r="AB83">
        <f>AN83/190*30</f>
        <v>4.4052631578947371E-2</v>
      </c>
      <c r="AN83">
        <v>0.27900000000000003</v>
      </c>
      <c r="AQ83">
        <v>-1</v>
      </c>
    </row>
    <row r="84" spans="1:46" x14ac:dyDescent="0.25">
      <c r="A84" s="30" t="s">
        <v>120</v>
      </c>
      <c r="B84" s="30"/>
      <c r="C84" s="30" t="s">
        <v>118</v>
      </c>
      <c r="D84" s="30">
        <v>2015</v>
      </c>
      <c r="H84">
        <f>0.15*0.277777</f>
        <v>4.1666549999999997E-2</v>
      </c>
      <c r="AB84">
        <f t="shared" ref="AB84:AB86" si="2">AN84/190*30</f>
        <v>6.6157894736842096E-2</v>
      </c>
      <c r="AN84">
        <v>0.41899999999999998</v>
      </c>
      <c r="AR84">
        <v>-1</v>
      </c>
    </row>
    <row r="85" spans="1:46" x14ac:dyDescent="0.25">
      <c r="A85" s="30" t="s">
        <v>119</v>
      </c>
      <c r="B85" s="30"/>
      <c r="C85" s="30" t="s">
        <v>118</v>
      </c>
      <c r="D85" s="30">
        <v>2030</v>
      </c>
      <c r="H85">
        <f>0.15*0.277777</f>
        <v>4.1666549999999997E-2</v>
      </c>
      <c r="AB85">
        <f t="shared" si="2"/>
        <v>1.7684210526315788E-2</v>
      </c>
      <c r="AN85">
        <v>0.112</v>
      </c>
      <c r="AQ85">
        <v>-1</v>
      </c>
    </row>
    <row r="86" spans="1:46" x14ac:dyDescent="0.25">
      <c r="A86" s="30" t="s">
        <v>120</v>
      </c>
      <c r="B86" s="30"/>
      <c r="C86" s="30" t="s">
        <v>118</v>
      </c>
      <c r="D86" s="30">
        <v>2030</v>
      </c>
      <c r="H86">
        <f>0.15*0.277777</f>
        <v>4.1666549999999997E-2</v>
      </c>
      <c r="AB86">
        <f t="shared" si="2"/>
        <v>4.4052631578947371E-2</v>
      </c>
      <c r="AN86">
        <v>0.27900000000000003</v>
      </c>
      <c r="AR86">
        <v>-1</v>
      </c>
    </row>
    <row r="87" spans="1:46" x14ac:dyDescent="0.25">
      <c r="A87" s="30" t="s">
        <v>136</v>
      </c>
      <c r="B87" s="30"/>
      <c r="C87" s="30" t="s">
        <v>118</v>
      </c>
      <c r="D87" s="30">
        <v>2015</v>
      </c>
      <c r="Y87">
        <f>(-110.52+109.99*0.5)*0.001</f>
        <v>-5.5524999999999998E-2</v>
      </c>
      <c r="AO87">
        <f>4.25*0.277777</f>
        <v>1.1805522500000001</v>
      </c>
      <c r="AQ87">
        <v>1</v>
      </c>
      <c r="AS87">
        <v>-1</v>
      </c>
    </row>
    <row r="88" spans="1:46" x14ac:dyDescent="0.25">
      <c r="A88" s="30" t="s">
        <v>137</v>
      </c>
      <c r="B88" s="30"/>
      <c r="C88" s="30" t="s">
        <v>118</v>
      </c>
      <c r="D88" s="30">
        <v>2015</v>
      </c>
      <c r="Y88">
        <f>(-110.52+109.99*0.25)*0.001</f>
        <v>-8.3022499999999999E-2</v>
      </c>
      <c r="AO88">
        <f>4.25*0.27777</f>
        <v>1.1805225000000001</v>
      </c>
      <c r="AR88">
        <v>1</v>
      </c>
      <c r="AT88">
        <v>-1</v>
      </c>
    </row>
    <row r="89" spans="1:46" x14ac:dyDescent="0.25">
      <c r="A89" s="30" t="s">
        <v>136</v>
      </c>
      <c r="B89" s="30"/>
      <c r="C89" s="30" t="s">
        <v>118</v>
      </c>
      <c r="D89" s="30">
        <v>2030</v>
      </c>
      <c r="Y89">
        <f>(-110.52+109.99*0.8)*0.001</f>
        <v>-2.2527999999999992E-2</v>
      </c>
      <c r="AO89">
        <f>3.93*0.27777</f>
        <v>1.0916361000000001</v>
      </c>
      <c r="AQ89">
        <v>1</v>
      </c>
      <c r="AS89">
        <v>-1</v>
      </c>
    </row>
    <row r="90" spans="1:46" x14ac:dyDescent="0.25">
      <c r="A90" s="30" t="s">
        <v>137</v>
      </c>
      <c r="B90" s="30"/>
      <c r="C90" s="30" t="s">
        <v>118</v>
      </c>
      <c r="D90" s="30">
        <v>2030</v>
      </c>
      <c r="Y90">
        <f>(-110.52+109.99*0.5)*0.001</f>
        <v>-5.5524999999999998E-2</v>
      </c>
      <c r="AO90">
        <f>3.98*0.27777</f>
        <v>1.1055246000000001</v>
      </c>
      <c r="AR90">
        <v>1</v>
      </c>
      <c r="AT90">
        <v>-1</v>
      </c>
    </row>
    <row r="91" spans="1:46" x14ac:dyDescent="0.25">
      <c r="A91" s="30" t="s">
        <v>138</v>
      </c>
      <c r="B91" s="30"/>
      <c r="C91" s="30" t="s">
        <v>118</v>
      </c>
      <c r="D91" s="30">
        <v>2015</v>
      </c>
      <c r="Y91">
        <f>(-110.52+109.99*0.5)*0.001</f>
        <v>-5.5524999999999998E-2</v>
      </c>
      <c r="AO91">
        <f>4.7*0.27777</f>
        <v>1.3055190000000001</v>
      </c>
      <c r="AQ91">
        <v>1</v>
      </c>
      <c r="AS91">
        <v>-1</v>
      </c>
    </row>
    <row r="92" spans="1:46" x14ac:dyDescent="0.25">
      <c r="A92" s="30" t="s">
        <v>139</v>
      </c>
      <c r="B92" s="30"/>
      <c r="C92" s="30" t="s">
        <v>118</v>
      </c>
      <c r="D92" s="30">
        <v>2015</v>
      </c>
      <c r="Y92">
        <f>(-110.52+109.99*0.25)*0.001</f>
        <v>-8.3022499999999999E-2</v>
      </c>
      <c r="AO92">
        <f>4.7*0.27777</f>
        <v>1.3055190000000001</v>
      </c>
      <c r="AR92">
        <v>1</v>
      </c>
      <c r="AT92">
        <v>-1</v>
      </c>
    </row>
    <row r="93" spans="1:46" x14ac:dyDescent="0.25">
      <c r="A93" s="30" t="s">
        <v>138</v>
      </c>
      <c r="B93" s="30"/>
      <c r="C93" s="30" t="s">
        <v>118</v>
      </c>
      <c r="D93" s="30">
        <v>2030</v>
      </c>
      <c r="Y93">
        <f>(-110.52+109.99*0.8)*0.001</f>
        <v>-2.2527999999999992E-2</v>
      </c>
      <c r="AO93">
        <f>4.35*0.2777</f>
        <v>1.2079949999999999</v>
      </c>
      <c r="AQ93">
        <v>1</v>
      </c>
      <c r="AS93">
        <v>-1</v>
      </c>
    </row>
    <row r="94" spans="1:46" x14ac:dyDescent="0.25">
      <c r="A94" s="30" t="s">
        <v>139</v>
      </c>
      <c r="B94" s="30"/>
      <c r="C94" s="30" t="s">
        <v>118</v>
      </c>
      <c r="D94" s="30">
        <v>2030</v>
      </c>
      <c r="Y94">
        <f>(-110.52+109.99*0.5)*0.001</f>
        <v>-5.5524999999999998E-2</v>
      </c>
      <c r="AO94">
        <f>4.41*0.277777</f>
        <v>1.2249965700000001</v>
      </c>
      <c r="AR94">
        <v>1</v>
      </c>
      <c r="AT94">
        <v>-1</v>
      </c>
    </row>
    <row r="95" spans="1:46" x14ac:dyDescent="0.25">
      <c r="A95" s="30" t="s">
        <v>130</v>
      </c>
      <c r="B95" s="30"/>
      <c r="C95" s="30" t="s">
        <v>118</v>
      </c>
      <c r="D95" s="30">
        <v>2015</v>
      </c>
      <c r="Y95">
        <f>(-110.52+109.99*0.5)*0.001</f>
        <v>-5.5524999999999998E-2</v>
      </c>
      <c r="AO95">
        <f>5.5*0.27777</f>
        <v>1.5277350000000001</v>
      </c>
      <c r="AQ95">
        <v>1</v>
      </c>
      <c r="AS95">
        <v>-1</v>
      </c>
    </row>
    <row r="96" spans="1:46" x14ac:dyDescent="0.25">
      <c r="A96" s="30" t="s">
        <v>131</v>
      </c>
      <c r="B96" s="30"/>
      <c r="C96" s="30" t="s">
        <v>118</v>
      </c>
      <c r="D96" s="30">
        <v>2015</v>
      </c>
      <c r="Y96">
        <f>(-110.52+109.99*0.25)*0.001</f>
        <v>-8.3022499999999999E-2</v>
      </c>
      <c r="AO96">
        <f>5.5*0.277777</f>
        <v>1.5277734999999999</v>
      </c>
      <c r="AR96">
        <v>1</v>
      </c>
      <c r="AT96">
        <v>-1</v>
      </c>
    </row>
    <row r="97" spans="1:46" x14ac:dyDescent="0.25">
      <c r="A97" s="30" t="s">
        <v>130</v>
      </c>
      <c r="B97" s="30"/>
      <c r="C97" s="30" t="s">
        <v>118</v>
      </c>
      <c r="D97" s="30">
        <v>2030</v>
      </c>
      <c r="Y97">
        <f>(-110.52+109.99*0.8)*0.001</f>
        <v>-2.2527999999999992E-2</v>
      </c>
      <c r="AO97">
        <f>5.0875*0.277777</f>
        <v>1.4131904875000001</v>
      </c>
      <c r="AQ97">
        <v>1</v>
      </c>
      <c r="AS97">
        <v>-1</v>
      </c>
    </row>
    <row r="98" spans="1:46" x14ac:dyDescent="0.25">
      <c r="A98" s="30" t="s">
        <v>131</v>
      </c>
      <c r="B98" s="30"/>
      <c r="C98" s="30" t="s">
        <v>118</v>
      </c>
      <c r="D98" s="30">
        <v>2030</v>
      </c>
      <c r="Y98">
        <f>(-110.52+109.99*0.5)*0.001</f>
        <v>-5.5524999999999998E-2</v>
      </c>
      <c r="AO98">
        <f>5.16*0.27777</f>
        <v>1.4332932</v>
      </c>
      <c r="AR98">
        <v>1</v>
      </c>
      <c r="AT98">
        <v>-1</v>
      </c>
    </row>
    <row r="99" spans="1:46" x14ac:dyDescent="0.25">
      <c r="A99" s="30" t="s">
        <v>132</v>
      </c>
      <c r="B99" s="30"/>
      <c r="C99" s="30" t="s">
        <v>118</v>
      </c>
      <c r="D99" s="30">
        <v>2015</v>
      </c>
      <c r="H99">
        <f>0.3*0.27777</f>
        <v>8.3331000000000002E-2</v>
      </c>
      <c r="Y99">
        <f>(-110.52+109.99*0.5)*0.001</f>
        <v>-5.5524999999999998E-2</v>
      </c>
      <c r="AP99">
        <f>4.3*0.27777</f>
        <v>1.1944110000000001</v>
      </c>
      <c r="AQ99">
        <v>1</v>
      </c>
      <c r="AS99">
        <v>-1</v>
      </c>
    </row>
    <row r="100" spans="1:46" x14ac:dyDescent="0.25">
      <c r="A100" s="30" t="s">
        <v>132</v>
      </c>
      <c r="B100" s="30"/>
      <c r="C100" s="30" t="s">
        <v>118</v>
      </c>
      <c r="D100" s="30">
        <v>2030</v>
      </c>
      <c r="H100">
        <f t="shared" ref="H100:H102" si="3">0.3*0.27777</f>
        <v>8.3331000000000002E-2</v>
      </c>
      <c r="Y100">
        <f>(-110.52+109.99*0.8)*0.001</f>
        <v>-2.2527999999999992E-2</v>
      </c>
      <c r="AP100">
        <f>3.98*0.2777</f>
        <v>1.105246</v>
      </c>
      <c r="AQ100">
        <v>1</v>
      </c>
      <c r="AS100">
        <v>-1</v>
      </c>
    </row>
    <row r="101" spans="1:46" x14ac:dyDescent="0.25">
      <c r="A101" s="30" t="s">
        <v>133</v>
      </c>
      <c r="B101" s="30"/>
      <c r="C101" s="30" t="s">
        <v>118</v>
      </c>
      <c r="D101" s="30">
        <v>2015</v>
      </c>
      <c r="H101">
        <f t="shared" si="3"/>
        <v>8.3331000000000002E-2</v>
      </c>
      <c r="Y101">
        <f>(-110.52+109.99*0.25)*0.001</f>
        <v>-8.3022499999999999E-2</v>
      </c>
      <c r="AP101">
        <f>4.3*0.27777</f>
        <v>1.1944110000000001</v>
      </c>
      <c r="AR101">
        <v>1</v>
      </c>
      <c r="AT101">
        <v>-1</v>
      </c>
    </row>
    <row r="102" spans="1:46" x14ac:dyDescent="0.25">
      <c r="A102" s="30" t="s">
        <v>133</v>
      </c>
      <c r="B102" s="30"/>
      <c r="C102" s="30" t="s">
        <v>118</v>
      </c>
      <c r="D102" s="30">
        <v>2030</v>
      </c>
      <c r="H102">
        <f t="shared" si="3"/>
        <v>8.3331000000000002E-2</v>
      </c>
      <c r="Y102">
        <f>(-110.52+109.99*0.5)*0.001</f>
        <v>-5.5524999999999998E-2</v>
      </c>
      <c r="AP102">
        <f>4.03*0.277777</f>
        <v>1.11944131</v>
      </c>
      <c r="AR102">
        <v>1</v>
      </c>
      <c r="AT102">
        <v>-1</v>
      </c>
    </row>
    <row r="103" spans="1:46" x14ac:dyDescent="0.25">
      <c r="A103" s="30" t="s">
        <v>134</v>
      </c>
      <c r="B103" s="30"/>
      <c r="C103" s="30" t="s">
        <v>118</v>
      </c>
      <c r="D103" s="30">
        <v>2030</v>
      </c>
      <c r="H103">
        <f>0.3*0.27777</f>
        <v>8.3331000000000002E-2</v>
      </c>
      <c r="Y103">
        <f>(-110.52+109.99*0.8)*0.001</f>
        <v>-2.2527999999999992E-2</v>
      </c>
      <c r="AP103">
        <f>AP100*0.8</f>
        <v>0.8841968</v>
      </c>
      <c r="AQ103">
        <v>1</v>
      </c>
      <c r="AS103">
        <v>-1</v>
      </c>
    </row>
    <row r="104" spans="1:46" x14ac:dyDescent="0.25">
      <c r="A104" s="30" t="s">
        <v>135</v>
      </c>
      <c r="B104" s="30"/>
      <c r="C104" s="30" t="s">
        <v>118</v>
      </c>
      <c r="D104" s="30">
        <v>2030</v>
      </c>
      <c r="H104">
        <f>0.3*0.27777</f>
        <v>8.3331000000000002E-2</v>
      </c>
      <c r="Y104">
        <f>(-110.52+109.99*0.5)*0.001</f>
        <v>-5.5524999999999998E-2</v>
      </c>
      <c r="AP104">
        <f>AP102*0.8</f>
        <v>0.89555304800000002</v>
      </c>
      <c r="AR104">
        <v>1</v>
      </c>
      <c r="AT104">
        <v>-1</v>
      </c>
    </row>
    <row r="105" spans="1:46" x14ac:dyDescent="0.25">
      <c r="A105" s="30" t="s">
        <v>148</v>
      </c>
      <c r="B105" s="30"/>
      <c r="C105" s="30" t="s">
        <v>118</v>
      </c>
      <c r="D105" s="30">
        <v>2030</v>
      </c>
      <c r="H105">
        <f>4.4*0.277777*0.7</f>
        <v>0.85555316000000003</v>
      </c>
      <c r="M105">
        <f>4.4*0.277777*0.3/33.3</f>
        <v>1.1010980180180182E-2</v>
      </c>
      <c r="Y105">
        <f>(-110.52+109.99*0.5)*0.001</f>
        <v>-5.5524999999999998E-2</v>
      </c>
      <c r="AR105">
        <v>1</v>
      </c>
      <c r="AT105">
        <v>-1</v>
      </c>
    </row>
    <row r="106" spans="1:46" x14ac:dyDescent="0.25">
      <c r="A106" s="30" t="s">
        <v>149</v>
      </c>
      <c r="B106" s="30"/>
      <c r="C106" s="30" t="s">
        <v>118</v>
      </c>
      <c r="D106" s="30">
        <v>2030</v>
      </c>
      <c r="H106">
        <f>4.4*0.277777</f>
        <v>1.2222188</v>
      </c>
      <c r="Y106">
        <f>(-110.52+109.99*0.5)*0.001</f>
        <v>-5.5524999999999998E-2</v>
      </c>
      <c r="AR106">
        <v>1</v>
      </c>
      <c r="AT106">
        <v>-1</v>
      </c>
    </row>
    <row r="107" spans="1:46" x14ac:dyDescent="0.25">
      <c r="A107" s="30" t="s">
        <v>150</v>
      </c>
      <c r="B107" s="30"/>
      <c r="C107" s="30" t="s">
        <v>118</v>
      </c>
      <c r="D107" s="30">
        <v>2030</v>
      </c>
      <c r="H107">
        <f>3.5*0.277777*0.7</f>
        <v>0.68055365000000001</v>
      </c>
      <c r="M107">
        <f>3.5*0.277777*0.3/33.3</f>
        <v>8.7587342342342351E-3</v>
      </c>
      <c r="Y107">
        <f>(-110.52+109.99*0.8)*0.001</f>
        <v>-2.2527999999999992E-2</v>
      </c>
      <c r="AQ107">
        <v>1</v>
      </c>
      <c r="AS107">
        <v>-1</v>
      </c>
    </row>
    <row r="108" spans="1:46" x14ac:dyDescent="0.25">
      <c r="A108" s="30" t="s">
        <v>151</v>
      </c>
      <c r="B108" s="30"/>
      <c r="C108" s="30" t="s">
        <v>118</v>
      </c>
      <c r="D108" s="30">
        <v>2030</v>
      </c>
      <c r="H108">
        <f>3.5*0.277777</f>
        <v>0.97221950000000001</v>
      </c>
      <c r="Y108">
        <f>(-110.52+109.99*0.55)*0.001</f>
        <v>-5.0025499999999994E-2</v>
      </c>
      <c r="AQ108">
        <v>1</v>
      </c>
      <c r="AS108">
        <v>-1</v>
      </c>
    </row>
    <row r="109" spans="1:46" x14ac:dyDescent="0.25">
      <c r="A109" s="30" t="s">
        <v>146</v>
      </c>
      <c r="B109" s="30"/>
      <c r="C109" s="30" t="s">
        <v>118</v>
      </c>
      <c r="D109" s="30">
        <v>2015</v>
      </c>
      <c r="K109">
        <v>1</v>
      </c>
      <c r="AO109">
        <v>-1</v>
      </c>
    </row>
    <row r="110" spans="1:46" x14ac:dyDescent="0.25">
      <c r="A110" s="30" t="s">
        <v>142</v>
      </c>
      <c r="B110" s="30"/>
      <c r="C110" s="30" t="s">
        <v>118</v>
      </c>
      <c r="D110" s="30">
        <v>2015</v>
      </c>
      <c r="L110">
        <f>1/13.1</f>
        <v>7.6335877862595422E-2</v>
      </c>
      <c r="Y110">
        <f>-L110*2.75</f>
        <v>-0.20992366412213742</v>
      </c>
      <c r="AO110">
        <v>-1</v>
      </c>
    </row>
    <row r="111" spans="1:46" x14ac:dyDescent="0.25">
      <c r="A111" s="30" t="s">
        <v>143</v>
      </c>
      <c r="B111" s="30"/>
      <c r="C111" s="30" t="s">
        <v>118</v>
      </c>
      <c r="D111" s="30">
        <v>2025</v>
      </c>
      <c r="M111">
        <f>1/33.3</f>
        <v>3.0030030030030033E-2</v>
      </c>
      <c r="AO111">
        <v>-1</v>
      </c>
    </row>
    <row r="112" spans="1:46" x14ac:dyDescent="0.25">
      <c r="A112" s="30" t="s">
        <v>147</v>
      </c>
      <c r="B112" s="30"/>
      <c r="C112" s="30" t="s">
        <v>118</v>
      </c>
      <c r="D112" s="30">
        <v>2015</v>
      </c>
      <c r="K112">
        <v>1</v>
      </c>
      <c r="AP112">
        <v>-1</v>
      </c>
    </row>
    <row r="113" spans="1:48" x14ac:dyDescent="0.25">
      <c r="A113" s="30" t="s">
        <v>144</v>
      </c>
      <c r="B113" s="30"/>
      <c r="C113" s="30" t="s">
        <v>118</v>
      </c>
      <c r="D113" s="30">
        <v>2015</v>
      </c>
      <c r="L113">
        <f>1/13.1</f>
        <v>7.6335877862595422E-2</v>
      </c>
      <c r="Y113">
        <f>-L113*2.75</f>
        <v>-0.20992366412213742</v>
      </c>
      <c r="AP113">
        <v>-1</v>
      </c>
    </row>
    <row r="114" spans="1:48" x14ac:dyDescent="0.25">
      <c r="A114" s="30" t="s">
        <v>145</v>
      </c>
      <c r="B114" s="30"/>
      <c r="C114" s="30" t="s">
        <v>118</v>
      </c>
      <c r="D114" s="30">
        <v>2025</v>
      </c>
      <c r="M114">
        <f>1/33.3</f>
        <v>3.0030030030030033E-2</v>
      </c>
      <c r="AP114">
        <v>-1</v>
      </c>
    </row>
    <row r="115" spans="1:48" x14ac:dyDescent="0.25">
      <c r="A115" s="30" t="s">
        <v>122</v>
      </c>
      <c r="B115" s="30"/>
      <c r="C115" s="30" t="s">
        <v>118</v>
      </c>
      <c r="D115" s="30"/>
      <c r="H115">
        <f>(0.6+0.13)*0.277777</f>
        <v>0.20277720999999999</v>
      </c>
      <c r="L115">
        <f>0.9*0.277777/13.1</f>
        <v>1.9083916030534352E-2</v>
      </c>
      <c r="Y115">
        <f>-L115*2.75</f>
        <v>-5.2480769083969467E-2</v>
      </c>
      <c r="AS115">
        <v>1</v>
      </c>
      <c r="AU115">
        <v>-1</v>
      </c>
    </row>
    <row r="116" spans="1:48" x14ac:dyDescent="0.25">
      <c r="A116" s="30" t="s">
        <v>121</v>
      </c>
      <c r="B116" s="30"/>
      <c r="C116" s="30" t="s">
        <v>118</v>
      </c>
      <c r="D116" s="30"/>
      <c r="H116">
        <f>(0.13+2.43)*0.27777</f>
        <v>0.71109120000000003</v>
      </c>
      <c r="L116">
        <f>1.43*0.277777/13.1</f>
        <v>3.032222213740458E-2</v>
      </c>
      <c r="Y116">
        <f>-L116*2.75</f>
        <v>-8.3386110877862601E-2</v>
      </c>
      <c r="AT116">
        <v>1</v>
      </c>
      <c r="AV116">
        <v>-1</v>
      </c>
    </row>
    <row r="117" spans="1:48" x14ac:dyDescent="0.25">
      <c r="A117" s="35" t="s">
        <v>155</v>
      </c>
      <c r="B117" s="35"/>
      <c r="C117" s="35" t="s">
        <v>153</v>
      </c>
      <c r="D117" s="35">
        <v>2030</v>
      </c>
      <c r="H117">
        <f>1.091*0.277777777</f>
        <v>0.30305555470700002</v>
      </c>
      <c r="M117">
        <v>0.48</v>
      </c>
      <c r="R117">
        <v>-1</v>
      </c>
      <c r="Y117">
        <v>3.056</v>
      </c>
    </row>
    <row r="118" spans="1:48" x14ac:dyDescent="0.25">
      <c r="A118" s="35" t="s">
        <v>93</v>
      </c>
      <c r="B118" s="35"/>
      <c r="C118" s="35" t="s">
        <v>153</v>
      </c>
      <c r="D118" s="35"/>
      <c r="H118">
        <f>0.64+0.421*0.82</f>
        <v>0.98521999999999998</v>
      </c>
      <c r="M118">
        <v>0.18</v>
      </c>
      <c r="Q118">
        <v>-1</v>
      </c>
    </row>
    <row r="119" spans="1:48" x14ac:dyDescent="0.25">
      <c r="A119" s="35" t="s">
        <v>172</v>
      </c>
      <c r="B119" s="35"/>
      <c r="C119" s="35" t="s">
        <v>153</v>
      </c>
      <c r="D119" s="35"/>
      <c r="H119">
        <v>0.32100000000000001</v>
      </c>
      <c r="L119">
        <f>0.532+0.15</f>
        <v>0.68200000000000005</v>
      </c>
      <c r="N119">
        <v>-1</v>
      </c>
      <c r="Y119">
        <f>-0.059-0.15*2.75</f>
        <v>-0.47149999999999997</v>
      </c>
    </row>
    <row r="120" spans="1:48" x14ac:dyDescent="0.25">
      <c r="A120" s="35" t="s">
        <v>173</v>
      </c>
      <c r="B120" s="35"/>
      <c r="C120" s="35" t="s">
        <v>153</v>
      </c>
      <c r="D120" s="35">
        <v>2030</v>
      </c>
      <c r="H120">
        <f>H119+1.571</f>
        <v>1.8919999999999999</v>
      </c>
      <c r="L120">
        <f>0.532</f>
        <v>0.53200000000000003</v>
      </c>
      <c r="N120">
        <v>-1</v>
      </c>
      <c r="Y120">
        <f>-0.059</f>
        <v>-5.8999999999999997E-2</v>
      </c>
    </row>
    <row r="121" spans="1:48" x14ac:dyDescent="0.25">
      <c r="A121" s="35" t="s">
        <v>174</v>
      </c>
      <c r="B121" s="35"/>
      <c r="C121" s="35" t="s">
        <v>153</v>
      </c>
      <c r="D121" s="35">
        <v>2025</v>
      </c>
      <c r="F121">
        <v>1.05</v>
      </c>
      <c r="N121">
        <v>-1</v>
      </c>
      <c r="Y121">
        <v>-0.38100000000000001</v>
      </c>
    </row>
    <row r="122" spans="1:48" x14ac:dyDescent="0.25">
      <c r="A122" s="35" t="s">
        <v>175</v>
      </c>
      <c r="B122" s="35"/>
      <c r="C122" s="35" t="s">
        <v>153</v>
      </c>
      <c r="D122" s="35">
        <v>2025</v>
      </c>
      <c r="F122">
        <v>0.53</v>
      </c>
      <c r="H122">
        <v>4.7359999999999998</v>
      </c>
      <c r="N122">
        <v>-1</v>
      </c>
      <c r="Y122">
        <v>-1.4999999999999999E-2</v>
      </c>
    </row>
    <row r="123" spans="1:48" x14ac:dyDescent="0.25">
      <c r="A123" s="35" t="s">
        <v>94</v>
      </c>
      <c r="B123" s="35"/>
      <c r="C123" s="35" t="s">
        <v>153</v>
      </c>
      <c r="D123" s="35">
        <v>2030</v>
      </c>
      <c r="H123">
        <v>3.2000000000000001E-2</v>
      </c>
      <c r="L123">
        <v>0.13300000000000001</v>
      </c>
      <c r="M123">
        <v>0.156</v>
      </c>
      <c r="N123">
        <v>-1</v>
      </c>
      <c r="Y123">
        <f>1.385-0.315</f>
        <v>1.07</v>
      </c>
    </row>
    <row r="124" spans="1:48" x14ac:dyDescent="0.25">
      <c r="A124" s="35" t="s">
        <v>95</v>
      </c>
      <c r="B124" s="35"/>
      <c r="C124" s="35" t="s">
        <v>153</v>
      </c>
      <c r="D124" s="35">
        <v>2030</v>
      </c>
      <c r="H124">
        <v>1.6040000000000001</v>
      </c>
      <c r="M124">
        <v>0.156</v>
      </c>
      <c r="N124">
        <v>-1</v>
      </c>
      <c r="Y124">
        <f>1.385-0.001</f>
        <v>1.3840000000000001</v>
      </c>
    </row>
    <row r="125" spans="1:48" x14ac:dyDescent="0.25">
      <c r="A125" s="35" t="s">
        <v>96</v>
      </c>
      <c r="B125" s="35"/>
      <c r="C125" s="35" t="s">
        <v>153</v>
      </c>
      <c r="D125" s="35">
        <v>2035</v>
      </c>
      <c r="H125">
        <v>3.2000000000000001E-2</v>
      </c>
      <c r="L125">
        <v>0.13300000000000001</v>
      </c>
      <c r="M125">
        <v>0.19500000000000001</v>
      </c>
      <c r="N125">
        <v>-1</v>
      </c>
      <c r="Y125">
        <f>1.425-0.315</f>
        <v>1.1100000000000001</v>
      </c>
    </row>
    <row r="126" spans="1:48" x14ac:dyDescent="0.25">
      <c r="A126" s="35" t="s">
        <v>97</v>
      </c>
      <c r="B126" s="35"/>
      <c r="C126" s="35" t="s">
        <v>153</v>
      </c>
      <c r="D126" s="35">
        <v>2035</v>
      </c>
      <c r="H126">
        <v>1.6040000000000001</v>
      </c>
      <c r="M126">
        <v>0.19500000000000001</v>
      </c>
      <c r="N126">
        <v>-1</v>
      </c>
      <c r="Y126">
        <f>1.425-0.001</f>
        <v>1.4240000000000002</v>
      </c>
    </row>
    <row r="127" spans="1:48" x14ac:dyDescent="0.25">
      <c r="A127" s="35" t="s">
        <v>98</v>
      </c>
      <c r="B127" s="35"/>
      <c r="C127" s="35" t="s">
        <v>153</v>
      </c>
      <c r="D127" s="35">
        <v>2045</v>
      </c>
      <c r="H127">
        <v>13.8</v>
      </c>
      <c r="M127">
        <v>-4.7E-2</v>
      </c>
      <c r="N127">
        <v>-1</v>
      </c>
      <c r="W127">
        <v>-1.667</v>
      </c>
      <c r="Y127">
        <v>1.375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33"/>
  <sheetViews>
    <sheetView topLeftCell="A701" zoomScale="85" zoomScaleNormal="85" workbookViewId="0">
      <selection activeCell="I724" sqref="I724"/>
    </sheetView>
  </sheetViews>
  <sheetFormatPr baseColWidth="10" defaultRowHeight="15" x14ac:dyDescent="0.25"/>
  <cols>
    <col min="1" max="1" width="15.7109375" customWidth="1"/>
    <col min="2" max="2" width="13.42578125" customWidth="1"/>
    <col min="5" max="5" width="16.140625" bestFit="1" customWidth="1"/>
    <col min="6" max="6" width="12" bestFit="1" customWidth="1"/>
  </cols>
  <sheetData>
    <row r="1" spans="1:6" x14ac:dyDescent="0.25">
      <c r="A1" s="6" t="s">
        <v>0</v>
      </c>
      <c r="B1" s="6" t="s">
        <v>43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25">
      <c r="A2" t="s">
        <v>21</v>
      </c>
      <c r="E2" t="s">
        <v>13</v>
      </c>
      <c r="F2">
        <v>1</v>
      </c>
    </row>
    <row r="3" spans="1:6" hidden="1" x14ac:dyDescent="0.25">
      <c r="A3" t="s">
        <v>21</v>
      </c>
      <c r="B3" t="s">
        <v>56</v>
      </c>
      <c r="E3" t="s">
        <v>58</v>
      </c>
      <c r="F3">
        <v>1</v>
      </c>
    </row>
    <row r="4" spans="1:6" hidden="1" x14ac:dyDescent="0.25">
      <c r="A4" t="s">
        <v>60</v>
      </c>
      <c r="B4" t="s">
        <v>63</v>
      </c>
      <c r="E4" t="s">
        <v>13</v>
      </c>
      <c r="F4">
        <v>1</v>
      </c>
    </row>
    <row r="5" spans="1:6" hidden="1" x14ac:dyDescent="0.25">
      <c r="A5" t="s">
        <v>61</v>
      </c>
      <c r="B5" t="s">
        <v>63</v>
      </c>
      <c r="E5" t="s">
        <v>13</v>
      </c>
      <c r="F5">
        <v>1</v>
      </c>
    </row>
    <row r="6" spans="1:6" hidden="1" x14ac:dyDescent="0.25">
      <c r="A6" t="s">
        <v>72</v>
      </c>
      <c r="B6" t="s">
        <v>63</v>
      </c>
      <c r="E6" t="s">
        <v>13</v>
      </c>
      <c r="F6">
        <v>1</v>
      </c>
    </row>
    <row r="7" spans="1:6" hidden="1" x14ac:dyDescent="0.25">
      <c r="A7" t="s">
        <v>156</v>
      </c>
      <c r="B7" t="s">
        <v>63</v>
      </c>
      <c r="D7">
        <v>2030</v>
      </c>
      <c r="E7" t="s">
        <v>13</v>
      </c>
      <c r="F7">
        <v>1</v>
      </c>
    </row>
    <row r="8" spans="1:6" hidden="1" x14ac:dyDescent="0.25">
      <c r="A8" t="s">
        <v>160</v>
      </c>
      <c r="B8" t="s">
        <v>63</v>
      </c>
      <c r="D8">
        <v>2030</v>
      </c>
      <c r="E8" t="s">
        <v>13</v>
      </c>
      <c r="F8">
        <v>1</v>
      </c>
    </row>
    <row r="9" spans="1:6" hidden="1" x14ac:dyDescent="0.25">
      <c r="A9" t="s">
        <v>158</v>
      </c>
      <c r="B9" t="s">
        <v>63</v>
      </c>
      <c r="D9">
        <v>2030</v>
      </c>
      <c r="E9" t="s">
        <v>13</v>
      </c>
      <c r="F9">
        <v>1</v>
      </c>
    </row>
    <row r="10" spans="1:6" hidden="1" x14ac:dyDescent="0.25">
      <c r="A10" t="s">
        <v>62</v>
      </c>
      <c r="B10" t="s">
        <v>63</v>
      </c>
      <c r="D10">
        <v>2015</v>
      </c>
      <c r="E10" t="s">
        <v>13</v>
      </c>
      <c r="F10">
        <v>0</v>
      </c>
    </row>
    <row r="11" spans="1:6" hidden="1" x14ac:dyDescent="0.25">
      <c r="A11" t="s">
        <v>62</v>
      </c>
      <c r="B11" t="s">
        <v>63</v>
      </c>
      <c r="D11">
        <v>2016</v>
      </c>
      <c r="E11" t="s">
        <v>13</v>
      </c>
      <c r="F11">
        <v>0</v>
      </c>
    </row>
    <row r="12" spans="1:6" hidden="1" x14ac:dyDescent="0.25">
      <c r="A12" t="s">
        <v>62</v>
      </c>
      <c r="B12" t="s">
        <v>63</v>
      </c>
      <c r="D12">
        <v>2017</v>
      </c>
      <c r="E12" t="s">
        <v>13</v>
      </c>
      <c r="F12">
        <v>0</v>
      </c>
    </row>
    <row r="13" spans="1:6" hidden="1" x14ac:dyDescent="0.25">
      <c r="A13" t="s">
        <v>62</v>
      </c>
      <c r="B13" t="s">
        <v>63</v>
      </c>
      <c r="D13">
        <v>2018</v>
      </c>
      <c r="E13" t="s">
        <v>13</v>
      </c>
      <c r="F13">
        <v>0</v>
      </c>
    </row>
    <row r="14" spans="1:6" hidden="1" x14ac:dyDescent="0.25">
      <c r="A14" t="s">
        <v>62</v>
      </c>
      <c r="B14" t="s">
        <v>63</v>
      </c>
      <c r="D14">
        <v>2019</v>
      </c>
      <c r="E14" t="s">
        <v>13</v>
      </c>
      <c r="F14">
        <v>0</v>
      </c>
    </row>
    <row r="15" spans="1:6" hidden="1" x14ac:dyDescent="0.25">
      <c r="A15" t="s">
        <v>62</v>
      </c>
      <c r="B15" t="s">
        <v>63</v>
      </c>
      <c r="D15">
        <v>2020</v>
      </c>
      <c r="E15" t="s">
        <v>13</v>
      </c>
      <c r="F15">
        <v>0</v>
      </c>
    </row>
    <row r="16" spans="1:6" hidden="1" x14ac:dyDescent="0.25">
      <c r="A16" t="s">
        <v>62</v>
      </c>
      <c r="B16" t="s">
        <v>63</v>
      </c>
      <c r="E16" t="s">
        <v>13</v>
      </c>
      <c r="F16">
        <v>1</v>
      </c>
    </row>
    <row r="17" spans="1:8" hidden="1" x14ac:dyDescent="0.25">
      <c r="A17" t="s">
        <v>161</v>
      </c>
      <c r="B17" t="s">
        <v>63</v>
      </c>
      <c r="E17" t="s">
        <v>13</v>
      </c>
      <c r="F17">
        <v>0</v>
      </c>
    </row>
    <row r="18" spans="1:8" hidden="1" x14ac:dyDescent="0.25">
      <c r="A18" t="s">
        <v>161</v>
      </c>
      <c r="B18" t="s">
        <v>63</v>
      </c>
      <c r="E18" t="s">
        <v>58</v>
      </c>
      <c r="F18">
        <v>1</v>
      </c>
    </row>
    <row r="19" spans="1:8" hidden="1" x14ac:dyDescent="0.25">
      <c r="A19" t="s">
        <v>162</v>
      </c>
      <c r="B19" t="s">
        <v>63</v>
      </c>
      <c r="E19" t="s">
        <v>13</v>
      </c>
      <c r="F19">
        <v>0</v>
      </c>
    </row>
    <row r="20" spans="1:8" hidden="1" x14ac:dyDescent="0.25">
      <c r="A20" t="s">
        <v>162</v>
      </c>
      <c r="B20" t="s">
        <v>63</v>
      </c>
      <c r="E20" t="s">
        <v>58</v>
      </c>
      <c r="F20">
        <v>1</v>
      </c>
    </row>
    <row r="21" spans="1:8" hidden="1" x14ac:dyDescent="0.25">
      <c r="A21" t="s">
        <v>71</v>
      </c>
      <c r="B21" t="s">
        <v>63</v>
      </c>
      <c r="E21" t="s">
        <v>13</v>
      </c>
      <c r="F21">
        <v>0</v>
      </c>
    </row>
    <row r="22" spans="1:8" hidden="1" x14ac:dyDescent="0.25">
      <c r="A22" t="s">
        <v>71</v>
      </c>
      <c r="B22" t="s">
        <v>63</v>
      </c>
      <c r="E22" t="s">
        <v>58</v>
      </c>
      <c r="F22">
        <v>1</v>
      </c>
    </row>
    <row r="23" spans="1:8" hidden="1" x14ac:dyDescent="0.25">
      <c r="A23" t="s">
        <v>70</v>
      </c>
      <c r="B23" t="s">
        <v>63</v>
      </c>
      <c r="E23" t="s">
        <v>58</v>
      </c>
      <c r="F23">
        <v>1</v>
      </c>
    </row>
    <row r="24" spans="1:8" hidden="1" x14ac:dyDescent="0.25">
      <c r="A24" t="s">
        <v>70</v>
      </c>
      <c r="B24" t="s">
        <v>63</v>
      </c>
      <c r="E24" t="s">
        <v>13</v>
      </c>
      <c r="F24">
        <v>0</v>
      </c>
    </row>
    <row r="25" spans="1:8" hidden="1" x14ac:dyDescent="0.25">
      <c r="A25" s="27" t="s">
        <v>6</v>
      </c>
      <c r="B25" s="27" t="s">
        <v>63</v>
      </c>
      <c r="C25" s="27" t="s">
        <v>23</v>
      </c>
      <c r="D25" s="27"/>
      <c r="E25" s="27" t="s">
        <v>99</v>
      </c>
      <c r="F25" s="49"/>
    </row>
    <row r="26" spans="1:8" hidden="1" x14ac:dyDescent="0.25">
      <c r="A26" s="27" t="s">
        <v>6</v>
      </c>
      <c r="B26" s="27" t="s">
        <v>63</v>
      </c>
      <c r="C26" s="27" t="s">
        <v>23</v>
      </c>
      <c r="D26" s="27"/>
      <c r="E26" s="27" t="s">
        <v>13</v>
      </c>
      <c r="F26" s="49"/>
    </row>
    <row r="27" spans="1:8" hidden="1" x14ac:dyDescent="0.25">
      <c r="A27" t="s">
        <v>60</v>
      </c>
      <c r="B27" t="s">
        <v>63</v>
      </c>
      <c r="C27" t="s">
        <v>23</v>
      </c>
      <c r="D27">
        <v>2015</v>
      </c>
      <c r="E27" t="s">
        <v>35</v>
      </c>
      <c r="F27" s="10">
        <f>19000000*0.3</f>
        <v>5700000</v>
      </c>
      <c r="H27" s="10"/>
    </row>
    <row r="28" spans="1:8" hidden="1" x14ac:dyDescent="0.25">
      <c r="A28" t="s">
        <v>61</v>
      </c>
      <c r="B28" t="s">
        <v>63</v>
      </c>
      <c r="C28" t="s">
        <v>23</v>
      </c>
      <c r="D28">
        <v>2015</v>
      </c>
      <c r="E28" t="s">
        <v>35</v>
      </c>
      <c r="F28" s="10">
        <f>19000000*0.57</f>
        <v>10830000</v>
      </c>
    </row>
    <row r="29" spans="1:8" hidden="1" x14ac:dyDescent="0.25">
      <c r="A29" t="s">
        <v>72</v>
      </c>
      <c r="B29" t="s">
        <v>63</v>
      </c>
      <c r="C29" t="s">
        <v>23</v>
      </c>
      <c r="D29">
        <v>2015</v>
      </c>
      <c r="E29" t="s">
        <v>35</v>
      </c>
      <c r="F29" s="10">
        <f>19000000*0.13</f>
        <v>2470000</v>
      </c>
    </row>
    <row r="30" spans="1:8" hidden="1" x14ac:dyDescent="0.25">
      <c r="A30" t="s">
        <v>62</v>
      </c>
      <c r="B30" t="s">
        <v>63</v>
      </c>
      <c r="C30" t="s">
        <v>23</v>
      </c>
      <c r="D30">
        <v>2015</v>
      </c>
      <c r="E30" t="s">
        <v>35</v>
      </c>
      <c r="F30">
        <v>0</v>
      </c>
    </row>
    <row r="31" spans="1:8" hidden="1" x14ac:dyDescent="0.25">
      <c r="A31" t="s">
        <v>60</v>
      </c>
      <c r="B31" t="s">
        <v>63</v>
      </c>
      <c r="C31" t="s">
        <v>23</v>
      </c>
      <c r="D31">
        <v>2025</v>
      </c>
      <c r="E31" t="s">
        <v>35</v>
      </c>
      <c r="F31" s="10">
        <f>19000000*0.3</f>
        <v>5700000</v>
      </c>
    </row>
    <row r="32" spans="1:8" hidden="1" x14ac:dyDescent="0.25">
      <c r="A32" t="s">
        <v>61</v>
      </c>
      <c r="B32" t="s">
        <v>63</v>
      </c>
      <c r="C32" t="s">
        <v>23</v>
      </c>
      <c r="D32">
        <v>2025</v>
      </c>
      <c r="E32" t="s">
        <v>35</v>
      </c>
      <c r="F32" s="10">
        <f>19000000*0.57</f>
        <v>10830000</v>
      </c>
    </row>
    <row r="33" spans="1:6" hidden="1" x14ac:dyDescent="0.25">
      <c r="A33" t="s">
        <v>72</v>
      </c>
      <c r="B33" t="s">
        <v>63</v>
      </c>
      <c r="C33" t="s">
        <v>23</v>
      </c>
      <c r="D33">
        <v>2025</v>
      </c>
      <c r="E33" t="s">
        <v>35</v>
      </c>
      <c r="F33" s="10">
        <f>19000000*0.13</f>
        <v>2470000</v>
      </c>
    </row>
    <row r="34" spans="1:6" hidden="1" x14ac:dyDescent="0.25">
      <c r="A34" t="s">
        <v>62</v>
      </c>
      <c r="B34" t="s">
        <v>63</v>
      </c>
      <c r="C34" t="s">
        <v>23</v>
      </c>
      <c r="D34">
        <v>2025</v>
      </c>
      <c r="E34" t="s">
        <v>35</v>
      </c>
      <c r="F34">
        <v>0</v>
      </c>
    </row>
    <row r="35" spans="1:6" hidden="1" x14ac:dyDescent="0.25">
      <c r="A35" t="s">
        <v>156</v>
      </c>
      <c r="B35" t="s">
        <v>63</v>
      </c>
      <c r="C35" t="s">
        <v>23</v>
      </c>
      <c r="D35">
        <v>2025</v>
      </c>
      <c r="E35" t="s">
        <v>35</v>
      </c>
      <c r="F35">
        <v>0</v>
      </c>
    </row>
    <row r="36" spans="1:6" hidden="1" x14ac:dyDescent="0.25">
      <c r="A36" t="s">
        <v>160</v>
      </c>
      <c r="B36" t="s">
        <v>63</v>
      </c>
      <c r="C36" t="s">
        <v>23</v>
      </c>
      <c r="D36">
        <v>2025</v>
      </c>
      <c r="E36" t="s">
        <v>35</v>
      </c>
      <c r="F36">
        <v>0</v>
      </c>
    </row>
    <row r="37" spans="1:6" hidden="1" x14ac:dyDescent="0.25">
      <c r="A37" t="s">
        <v>158</v>
      </c>
      <c r="B37" t="s">
        <v>63</v>
      </c>
      <c r="C37" t="s">
        <v>23</v>
      </c>
      <c r="D37">
        <v>2025</v>
      </c>
      <c r="E37" t="s">
        <v>35</v>
      </c>
      <c r="F37">
        <v>0</v>
      </c>
    </row>
    <row r="38" spans="1:6" hidden="1" x14ac:dyDescent="0.25">
      <c r="A38" t="s">
        <v>60</v>
      </c>
      <c r="B38" t="s">
        <v>63</v>
      </c>
      <c r="C38" t="s">
        <v>23</v>
      </c>
      <c r="D38">
        <v>2030</v>
      </c>
      <c r="E38" t="s">
        <v>35</v>
      </c>
      <c r="F38" s="10">
        <f>19000000*0.25</f>
        <v>4750000</v>
      </c>
    </row>
    <row r="39" spans="1:6" hidden="1" x14ac:dyDescent="0.25">
      <c r="A39" t="s">
        <v>61</v>
      </c>
      <c r="B39" t="s">
        <v>63</v>
      </c>
      <c r="C39" t="s">
        <v>23</v>
      </c>
      <c r="D39">
        <v>2030</v>
      </c>
      <c r="E39" t="s">
        <v>35</v>
      </c>
      <c r="F39" s="10">
        <f>19000000*0.5</f>
        <v>9500000</v>
      </c>
    </row>
    <row r="40" spans="1:6" hidden="1" x14ac:dyDescent="0.25">
      <c r="A40" t="s">
        <v>72</v>
      </c>
      <c r="B40" t="s">
        <v>63</v>
      </c>
      <c r="C40" t="s">
        <v>23</v>
      </c>
      <c r="D40">
        <v>2030</v>
      </c>
      <c r="E40" t="s">
        <v>35</v>
      </c>
      <c r="F40" s="10">
        <f>19000000*0.16</f>
        <v>3040000</v>
      </c>
    </row>
    <row r="41" spans="1:6" hidden="1" x14ac:dyDescent="0.25">
      <c r="A41" t="s">
        <v>62</v>
      </c>
      <c r="B41" t="s">
        <v>63</v>
      </c>
      <c r="C41" t="s">
        <v>23</v>
      </c>
      <c r="D41">
        <v>2030</v>
      </c>
      <c r="E41" t="s">
        <v>35</v>
      </c>
      <c r="F41">
        <f>19000000*0.09</f>
        <v>1710000</v>
      </c>
    </row>
    <row r="42" spans="1:6" hidden="1" x14ac:dyDescent="0.25">
      <c r="A42" t="s">
        <v>156</v>
      </c>
      <c r="B42" t="s">
        <v>63</v>
      </c>
      <c r="C42" t="s">
        <v>23</v>
      </c>
      <c r="D42">
        <v>2030</v>
      </c>
      <c r="E42" t="s">
        <v>35</v>
      </c>
      <c r="F42">
        <v>0</v>
      </c>
    </row>
    <row r="43" spans="1:6" hidden="1" x14ac:dyDescent="0.25">
      <c r="A43" t="s">
        <v>160</v>
      </c>
      <c r="B43" t="s">
        <v>63</v>
      </c>
      <c r="C43" t="s">
        <v>23</v>
      </c>
      <c r="D43">
        <v>2030</v>
      </c>
      <c r="E43" t="s">
        <v>35</v>
      </c>
      <c r="F43">
        <v>0</v>
      </c>
    </row>
    <row r="44" spans="1:6" hidden="1" x14ac:dyDescent="0.25">
      <c r="A44" t="s">
        <v>158</v>
      </c>
      <c r="B44" t="s">
        <v>63</v>
      </c>
      <c r="C44" t="s">
        <v>23</v>
      </c>
      <c r="D44">
        <v>2030</v>
      </c>
      <c r="E44" t="s">
        <v>35</v>
      </c>
      <c r="F44">
        <v>0</v>
      </c>
    </row>
    <row r="45" spans="1:6" hidden="1" x14ac:dyDescent="0.25">
      <c r="A45" t="s">
        <v>60</v>
      </c>
      <c r="B45" t="s">
        <v>63</v>
      </c>
      <c r="C45" t="s">
        <v>23</v>
      </c>
      <c r="D45">
        <v>2050</v>
      </c>
      <c r="E45" t="s">
        <v>35</v>
      </c>
      <c r="F45" s="10">
        <f>19000000*0.08</f>
        <v>1520000</v>
      </c>
    </row>
    <row r="46" spans="1:6" hidden="1" x14ac:dyDescent="0.25">
      <c r="A46" t="s">
        <v>61</v>
      </c>
      <c r="B46" t="s">
        <v>63</v>
      </c>
      <c r="C46" t="s">
        <v>23</v>
      </c>
      <c r="D46">
        <v>2050</v>
      </c>
      <c r="E46" t="s">
        <v>35</v>
      </c>
      <c r="F46" s="10">
        <f>19000000*0.1</f>
        <v>1900000</v>
      </c>
    </row>
    <row r="47" spans="1:6" hidden="1" x14ac:dyDescent="0.25">
      <c r="A47" t="s">
        <v>72</v>
      </c>
      <c r="B47" t="s">
        <v>63</v>
      </c>
      <c r="C47" t="s">
        <v>23</v>
      </c>
      <c r="D47">
        <v>2050</v>
      </c>
      <c r="E47" t="s">
        <v>35</v>
      </c>
      <c r="F47" s="10">
        <f>19000000*0.17</f>
        <v>3230000</v>
      </c>
    </row>
    <row r="48" spans="1:6" hidden="1" x14ac:dyDescent="0.25">
      <c r="A48" t="s">
        <v>62</v>
      </c>
      <c r="B48" t="s">
        <v>63</v>
      </c>
      <c r="C48" t="s">
        <v>23</v>
      </c>
      <c r="D48">
        <v>2050</v>
      </c>
      <c r="E48" t="s">
        <v>35</v>
      </c>
      <c r="F48">
        <f>19000000*0.4</f>
        <v>7600000</v>
      </c>
    </row>
    <row r="49" spans="1:6" hidden="1" x14ac:dyDescent="0.25">
      <c r="A49" t="s">
        <v>156</v>
      </c>
      <c r="B49" t="s">
        <v>63</v>
      </c>
      <c r="C49" t="s">
        <v>23</v>
      </c>
      <c r="D49">
        <v>2050</v>
      </c>
      <c r="E49" t="s">
        <v>35</v>
      </c>
      <c r="F49">
        <f>19000000*0.05</f>
        <v>950000</v>
      </c>
    </row>
    <row r="50" spans="1:6" hidden="1" x14ac:dyDescent="0.25">
      <c r="A50" t="s">
        <v>160</v>
      </c>
      <c r="B50" t="s">
        <v>63</v>
      </c>
      <c r="C50" t="s">
        <v>23</v>
      </c>
      <c r="D50">
        <v>2050</v>
      </c>
      <c r="E50" t="s">
        <v>35</v>
      </c>
      <c r="F50">
        <f>19000000*0.1</f>
        <v>1900000</v>
      </c>
    </row>
    <row r="51" spans="1:6" hidden="1" x14ac:dyDescent="0.25">
      <c r="A51" t="s">
        <v>158</v>
      </c>
      <c r="B51" t="s">
        <v>63</v>
      </c>
      <c r="C51" t="s">
        <v>23</v>
      </c>
      <c r="D51">
        <v>2050</v>
      </c>
      <c r="E51" t="s">
        <v>35</v>
      </c>
      <c r="F51">
        <f>19000000*0.1</f>
        <v>1900000</v>
      </c>
    </row>
    <row r="52" spans="1:6" hidden="1" x14ac:dyDescent="0.25">
      <c r="A52" t="s">
        <v>6</v>
      </c>
      <c r="E52" t="s">
        <v>58</v>
      </c>
      <c r="F52" s="48">
        <v>1</v>
      </c>
    </row>
    <row r="53" spans="1:6" hidden="1" x14ac:dyDescent="0.25">
      <c r="A53" t="s">
        <v>73</v>
      </c>
      <c r="E53" t="s">
        <v>58</v>
      </c>
      <c r="F53" s="48">
        <v>1</v>
      </c>
    </row>
    <row r="54" spans="1:6" x14ac:dyDescent="0.25">
      <c r="A54" t="s">
        <v>8</v>
      </c>
      <c r="C54" t="s">
        <v>23</v>
      </c>
      <c r="D54">
        <v>2015</v>
      </c>
      <c r="E54" t="s">
        <v>22</v>
      </c>
      <c r="F54" s="42">
        <v>60.85</v>
      </c>
    </row>
    <row r="55" spans="1:6" x14ac:dyDescent="0.25">
      <c r="A55" t="s">
        <v>8</v>
      </c>
      <c r="C55" t="s">
        <v>23</v>
      </c>
      <c r="D55">
        <f t="shared" ref="D55:D62" si="0">D54+1</f>
        <v>2016</v>
      </c>
      <c r="E55" t="s">
        <v>22</v>
      </c>
      <c r="F55" s="42">
        <v>54.449999999999996</v>
      </c>
    </row>
    <row r="56" spans="1:6" x14ac:dyDescent="0.25">
      <c r="A56" t="s">
        <v>8</v>
      </c>
      <c r="C56" t="s">
        <v>23</v>
      </c>
      <c r="D56">
        <f t="shared" si="0"/>
        <v>2017</v>
      </c>
      <c r="E56" t="s">
        <v>22</v>
      </c>
      <c r="F56" s="42">
        <v>52.250000000000007</v>
      </c>
    </row>
    <row r="57" spans="1:6" x14ac:dyDescent="0.25">
      <c r="A57" t="s">
        <v>8</v>
      </c>
      <c r="C57" t="s">
        <v>23</v>
      </c>
      <c r="D57">
        <f t="shared" si="0"/>
        <v>2018</v>
      </c>
      <c r="E57" t="s">
        <v>22</v>
      </c>
      <c r="F57" s="42">
        <v>57.95</v>
      </c>
    </row>
    <row r="58" spans="1:6" x14ac:dyDescent="0.25">
      <c r="A58" t="s">
        <v>8</v>
      </c>
      <c r="C58" t="s">
        <v>23</v>
      </c>
      <c r="D58">
        <f t="shared" si="0"/>
        <v>2019</v>
      </c>
      <c r="E58" t="s">
        <v>22</v>
      </c>
      <c r="F58" s="42">
        <v>59.1</v>
      </c>
    </row>
    <row r="59" spans="1:6" x14ac:dyDescent="0.25">
      <c r="A59" t="s">
        <v>8</v>
      </c>
      <c r="C59" t="s">
        <v>23</v>
      </c>
      <c r="D59">
        <f t="shared" si="0"/>
        <v>2020</v>
      </c>
      <c r="E59" t="s">
        <v>22</v>
      </c>
      <c r="F59" s="42">
        <v>59.2</v>
      </c>
    </row>
    <row r="60" spans="1:6" x14ac:dyDescent="0.25">
      <c r="A60" t="s">
        <v>8</v>
      </c>
      <c r="C60" t="s">
        <v>23</v>
      </c>
      <c r="D60">
        <f t="shared" si="0"/>
        <v>2021</v>
      </c>
      <c r="E60" t="s">
        <v>22</v>
      </c>
      <c r="F60" s="42">
        <v>77.050000000000011</v>
      </c>
    </row>
    <row r="61" spans="1:6" x14ac:dyDescent="0.25">
      <c r="A61" t="s">
        <v>8</v>
      </c>
      <c r="C61" t="s">
        <v>23</v>
      </c>
      <c r="D61">
        <f t="shared" si="0"/>
        <v>2022</v>
      </c>
      <c r="E61" t="s">
        <v>22</v>
      </c>
      <c r="F61" s="42">
        <v>128.95000000000002</v>
      </c>
    </row>
    <row r="62" spans="1:6" x14ac:dyDescent="0.25">
      <c r="A62" t="s">
        <v>8</v>
      </c>
      <c r="C62" t="s">
        <v>23</v>
      </c>
      <c r="D62">
        <f t="shared" si="0"/>
        <v>2023</v>
      </c>
      <c r="E62" t="s">
        <v>22</v>
      </c>
      <c r="F62" s="42">
        <v>125.8</v>
      </c>
    </row>
    <row r="63" spans="1:6" x14ac:dyDescent="0.25">
      <c r="A63" t="s">
        <v>8</v>
      </c>
      <c r="C63" t="s">
        <v>23</v>
      </c>
      <c r="D63">
        <v>2050</v>
      </c>
      <c r="E63" t="s">
        <v>22</v>
      </c>
      <c r="F63">
        <v>70</v>
      </c>
    </row>
    <row r="64" spans="1:6" hidden="1" x14ac:dyDescent="0.25">
      <c r="A64" t="s">
        <v>5</v>
      </c>
      <c r="D64">
        <v>2015</v>
      </c>
      <c r="E64" t="s">
        <v>22</v>
      </c>
      <c r="F64">
        <f>(58.85+60.2+51.4+47.45)/4</f>
        <v>54.475000000000009</v>
      </c>
    </row>
    <row r="65" spans="1:6" hidden="1" x14ac:dyDescent="0.25">
      <c r="A65" t="s">
        <v>5</v>
      </c>
      <c r="D65">
        <f>D64+1</f>
        <v>2016</v>
      </c>
      <c r="E65" t="s">
        <v>22</v>
      </c>
      <c r="F65">
        <f>(44.95+55+70.75+86.45)/4</f>
        <v>64.287499999999994</v>
      </c>
    </row>
    <row r="66" spans="1:6" hidden="1" x14ac:dyDescent="0.25">
      <c r="A66" t="s">
        <v>5</v>
      </c>
      <c r="D66">
        <f t="shared" ref="D66:D72" si="1">D65+1</f>
        <v>2017</v>
      </c>
      <c r="E66" t="s">
        <v>22</v>
      </c>
      <c r="F66">
        <f>(72.65+78.7+88.4+95.6)/4</f>
        <v>83.837500000000006</v>
      </c>
    </row>
    <row r="67" spans="1:6" hidden="1" x14ac:dyDescent="0.25">
      <c r="A67" t="s">
        <v>5</v>
      </c>
      <c r="D67">
        <f t="shared" si="1"/>
        <v>2018</v>
      </c>
      <c r="E67" t="s">
        <v>22</v>
      </c>
      <c r="F67">
        <f>(79+97.5+101.65+86.2)/4</f>
        <v>91.087499999999991</v>
      </c>
    </row>
    <row r="68" spans="1:6" hidden="1" x14ac:dyDescent="0.25">
      <c r="A68" t="s">
        <v>5</v>
      </c>
      <c r="D68">
        <f t="shared" si="1"/>
        <v>2019</v>
      </c>
      <c r="E68" t="s">
        <v>22</v>
      </c>
      <c r="F68">
        <f>(63.95+53.9+60.9+54.05)/4</f>
        <v>58.2</v>
      </c>
    </row>
    <row r="69" spans="1:6" hidden="1" x14ac:dyDescent="0.25">
      <c r="A69" t="s">
        <v>5</v>
      </c>
      <c r="D69">
        <f t="shared" si="1"/>
        <v>2020</v>
      </c>
      <c r="E69" t="s">
        <v>22</v>
      </c>
      <c r="F69">
        <f>(49.3+49.85+57.95+69)/4</f>
        <v>56.525000000000006</v>
      </c>
    </row>
    <row r="70" spans="1:6" hidden="1" x14ac:dyDescent="0.25">
      <c r="A70" t="s">
        <v>5</v>
      </c>
      <c r="D70">
        <f t="shared" si="1"/>
        <v>2021</v>
      </c>
      <c r="E70" t="s">
        <v>22</v>
      </c>
      <c r="F70">
        <f>(70.05+117.4+218.65+117.4)/4</f>
        <v>130.875</v>
      </c>
    </row>
    <row r="71" spans="1:6" hidden="1" x14ac:dyDescent="0.25">
      <c r="A71" t="s">
        <v>5</v>
      </c>
      <c r="D71">
        <f t="shared" si="1"/>
        <v>2022</v>
      </c>
      <c r="E71" t="s">
        <v>22</v>
      </c>
      <c r="F71">
        <f>(273+339.95+315.5+190)/4</f>
        <v>279.61250000000001</v>
      </c>
    </row>
    <row r="72" spans="1:6" hidden="1" x14ac:dyDescent="0.25">
      <c r="A72" t="s">
        <v>5</v>
      </c>
      <c r="D72">
        <f t="shared" si="1"/>
        <v>2023</v>
      </c>
      <c r="E72" t="s">
        <v>22</v>
      </c>
      <c r="F72">
        <f>(119.9+128.05+103.85+101)/4</f>
        <v>113.2</v>
      </c>
    </row>
    <row r="73" spans="1:6" hidden="1" x14ac:dyDescent="0.25">
      <c r="A73" t="s">
        <v>5</v>
      </c>
      <c r="D73">
        <v>2025</v>
      </c>
      <c r="E73" t="s">
        <v>22</v>
      </c>
      <c r="F73">
        <f>16/1.6282*8.06</f>
        <v>79.204028989067695</v>
      </c>
    </row>
    <row r="74" spans="1:6" hidden="1" x14ac:dyDescent="0.25">
      <c r="A74" t="s">
        <v>5</v>
      </c>
      <c r="D74">
        <v>2035</v>
      </c>
      <c r="E74" t="s">
        <v>22</v>
      </c>
      <c r="F74">
        <f>16/1.6282*8.06</f>
        <v>79.204028989067695</v>
      </c>
    </row>
    <row r="75" spans="1:6" hidden="1" x14ac:dyDescent="0.25">
      <c r="A75" t="s">
        <v>5</v>
      </c>
      <c r="D75">
        <v>2050</v>
      </c>
      <c r="E75" t="s">
        <v>22</v>
      </c>
      <c r="F75">
        <f>20/1.6282*8.06</f>
        <v>99.005036236334604</v>
      </c>
    </row>
    <row r="76" spans="1:6" hidden="1" x14ac:dyDescent="0.25">
      <c r="A76" t="s">
        <v>9</v>
      </c>
      <c r="C76" t="s">
        <v>23</v>
      </c>
      <c r="D76">
        <v>2015</v>
      </c>
      <c r="E76" t="s">
        <v>22</v>
      </c>
      <c r="F76" s="42">
        <v>328.80999999999995</v>
      </c>
    </row>
    <row r="77" spans="1:6" hidden="1" x14ac:dyDescent="0.25">
      <c r="A77" t="s">
        <v>9</v>
      </c>
      <c r="C77" t="s">
        <v>23</v>
      </c>
      <c r="D77">
        <f t="shared" ref="D77:D84" si="2">D76+1</f>
        <v>2016</v>
      </c>
      <c r="E77" t="s">
        <v>22</v>
      </c>
      <c r="F77" s="42">
        <v>260.69000000000005</v>
      </c>
    </row>
    <row r="78" spans="1:6" hidden="1" x14ac:dyDescent="0.25">
      <c r="A78" t="s">
        <v>9</v>
      </c>
      <c r="C78" t="s">
        <v>23</v>
      </c>
      <c r="D78">
        <f t="shared" si="2"/>
        <v>2017</v>
      </c>
      <c r="E78" t="s">
        <v>22</v>
      </c>
      <c r="F78" s="42">
        <v>269.20499999999998</v>
      </c>
    </row>
    <row r="79" spans="1:6" hidden="1" x14ac:dyDescent="0.25">
      <c r="A79" t="s">
        <v>9</v>
      </c>
      <c r="C79" t="s">
        <v>23</v>
      </c>
      <c r="D79">
        <f t="shared" si="2"/>
        <v>2018</v>
      </c>
      <c r="E79" t="s">
        <v>22</v>
      </c>
      <c r="F79" s="42">
        <v>293.44</v>
      </c>
    </row>
    <row r="80" spans="1:6" hidden="1" x14ac:dyDescent="0.25">
      <c r="A80" t="s">
        <v>9</v>
      </c>
      <c r="C80" t="s">
        <v>23</v>
      </c>
      <c r="D80">
        <f t="shared" si="2"/>
        <v>2019</v>
      </c>
      <c r="E80" t="s">
        <v>22</v>
      </c>
      <c r="F80" s="42">
        <v>246.27999999999997</v>
      </c>
    </row>
    <row r="81" spans="1:6" hidden="1" x14ac:dyDescent="0.25">
      <c r="A81" t="s">
        <v>9</v>
      </c>
      <c r="C81" t="s">
        <v>23</v>
      </c>
      <c r="D81">
        <f t="shared" si="2"/>
        <v>2020</v>
      </c>
      <c r="E81" t="s">
        <v>22</v>
      </c>
      <c r="F81" s="42">
        <v>176.84999999999997</v>
      </c>
    </row>
    <row r="82" spans="1:6" hidden="1" x14ac:dyDescent="0.25">
      <c r="A82" t="s">
        <v>9</v>
      </c>
      <c r="C82" t="s">
        <v>23</v>
      </c>
      <c r="D82">
        <f t="shared" si="2"/>
        <v>2021</v>
      </c>
      <c r="E82" t="s">
        <v>22</v>
      </c>
      <c r="F82" s="42">
        <v>476.84</v>
      </c>
    </row>
    <row r="83" spans="1:6" hidden="1" x14ac:dyDescent="0.25">
      <c r="A83" t="s">
        <v>9</v>
      </c>
      <c r="C83" t="s">
        <v>23</v>
      </c>
      <c r="D83">
        <f t="shared" si="2"/>
        <v>2022</v>
      </c>
      <c r="E83" t="s">
        <v>22</v>
      </c>
      <c r="F83" s="42">
        <v>1004.1149999999999</v>
      </c>
    </row>
    <row r="84" spans="1:6" hidden="1" x14ac:dyDescent="0.25">
      <c r="A84" t="s">
        <v>9</v>
      </c>
      <c r="C84" t="s">
        <v>23</v>
      </c>
      <c r="D84">
        <f t="shared" si="2"/>
        <v>2023</v>
      </c>
      <c r="E84" t="s">
        <v>22</v>
      </c>
      <c r="F84" s="42">
        <v>637.97</v>
      </c>
    </row>
    <row r="85" spans="1:6" hidden="1" x14ac:dyDescent="0.25">
      <c r="A85" t="s">
        <v>9</v>
      </c>
      <c r="C85" t="s">
        <v>24</v>
      </c>
      <c r="D85">
        <v>2015</v>
      </c>
      <c r="E85" t="s">
        <v>22</v>
      </c>
      <c r="F85" s="42">
        <v>363.52499999999992</v>
      </c>
    </row>
    <row r="86" spans="1:6" hidden="1" x14ac:dyDescent="0.25">
      <c r="A86" t="s">
        <v>9</v>
      </c>
      <c r="C86" t="s">
        <v>24</v>
      </c>
      <c r="D86">
        <f t="shared" ref="D86:D93" si="3">D85+1</f>
        <v>2016</v>
      </c>
      <c r="E86" t="s">
        <v>22</v>
      </c>
      <c r="F86" s="42">
        <v>296.06000000000006</v>
      </c>
    </row>
    <row r="87" spans="1:6" hidden="1" x14ac:dyDescent="0.25">
      <c r="A87" t="s">
        <v>9</v>
      </c>
      <c r="C87" t="s">
        <v>24</v>
      </c>
      <c r="D87">
        <f t="shared" si="3"/>
        <v>2017</v>
      </c>
      <c r="E87" t="s">
        <v>22</v>
      </c>
      <c r="F87" s="42">
        <v>299.33500000000004</v>
      </c>
    </row>
    <row r="88" spans="1:6" hidden="1" x14ac:dyDescent="0.25">
      <c r="A88" t="s">
        <v>9</v>
      </c>
      <c r="C88" t="s">
        <v>24</v>
      </c>
      <c r="D88">
        <f t="shared" si="3"/>
        <v>2018</v>
      </c>
      <c r="E88" t="s">
        <v>22</v>
      </c>
      <c r="F88" s="42">
        <v>343.22</v>
      </c>
    </row>
    <row r="89" spans="1:6" hidden="1" x14ac:dyDescent="0.25">
      <c r="A89" t="s">
        <v>9</v>
      </c>
      <c r="C89" t="s">
        <v>24</v>
      </c>
      <c r="D89">
        <f t="shared" si="3"/>
        <v>2019</v>
      </c>
      <c r="E89" t="s">
        <v>22</v>
      </c>
      <c r="F89" s="42">
        <v>287.54499999999996</v>
      </c>
    </row>
    <row r="90" spans="1:6" hidden="1" x14ac:dyDescent="0.25">
      <c r="A90" t="s">
        <v>9</v>
      </c>
      <c r="C90" t="s">
        <v>24</v>
      </c>
      <c r="D90">
        <f t="shared" si="3"/>
        <v>2020</v>
      </c>
      <c r="E90" t="s">
        <v>22</v>
      </c>
      <c r="F90" s="42">
        <v>242.35000000000005</v>
      </c>
    </row>
    <row r="91" spans="1:6" hidden="1" x14ac:dyDescent="0.25">
      <c r="A91" t="s">
        <v>9</v>
      </c>
      <c r="C91" t="s">
        <v>24</v>
      </c>
      <c r="D91">
        <f t="shared" si="3"/>
        <v>2021</v>
      </c>
      <c r="E91" t="s">
        <v>22</v>
      </c>
      <c r="F91" s="42">
        <v>457.19</v>
      </c>
    </row>
    <row r="92" spans="1:6" hidden="1" x14ac:dyDescent="0.25">
      <c r="A92" t="s">
        <v>9</v>
      </c>
      <c r="C92" t="s">
        <v>24</v>
      </c>
      <c r="D92">
        <f t="shared" si="3"/>
        <v>2022</v>
      </c>
      <c r="E92" t="s">
        <v>22</v>
      </c>
      <c r="F92" s="42">
        <v>1030.3149999999998</v>
      </c>
    </row>
    <row r="93" spans="1:6" hidden="1" x14ac:dyDescent="0.25">
      <c r="A93" t="s">
        <v>9</v>
      </c>
      <c r="C93" t="s">
        <v>24</v>
      </c>
      <c r="D93">
        <f t="shared" si="3"/>
        <v>2023</v>
      </c>
      <c r="E93" t="s">
        <v>22</v>
      </c>
      <c r="F93" s="42">
        <v>814.81999999999994</v>
      </c>
    </row>
    <row r="94" spans="1:6" hidden="1" x14ac:dyDescent="0.25">
      <c r="A94" t="s">
        <v>9</v>
      </c>
      <c r="C94" t="s">
        <v>75</v>
      </c>
      <c r="D94">
        <v>2015</v>
      </c>
      <c r="E94" t="s">
        <v>22</v>
      </c>
      <c r="F94" s="42">
        <v>352.39</v>
      </c>
    </row>
    <row r="95" spans="1:6" hidden="1" x14ac:dyDescent="0.25">
      <c r="A95" t="s">
        <v>9</v>
      </c>
      <c r="C95" t="s">
        <v>75</v>
      </c>
      <c r="D95">
        <f t="shared" ref="D95:D102" si="4">D94+1</f>
        <v>2016</v>
      </c>
      <c r="E95" t="s">
        <v>22</v>
      </c>
      <c r="F95" s="42">
        <v>299.98999999999995</v>
      </c>
    </row>
    <row r="96" spans="1:6" hidden="1" x14ac:dyDescent="0.25">
      <c r="A96" t="s">
        <v>9</v>
      </c>
      <c r="C96" t="s">
        <v>75</v>
      </c>
      <c r="D96">
        <f t="shared" si="4"/>
        <v>2017</v>
      </c>
      <c r="E96" t="s">
        <v>22</v>
      </c>
      <c r="F96" s="42">
        <v>292.78500000000003</v>
      </c>
    </row>
    <row r="97" spans="1:6" hidden="1" x14ac:dyDescent="0.25">
      <c r="A97" t="s">
        <v>9</v>
      </c>
      <c r="C97" t="s">
        <v>75</v>
      </c>
      <c r="D97">
        <f t="shared" si="4"/>
        <v>2018</v>
      </c>
      <c r="E97" t="s">
        <v>22</v>
      </c>
      <c r="F97" s="42">
        <v>336.01499999999993</v>
      </c>
    </row>
    <row r="98" spans="1:6" hidden="1" x14ac:dyDescent="0.25">
      <c r="A98" t="s">
        <v>9</v>
      </c>
      <c r="C98" t="s">
        <v>75</v>
      </c>
      <c r="D98">
        <f t="shared" si="4"/>
        <v>2019</v>
      </c>
      <c r="E98" t="s">
        <v>22</v>
      </c>
      <c r="F98" s="42">
        <v>319.64</v>
      </c>
    </row>
    <row r="99" spans="1:6" hidden="1" x14ac:dyDescent="0.25">
      <c r="A99" t="s">
        <v>9</v>
      </c>
      <c r="C99" t="s">
        <v>75</v>
      </c>
      <c r="D99">
        <f t="shared" si="4"/>
        <v>2020</v>
      </c>
      <c r="E99" t="s">
        <v>22</v>
      </c>
      <c r="F99" s="42">
        <v>264.61999999999995</v>
      </c>
    </row>
    <row r="100" spans="1:6" hidden="1" x14ac:dyDescent="0.25">
      <c r="A100" t="s">
        <v>9</v>
      </c>
      <c r="C100" t="s">
        <v>75</v>
      </c>
      <c r="D100">
        <f t="shared" si="4"/>
        <v>2021</v>
      </c>
      <c r="E100" t="s">
        <v>22</v>
      </c>
      <c r="F100" s="42">
        <v>466.36</v>
      </c>
    </row>
    <row r="101" spans="1:6" hidden="1" x14ac:dyDescent="0.25">
      <c r="A101" t="s">
        <v>9</v>
      </c>
      <c r="C101" t="s">
        <v>75</v>
      </c>
      <c r="D101">
        <f t="shared" si="4"/>
        <v>2022</v>
      </c>
      <c r="E101" t="s">
        <v>22</v>
      </c>
      <c r="F101" s="42">
        <v>1367.6399999999999</v>
      </c>
    </row>
    <row r="102" spans="1:6" hidden="1" x14ac:dyDescent="0.25">
      <c r="A102" t="s">
        <v>9</v>
      </c>
      <c r="C102" t="s">
        <v>75</v>
      </c>
      <c r="D102">
        <f t="shared" si="4"/>
        <v>2023</v>
      </c>
      <c r="E102" t="s">
        <v>22</v>
      </c>
      <c r="F102" s="42">
        <v>902.59</v>
      </c>
    </row>
    <row r="103" spans="1:6" hidden="1" x14ac:dyDescent="0.25">
      <c r="A103" t="s">
        <v>9</v>
      </c>
      <c r="C103" t="s">
        <v>77</v>
      </c>
      <c r="D103">
        <v>2015</v>
      </c>
      <c r="E103" t="s">
        <v>22</v>
      </c>
      <c r="F103" s="42">
        <v>370.72999999999996</v>
      </c>
    </row>
    <row r="104" spans="1:6" hidden="1" x14ac:dyDescent="0.25">
      <c r="A104" t="s">
        <v>9</v>
      </c>
      <c r="C104" t="s">
        <v>77</v>
      </c>
      <c r="D104">
        <f t="shared" ref="D104:D111" si="5">D103+1</f>
        <v>2016</v>
      </c>
      <c r="E104" t="s">
        <v>22</v>
      </c>
      <c r="F104" s="42">
        <v>275.10000000000002</v>
      </c>
    </row>
    <row r="105" spans="1:6" hidden="1" x14ac:dyDescent="0.25">
      <c r="A105" t="s">
        <v>9</v>
      </c>
      <c r="C105" t="s">
        <v>77</v>
      </c>
      <c r="D105">
        <f t="shared" si="5"/>
        <v>2017</v>
      </c>
      <c r="E105" t="s">
        <v>22</v>
      </c>
      <c r="F105" s="42">
        <v>286.23500000000001</v>
      </c>
    </row>
    <row r="106" spans="1:6" hidden="1" x14ac:dyDescent="0.25">
      <c r="A106" t="s">
        <v>9</v>
      </c>
      <c r="C106" t="s">
        <v>77</v>
      </c>
      <c r="D106">
        <f t="shared" si="5"/>
        <v>2018</v>
      </c>
      <c r="E106" t="s">
        <v>22</v>
      </c>
      <c r="F106" s="42">
        <v>329.46499999999997</v>
      </c>
    </row>
    <row r="107" spans="1:6" hidden="1" x14ac:dyDescent="0.25">
      <c r="A107" t="s">
        <v>9</v>
      </c>
      <c r="C107" t="s">
        <v>77</v>
      </c>
      <c r="D107">
        <f t="shared" si="5"/>
        <v>2019</v>
      </c>
      <c r="E107" t="s">
        <v>22</v>
      </c>
      <c r="F107" s="42">
        <v>343.22</v>
      </c>
    </row>
    <row r="108" spans="1:6" hidden="1" x14ac:dyDescent="0.25">
      <c r="A108" t="s">
        <v>9</v>
      </c>
      <c r="C108" t="s">
        <v>77</v>
      </c>
      <c r="D108">
        <f t="shared" si="5"/>
        <v>2020</v>
      </c>
      <c r="E108" t="s">
        <v>22</v>
      </c>
      <c r="F108" s="42">
        <v>251.52</v>
      </c>
    </row>
    <row r="109" spans="1:6" hidden="1" x14ac:dyDescent="0.25">
      <c r="A109" t="s">
        <v>9</v>
      </c>
      <c r="C109" t="s">
        <v>77</v>
      </c>
      <c r="D109">
        <f t="shared" si="5"/>
        <v>2021</v>
      </c>
      <c r="E109" t="s">
        <v>22</v>
      </c>
      <c r="F109" s="42">
        <v>523.34499999999991</v>
      </c>
    </row>
    <row r="110" spans="1:6" hidden="1" x14ac:dyDescent="0.25">
      <c r="A110" t="s">
        <v>9</v>
      </c>
      <c r="C110" t="s">
        <v>77</v>
      </c>
      <c r="D110">
        <f t="shared" si="5"/>
        <v>2022</v>
      </c>
      <c r="E110" t="s">
        <v>22</v>
      </c>
      <c r="F110" s="42">
        <v>1190.135</v>
      </c>
    </row>
    <row r="111" spans="1:6" hidden="1" x14ac:dyDescent="0.25">
      <c r="A111" t="s">
        <v>9</v>
      </c>
      <c r="C111" t="s">
        <v>77</v>
      </c>
      <c r="D111">
        <f t="shared" si="5"/>
        <v>2023</v>
      </c>
      <c r="E111" t="s">
        <v>22</v>
      </c>
      <c r="F111" s="42">
        <v>716.56999999999994</v>
      </c>
    </row>
    <row r="112" spans="1:6" hidden="1" x14ac:dyDescent="0.25">
      <c r="A112" t="s">
        <v>9</v>
      </c>
      <c r="C112" t="s">
        <v>76</v>
      </c>
      <c r="D112">
        <v>2015</v>
      </c>
      <c r="E112" t="s">
        <v>22</v>
      </c>
      <c r="F112" s="42">
        <v>285.25922030000004</v>
      </c>
    </row>
    <row r="113" spans="1:6" hidden="1" x14ac:dyDescent="0.25">
      <c r="A113" t="s">
        <v>9</v>
      </c>
      <c r="C113" t="s">
        <v>76</v>
      </c>
      <c r="D113">
        <f t="shared" ref="D113:D119" si="6">D112+1</f>
        <v>2016</v>
      </c>
      <c r="E113" t="s">
        <v>22</v>
      </c>
      <c r="F113" s="42">
        <v>241.8243756</v>
      </c>
    </row>
    <row r="114" spans="1:6" hidden="1" x14ac:dyDescent="0.25">
      <c r="A114" t="s">
        <v>9</v>
      </c>
      <c r="C114" t="s">
        <v>76</v>
      </c>
      <c r="D114">
        <f t="shared" si="6"/>
        <v>2017</v>
      </c>
      <c r="E114" t="s">
        <v>22</v>
      </c>
      <c r="F114" s="42">
        <v>256.18091449999997</v>
      </c>
    </row>
    <row r="115" spans="1:6" hidden="1" x14ac:dyDescent="0.25">
      <c r="A115" t="s">
        <v>9</v>
      </c>
      <c r="C115" t="s">
        <v>76</v>
      </c>
      <c r="D115">
        <f t="shared" si="6"/>
        <v>2018</v>
      </c>
      <c r="E115" t="s">
        <v>22</v>
      </c>
      <c r="F115" s="42">
        <v>298.89498409999999</v>
      </c>
    </row>
    <row r="116" spans="1:6" hidden="1" x14ac:dyDescent="0.25">
      <c r="A116" t="s">
        <v>9</v>
      </c>
      <c r="C116" t="s">
        <v>76</v>
      </c>
      <c r="D116">
        <f t="shared" si="6"/>
        <v>2019</v>
      </c>
      <c r="E116" t="s">
        <v>22</v>
      </c>
      <c r="F116" s="42">
        <v>282.9488126</v>
      </c>
    </row>
    <row r="117" spans="1:6" hidden="1" x14ac:dyDescent="0.25">
      <c r="A117" t="s">
        <v>9</v>
      </c>
      <c r="C117" t="s">
        <v>76</v>
      </c>
      <c r="D117">
        <f t="shared" si="6"/>
        <v>2020</v>
      </c>
      <c r="E117" t="s">
        <v>22</v>
      </c>
      <c r="F117" s="42">
        <v>260.0217821</v>
      </c>
    </row>
    <row r="118" spans="1:6" hidden="1" x14ac:dyDescent="0.25">
      <c r="A118" t="s">
        <v>9</v>
      </c>
      <c r="C118" t="s">
        <v>76</v>
      </c>
      <c r="D118">
        <f t="shared" si="6"/>
        <v>2021</v>
      </c>
      <c r="E118" t="s">
        <v>22</v>
      </c>
      <c r="F118" s="42">
        <v>364.74518639999997</v>
      </c>
    </row>
    <row r="119" spans="1:6" hidden="1" x14ac:dyDescent="0.25">
      <c r="A119" t="s">
        <v>9</v>
      </c>
      <c r="C119" t="s">
        <v>76</v>
      </c>
      <c r="D119">
        <f t="shared" si="6"/>
        <v>2022</v>
      </c>
      <c r="E119" t="s">
        <v>22</v>
      </c>
      <c r="F119" s="42">
        <v>618.5919560000001</v>
      </c>
    </row>
    <row r="120" spans="1:6" hidden="1" x14ac:dyDescent="0.25">
      <c r="A120" t="s">
        <v>9</v>
      </c>
      <c r="C120" t="s">
        <v>78</v>
      </c>
      <c r="D120">
        <v>2015</v>
      </c>
      <c r="E120" t="s">
        <v>22</v>
      </c>
      <c r="F120" s="42">
        <v>275.09999999999997</v>
      </c>
    </row>
    <row r="121" spans="1:6" hidden="1" x14ac:dyDescent="0.25">
      <c r="A121" t="s">
        <v>9</v>
      </c>
      <c r="C121" t="s">
        <v>78</v>
      </c>
      <c r="D121">
        <f t="shared" ref="D121:D128" si="7">D120+1</f>
        <v>2016</v>
      </c>
      <c r="E121" t="s">
        <v>22</v>
      </c>
      <c r="F121" s="42">
        <v>227.93999999999997</v>
      </c>
    </row>
    <row r="122" spans="1:6" hidden="1" x14ac:dyDescent="0.25">
      <c r="A122" t="s">
        <v>9</v>
      </c>
      <c r="C122" t="s">
        <v>78</v>
      </c>
      <c r="D122">
        <f t="shared" si="7"/>
        <v>2017</v>
      </c>
      <c r="E122" t="s">
        <v>22</v>
      </c>
      <c r="F122" s="42">
        <v>252.82999999999996</v>
      </c>
    </row>
    <row r="123" spans="1:6" hidden="1" x14ac:dyDescent="0.25">
      <c r="A123" t="s">
        <v>9</v>
      </c>
      <c r="C123" t="s">
        <v>78</v>
      </c>
      <c r="D123">
        <f t="shared" si="7"/>
        <v>2018</v>
      </c>
      <c r="E123" t="s">
        <v>22</v>
      </c>
      <c r="F123" s="42">
        <v>287.54499999999996</v>
      </c>
    </row>
    <row r="124" spans="1:6" hidden="1" x14ac:dyDescent="0.25">
      <c r="A124" t="s">
        <v>9</v>
      </c>
      <c r="C124" t="s">
        <v>78</v>
      </c>
      <c r="D124">
        <f t="shared" si="7"/>
        <v>2019</v>
      </c>
      <c r="E124" t="s">
        <v>22</v>
      </c>
      <c r="F124" s="42">
        <v>229.25</v>
      </c>
    </row>
    <row r="125" spans="1:6" hidden="1" x14ac:dyDescent="0.25">
      <c r="A125" t="s">
        <v>9</v>
      </c>
      <c r="C125" t="s">
        <v>78</v>
      </c>
      <c r="D125">
        <f t="shared" si="7"/>
        <v>2020</v>
      </c>
      <c r="E125" t="s">
        <v>22</v>
      </c>
      <c r="F125" s="42">
        <v>184.05500000000001</v>
      </c>
    </row>
    <row r="126" spans="1:6" hidden="1" x14ac:dyDescent="0.25">
      <c r="A126" t="s">
        <v>9</v>
      </c>
      <c r="C126" t="s">
        <v>78</v>
      </c>
      <c r="D126">
        <f t="shared" si="7"/>
        <v>2021</v>
      </c>
      <c r="E126" t="s">
        <v>22</v>
      </c>
      <c r="F126" s="42">
        <v>437.53999999999996</v>
      </c>
    </row>
    <row r="127" spans="1:6" hidden="1" x14ac:dyDescent="0.25">
      <c r="A127" t="s">
        <v>9</v>
      </c>
      <c r="C127" t="s">
        <v>78</v>
      </c>
      <c r="D127">
        <f t="shared" si="7"/>
        <v>2022</v>
      </c>
      <c r="E127" t="s">
        <v>22</v>
      </c>
      <c r="F127" s="42">
        <v>996.91</v>
      </c>
    </row>
    <row r="128" spans="1:6" hidden="1" x14ac:dyDescent="0.25">
      <c r="A128" t="s">
        <v>9</v>
      </c>
      <c r="C128" t="s">
        <v>78</v>
      </c>
      <c r="D128">
        <f t="shared" si="7"/>
        <v>2023</v>
      </c>
      <c r="E128" t="s">
        <v>22</v>
      </c>
      <c r="F128" s="42">
        <v>658.93</v>
      </c>
    </row>
    <row r="129" spans="1:6" hidden="1" x14ac:dyDescent="0.25">
      <c r="A129" t="s">
        <v>9</v>
      </c>
      <c r="D129">
        <v>2025</v>
      </c>
      <c r="E129" t="s">
        <v>22</v>
      </c>
      <c r="F129" s="42">
        <f>80/1.6282*13.1</f>
        <v>643.65557056872615</v>
      </c>
    </row>
    <row r="130" spans="1:6" hidden="1" x14ac:dyDescent="0.25">
      <c r="A130" t="s">
        <v>9</v>
      </c>
      <c r="D130">
        <v>2030</v>
      </c>
      <c r="E130" t="s">
        <v>22</v>
      </c>
      <c r="F130" s="42">
        <f>60/1.6282*13.1</f>
        <v>482.74167792654458</v>
      </c>
    </row>
    <row r="131" spans="1:6" hidden="1" x14ac:dyDescent="0.25">
      <c r="A131" t="s">
        <v>9</v>
      </c>
      <c r="D131">
        <v>2050</v>
      </c>
      <c r="E131" t="s">
        <v>22</v>
      </c>
      <c r="F131" s="42">
        <f>60/1.6282*13.1</f>
        <v>482.74167792654458</v>
      </c>
    </row>
    <row r="132" spans="1:6" hidden="1" x14ac:dyDescent="0.25">
      <c r="A132" t="s">
        <v>7</v>
      </c>
      <c r="D132">
        <v>2015</v>
      </c>
      <c r="E132" t="s">
        <v>22</v>
      </c>
      <c r="F132">
        <f>52.35/0.1313</f>
        <v>398.70525514089871</v>
      </c>
    </row>
    <row r="133" spans="1:6" hidden="1" x14ac:dyDescent="0.25">
      <c r="A133" t="s">
        <v>7</v>
      </c>
      <c r="D133">
        <f>D132+1</f>
        <v>2016</v>
      </c>
      <c r="E133" t="s">
        <v>22</v>
      </c>
      <c r="F133">
        <f>43.55/0.1313</f>
        <v>331.68316831683165</v>
      </c>
    </row>
    <row r="134" spans="1:6" hidden="1" x14ac:dyDescent="0.25">
      <c r="A134" t="s">
        <v>7</v>
      </c>
      <c r="D134">
        <f>D133+1</f>
        <v>2017</v>
      </c>
      <c r="E134" t="s">
        <v>22</v>
      </c>
      <c r="F134">
        <f>54.25/0.1313</f>
        <v>413.17593297791319</v>
      </c>
    </row>
    <row r="135" spans="1:6" hidden="1" x14ac:dyDescent="0.25">
      <c r="A135" t="s">
        <v>7</v>
      </c>
      <c r="D135">
        <f t="shared" ref="D135:D140" si="8">D134+1</f>
        <v>2018</v>
      </c>
      <c r="E135" t="s">
        <v>22</v>
      </c>
      <c r="F135">
        <f>71.06/0.1313</f>
        <v>541.20335110434121</v>
      </c>
    </row>
    <row r="136" spans="1:6" hidden="1" x14ac:dyDescent="0.25">
      <c r="A136" t="s">
        <v>7</v>
      </c>
      <c r="D136">
        <f t="shared" si="8"/>
        <v>2019</v>
      </c>
      <c r="E136" t="s">
        <v>22</v>
      </c>
      <c r="F136">
        <f>64.36/0.131</f>
        <v>491.29770992366412</v>
      </c>
    </row>
    <row r="137" spans="1:6" hidden="1" x14ac:dyDescent="0.25">
      <c r="A137" t="s">
        <v>7</v>
      </c>
      <c r="D137">
        <f t="shared" si="8"/>
        <v>2020</v>
      </c>
      <c r="E137" t="s">
        <v>22</v>
      </c>
      <c r="F137">
        <f>41.76/0.1313</f>
        <v>318.05026656511802</v>
      </c>
    </row>
    <row r="138" spans="1:6" hidden="1" x14ac:dyDescent="0.25">
      <c r="A138" t="s">
        <v>7</v>
      </c>
      <c r="D138">
        <f t="shared" si="8"/>
        <v>2021</v>
      </c>
      <c r="E138" t="s">
        <v>22</v>
      </c>
      <c r="F138">
        <f>70.68/0.1313</f>
        <v>538.30921553693838</v>
      </c>
    </row>
    <row r="139" spans="1:6" hidden="1" x14ac:dyDescent="0.25">
      <c r="A139" t="s">
        <v>7</v>
      </c>
      <c r="D139">
        <f t="shared" si="8"/>
        <v>2022</v>
      </c>
      <c r="E139" t="s">
        <v>22</v>
      </c>
      <c r="F139">
        <f>100.78/0.1313</f>
        <v>767.55521706016759</v>
      </c>
    </row>
    <row r="140" spans="1:6" hidden="1" x14ac:dyDescent="0.25">
      <c r="A140" t="s">
        <v>7</v>
      </c>
      <c r="D140">
        <f t="shared" si="8"/>
        <v>2023</v>
      </c>
      <c r="E140" t="s">
        <v>22</v>
      </c>
      <c r="F140">
        <f>82.47/0.1313</f>
        <v>628.10357958872805</v>
      </c>
    </row>
    <row r="141" spans="1:6" hidden="1" x14ac:dyDescent="0.25">
      <c r="A141" t="s">
        <v>7</v>
      </c>
      <c r="D141">
        <v>2025</v>
      </c>
      <c r="E141" t="s">
        <v>22</v>
      </c>
      <c r="F141">
        <f>85/0.14</f>
        <v>607.14285714285711</v>
      </c>
    </row>
    <row r="142" spans="1:6" hidden="1" x14ac:dyDescent="0.25">
      <c r="A142" t="s">
        <v>7</v>
      </c>
      <c r="D142">
        <v>2035</v>
      </c>
      <c r="E142" t="s">
        <v>22</v>
      </c>
      <c r="F142">
        <f>85/0.14</f>
        <v>607.14285714285711</v>
      </c>
    </row>
    <row r="143" spans="1:6" hidden="1" x14ac:dyDescent="0.25">
      <c r="A143" t="s">
        <v>7</v>
      </c>
      <c r="D143">
        <v>2050</v>
      </c>
      <c r="E143" t="s">
        <v>22</v>
      </c>
      <c r="F143">
        <f>105/0.14</f>
        <v>749.99999999999989</v>
      </c>
    </row>
    <row r="144" spans="1:6" hidden="1" x14ac:dyDescent="0.25">
      <c r="A144" t="s">
        <v>25</v>
      </c>
      <c r="E144" t="s">
        <v>22</v>
      </c>
      <c r="F144">
        <v>700</v>
      </c>
    </row>
    <row r="145" spans="1:6" hidden="1" x14ac:dyDescent="0.25">
      <c r="A145" t="s">
        <v>69</v>
      </c>
      <c r="C145" t="s">
        <v>23</v>
      </c>
      <c r="D145">
        <v>2015</v>
      </c>
      <c r="E145" t="s">
        <v>22</v>
      </c>
      <c r="F145">
        <v>20</v>
      </c>
    </row>
    <row r="146" spans="1:6" hidden="1" x14ac:dyDescent="0.25">
      <c r="A146" t="s">
        <v>69</v>
      </c>
      <c r="C146" t="s">
        <v>23</v>
      </c>
      <c r="D146">
        <v>2050</v>
      </c>
      <c r="E146" t="s">
        <v>22</v>
      </c>
      <c r="F146">
        <v>20</v>
      </c>
    </row>
    <row r="147" spans="1:6" hidden="1" x14ac:dyDescent="0.25">
      <c r="A147" t="s">
        <v>36</v>
      </c>
      <c r="C147" t="s">
        <v>23</v>
      </c>
      <c r="D147">
        <v>2015</v>
      </c>
      <c r="E147" t="s">
        <v>22</v>
      </c>
      <c r="F147">
        <v>100</v>
      </c>
    </row>
    <row r="148" spans="1:6" hidden="1" x14ac:dyDescent="0.25">
      <c r="A148" t="s">
        <v>36</v>
      </c>
      <c r="C148" t="s">
        <v>23</v>
      </c>
      <c r="D148">
        <v>2050</v>
      </c>
      <c r="E148" t="s">
        <v>22</v>
      </c>
      <c r="F148">
        <v>100</v>
      </c>
    </row>
    <row r="149" spans="1:6" hidden="1" x14ac:dyDescent="0.25">
      <c r="A149" t="s">
        <v>16</v>
      </c>
      <c r="C149" t="s">
        <v>23</v>
      </c>
      <c r="D149">
        <v>2015</v>
      </c>
      <c r="E149" t="s">
        <v>22</v>
      </c>
      <c r="F149">
        <v>180</v>
      </c>
    </row>
    <row r="150" spans="1:6" hidden="1" x14ac:dyDescent="0.25">
      <c r="A150" t="s">
        <v>16</v>
      </c>
      <c r="C150" t="s">
        <v>23</v>
      </c>
      <c r="D150">
        <v>2020</v>
      </c>
      <c r="E150" t="s">
        <v>22</v>
      </c>
      <c r="F150">
        <v>180</v>
      </c>
    </row>
    <row r="151" spans="1:6" hidden="1" x14ac:dyDescent="0.25">
      <c r="A151" t="s">
        <v>16</v>
      </c>
      <c r="C151" t="s">
        <v>23</v>
      </c>
      <c r="D151">
        <v>2030</v>
      </c>
      <c r="E151" t="s">
        <v>22</v>
      </c>
      <c r="F151">
        <v>180</v>
      </c>
    </row>
    <row r="152" spans="1:6" hidden="1" x14ac:dyDescent="0.25">
      <c r="A152" t="s">
        <v>16</v>
      </c>
      <c r="C152" t="s">
        <v>23</v>
      </c>
      <c r="D152">
        <v>2040</v>
      </c>
      <c r="E152" t="s">
        <v>22</v>
      </c>
      <c r="F152">
        <v>180</v>
      </c>
    </row>
    <row r="153" spans="1:6" hidden="1" x14ac:dyDescent="0.25">
      <c r="A153" t="s">
        <v>16</v>
      </c>
      <c r="C153" t="s">
        <v>23</v>
      </c>
      <c r="D153">
        <v>2050</v>
      </c>
      <c r="E153" t="s">
        <v>22</v>
      </c>
      <c r="F153">
        <v>180</v>
      </c>
    </row>
    <row r="154" spans="1:6" x14ac:dyDescent="0.25">
      <c r="A154" t="s">
        <v>8</v>
      </c>
      <c r="C154" t="s">
        <v>24</v>
      </c>
      <c r="D154">
        <v>2015</v>
      </c>
      <c r="E154" t="s">
        <v>22</v>
      </c>
      <c r="F154" s="42">
        <v>97.55</v>
      </c>
    </row>
    <row r="155" spans="1:6" x14ac:dyDescent="0.25">
      <c r="A155" t="s">
        <v>8</v>
      </c>
      <c r="C155" t="s">
        <v>24</v>
      </c>
      <c r="D155">
        <f t="shared" ref="D155:D162" si="9">D154+1</f>
        <v>2016</v>
      </c>
      <c r="E155" t="s">
        <v>22</v>
      </c>
      <c r="F155" s="42">
        <v>83.65</v>
      </c>
    </row>
    <row r="156" spans="1:6" x14ac:dyDescent="0.25">
      <c r="A156" t="s">
        <v>8</v>
      </c>
      <c r="C156" t="s">
        <v>24</v>
      </c>
      <c r="D156">
        <f t="shared" si="9"/>
        <v>2017</v>
      </c>
      <c r="E156" t="s">
        <v>22</v>
      </c>
      <c r="F156" s="42">
        <v>99.6</v>
      </c>
    </row>
    <row r="157" spans="1:6" x14ac:dyDescent="0.25">
      <c r="A157" t="s">
        <v>8</v>
      </c>
      <c r="C157" t="s">
        <v>24</v>
      </c>
      <c r="D157">
        <f t="shared" si="9"/>
        <v>2018</v>
      </c>
      <c r="E157" t="s">
        <v>22</v>
      </c>
      <c r="F157" s="42">
        <v>89.600000000000009</v>
      </c>
    </row>
    <row r="158" spans="1:6" x14ac:dyDescent="0.25">
      <c r="A158" t="s">
        <v>8</v>
      </c>
      <c r="C158" t="s">
        <v>24</v>
      </c>
      <c r="D158">
        <f t="shared" si="9"/>
        <v>2019</v>
      </c>
      <c r="E158" t="s">
        <v>22</v>
      </c>
      <c r="F158" s="42">
        <v>92.8</v>
      </c>
    </row>
    <row r="159" spans="1:6" x14ac:dyDescent="0.25">
      <c r="A159" t="s">
        <v>8</v>
      </c>
      <c r="C159" t="s">
        <v>24</v>
      </c>
      <c r="D159">
        <f t="shared" si="9"/>
        <v>2020</v>
      </c>
      <c r="E159" t="s">
        <v>22</v>
      </c>
      <c r="F159" s="42">
        <v>106.44999999999999</v>
      </c>
    </row>
    <row r="160" spans="1:6" x14ac:dyDescent="0.25">
      <c r="A160" t="s">
        <v>8</v>
      </c>
      <c r="C160" t="s">
        <v>24</v>
      </c>
      <c r="D160">
        <f t="shared" si="9"/>
        <v>2021</v>
      </c>
      <c r="E160" t="s">
        <v>22</v>
      </c>
      <c r="F160" s="42">
        <v>124.8</v>
      </c>
    </row>
    <row r="161" spans="1:6" x14ac:dyDescent="0.25">
      <c r="A161" t="s">
        <v>8</v>
      </c>
      <c r="C161" t="s">
        <v>24</v>
      </c>
      <c r="D161">
        <f t="shared" si="9"/>
        <v>2022</v>
      </c>
      <c r="E161" t="s">
        <v>22</v>
      </c>
      <c r="F161" s="42">
        <v>176</v>
      </c>
    </row>
    <row r="162" spans="1:6" x14ac:dyDescent="0.25">
      <c r="A162" t="s">
        <v>8</v>
      </c>
      <c r="C162" t="s">
        <v>24</v>
      </c>
      <c r="D162">
        <f t="shared" si="9"/>
        <v>2023</v>
      </c>
      <c r="E162" t="s">
        <v>22</v>
      </c>
      <c r="F162" s="42">
        <v>168.6</v>
      </c>
    </row>
    <row r="163" spans="1:6" x14ac:dyDescent="0.25">
      <c r="A163" t="s">
        <v>8</v>
      </c>
      <c r="C163" t="s">
        <v>24</v>
      </c>
      <c r="D163">
        <v>2050</v>
      </c>
      <c r="E163" t="s">
        <v>22</v>
      </c>
      <c r="F163">
        <v>70</v>
      </c>
    </row>
    <row r="164" spans="1:6" hidden="1" x14ac:dyDescent="0.25">
      <c r="A164" t="s">
        <v>69</v>
      </c>
      <c r="C164" t="s">
        <v>24</v>
      </c>
      <c r="D164">
        <v>2015</v>
      </c>
      <c r="E164" t="s">
        <v>22</v>
      </c>
      <c r="F164">
        <v>20</v>
      </c>
    </row>
    <row r="165" spans="1:6" hidden="1" x14ac:dyDescent="0.25">
      <c r="A165" t="s">
        <v>69</v>
      </c>
      <c r="C165" t="s">
        <v>24</v>
      </c>
      <c r="D165">
        <v>2050</v>
      </c>
      <c r="E165" t="s">
        <v>22</v>
      </c>
      <c r="F165">
        <v>20</v>
      </c>
    </row>
    <row r="166" spans="1:6" hidden="1" x14ac:dyDescent="0.25">
      <c r="A166" t="s">
        <v>36</v>
      </c>
      <c r="C166" t="s">
        <v>24</v>
      </c>
      <c r="D166">
        <v>2015</v>
      </c>
      <c r="E166" t="s">
        <v>22</v>
      </c>
      <c r="F166">
        <v>100</v>
      </c>
    </row>
    <row r="167" spans="1:6" hidden="1" x14ac:dyDescent="0.25">
      <c r="A167" t="s">
        <v>36</v>
      </c>
      <c r="C167" t="s">
        <v>24</v>
      </c>
      <c r="D167">
        <v>2050</v>
      </c>
      <c r="E167" t="s">
        <v>22</v>
      </c>
      <c r="F167">
        <v>100</v>
      </c>
    </row>
    <row r="168" spans="1:6" hidden="1" x14ac:dyDescent="0.25">
      <c r="A168" t="s">
        <v>16</v>
      </c>
      <c r="C168" t="s">
        <v>24</v>
      </c>
      <c r="D168">
        <v>2015</v>
      </c>
      <c r="E168" t="s">
        <v>22</v>
      </c>
      <c r="F168">
        <v>180</v>
      </c>
    </row>
    <row r="169" spans="1:6" hidden="1" x14ac:dyDescent="0.25">
      <c r="A169" t="s">
        <v>16</v>
      </c>
      <c r="C169" t="s">
        <v>24</v>
      </c>
      <c r="D169">
        <v>2020</v>
      </c>
      <c r="E169" t="s">
        <v>22</v>
      </c>
      <c r="F169">
        <v>180</v>
      </c>
    </row>
    <row r="170" spans="1:6" hidden="1" x14ac:dyDescent="0.25">
      <c r="A170" t="s">
        <v>16</v>
      </c>
      <c r="C170" t="s">
        <v>24</v>
      </c>
      <c r="D170">
        <v>2030</v>
      </c>
      <c r="E170" t="s">
        <v>22</v>
      </c>
      <c r="F170">
        <v>180</v>
      </c>
    </row>
    <row r="171" spans="1:6" hidden="1" x14ac:dyDescent="0.25">
      <c r="A171" t="s">
        <v>16</v>
      </c>
      <c r="C171" t="s">
        <v>24</v>
      </c>
      <c r="D171">
        <v>2040</v>
      </c>
      <c r="E171" t="s">
        <v>22</v>
      </c>
      <c r="F171">
        <v>180</v>
      </c>
    </row>
    <row r="172" spans="1:6" hidden="1" x14ac:dyDescent="0.25">
      <c r="A172" t="s">
        <v>16</v>
      </c>
      <c r="C172" t="s">
        <v>24</v>
      </c>
      <c r="D172">
        <v>2050</v>
      </c>
      <c r="E172" t="s">
        <v>22</v>
      </c>
      <c r="F172">
        <v>180</v>
      </c>
    </row>
    <row r="173" spans="1:6" x14ac:dyDescent="0.25">
      <c r="A173" t="s">
        <v>8</v>
      </c>
      <c r="C173" t="s">
        <v>75</v>
      </c>
      <c r="D173">
        <v>2015</v>
      </c>
      <c r="E173" t="s">
        <v>22</v>
      </c>
      <c r="F173" s="42">
        <v>105.45</v>
      </c>
    </row>
    <row r="174" spans="1:6" x14ac:dyDescent="0.25">
      <c r="A174" t="s">
        <v>8</v>
      </c>
      <c r="C174" t="s">
        <v>75</v>
      </c>
      <c r="D174">
        <f t="shared" ref="D174:D181" si="10">D173+1</f>
        <v>2016</v>
      </c>
      <c r="E174" t="s">
        <v>22</v>
      </c>
      <c r="F174" s="42">
        <v>93.25</v>
      </c>
    </row>
    <row r="175" spans="1:6" x14ac:dyDescent="0.25">
      <c r="A175" t="s">
        <v>8</v>
      </c>
      <c r="C175" t="s">
        <v>75</v>
      </c>
      <c r="D175">
        <f t="shared" si="10"/>
        <v>2017</v>
      </c>
      <c r="E175" t="s">
        <v>22</v>
      </c>
      <c r="F175" s="42">
        <v>87.15</v>
      </c>
    </row>
    <row r="176" spans="1:6" x14ac:dyDescent="0.25">
      <c r="A176" t="s">
        <v>8</v>
      </c>
      <c r="C176" t="s">
        <v>75</v>
      </c>
      <c r="D176">
        <f t="shared" si="10"/>
        <v>2018</v>
      </c>
      <c r="E176" t="s">
        <v>22</v>
      </c>
      <c r="F176" s="42">
        <v>73.25</v>
      </c>
    </row>
    <row r="177" spans="1:6" x14ac:dyDescent="0.25">
      <c r="A177" t="s">
        <v>8</v>
      </c>
      <c r="C177" t="s">
        <v>75</v>
      </c>
      <c r="D177">
        <f t="shared" si="10"/>
        <v>2019</v>
      </c>
      <c r="E177" t="s">
        <v>22</v>
      </c>
      <c r="F177" s="42">
        <v>92.3</v>
      </c>
    </row>
    <row r="178" spans="1:6" x14ac:dyDescent="0.25">
      <c r="A178" t="s">
        <v>8</v>
      </c>
      <c r="C178" t="s">
        <v>75</v>
      </c>
      <c r="D178">
        <f t="shared" si="10"/>
        <v>2020</v>
      </c>
      <c r="E178" t="s">
        <v>22</v>
      </c>
      <c r="F178" s="42">
        <v>73.399999999999991</v>
      </c>
    </row>
    <row r="179" spans="1:6" x14ac:dyDescent="0.25">
      <c r="A179" t="s">
        <v>8</v>
      </c>
      <c r="C179" t="s">
        <v>75</v>
      </c>
      <c r="D179">
        <f t="shared" si="10"/>
        <v>2021</v>
      </c>
      <c r="E179" t="s">
        <v>22</v>
      </c>
      <c r="F179" s="42">
        <v>122.1</v>
      </c>
    </row>
    <row r="180" spans="1:6" x14ac:dyDescent="0.25">
      <c r="A180" t="s">
        <v>8</v>
      </c>
      <c r="C180" t="s">
        <v>75</v>
      </c>
      <c r="D180">
        <f t="shared" si="10"/>
        <v>2022</v>
      </c>
      <c r="E180" t="s">
        <v>22</v>
      </c>
      <c r="F180" s="42">
        <v>292.00000000000006</v>
      </c>
    </row>
    <row r="181" spans="1:6" x14ac:dyDescent="0.25">
      <c r="A181" t="s">
        <v>8</v>
      </c>
      <c r="C181" t="s">
        <v>75</v>
      </c>
      <c r="D181">
        <f t="shared" si="10"/>
        <v>2023</v>
      </c>
      <c r="E181" t="s">
        <v>22</v>
      </c>
      <c r="F181" s="42">
        <v>207.4</v>
      </c>
    </row>
    <row r="182" spans="1:6" x14ac:dyDescent="0.25">
      <c r="A182" t="s">
        <v>8</v>
      </c>
      <c r="C182" t="s">
        <v>75</v>
      </c>
      <c r="D182">
        <v>2050</v>
      </c>
      <c r="E182" t="s">
        <v>22</v>
      </c>
      <c r="F182">
        <v>70</v>
      </c>
    </row>
    <row r="183" spans="1:6" hidden="1" x14ac:dyDescent="0.25">
      <c r="A183" t="s">
        <v>69</v>
      </c>
      <c r="C183" t="s">
        <v>75</v>
      </c>
      <c r="D183">
        <v>2015</v>
      </c>
      <c r="E183" t="s">
        <v>22</v>
      </c>
      <c r="F183">
        <v>20</v>
      </c>
    </row>
    <row r="184" spans="1:6" hidden="1" x14ac:dyDescent="0.25">
      <c r="A184" t="s">
        <v>69</v>
      </c>
      <c r="C184" t="s">
        <v>75</v>
      </c>
      <c r="D184">
        <v>2050</v>
      </c>
      <c r="E184" t="s">
        <v>22</v>
      </c>
      <c r="F184">
        <v>20</v>
      </c>
    </row>
    <row r="185" spans="1:6" hidden="1" x14ac:dyDescent="0.25">
      <c r="A185" t="s">
        <v>36</v>
      </c>
      <c r="C185" t="s">
        <v>75</v>
      </c>
      <c r="D185">
        <v>2015</v>
      </c>
      <c r="E185" t="s">
        <v>22</v>
      </c>
      <c r="F185">
        <v>100</v>
      </c>
    </row>
    <row r="186" spans="1:6" hidden="1" x14ac:dyDescent="0.25">
      <c r="A186" t="s">
        <v>36</v>
      </c>
      <c r="C186" t="s">
        <v>75</v>
      </c>
      <c r="D186">
        <v>2050</v>
      </c>
      <c r="E186" t="s">
        <v>22</v>
      </c>
      <c r="F186">
        <v>100</v>
      </c>
    </row>
    <row r="187" spans="1:6" hidden="1" x14ac:dyDescent="0.25">
      <c r="A187" t="s">
        <v>16</v>
      </c>
      <c r="C187" t="s">
        <v>75</v>
      </c>
      <c r="D187">
        <v>2015</v>
      </c>
      <c r="E187" t="s">
        <v>22</v>
      </c>
      <c r="F187">
        <v>180</v>
      </c>
    </row>
    <row r="188" spans="1:6" hidden="1" x14ac:dyDescent="0.25">
      <c r="A188" t="s">
        <v>16</v>
      </c>
      <c r="C188" t="s">
        <v>75</v>
      </c>
      <c r="D188">
        <v>2020</v>
      </c>
      <c r="E188" t="s">
        <v>22</v>
      </c>
      <c r="F188">
        <v>180</v>
      </c>
    </row>
    <row r="189" spans="1:6" hidden="1" x14ac:dyDescent="0.25">
      <c r="A189" t="s">
        <v>16</v>
      </c>
      <c r="C189" t="s">
        <v>75</v>
      </c>
      <c r="D189">
        <v>2030</v>
      </c>
      <c r="E189" t="s">
        <v>22</v>
      </c>
      <c r="F189">
        <v>180</v>
      </c>
    </row>
    <row r="190" spans="1:6" hidden="1" x14ac:dyDescent="0.25">
      <c r="A190" t="s">
        <v>16</v>
      </c>
      <c r="C190" t="s">
        <v>75</v>
      </c>
      <c r="D190">
        <v>2040</v>
      </c>
      <c r="E190" t="s">
        <v>22</v>
      </c>
      <c r="F190">
        <v>180</v>
      </c>
    </row>
    <row r="191" spans="1:6" hidden="1" x14ac:dyDescent="0.25">
      <c r="A191" t="s">
        <v>16</v>
      </c>
      <c r="C191" t="s">
        <v>75</v>
      </c>
      <c r="D191">
        <v>2050</v>
      </c>
      <c r="E191" t="s">
        <v>22</v>
      </c>
      <c r="F191">
        <v>180</v>
      </c>
    </row>
    <row r="192" spans="1:6" x14ac:dyDescent="0.25">
      <c r="A192" t="s">
        <v>8</v>
      </c>
      <c r="C192" t="s">
        <v>76</v>
      </c>
      <c r="D192">
        <v>2015</v>
      </c>
      <c r="E192" t="s">
        <v>22</v>
      </c>
      <c r="F192" s="42">
        <v>94.978538</v>
      </c>
    </row>
    <row r="193" spans="1:6" x14ac:dyDescent="0.25">
      <c r="A193" t="s">
        <v>8</v>
      </c>
      <c r="C193" t="s">
        <v>76</v>
      </c>
      <c r="D193">
        <f t="shared" ref="D193:D199" si="11">D192+1</f>
        <v>2016</v>
      </c>
      <c r="E193" t="s">
        <v>22</v>
      </c>
      <c r="F193" s="42">
        <v>92.802441000000016</v>
      </c>
    </row>
    <row r="194" spans="1:6" x14ac:dyDescent="0.25">
      <c r="A194" t="s">
        <v>8</v>
      </c>
      <c r="C194" t="s">
        <v>76</v>
      </c>
      <c r="D194">
        <f t="shared" si="11"/>
        <v>2017</v>
      </c>
      <c r="E194" t="s">
        <v>22</v>
      </c>
      <c r="F194" s="42">
        <v>97.891861000000006</v>
      </c>
    </row>
    <row r="195" spans="1:6" x14ac:dyDescent="0.25">
      <c r="A195" t="s">
        <v>8</v>
      </c>
      <c r="C195" t="s">
        <v>76</v>
      </c>
      <c r="D195">
        <f t="shared" si="11"/>
        <v>2018</v>
      </c>
      <c r="E195" t="s">
        <v>22</v>
      </c>
      <c r="F195" s="42">
        <v>104.303245</v>
      </c>
    </row>
    <row r="196" spans="1:6" x14ac:dyDescent="0.25">
      <c r="A196" t="s">
        <v>8</v>
      </c>
      <c r="C196" t="s">
        <v>76</v>
      </c>
      <c r="D196">
        <f t="shared" si="11"/>
        <v>2019</v>
      </c>
      <c r="E196" t="s">
        <v>22</v>
      </c>
      <c r="F196" s="42">
        <v>115.477519</v>
      </c>
    </row>
    <row r="197" spans="1:6" x14ac:dyDescent="0.25">
      <c r="A197" t="s">
        <v>8</v>
      </c>
      <c r="C197" t="s">
        <v>76</v>
      </c>
      <c r="D197">
        <f t="shared" si="11"/>
        <v>2020</v>
      </c>
      <c r="E197" t="s">
        <v>22</v>
      </c>
      <c r="F197" s="42">
        <v>122.565595</v>
      </c>
    </row>
    <row r="198" spans="1:6" x14ac:dyDescent="0.25">
      <c r="A198" t="s">
        <v>8</v>
      </c>
      <c r="C198" t="s">
        <v>76</v>
      </c>
      <c r="D198">
        <f t="shared" si="11"/>
        <v>2021</v>
      </c>
      <c r="E198" t="s">
        <v>22</v>
      </c>
      <c r="F198" s="42">
        <v>136.59367700000001</v>
      </c>
    </row>
    <row r="199" spans="1:6" x14ac:dyDescent="0.25">
      <c r="A199" t="s">
        <v>8</v>
      </c>
      <c r="C199" t="s">
        <v>76</v>
      </c>
      <c r="D199">
        <f t="shared" si="11"/>
        <v>2022</v>
      </c>
      <c r="E199" t="s">
        <v>22</v>
      </c>
      <c r="F199" s="42">
        <v>185.46377699999999</v>
      </c>
    </row>
    <row r="200" spans="1:6" x14ac:dyDescent="0.25">
      <c r="A200" t="s">
        <v>8</v>
      </c>
      <c r="C200" t="s">
        <v>76</v>
      </c>
      <c r="D200">
        <v>2050</v>
      </c>
      <c r="E200" t="s">
        <v>22</v>
      </c>
      <c r="F200">
        <v>70</v>
      </c>
    </row>
    <row r="201" spans="1:6" hidden="1" x14ac:dyDescent="0.25">
      <c r="A201" t="s">
        <v>69</v>
      </c>
      <c r="C201" t="s">
        <v>76</v>
      </c>
      <c r="D201">
        <v>2015</v>
      </c>
      <c r="E201" t="s">
        <v>22</v>
      </c>
      <c r="F201">
        <v>20</v>
      </c>
    </row>
    <row r="202" spans="1:6" hidden="1" x14ac:dyDescent="0.25">
      <c r="A202" t="s">
        <v>69</v>
      </c>
      <c r="C202" t="s">
        <v>76</v>
      </c>
      <c r="D202">
        <v>2050</v>
      </c>
      <c r="E202" t="s">
        <v>22</v>
      </c>
      <c r="F202">
        <v>20</v>
      </c>
    </row>
    <row r="203" spans="1:6" hidden="1" x14ac:dyDescent="0.25">
      <c r="A203" t="s">
        <v>36</v>
      </c>
      <c r="C203" t="s">
        <v>76</v>
      </c>
      <c r="D203">
        <v>2015</v>
      </c>
      <c r="E203" t="s">
        <v>22</v>
      </c>
      <c r="F203">
        <v>100</v>
      </c>
    </row>
    <row r="204" spans="1:6" hidden="1" x14ac:dyDescent="0.25">
      <c r="A204" t="s">
        <v>36</v>
      </c>
      <c r="C204" t="s">
        <v>76</v>
      </c>
      <c r="D204">
        <v>2050</v>
      </c>
      <c r="E204" t="s">
        <v>22</v>
      </c>
      <c r="F204">
        <v>100</v>
      </c>
    </row>
    <row r="205" spans="1:6" hidden="1" x14ac:dyDescent="0.25">
      <c r="A205" t="s">
        <v>16</v>
      </c>
      <c r="C205" t="s">
        <v>76</v>
      </c>
      <c r="D205">
        <v>2015</v>
      </c>
      <c r="E205" t="s">
        <v>22</v>
      </c>
      <c r="F205">
        <v>180</v>
      </c>
    </row>
    <row r="206" spans="1:6" hidden="1" x14ac:dyDescent="0.25">
      <c r="A206" t="s">
        <v>16</v>
      </c>
      <c r="C206" t="s">
        <v>76</v>
      </c>
      <c r="D206">
        <v>2020</v>
      </c>
      <c r="E206" t="s">
        <v>22</v>
      </c>
      <c r="F206">
        <v>180</v>
      </c>
    </row>
    <row r="207" spans="1:6" hidden="1" x14ac:dyDescent="0.25">
      <c r="A207" t="s">
        <v>16</v>
      </c>
      <c r="C207" t="s">
        <v>76</v>
      </c>
      <c r="D207">
        <v>2030</v>
      </c>
      <c r="E207" t="s">
        <v>22</v>
      </c>
      <c r="F207">
        <v>180</v>
      </c>
    </row>
    <row r="208" spans="1:6" hidden="1" x14ac:dyDescent="0.25">
      <c r="A208" t="s">
        <v>16</v>
      </c>
      <c r="C208" t="s">
        <v>76</v>
      </c>
      <c r="D208">
        <v>2040</v>
      </c>
      <c r="E208" t="s">
        <v>22</v>
      </c>
      <c r="F208">
        <v>180</v>
      </c>
    </row>
    <row r="209" spans="1:6" hidden="1" x14ac:dyDescent="0.25">
      <c r="A209" t="s">
        <v>16</v>
      </c>
      <c r="C209" t="s">
        <v>76</v>
      </c>
      <c r="D209">
        <v>2050</v>
      </c>
      <c r="E209" t="s">
        <v>22</v>
      </c>
      <c r="F209">
        <v>180</v>
      </c>
    </row>
    <row r="210" spans="1:6" x14ac:dyDescent="0.25">
      <c r="A210" t="s">
        <v>8</v>
      </c>
      <c r="C210" t="s">
        <v>77</v>
      </c>
      <c r="D210">
        <v>2015</v>
      </c>
      <c r="E210" t="s">
        <v>22</v>
      </c>
      <c r="F210" s="42">
        <v>77.649999999999991</v>
      </c>
    </row>
    <row r="211" spans="1:6" x14ac:dyDescent="0.25">
      <c r="A211" t="s">
        <v>8</v>
      </c>
      <c r="C211" t="s">
        <v>77</v>
      </c>
      <c r="D211">
        <f t="shared" ref="D211:D218" si="12">D210+1</f>
        <v>2016</v>
      </c>
      <c r="E211" t="s">
        <v>22</v>
      </c>
      <c r="F211" s="42">
        <v>68.5</v>
      </c>
    </row>
    <row r="212" spans="1:6" x14ac:dyDescent="0.25">
      <c r="A212" t="s">
        <v>8</v>
      </c>
      <c r="C212" t="s">
        <v>77</v>
      </c>
      <c r="D212">
        <f t="shared" si="12"/>
        <v>2017</v>
      </c>
      <c r="E212" t="s">
        <v>22</v>
      </c>
      <c r="F212" s="42">
        <v>71.899999999999991</v>
      </c>
    </row>
    <row r="213" spans="1:6" x14ac:dyDescent="0.25">
      <c r="A213" t="s">
        <v>8</v>
      </c>
      <c r="C213" t="s">
        <v>77</v>
      </c>
      <c r="D213">
        <f t="shared" si="12"/>
        <v>2018</v>
      </c>
      <c r="E213" t="s">
        <v>22</v>
      </c>
      <c r="F213" s="42">
        <v>77.699999999999989</v>
      </c>
    </row>
    <row r="214" spans="1:6" x14ac:dyDescent="0.25">
      <c r="A214" t="s">
        <v>8</v>
      </c>
      <c r="C214" t="s">
        <v>77</v>
      </c>
      <c r="D214">
        <f t="shared" si="12"/>
        <v>2019</v>
      </c>
      <c r="E214" t="s">
        <v>22</v>
      </c>
      <c r="F214" s="42">
        <v>74.399999999999991</v>
      </c>
    </row>
    <row r="215" spans="1:6" x14ac:dyDescent="0.25">
      <c r="A215" t="s">
        <v>8</v>
      </c>
      <c r="C215" t="s">
        <v>77</v>
      </c>
      <c r="D215">
        <f t="shared" si="12"/>
        <v>2020</v>
      </c>
      <c r="E215" t="s">
        <v>22</v>
      </c>
      <c r="F215" s="42">
        <v>63.1</v>
      </c>
    </row>
    <row r="216" spans="1:6" x14ac:dyDescent="0.25">
      <c r="A216" t="s">
        <v>8</v>
      </c>
      <c r="C216" t="s">
        <v>77</v>
      </c>
      <c r="D216">
        <f t="shared" si="12"/>
        <v>2021</v>
      </c>
      <c r="E216" t="s">
        <v>22</v>
      </c>
      <c r="F216" s="42">
        <v>97.55</v>
      </c>
    </row>
    <row r="217" spans="1:6" x14ac:dyDescent="0.25">
      <c r="A217" t="s">
        <v>8</v>
      </c>
      <c r="C217" t="s">
        <v>77</v>
      </c>
      <c r="D217">
        <f t="shared" si="12"/>
        <v>2022</v>
      </c>
      <c r="E217" t="s">
        <v>22</v>
      </c>
      <c r="F217" s="42">
        <v>204.50000000000003</v>
      </c>
    </row>
    <row r="218" spans="1:6" x14ac:dyDescent="0.25">
      <c r="A218" t="s">
        <v>8</v>
      </c>
      <c r="C218" t="s">
        <v>77</v>
      </c>
      <c r="D218">
        <f t="shared" si="12"/>
        <v>2023</v>
      </c>
      <c r="E218" t="s">
        <v>22</v>
      </c>
      <c r="F218" s="42">
        <v>90.2</v>
      </c>
    </row>
    <row r="219" spans="1:6" x14ac:dyDescent="0.25">
      <c r="A219" t="s">
        <v>8</v>
      </c>
      <c r="C219" t="s">
        <v>77</v>
      </c>
      <c r="D219">
        <v>2050</v>
      </c>
      <c r="E219" t="s">
        <v>22</v>
      </c>
      <c r="F219">
        <v>70</v>
      </c>
    </row>
    <row r="220" spans="1:6" hidden="1" x14ac:dyDescent="0.25">
      <c r="A220" t="s">
        <v>69</v>
      </c>
      <c r="C220" t="s">
        <v>77</v>
      </c>
      <c r="D220">
        <v>2015</v>
      </c>
      <c r="E220" t="s">
        <v>22</v>
      </c>
      <c r="F220">
        <v>20</v>
      </c>
    </row>
    <row r="221" spans="1:6" hidden="1" x14ac:dyDescent="0.25">
      <c r="A221" t="s">
        <v>69</v>
      </c>
      <c r="C221" t="s">
        <v>77</v>
      </c>
      <c r="D221">
        <v>2050</v>
      </c>
      <c r="E221" t="s">
        <v>22</v>
      </c>
      <c r="F221">
        <v>20</v>
      </c>
    </row>
    <row r="222" spans="1:6" hidden="1" x14ac:dyDescent="0.25">
      <c r="A222" t="s">
        <v>36</v>
      </c>
      <c r="C222" t="s">
        <v>77</v>
      </c>
      <c r="D222">
        <v>2015</v>
      </c>
      <c r="E222" t="s">
        <v>22</v>
      </c>
      <c r="F222">
        <v>100</v>
      </c>
    </row>
    <row r="223" spans="1:6" hidden="1" x14ac:dyDescent="0.25">
      <c r="A223" t="s">
        <v>36</v>
      </c>
      <c r="C223" t="s">
        <v>77</v>
      </c>
      <c r="D223">
        <v>2050</v>
      </c>
      <c r="E223" t="s">
        <v>22</v>
      </c>
      <c r="F223">
        <v>100</v>
      </c>
    </row>
    <row r="224" spans="1:6" hidden="1" x14ac:dyDescent="0.25">
      <c r="A224" t="s">
        <v>16</v>
      </c>
      <c r="C224" t="s">
        <v>77</v>
      </c>
      <c r="D224">
        <v>2015</v>
      </c>
      <c r="E224" t="s">
        <v>22</v>
      </c>
      <c r="F224">
        <v>180</v>
      </c>
    </row>
    <row r="225" spans="1:6" hidden="1" x14ac:dyDescent="0.25">
      <c r="A225" t="s">
        <v>16</v>
      </c>
      <c r="C225" t="s">
        <v>77</v>
      </c>
      <c r="D225">
        <v>2020</v>
      </c>
      <c r="E225" t="s">
        <v>22</v>
      </c>
      <c r="F225">
        <v>180</v>
      </c>
    </row>
    <row r="226" spans="1:6" hidden="1" x14ac:dyDescent="0.25">
      <c r="A226" t="s">
        <v>16</v>
      </c>
      <c r="C226" t="s">
        <v>77</v>
      </c>
      <c r="D226">
        <v>2030</v>
      </c>
      <c r="E226" t="s">
        <v>22</v>
      </c>
      <c r="F226">
        <v>180</v>
      </c>
    </row>
    <row r="227" spans="1:6" hidden="1" x14ac:dyDescent="0.25">
      <c r="A227" t="s">
        <v>16</v>
      </c>
      <c r="C227" t="s">
        <v>77</v>
      </c>
      <c r="D227">
        <v>2040</v>
      </c>
      <c r="E227" t="s">
        <v>22</v>
      </c>
      <c r="F227">
        <v>180</v>
      </c>
    </row>
    <row r="228" spans="1:6" hidden="1" x14ac:dyDescent="0.25">
      <c r="A228" t="s">
        <v>16</v>
      </c>
      <c r="C228" t="s">
        <v>77</v>
      </c>
      <c r="D228">
        <v>2050</v>
      </c>
      <c r="E228" t="s">
        <v>22</v>
      </c>
      <c r="F228">
        <v>180</v>
      </c>
    </row>
    <row r="229" spans="1:6" x14ac:dyDescent="0.25">
      <c r="A229" t="s">
        <v>8</v>
      </c>
      <c r="C229" t="s">
        <v>78</v>
      </c>
      <c r="D229">
        <v>2015</v>
      </c>
      <c r="E229" t="s">
        <v>22</v>
      </c>
      <c r="F229" s="42">
        <v>65.3</v>
      </c>
    </row>
    <row r="230" spans="1:6" x14ac:dyDescent="0.25">
      <c r="A230" t="s">
        <v>8</v>
      </c>
      <c r="C230" t="s">
        <v>78</v>
      </c>
      <c r="D230">
        <f t="shared" ref="D230:D237" si="13">D229+1</f>
        <v>2016</v>
      </c>
      <c r="E230" t="s">
        <v>22</v>
      </c>
      <c r="F230" s="42">
        <v>62.65</v>
      </c>
    </row>
    <row r="231" spans="1:6" x14ac:dyDescent="0.25">
      <c r="A231" t="s">
        <v>8</v>
      </c>
      <c r="C231" t="s">
        <v>78</v>
      </c>
      <c r="D231">
        <f t="shared" si="13"/>
        <v>2017</v>
      </c>
      <c r="E231" t="s">
        <v>22</v>
      </c>
      <c r="F231" s="42">
        <v>56.999999999999993</v>
      </c>
    </row>
    <row r="232" spans="1:6" x14ac:dyDescent="0.25">
      <c r="A232" t="s">
        <v>8</v>
      </c>
      <c r="C232" t="s">
        <v>78</v>
      </c>
      <c r="D232">
        <f t="shared" si="13"/>
        <v>2018</v>
      </c>
      <c r="E232" t="s">
        <v>22</v>
      </c>
      <c r="F232" s="42">
        <v>66.100000000000009</v>
      </c>
    </row>
    <row r="233" spans="1:6" x14ac:dyDescent="0.25">
      <c r="A233" t="s">
        <v>8</v>
      </c>
      <c r="C233" t="s">
        <v>78</v>
      </c>
      <c r="D233">
        <f t="shared" si="13"/>
        <v>2019</v>
      </c>
      <c r="E233" t="s">
        <v>22</v>
      </c>
      <c r="F233" s="42">
        <v>65.3</v>
      </c>
    </row>
    <row r="234" spans="1:6" x14ac:dyDescent="0.25">
      <c r="A234" t="s">
        <v>8</v>
      </c>
      <c r="C234" t="s">
        <v>78</v>
      </c>
      <c r="D234">
        <f t="shared" si="13"/>
        <v>2020</v>
      </c>
      <c r="E234" t="s">
        <v>22</v>
      </c>
      <c r="F234" s="42">
        <v>64.099999999999994</v>
      </c>
    </row>
    <row r="235" spans="1:6" x14ac:dyDescent="0.25">
      <c r="A235" t="s">
        <v>8</v>
      </c>
      <c r="C235" t="s">
        <v>78</v>
      </c>
      <c r="D235">
        <f t="shared" si="13"/>
        <v>2021</v>
      </c>
      <c r="E235" t="s">
        <v>22</v>
      </c>
      <c r="F235" s="42">
        <v>86.299999999999983</v>
      </c>
    </row>
    <row r="236" spans="1:6" x14ac:dyDescent="0.25">
      <c r="A236" t="s">
        <v>8</v>
      </c>
      <c r="C236" t="s">
        <v>78</v>
      </c>
      <c r="D236">
        <f t="shared" si="13"/>
        <v>2022</v>
      </c>
      <c r="E236" t="s">
        <v>22</v>
      </c>
      <c r="F236" s="42">
        <v>137.05000000000001</v>
      </c>
    </row>
    <row r="237" spans="1:6" x14ac:dyDescent="0.25">
      <c r="A237" t="s">
        <v>8</v>
      </c>
      <c r="C237" t="s">
        <v>78</v>
      </c>
      <c r="D237">
        <f t="shared" si="13"/>
        <v>2023</v>
      </c>
      <c r="E237" t="s">
        <v>22</v>
      </c>
      <c r="F237" s="42">
        <v>150.79999999999998</v>
      </c>
    </row>
    <row r="238" spans="1:6" x14ac:dyDescent="0.25">
      <c r="A238" t="s">
        <v>8</v>
      </c>
      <c r="C238" t="s">
        <v>78</v>
      </c>
      <c r="D238">
        <v>2050</v>
      </c>
      <c r="E238" t="s">
        <v>22</v>
      </c>
      <c r="F238">
        <v>70</v>
      </c>
    </row>
    <row r="239" spans="1:6" hidden="1" x14ac:dyDescent="0.25">
      <c r="A239" t="s">
        <v>69</v>
      </c>
      <c r="C239" t="s">
        <v>78</v>
      </c>
      <c r="D239">
        <v>2015</v>
      </c>
      <c r="E239" t="s">
        <v>22</v>
      </c>
      <c r="F239">
        <v>20</v>
      </c>
    </row>
    <row r="240" spans="1:6" hidden="1" x14ac:dyDescent="0.25">
      <c r="A240" t="s">
        <v>69</v>
      </c>
      <c r="C240" t="s">
        <v>78</v>
      </c>
      <c r="D240">
        <v>2050</v>
      </c>
      <c r="E240" t="s">
        <v>22</v>
      </c>
      <c r="F240">
        <v>20</v>
      </c>
    </row>
    <row r="241" spans="1:6" hidden="1" x14ac:dyDescent="0.25">
      <c r="A241" t="s">
        <v>36</v>
      </c>
      <c r="C241" t="s">
        <v>78</v>
      </c>
      <c r="D241">
        <v>2015</v>
      </c>
      <c r="E241" t="s">
        <v>22</v>
      </c>
      <c r="F241">
        <v>100</v>
      </c>
    </row>
    <row r="242" spans="1:6" hidden="1" x14ac:dyDescent="0.25">
      <c r="A242" t="s">
        <v>36</v>
      </c>
      <c r="C242" t="s">
        <v>78</v>
      </c>
      <c r="D242">
        <v>2050</v>
      </c>
      <c r="E242" t="s">
        <v>22</v>
      </c>
      <c r="F242">
        <v>100</v>
      </c>
    </row>
    <row r="243" spans="1:6" hidden="1" x14ac:dyDescent="0.25">
      <c r="A243" t="s">
        <v>16</v>
      </c>
      <c r="C243" t="s">
        <v>78</v>
      </c>
      <c r="D243">
        <v>2015</v>
      </c>
      <c r="E243" t="s">
        <v>22</v>
      </c>
      <c r="F243">
        <v>180</v>
      </c>
    </row>
    <row r="244" spans="1:6" hidden="1" x14ac:dyDescent="0.25">
      <c r="A244" t="s">
        <v>16</v>
      </c>
      <c r="C244" t="s">
        <v>78</v>
      </c>
      <c r="D244">
        <v>2020</v>
      </c>
      <c r="E244" t="s">
        <v>22</v>
      </c>
      <c r="F244">
        <v>180</v>
      </c>
    </row>
    <row r="245" spans="1:6" hidden="1" x14ac:dyDescent="0.25">
      <c r="A245" t="s">
        <v>16</v>
      </c>
      <c r="C245" t="s">
        <v>78</v>
      </c>
      <c r="D245">
        <v>2030</v>
      </c>
      <c r="E245" t="s">
        <v>22</v>
      </c>
      <c r="F245">
        <v>180</v>
      </c>
    </row>
    <row r="246" spans="1:6" hidden="1" x14ac:dyDescent="0.25">
      <c r="A246" t="s">
        <v>16</v>
      </c>
      <c r="C246" t="s">
        <v>78</v>
      </c>
      <c r="D246">
        <v>2040</v>
      </c>
      <c r="E246" t="s">
        <v>22</v>
      </c>
      <c r="F246">
        <v>180</v>
      </c>
    </row>
    <row r="247" spans="1:6" hidden="1" x14ac:dyDescent="0.25">
      <c r="A247" t="s">
        <v>16</v>
      </c>
      <c r="C247" t="s">
        <v>78</v>
      </c>
      <c r="D247">
        <v>2050</v>
      </c>
      <c r="E247" t="s">
        <v>22</v>
      </c>
      <c r="F247">
        <v>180</v>
      </c>
    </row>
    <row r="248" spans="1:6" hidden="1" x14ac:dyDescent="0.25">
      <c r="A248" t="s">
        <v>5</v>
      </c>
      <c r="E248" t="s">
        <v>10</v>
      </c>
      <c r="F248">
        <v>8.2799999999999999E-2</v>
      </c>
    </row>
    <row r="249" spans="1:6" hidden="1" x14ac:dyDescent="0.25">
      <c r="A249" t="s">
        <v>7</v>
      </c>
      <c r="E249" t="s">
        <v>10</v>
      </c>
      <c r="F249">
        <v>0.10199999999999999</v>
      </c>
    </row>
    <row r="250" spans="1:6" hidden="1" x14ac:dyDescent="0.25">
      <c r="A250" t="s">
        <v>9</v>
      </c>
      <c r="E250" t="s">
        <v>10</v>
      </c>
      <c r="F250">
        <v>0.161</v>
      </c>
    </row>
    <row r="251" spans="1:6" hidden="1" x14ac:dyDescent="0.25">
      <c r="A251" t="s">
        <v>11</v>
      </c>
      <c r="D251">
        <v>2015</v>
      </c>
      <c r="E251" t="s">
        <v>10</v>
      </c>
      <c r="F251">
        <v>10.8</v>
      </c>
    </row>
    <row r="252" spans="1:6" ht="16.5" hidden="1" customHeight="1" x14ac:dyDescent="0.25">
      <c r="A252" t="s">
        <v>11</v>
      </c>
      <c r="D252">
        <v>2020</v>
      </c>
      <c r="E252" t="s">
        <v>10</v>
      </c>
      <c r="F252">
        <v>10.8</v>
      </c>
    </row>
    <row r="253" spans="1:6" hidden="1" x14ac:dyDescent="0.25">
      <c r="A253" t="s">
        <v>11</v>
      </c>
      <c r="D253">
        <v>2050</v>
      </c>
      <c r="E253" t="s">
        <v>10</v>
      </c>
      <c r="F253">
        <v>2</v>
      </c>
    </row>
    <row r="254" spans="1:6" hidden="1" x14ac:dyDescent="0.25">
      <c r="A254" t="s">
        <v>8</v>
      </c>
      <c r="C254" t="s">
        <v>23</v>
      </c>
      <c r="D254">
        <v>2015</v>
      </c>
      <c r="E254" t="s">
        <v>10</v>
      </c>
      <c r="F254">
        <v>0.06</v>
      </c>
    </row>
    <row r="255" spans="1:6" hidden="1" x14ac:dyDescent="0.25">
      <c r="A255" t="s">
        <v>8</v>
      </c>
      <c r="C255" t="s">
        <v>23</v>
      </c>
      <c r="D255">
        <v>2020</v>
      </c>
      <c r="E255" t="s">
        <v>10</v>
      </c>
      <c r="F255">
        <v>0.06</v>
      </c>
    </row>
    <row r="256" spans="1:6" hidden="1" x14ac:dyDescent="0.25">
      <c r="A256" t="s">
        <v>8</v>
      </c>
      <c r="C256" t="s">
        <v>24</v>
      </c>
      <c r="D256">
        <v>2015</v>
      </c>
      <c r="E256" t="s">
        <v>10</v>
      </c>
      <c r="F256">
        <v>0.6</v>
      </c>
    </row>
    <row r="257" spans="1:6" hidden="1" x14ac:dyDescent="0.25">
      <c r="A257" t="s">
        <v>8</v>
      </c>
      <c r="C257" t="s">
        <v>24</v>
      </c>
      <c r="D257">
        <v>2020</v>
      </c>
      <c r="E257" t="s">
        <v>10</v>
      </c>
      <c r="F257">
        <v>0.4</v>
      </c>
    </row>
    <row r="258" spans="1:6" hidden="1" x14ac:dyDescent="0.25">
      <c r="A258" t="s">
        <v>8</v>
      </c>
      <c r="C258" t="s">
        <v>75</v>
      </c>
      <c r="D258">
        <v>2015</v>
      </c>
      <c r="E258" t="s">
        <v>10</v>
      </c>
      <c r="F258">
        <v>0.4</v>
      </c>
    </row>
    <row r="259" spans="1:6" hidden="1" x14ac:dyDescent="0.25">
      <c r="A259" t="s">
        <v>8</v>
      </c>
      <c r="C259" t="s">
        <v>75</v>
      </c>
      <c r="D259">
        <v>2020</v>
      </c>
      <c r="E259" t="s">
        <v>10</v>
      </c>
      <c r="F259">
        <v>0.3</v>
      </c>
    </row>
    <row r="260" spans="1:6" hidden="1" x14ac:dyDescent="0.25">
      <c r="A260" t="s">
        <v>8</v>
      </c>
      <c r="C260" t="s">
        <v>77</v>
      </c>
      <c r="D260">
        <v>2015</v>
      </c>
      <c r="E260" t="s">
        <v>10</v>
      </c>
      <c r="F260">
        <v>0.3</v>
      </c>
    </row>
    <row r="261" spans="1:6" hidden="1" x14ac:dyDescent="0.25">
      <c r="A261" t="s">
        <v>8</v>
      </c>
      <c r="C261" t="s">
        <v>77</v>
      </c>
      <c r="D261">
        <v>2020</v>
      </c>
      <c r="E261" t="s">
        <v>10</v>
      </c>
      <c r="F261">
        <v>0.19</v>
      </c>
    </row>
    <row r="262" spans="1:6" hidden="1" x14ac:dyDescent="0.25">
      <c r="A262" t="s">
        <v>8</v>
      </c>
      <c r="C262" t="s">
        <v>76</v>
      </c>
      <c r="D262">
        <v>2015</v>
      </c>
      <c r="E262" t="s">
        <v>10</v>
      </c>
      <c r="F262">
        <v>0.35</v>
      </c>
    </row>
    <row r="263" spans="1:6" hidden="1" x14ac:dyDescent="0.25">
      <c r="A263" t="s">
        <v>8</v>
      </c>
      <c r="C263" t="s">
        <v>76</v>
      </c>
      <c r="D263">
        <v>2020</v>
      </c>
      <c r="E263" t="s">
        <v>10</v>
      </c>
      <c r="F263">
        <v>0.24</v>
      </c>
    </row>
    <row r="264" spans="1:6" hidden="1" x14ac:dyDescent="0.25">
      <c r="A264" t="s">
        <v>8</v>
      </c>
      <c r="C264" t="s">
        <v>78</v>
      </c>
      <c r="D264">
        <v>2015</v>
      </c>
      <c r="E264" t="s">
        <v>10</v>
      </c>
      <c r="F264">
        <v>0.28000000000000003</v>
      </c>
    </row>
    <row r="265" spans="1:6" hidden="1" x14ac:dyDescent="0.25">
      <c r="A265" t="s">
        <v>8</v>
      </c>
      <c r="C265" t="s">
        <v>78</v>
      </c>
      <c r="D265">
        <v>2020</v>
      </c>
      <c r="E265" t="s">
        <v>10</v>
      </c>
      <c r="F265">
        <v>0.21</v>
      </c>
    </row>
    <row r="266" spans="1:6" hidden="1" x14ac:dyDescent="0.25">
      <c r="A266" t="s">
        <v>8</v>
      </c>
      <c r="D266">
        <v>2050</v>
      </c>
      <c r="E266" t="s">
        <v>10</v>
      </c>
      <c r="F266">
        <v>0.02</v>
      </c>
    </row>
    <row r="267" spans="1:6" hidden="1" x14ac:dyDescent="0.25">
      <c r="A267" t="s">
        <v>25</v>
      </c>
      <c r="E267" t="s">
        <v>10</v>
      </c>
      <c r="F267">
        <v>0.5</v>
      </c>
    </row>
    <row r="268" spans="1:6" hidden="1" x14ac:dyDescent="0.25">
      <c r="A268" t="s">
        <v>53</v>
      </c>
      <c r="E268" t="s">
        <v>10</v>
      </c>
      <c r="F268">
        <v>2</v>
      </c>
    </row>
    <row r="269" spans="1:6" hidden="1" x14ac:dyDescent="0.25">
      <c r="A269" t="s">
        <v>52</v>
      </c>
      <c r="E269" t="s">
        <v>10</v>
      </c>
      <c r="F269">
        <v>2.5499999999999998</v>
      </c>
    </row>
    <row r="270" spans="1:6" hidden="1" x14ac:dyDescent="0.25">
      <c r="A270" t="s">
        <v>11</v>
      </c>
      <c r="D270">
        <v>2015</v>
      </c>
      <c r="E270" t="s">
        <v>22</v>
      </c>
      <c r="F270">
        <v>6000</v>
      </c>
    </row>
    <row r="271" spans="1:6" hidden="1" x14ac:dyDescent="0.25">
      <c r="A271" t="s">
        <v>11</v>
      </c>
      <c r="D271">
        <v>2050</v>
      </c>
      <c r="E271" t="s">
        <v>22</v>
      </c>
      <c r="F271">
        <v>3000</v>
      </c>
    </row>
    <row r="272" spans="1:6" hidden="1" x14ac:dyDescent="0.25">
      <c r="A272" t="s">
        <v>80</v>
      </c>
      <c r="C272" t="s">
        <v>23</v>
      </c>
      <c r="D272">
        <v>2015</v>
      </c>
      <c r="E272" t="s">
        <v>22</v>
      </c>
      <c r="F272" s="42">
        <f>F54</f>
        <v>60.85</v>
      </c>
    </row>
    <row r="273" spans="1:6" hidden="1" x14ac:dyDescent="0.25">
      <c r="A273" t="s">
        <v>80</v>
      </c>
      <c r="C273" t="s">
        <v>23</v>
      </c>
      <c r="D273">
        <v>2050</v>
      </c>
      <c r="E273" t="s">
        <v>22</v>
      </c>
      <c r="F273">
        <v>30</v>
      </c>
    </row>
    <row r="274" spans="1:6" hidden="1" x14ac:dyDescent="0.25">
      <c r="A274" t="s">
        <v>81</v>
      </c>
      <c r="C274" t="s">
        <v>23</v>
      </c>
      <c r="D274">
        <v>2015</v>
      </c>
      <c r="E274" t="s">
        <v>22</v>
      </c>
      <c r="F274" s="42">
        <f>F54</f>
        <v>60.85</v>
      </c>
    </row>
    <row r="275" spans="1:6" hidden="1" x14ac:dyDescent="0.25">
      <c r="A275" t="s">
        <v>81</v>
      </c>
      <c r="C275" t="s">
        <v>23</v>
      </c>
      <c r="D275">
        <v>2050</v>
      </c>
      <c r="E275" t="s">
        <v>22</v>
      </c>
      <c r="F275">
        <v>20</v>
      </c>
    </row>
    <row r="276" spans="1:6" hidden="1" x14ac:dyDescent="0.25">
      <c r="A276" t="s">
        <v>80</v>
      </c>
      <c r="C276" t="s">
        <v>75</v>
      </c>
      <c r="D276">
        <v>2015</v>
      </c>
      <c r="E276" t="s">
        <v>22</v>
      </c>
      <c r="F276" s="42">
        <f>F173</f>
        <v>105.45</v>
      </c>
    </row>
    <row r="277" spans="1:6" hidden="1" x14ac:dyDescent="0.25">
      <c r="A277" t="s">
        <v>80</v>
      </c>
      <c r="C277" t="s">
        <v>75</v>
      </c>
      <c r="D277">
        <v>2050</v>
      </c>
      <c r="E277" t="s">
        <v>22</v>
      </c>
      <c r="F277">
        <v>30</v>
      </c>
    </row>
    <row r="278" spans="1:6" hidden="1" x14ac:dyDescent="0.25">
      <c r="A278" t="s">
        <v>81</v>
      </c>
      <c r="C278" t="s">
        <v>75</v>
      </c>
      <c r="D278">
        <v>2015</v>
      </c>
      <c r="E278" t="s">
        <v>22</v>
      </c>
      <c r="F278" s="42">
        <f>F173</f>
        <v>105.45</v>
      </c>
    </row>
    <row r="279" spans="1:6" hidden="1" x14ac:dyDescent="0.25">
      <c r="A279" t="s">
        <v>81</v>
      </c>
      <c r="C279" t="s">
        <v>75</v>
      </c>
      <c r="D279">
        <v>2050</v>
      </c>
      <c r="E279" t="s">
        <v>22</v>
      </c>
      <c r="F279">
        <v>20</v>
      </c>
    </row>
    <row r="280" spans="1:6" hidden="1" x14ac:dyDescent="0.25">
      <c r="A280" t="s">
        <v>80</v>
      </c>
      <c r="C280" t="s">
        <v>24</v>
      </c>
      <c r="D280">
        <v>2015</v>
      </c>
      <c r="E280" t="s">
        <v>22</v>
      </c>
      <c r="F280" s="42">
        <f>F154</f>
        <v>97.55</v>
      </c>
    </row>
    <row r="281" spans="1:6" hidden="1" x14ac:dyDescent="0.25">
      <c r="A281" t="s">
        <v>80</v>
      </c>
      <c r="C281" t="s">
        <v>24</v>
      </c>
      <c r="D281">
        <v>2050</v>
      </c>
      <c r="E281" t="s">
        <v>22</v>
      </c>
      <c r="F281">
        <v>30</v>
      </c>
    </row>
    <row r="282" spans="1:6" hidden="1" x14ac:dyDescent="0.25">
      <c r="A282" t="s">
        <v>81</v>
      </c>
      <c r="C282" t="s">
        <v>24</v>
      </c>
      <c r="D282">
        <v>2015</v>
      </c>
      <c r="E282" t="s">
        <v>22</v>
      </c>
      <c r="F282" s="42">
        <f>F154</f>
        <v>97.55</v>
      </c>
    </row>
    <row r="283" spans="1:6" hidden="1" x14ac:dyDescent="0.25">
      <c r="A283" t="s">
        <v>81</v>
      </c>
      <c r="C283" t="s">
        <v>24</v>
      </c>
      <c r="D283">
        <v>2050</v>
      </c>
      <c r="E283" t="s">
        <v>22</v>
      </c>
      <c r="F283">
        <v>20</v>
      </c>
    </row>
    <row r="284" spans="1:6" hidden="1" x14ac:dyDescent="0.25">
      <c r="A284" t="s">
        <v>80</v>
      </c>
      <c r="C284" t="s">
        <v>76</v>
      </c>
      <c r="D284">
        <v>2015</v>
      </c>
      <c r="E284" t="s">
        <v>22</v>
      </c>
      <c r="F284" s="42">
        <f>F192</f>
        <v>94.978538</v>
      </c>
    </row>
    <row r="285" spans="1:6" hidden="1" x14ac:dyDescent="0.25">
      <c r="A285" t="s">
        <v>80</v>
      </c>
      <c r="C285" t="s">
        <v>76</v>
      </c>
      <c r="D285">
        <v>2050</v>
      </c>
      <c r="E285" t="s">
        <v>22</v>
      </c>
      <c r="F285">
        <v>30</v>
      </c>
    </row>
    <row r="286" spans="1:6" hidden="1" x14ac:dyDescent="0.25">
      <c r="A286" t="s">
        <v>81</v>
      </c>
      <c r="C286" t="s">
        <v>76</v>
      </c>
      <c r="D286">
        <v>2015</v>
      </c>
      <c r="E286" t="s">
        <v>22</v>
      </c>
      <c r="F286" s="42">
        <f>F192</f>
        <v>94.978538</v>
      </c>
    </row>
    <row r="287" spans="1:6" hidden="1" x14ac:dyDescent="0.25">
      <c r="A287" t="s">
        <v>81</v>
      </c>
      <c r="C287" t="s">
        <v>76</v>
      </c>
      <c r="D287">
        <v>2050</v>
      </c>
      <c r="E287" t="s">
        <v>22</v>
      </c>
      <c r="F287">
        <v>20</v>
      </c>
    </row>
    <row r="288" spans="1:6" hidden="1" x14ac:dyDescent="0.25">
      <c r="A288" t="s">
        <v>80</v>
      </c>
      <c r="C288" t="s">
        <v>77</v>
      </c>
      <c r="D288">
        <v>2015</v>
      </c>
      <c r="E288" t="s">
        <v>22</v>
      </c>
      <c r="F288" s="42">
        <f>F210</f>
        <v>77.649999999999991</v>
      </c>
    </row>
    <row r="289" spans="1:6" hidden="1" x14ac:dyDescent="0.25">
      <c r="A289" t="s">
        <v>80</v>
      </c>
      <c r="C289" t="s">
        <v>77</v>
      </c>
      <c r="D289">
        <v>2050</v>
      </c>
      <c r="E289" t="s">
        <v>22</v>
      </c>
      <c r="F289">
        <v>30</v>
      </c>
    </row>
    <row r="290" spans="1:6" hidden="1" x14ac:dyDescent="0.25">
      <c r="A290" t="s">
        <v>81</v>
      </c>
      <c r="C290" t="s">
        <v>77</v>
      </c>
      <c r="D290">
        <v>2015</v>
      </c>
      <c r="E290" t="s">
        <v>22</v>
      </c>
      <c r="F290" s="42">
        <f>F210</f>
        <v>77.649999999999991</v>
      </c>
    </row>
    <row r="291" spans="1:6" hidden="1" x14ac:dyDescent="0.25">
      <c r="A291" t="s">
        <v>81</v>
      </c>
      <c r="C291" t="s">
        <v>77</v>
      </c>
      <c r="D291">
        <v>2050</v>
      </c>
      <c r="E291" t="s">
        <v>22</v>
      </c>
      <c r="F291">
        <v>20</v>
      </c>
    </row>
    <row r="292" spans="1:6" hidden="1" x14ac:dyDescent="0.25">
      <c r="A292" t="s">
        <v>80</v>
      </c>
      <c r="C292" t="s">
        <v>78</v>
      </c>
      <c r="D292">
        <v>2015</v>
      </c>
      <c r="E292" t="s">
        <v>22</v>
      </c>
      <c r="F292" s="42">
        <f>F229</f>
        <v>65.3</v>
      </c>
    </row>
    <row r="293" spans="1:6" hidden="1" x14ac:dyDescent="0.25">
      <c r="A293" t="s">
        <v>80</v>
      </c>
      <c r="C293" t="s">
        <v>78</v>
      </c>
      <c r="D293">
        <v>2050</v>
      </c>
      <c r="E293" t="s">
        <v>22</v>
      </c>
      <c r="F293">
        <v>30</v>
      </c>
    </row>
    <row r="294" spans="1:6" hidden="1" x14ac:dyDescent="0.25">
      <c r="A294" t="s">
        <v>81</v>
      </c>
      <c r="C294" t="s">
        <v>78</v>
      </c>
      <c r="D294">
        <v>2015</v>
      </c>
      <c r="E294" t="s">
        <v>22</v>
      </c>
      <c r="F294" s="42">
        <f>F229</f>
        <v>65.3</v>
      </c>
    </row>
    <row r="295" spans="1:6" hidden="1" x14ac:dyDescent="0.25">
      <c r="A295" t="s">
        <v>81</v>
      </c>
      <c r="C295" t="s">
        <v>78</v>
      </c>
      <c r="D295">
        <v>2050</v>
      </c>
      <c r="E295" t="s">
        <v>22</v>
      </c>
      <c r="F295">
        <v>20</v>
      </c>
    </row>
    <row r="296" spans="1:6" hidden="1" x14ac:dyDescent="0.25">
      <c r="A296" t="s">
        <v>53</v>
      </c>
      <c r="B296" t="s">
        <v>86</v>
      </c>
      <c r="C296" t="s">
        <v>23</v>
      </c>
      <c r="D296">
        <v>2015</v>
      </c>
      <c r="E296" t="s">
        <v>35</v>
      </c>
      <c r="F296" s="10">
        <v>4400000</v>
      </c>
    </row>
    <row r="297" spans="1:6" hidden="1" x14ac:dyDescent="0.25">
      <c r="A297" t="s">
        <v>25</v>
      </c>
      <c r="B297" t="s">
        <v>86</v>
      </c>
      <c r="E297" t="s">
        <v>35</v>
      </c>
      <c r="F297" s="10">
        <v>0</v>
      </c>
    </row>
    <row r="298" spans="1:6" hidden="1" x14ac:dyDescent="0.25">
      <c r="A298" t="s">
        <v>25</v>
      </c>
      <c r="B298" t="s">
        <v>86</v>
      </c>
      <c r="C298" t="s">
        <v>23</v>
      </c>
      <c r="D298">
        <v>2015</v>
      </c>
      <c r="E298" t="s">
        <v>35</v>
      </c>
      <c r="F298" s="10">
        <v>14000</v>
      </c>
    </row>
    <row r="299" spans="1:6" hidden="1" x14ac:dyDescent="0.25">
      <c r="A299" t="s">
        <v>52</v>
      </c>
      <c r="B299" t="s">
        <v>86</v>
      </c>
      <c r="C299" t="s">
        <v>23</v>
      </c>
      <c r="D299">
        <v>2015</v>
      </c>
      <c r="E299" t="s">
        <v>35</v>
      </c>
      <c r="F299" s="10">
        <v>800000</v>
      </c>
    </row>
    <row r="300" spans="1:6" hidden="1" x14ac:dyDescent="0.25">
      <c r="A300" t="s">
        <v>53</v>
      </c>
      <c r="B300" t="s">
        <v>86</v>
      </c>
      <c r="C300" t="s">
        <v>23</v>
      </c>
      <c r="D300">
        <v>2020</v>
      </c>
      <c r="E300" t="s">
        <v>35</v>
      </c>
      <c r="F300" s="10">
        <f>F296</f>
        <v>4400000</v>
      </c>
    </row>
    <row r="301" spans="1:6" hidden="1" x14ac:dyDescent="0.25">
      <c r="A301" t="s">
        <v>25</v>
      </c>
      <c r="B301" t="s">
        <v>86</v>
      </c>
      <c r="C301" t="s">
        <v>23</v>
      </c>
      <c r="D301">
        <v>2020</v>
      </c>
      <c r="E301" t="s">
        <v>99</v>
      </c>
      <c r="F301" s="10">
        <v>14000</v>
      </c>
    </row>
    <row r="302" spans="1:6" hidden="1" x14ac:dyDescent="0.25">
      <c r="A302" t="s">
        <v>52</v>
      </c>
      <c r="B302" t="s">
        <v>86</v>
      </c>
      <c r="C302" t="s">
        <v>23</v>
      </c>
      <c r="D302">
        <v>2020</v>
      </c>
      <c r="E302" t="s">
        <v>35</v>
      </c>
      <c r="F302" s="10">
        <v>800000</v>
      </c>
    </row>
    <row r="303" spans="1:6" hidden="1" x14ac:dyDescent="0.25">
      <c r="A303" t="s">
        <v>53</v>
      </c>
      <c r="B303" t="s">
        <v>86</v>
      </c>
      <c r="C303" t="s">
        <v>23</v>
      </c>
      <c r="D303">
        <v>2030</v>
      </c>
      <c r="E303" t="s">
        <v>35</v>
      </c>
      <c r="F303" s="10">
        <f>F300</f>
        <v>4400000</v>
      </c>
    </row>
    <row r="304" spans="1:6" hidden="1" x14ac:dyDescent="0.25">
      <c r="A304" t="s">
        <v>25</v>
      </c>
      <c r="B304" t="s">
        <v>86</v>
      </c>
      <c r="C304" t="s">
        <v>23</v>
      </c>
      <c r="D304">
        <v>2030</v>
      </c>
      <c r="E304" t="s">
        <v>99</v>
      </c>
      <c r="F304" s="10">
        <v>14000</v>
      </c>
    </row>
    <row r="305" spans="1:6" hidden="1" x14ac:dyDescent="0.25">
      <c r="A305" t="s">
        <v>52</v>
      </c>
      <c r="B305" t="s">
        <v>86</v>
      </c>
      <c r="C305" t="s">
        <v>23</v>
      </c>
      <c r="D305">
        <v>2030</v>
      </c>
      <c r="E305" t="s">
        <v>35</v>
      </c>
      <c r="F305" s="10">
        <v>800000</v>
      </c>
    </row>
    <row r="306" spans="1:6" hidden="1" x14ac:dyDescent="0.25">
      <c r="A306" t="s">
        <v>25</v>
      </c>
      <c r="B306" t="s">
        <v>86</v>
      </c>
      <c r="C306" t="s">
        <v>23</v>
      </c>
      <c r="D306">
        <v>2040</v>
      </c>
      <c r="E306" t="s">
        <v>99</v>
      </c>
      <c r="F306" s="10">
        <v>14000</v>
      </c>
    </row>
    <row r="307" spans="1:6" hidden="1" x14ac:dyDescent="0.25">
      <c r="A307" t="s">
        <v>52</v>
      </c>
      <c r="B307" t="s">
        <v>86</v>
      </c>
      <c r="C307" t="s">
        <v>23</v>
      </c>
      <c r="D307">
        <v>2040</v>
      </c>
      <c r="E307" t="s">
        <v>35</v>
      </c>
      <c r="F307" s="10">
        <v>800000</v>
      </c>
    </row>
    <row r="308" spans="1:6" hidden="1" x14ac:dyDescent="0.25">
      <c r="A308" t="s">
        <v>53</v>
      </c>
      <c r="B308" t="s">
        <v>86</v>
      </c>
      <c r="C308" t="s">
        <v>23</v>
      </c>
      <c r="D308">
        <v>2050</v>
      </c>
      <c r="E308" t="s">
        <v>35</v>
      </c>
      <c r="F308" s="10">
        <f>F303*0.7</f>
        <v>3080000</v>
      </c>
    </row>
    <row r="309" spans="1:6" hidden="1" x14ac:dyDescent="0.25">
      <c r="A309" t="s">
        <v>25</v>
      </c>
      <c r="B309" t="s">
        <v>86</v>
      </c>
      <c r="C309" t="s">
        <v>23</v>
      </c>
      <c r="D309">
        <v>2050</v>
      </c>
      <c r="E309" t="s">
        <v>99</v>
      </c>
      <c r="F309" s="10">
        <v>14000</v>
      </c>
    </row>
    <row r="310" spans="1:6" hidden="1" x14ac:dyDescent="0.25">
      <c r="A310" t="s">
        <v>52</v>
      </c>
      <c r="B310" t="s">
        <v>86</v>
      </c>
      <c r="C310" t="s">
        <v>23</v>
      </c>
      <c r="D310">
        <v>2050</v>
      </c>
      <c r="E310" t="s">
        <v>35</v>
      </c>
      <c r="F310" s="10">
        <v>800000</v>
      </c>
    </row>
    <row r="311" spans="1:6" hidden="1" x14ac:dyDescent="0.25">
      <c r="A311" t="s">
        <v>53</v>
      </c>
      <c r="B311" t="s">
        <v>86</v>
      </c>
      <c r="C311" t="s">
        <v>24</v>
      </c>
      <c r="D311">
        <v>2015</v>
      </c>
      <c r="E311" t="s">
        <v>35</v>
      </c>
      <c r="F311" s="10">
        <v>9200000</v>
      </c>
    </row>
    <row r="312" spans="1:6" hidden="1" x14ac:dyDescent="0.25">
      <c r="A312" t="s">
        <v>25</v>
      </c>
      <c r="B312" t="s">
        <v>86</v>
      </c>
      <c r="C312" t="s">
        <v>24</v>
      </c>
      <c r="D312">
        <v>2015</v>
      </c>
      <c r="E312" t="s">
        <v>35</v>
      </c>
      <c r="F312" s="10">
        <v>1400000</v>
      </c>
    </row>
    <row r="313" spans="1:6" hidden="1" x14ac:dyDescent="0.25">
      <c r="A313" t="s">
        <v>52</v>
      </c>
      <c r="B313" t="s">
        <v>86</v>
      </c>
      <c r="C313" t="s">
        <v>24</v>
      </c>
      <c r="D313">
        <v>2015</v>
      </c>
      <c r="E313" t="s">
        <v>35</v>
      </c>
      <c r="F313" s="10">
        <v>2500000</v>
      </c>
    </row>
    <row r="314" spans="1:6" hidden="1" x14ac:dyDescent="0.25">
      <c r="A314" t="s">
        <v>53</v>
      </c>
      <c r="B314" t="s">
        <v>86</v>
      </c>
      <c r="C314" t="s">
        <v>24</v>
      </c>
      <c r="D314">
        <v>2020</v>
      </c>
      <c r="E314" t="s">
        <v>35</v>
      </c>
      <c r="F314" s="10">
        <f>F311</f>
        <v>9200000</v>
      </c>
    </row>
    <row r="315" spans="1:6" hidden="1" x14ac:dyDescent="0.25">
      <c r="A315" t="s">
        <v>25</v>
      </c>
      <c r="B315" t="s">
        <v>86</v>
      </c>
      <c r="C315" t="s">
        <v>24</v>
      </c>
      <c r="D315">
        <v>2020</v>
      </c>
      <c r="E315" t="s">
        <v>99</v>
      </c>
      <c r="F315" s="10">
        <v>1400000</v>
      </c>
    </row>
    <row r="316" spans="1:6" hidden="1" x14ac:dyDescent="0.25">
      <c r="A316" t="s">
        <v>52</v>
      </c>
      <c r="B316" t="s">
        <v>86</v>
      </c>
      <c r="C316" t="s">
        <v>24</v>
      </c>
      <c r="D316">
        <v>2020</v>
      </c>
      <c r="E316" t="s">
        <v>35</v>
      </c>
      <c r="F316" s="10">
        <v>2500000</v>
      </c>
    </row>
    <row r="317" spans="1:6" hidden="1" x14ac:dyDescent="0.25">
      <c r="A317" t="s">
        <v>53</v>
      </c>
      <c r="B317" t="s">
        <v>86</v>
      </c>
      <c r="C317" t="s">
        <v>24</v>
      </c>
      <c r="D317">
        <v>2030</v>
      </c>
      <c r="E317" t="s">
        <v>35</v>
      </c>
      <c r="F317" s="10">
        <f>F314</f>
        <v>9200000</v>
      </c>
    </row>
    <row r="318" spans="1:6" hidden="1" x14ac:dyDescent="0.25">
      <c r="A318" t="s">
        <v>25</v>
      </c>
      <c r="B318" t="s">
        <v>86</v>
      </c>
      <c r="C318" t="s">
        <v>24</v>
      </c>
      <c r="D318">
        <v>2030</v>
      </c>
      <c r="E318" t="s">
        <v>99</v>
      </c>
      <c r="F318" s="10">
        <v>1400000</v>
      </c>
    </row>
    <row r="319" spans="1:6" hidden="1" x14ac:dyDescent="0.25">
      <c r="A319" t="s">
        <v>52</v>
      </c>
      <c r="B319" t="s">
        <v>86</v>
      </c>
      <c r="C319" t="s">
        <v>24</v>
      </c>
      <c r="D319">
        <v>2030</v>
      </c>
      <c r="E319" t="s">
        <v>35</v>
      </c>
      <c r="F319" s="10">
        <v>2500000</v>
      </c>
    </row>
    <row r="320" spans="1:6" hidden="1" x14ac:dyDescent="0.25">
      <c r="A320" t="s">
        <v>25</v>
      </c>
      <c r="B320" t="s">
        <v>86</v>
      </c>
      <c r="C320" t="s">
        <v>24</v>
      </c>
      <c r="D320">
        <v>2040</v>
      </c>
      <c r="E320" t="s">
        <v>99</v>
      </c>
      <c r="F320" s="10">
        <v>1400000</v>
      </c>
    </row>
    <row r="321" spans="1:6" hidden="1" x14ac:dyDescent="0.25">
      <c r="A321" t="s">
        <v>52</v>
      </c>
      <c r="B321" t="s">
        <v>86</v>
      </c>
      <c r="C321" t="s">
        <v>24</v>
      </c>
      <c r="D321">
        <v>2040</v>
      </c>
      <c r="E321" t="s">
        <v>35</v>
      </c>
      <c r="F321" s="10">
        <v>2500000</v>
      </c>
    </row>
    <row r="322" spans="1:6" hidden="1" x14ac:dyDescent="0.25">
      <c r="A322" t="s">
        <v>53</v>
      </c>
      <c r="B322" t="s">
        <v>86</v>
      </c>
      <c r="C322" t="s">
        <v>24</v>
      </c>
      <c r="D322">
        <v>2050</v>
      </c>
      <c r="E322" t="s">
        <v>35</v>
      </c>
      <c r="F322" s="10">
        <f>F317*0.7</f>
        <v>6440000</v>
      </c>
    </row>
    <row r="323" spans="1:6" hidden="1" x14ac:dyDescent="0.25">
      <c r="A323" t="s">
        <v>25</v>
      </c>
      <c r="B323" t="s">
        <v>86</v>
      </c>
      <c r="C323" t="s">
        <v>24</v>
      </c>
      <c r="D323">
        <v>2050</v>
      </c>
      <c r="E323" t="s">
        <v>99</v>
      </c>
      <c r="F323" s="10">
        <v>1400000</v>
      </c>
    </row>
    <row r="324" spans="1:6" hidden="1" x14ac:dyDescent="0.25">
      <c r="A324" t="s">
        <v>52</v>
      </c>
      <c r="B324" t="s">
        <v>86</v>
      </c>
      <c r="C324" t="s">
        <v>24</v>
      </c>
      <c r="D324">
        <v>2050</v>
      </c>
      <c r="E324" t="s">
        <v>35</v>
      </c>
      <c r="F324" s="10">
        <v>2500000</v>
      </c>
    </row>
    <row r="325" spans="1:6" hidden="1" x14ac:dyDescent="0.25">
      <c r="A325" t="s">
        <v>53</v>
      </c>
      <c r="B325" t="s">
        <v>86</v>
      </c>
      <c r="C325" t="s">
        <v>75</v>
      </c>
      <c r="D325">
        <v>2015</v>
      </c>
      <c r="E325" t="s">
        <v>35</v>
      </c>
      <c r="F325" s="10">
        <v>880000.00000000012</v>
      </c>
    </row>
    <row r="326" spans="1:6" hidden="1" x14ac:dyDescent="0.25">
      <c r="A326" t="s">
        <v>25</v>
      </c>
      <c r="B326" t="s">
        <v>86</v>
      </c>
      <c r="C326" t="s">
        <v>75</v>
      </c>
      <c r="D326">
        <v>2015</v>
      </c>
      <c r="E326" t="s">
        <v>35</v>
      </c>
      <c r="F326" s="10">
        <v>0</v>
      </c>
    </row>
    <row r="327" spans="1:6" hidden="1" x14ac:dyDescent="0.25">
      <c r="A327" t="s">
        <v>52</v>
      </c>
      <c r="B327" t="s">
        <v>86</v>
      </c>
      <c r="C327" t="s">
        <v>75</v>
      </c>
      <c r="D327">
        <v>2015</v>
      </c>
      <c r="E327" t="s">
        <v>35</v>
      </c>
      <c r="F327" s="10">
        <v>100000</v>
      </c>
    </row>
    <row r="328" spans="1:6" hidden="1" x14ac:dyDescent="0.25">
      <c r="A328" t="s">
        <v>53</v>
      </c>
      <c r="B328" t="s">
        <v>86</v>
      </c>
      <c r="C328" t="s">
        <v>75</v>
      </c>
      <c r="D328">
        <v>2020</v>
      </c>
      <c r="E328" t="s">
        <v>35</v>
      </c>
      <c r="F328" s="10">
        <f>F325</f>
        <v>880000.00000000012</v>
      </c>
    </row>
    <row r="329" spans="1:6" hidden="1" x14ac:dyDescent="0.25">
      <c r="A329" t="s">
        <v>25</v>
      </c>
      <c r="B329" t="s">
        <v>86</v>
      </c>
      <c r="C329" t="s">
        <v>75</v>
      </c>
      <c r="D329">
        <v>2020</v>
      </c>
      <c r="E329" t="s">
        <v>99</v>
      </c>
      <c r="F329" s="10">
        <v>0</v>
      </c>
    </row>
    <row r="330" spans="1:6" hidden="1" x14ac:dyDescent="0.25">
      <c r="A330" t="s">
        <v>52</v>
      </c>
      <c r="B330" t="s">
        <v>86</v>
      </c>
      <c r="C330" t="s">
        <v>75</v>
      </c>
      <c r="D330">
        <v>2020</v>
      </c>
      <c r="E330" t="s">
        <v>35</v>
      </c>
      <c r="F330" s="10">
        <v>100000</v>
      </c>
    </row>
    <row r="331" spans="1:6" hidden="1" x14ac:dyDescent="0.25">
      <c r="A331" t="s">
        <v>53</v>
      </c>
      <c r="B331" t="s">
        <v>86</v>
      </c>
      <c r="C331" t="s">
        <v>75</v>
      </c>
      <c r="D331">
        <v>2030</v>
      </c>
      <c r="E331" t="s">
        <v>35</v>
      </c>
      <c r="F331" s="10">
        <f>F328</f>
        <v>880000.00000000012</v>
      </c>
    </row>
    <row r="332" spans="1:6" hidden="1" x14ac:dyDescent="0.25">
      <c r="A332" t="s">
        <v>25</v>
      </c>
      <c r="B332" t="s">
        <v>86</v>
      </c>
      <c r="C332" t="s">
        <v>75</v>
      </c>
      <c r="D332">
        <v>2030</v>
      </c>
      <c r="E332" t="s">
        <v>99</v>
      </c>
      <c r="F332" s="10">
        <v>0</v>
      </c>
    </row>
    <row r="333" spans="1:6" hidden="1" x14ac:dyDescent="0.25">
      <c r="A333" t="s">
        <v>52</v>
      </c>
      <c r="B333" t="s">
        <v>86</v>
      </c>
      <c r="C333" t="s">
        <v>75</v>
      </c>
      <c r="D333">
        <v>2030</v>
      </c>
      <c r="E333" t="s">
        <v>35</v>
      </c>
      <c r="F333" s="10">
        <v>100000</v>
      </c>
    </row>
    <row r="334" spans="1:6" hidden="1" x14ac:dyDescent="0.25">
      <c r="A334" t="s">
        <v>25</v>
      </c>
      <c r="B334" t="s">
        <v>86</v>
      </c>
      <c r="C334" t="s">
        <v>75</v>
      </c>
      <c r="D334">
        <v>2040</v>
      </c>
      <c r="E334" t="s">
        <v>99</v>
      </c>
      <c r="F334" s="10">
        <v>0</v>
      </c>
    </row>
    <row r="335" spans="1:6" hidden="1" x14ac:dyDescent="0.25">
      <c r="A335" t="s">
        <v>52</v>
      </c>
      <c r="B335" t="s">
        <v>86</v>
      </c>
      <c r="C335" t="s">
        <v>75</v>
      </c>
      <c r="D335">
        <v>2040</v>
      </c>
      <c r="E335" t="s">
        <v>35</v>
      </c>
      <c r="F335" s="10">
        <v>100000</v>
      </c>
    </row>
    <row r="336" spans="1:6" hidden="1" x14ac:dyDescent="0.25">
      <c r="A336" t="s">
        <v>53</v>
      </c>
      <c r="B336" t="s">
        <v>86</v>
      </c>
      <c r="C336" t="s">
        <v>75</v>
      </c>
      <c r="D336">
        <v>2050</v>
      </c>
      <c r="E336" t="s">
        <v>35</v>
      </c>
      <c r="F336" s="10">
        <f>F331*0.7</f>
        <v>616000</v>
      </c>
    </row>
    <row r="337" spans="1:6" hidden="1" x14ac:dyDescent="0.25">
      <c r="A337" t="s">
        <v>25</v>
      </c>
      <c r="B337" t="s">
        <v>86</v>
      </c>
      <c r="C337" t="s">
        <v>75</v>
      </c>
      <c r="D337">
        <v>2050</v>
      </c>
      <c r="E337" t="s">
        <v>99</v>
      </c>
      <c r="F337" s="10">
        <v>0</v>
      </c>
    </row>
    <row r="338" spans="1:6" hidden="1" x14ac:dyDescent="0.25">
      <c r="A338" t="s">
        <v>52</v>
      </c>
      <c r="B338" t="s">
        <v>86</v>
      </c>
      <c r="C338" t="s">
        <v>75</v>
      </c>
      <c r="D338">
        <v>2050</v>
      </c>
      <c r="E338" t="s">
        <v>35</v>
      </c>
      <c r="F338" s="10">
        <v>100000</v>
      </c>
    </row>
    <row r="339" spans="1:6" hidden="1" x14ac:dyDescent="0.25">
      <c r="A339" t="s">
        <v>53</v>
      </c>
      <c r="B339" t="s">
        <v>86</v>
      </c>
      <c r="C339" t="s">
        <v>76</v>
      </c>
      <c r="D339">
        <v>2015</v>
      </c>
      <c r="E339" t="s">
        <v>35</v>
      </c>
      <c r="F339">
        <v>0</v>
      </c>
    </row>
    <row r="340" spans="1:6" hidden="1" x14ac:dyDescent="0.25">
      <c r="A340" t="s">
        <v>25</v>
      </c>
      <c r="B340" t="s">
        <v>86</v>
      </c>
      <c r="C340" t="s">
        <v>76</v>
      </c>
      <c r="D340">
        <v>2015</v>
      </c>
      <c r="E340" t="s">
        <v>35</v>
      </c>
      <c r="F340">
        <v>1000</v>
      </c>
    </row>
    <row r="341" spans="1:6" hidden="1" x14ac:dyDescent="0.25">
      <c r="A341" t="s">
        <v>52</v>
      </c>
      <c r="B341" t="s">
        <v>86</v>
      </c>
      <c r="C341" t="s">
        <v>76</v>
      </c>
      <c r="D341">
        <v>2015</v>
      </c>
      <c r="E341" t="s">
        <v>35</v>
      </c>
      <c r="F341">
        <v>600000</v>
      </c>
    </row>
    <row r="342" spans="1:6" hidden="1" x14ac:dyDescent="0.25">
      <c r="A342" t="s">
        <v>53</v>
      </c>
      <c r="B342" t="s">
        <v>86</v>
      </c>
      <c r="C342" t="s">
        <v>76</v>
      </c>
      <c r="D342">
        <v>2020</v>
      </c>
      <c r="E342" t="s">
        <v>35</v>
      </c>
      <c r="F342">
        <v>0</v>
      </c>
    </row>
    <row r="343" spans="1:6" hidden="1" x14ac:dyDescent="0.25">
      <c r="A343" t="s">
        <v>25</v>
      </c>
      <c r="B343" t="s">
        <v>86</v>
      </c>
      <c r="C343" t="s">
        <v>76</v>
      </c>
      <c r="D343">
        <v>2020</v>
      </c>
      <c r="E343" t="s">
        <v>99</v>
      </c>
      <c r="F343">
        <v>1000</v>
      </c>
    </row>
    <row r="344" spans="1:6" hidden="1" x14ac:dyDescent="0.25">
      <c r="A344" t="s">
        <v>52</v>
      </c>
      <c r="B344" t="s">
        <v>86</v>
      </c>
      <c r="C344" t="s">
        <v>76</v>
      </c>
      <c r="D344">
        <v>2020</v>
      </c>
      <c r="E344" t="s">
        <v>35</v>
      </c>
      <c r="F344">
        <v>600000</v>
      </c>
    </row>
    <row r="345" spans="1:6" hidden="1" x14ac:dyDescent="0.25">
      <c r="A345" t="s">
        <v>53</v>
      </c>
      <c r="B345" t="s">
        <v>86</v>
      </c>
      <c r="C345" t="s">
        <v>76</v>
      </c>
      <c r="D345">
        <v>2030</v>
      </c>
      <c r="E345" t="s">
        <v>35</v>
      </c>
      <c r="F345">
        <v>0</v>
      </c>
    </row>
    <row r="346" spans="1:6" hidden="1" x14ac:dyDescent="0.25">
      <c r="A346" t="s">
        <v>25</v>
      </c>
      <c r="B346" t="s">
        <v>86</v>
      </c>
      <c r="C346" t="s">
        <v>76</v>
      </c>
      <c r="D346">
        <v>2030</v>
      </c>
      <c r="E346" t="s">
        <v>99</v>
      </c>
      <c r="F346">
        <v>1000</v>
      </c>
    </row>
    <row r="347" spans="1:6" hidden="1" x14ac:dyDescent="0.25">
      <c r="A347" t="s">
        <v>52</v>
      </c>
      <c r="B347" t="s">
        <v>86</v>
      </c>
      <c r="C347" t="s">
        <v>76</v>
      </c>
      <c r="D347">
        <v>2030</v>
      </c>
      <c r="E347" t="s">
        <v>35</v>
      </c>
      <c r="F347">
        <v>600000</v>
      </c>
    </row>
    <row r="348" spans="1:6" hidden="1" x14ac:dyDescent="0.25">
      <c r="A348" t="s">
        <v>25</v>
      </c>
      <c r="B348" t="s">
        <v>86</v>
      </c>
      <c r="C348" t="s">
        <v>76</v>
      </c>
      <c r="D348">
        <v>2040</v>
      </c>
      <c r="E348" t="s">
        <v>99</v>
      </c>
      <c r="F348">
        <v>1000</v>
      </c>
    </row>
    <row r="349" spans="1:6" hidden="1" x14ac:dyDescent="0.25">
      <c r="A349" t="s">
        <v>52</v>
      </c>
      <c r="B349" t="s">
        <v>86</v>
      </c>
      <c r="C349" t="s">
        <v>76</v>
      </c>
      <c r="D349">
        <v>2040</v>
      </c>
      <c r="E349" t="s">
        <v>35</v>
      </c>
      <c r="F349">
        <v>600000</v>
      </c>
    </row>
    <row r="350" spans="1:6" hidden="1" x14ac:dyDescent="0.25">
      <c r="A350" t="s">
        <v>53</v>
      </c>
      <c r="B350" t="s">
        <v>86</v>
      </c>
      <c r="C350" t="s">
        <v>76</v>
      </c>
      <c r="D350">
        <v>2050</v>
      </c>
      <c r="E350" t="s">
        <v>35</v>
      </c>
      <c r="F350">
        <v>0</v>
      </c>
    </row>
    <row r="351" spans="1:6" hidden="1" x14ac:dyDescent="0.25">
      <c r="A351" t="s">
        <v>25</v>
      </c>
      <c r="B351" t="s">
        <v>86</v>
      </c>
      <c r="C351" t="s">
        <v>76</v>
      </c>
      <c r="D351">
        <v>2050</v>
      </c>
      <c r="E351" t="s">
        <v>99</v>
      </c>
      <c r="F351">
        <v>1000</v>
      </c>
    </row>
    <row r="352" spans="1:6" hidden="1" x14ac:dyDescent="0.25">
      <c r="A352" t="s">
        <v>52</v>
      </c>
      <c r="B352" t="s">
        <v>86</v>
      </c>
      <c r="C352" t="s">
        <v>76</v>
      </c>
      <c r="D352">
        <v>2050</v>
      </c>
      <c r="E352" t="s">
        <v>35</v>
      </c>
      <c r="F352">
        <v>600000</v>
      </c>
    </row>
    <row r="353" spans="1:6" hidden="1" x14ac:dyDescent="0.25">
      <c r="A353" t="s">
        <v>53</v>
      </c>
      <c r="B353" t="s">
        <v>86</v>
      </c>
      <c r="C353" t="s">
        <v>77</v>
      </c>
      <c r="D353">
        <v>2015</v>
      </c>
      <c r="E353" t="s">
        <v>35</v>
      </c>
      <c r="F353">
        <v>2700000</v>
      </c>
    </row>
    <row r="354" spans="1:6" hidden="1" x14ac:dyDescent="0.25">
      <c r="A354" t="s">
        <v>25</v>
      </c>
      <c r="B354" t="s">
        <v>86</v>
      </c>
      <c r="C354" t="s">
        <v>77</v>
      </c>
      <c r="D354">
        <v>2015</v>
      </c>
      <c r="E354" t="s">
        <v>35</v>
      </c>
      <c r="F354">
        <v>1000</v>
      </c>
    </row>
    <row r="355" spans="1:6" hidden="1" x14ac:dyDescent="0.25">
      <c r="A355" t="s">
        <v>52</v>
      </c>
      <c r="B355" t="s">
        <v>86</v>
      </c>
      <c r="C355" t="s">
        <v>77</v>
      </c>
      <c r="D355">
        <v>2015</v>
      </c>
      <c r="E355" t="s">
        <v>35</v>
      </c>
      <c r="F355">
        <v>400000</v>
      </c>
    </row>
    <row r="356" spans="1:6" hidden="1" x14ac:dyDescent="0.25">
      <c r="A356" t="s">
        <v>53</v>
      </c>
      <c r="B356" t="s">
        <v>86</v>
      </c>
      <c r="C356" t="s">
        <v>77</v>
      </c>
      <c r="D356">
        <v>2020</v>
      </c>
      <c r="E356" t="s">
        <v>35</v>
      </c>
      <c r="F356">
        <f>F353</f>
        <v>2700000</v>
      </c>
    </row>
    <row r="357" spans="1:6" hidden="1" x14ac:dyDescent="0.25">
      <c r="A357" t="s">
        <v>25</v>
      </c>
      <c r="B357" t="s">
        <v>86</v>
      </c>
      <c r="C357" t="s">
        <v>77</v>
      </c>
      <c r="D357">
        <v>2020</v>
      </c>
      <c r="E357" t="s">
        <v>99</v>
      </c>
      <c r="F357">
        <v>1000</v>
      </c>
    </row>
    <row r="358" spans="1:6" hidden="1" x14ac:dyDescent="0.25">
      <c r="A358" t="s">
        <v>52</v>
      </c>
      <c r="B358" t="s">
        <v>86</v>
      </c>
      <c r="C358" t="s">
        <v>77</v>
      </c>
      <c r="D358">
        <v>2020</v>
      </c>
      <c r="E358" t="s">
        <v>35</v>
      </c>
      <c r="F358">
        <v>400000</v>
      </c>
    </row>
    <row r="359" spans="1:6" hidden="1" x14ac:dyDescent="0.25">
      <c r="A359" t="s">
        <v>53</v>
      </c>
      <c r="B359" t="s">
        <v>86</v>
      </c>
      <c r="C359" t="s">
        <v>77</v>
      </c>
      <c r="D359">
        <v>2030</v>
      </c>
      <c r="E359" t="s">
        <v>35</v>
      </c>
      <c r="F359">
        <f>F356</f>
        <v>2700000</v>
      </c>
    </row>
    <row r="360" spans="1:6" hidden="1" x14ac:dyDescent="0.25">
      <c r="A360" t="s">
        <v>25</v>
      </c>
      <c r="B360" t="s">
        <v>86</v>
      </c>
      <c r="C360" t="s">
        <v>77</v>
      </c>
      <c r="D360">
        <v>2030</v>
      </c>
      <c r="E360" t="s">
        <v>99</v>
      </c>
      <c r="F360">
        <v>1000</v>
      </c>
    </row>
    <row r="361" spans="1:6" hidden="1" x14ac:dyDescent="0.25">
      <c r="A361" t="s">
        <v>52</v>
      </c>
      <c r="B361" t="s">
        <v>86</v>
      </c>
      <c r="C361" t="s">
        <v>77</v>
      </c>
      <c r="D361">
        <v>2030</v>
      </c>
      <c r="E361" t="s">
        <v>35</v>
      </c>
      <c r="F361">
        <v>400000</v>
      </c>
    </row>
    <row r="362" spans="1:6" hidden="1" x14ac:dyDescent="0.25">
      <c r="A362" t="s">
        <v>25</v>
      </c>
      <c r="B362" t="s">
        <v>86</v>
      </c>
      <c r="C362" t="s">
        <v>77</v>
      </c>
      <c r="D362">
        <v>2040</v>
      </c>
      <c r="E362" t="s">
        <v>99</v>
      </c>
      <c r="F362">
        <v>1000</v>
      </c>
    </row>
    <row r="363" spans="1:6" hidden="1" x14ac:dyDescent="0.25">
      <c r="A363" t="s">
        <v>52</v>
      </c>
      <c r="B363" t="s">
        <v>86</v>
      </c>
      <c r="C363" t="s">
        <v>77</v>
      </c>
      <c r="D363">
        <v>2040</v>
      </c>
      <c r="E363" t="s">
        <v>35</v>
      </c>
      <c r="F363">
        <v>400000</v>
      </c>
    </row>
    <row r="364" spans="1:6" hidden="1" x14ac:dyDescent="0.25">
      <c r="A364" t="s">
        <v>53</v>
      </c>
      <c r="B364" t="s">
        <v>86</v>
      </c>
      <c r="C364" t="s">
        <v>77</v>
      </c>
      <c r="D364">
        <v>2050</v>
      </c>
      <c r="E364" t="s">
        <v>35</v>
      </c>
      <c r="F364" s="10">
        <f>F359*0.7</f>
        <v>1889999.9999999998</v>
      </c>
    </row>
    <row r="365" spans="1:6" hidden="1" x14ac:dyDescent="0.25">
      <c r="A365" t="s">
        <v>25</v>
      </c>
      <c r="B365" t="s">
        <v>86</v>
      </c>
      <c r="C365" t="s">
        <v>77</v>
      </c>
      <c r="D365">
        <v>2050</v>
      </c>
      <c r="E365" t="s">
        <v>99</v>
      </c>
      <c r="F365">
        <v>1000</v>
      </c>
    </row>
    <row r="366" spans="1:6" hidden="1" x14ac:dyDescent="0.25">
      <c r="A366" t="s">
        <v>52</v>
      </c>
      <c r="B366" t="s">
        <v>86</v>
      </c>
      <c r="C366" t="s">
        <v>77</v>
      </c>
      <c r="D366">
        <v>2050</v>
      </c>
      <c r="E366" t="s">
        <v>35</v>
      </c>
      <c r="F366">
        <v>400000</v>
      </c>
    </row>
    <row r="367" spans="1:6" hidden="1" x14ac:dyDescent="0.25">
      <c r="A367" t="s">
        <v>53</v>
      </c>
      <c r="B367" t="s">
        <v>86</v>
      </c>
      <c r="C367" t="s">
        <v>78</v>
      </c>
      <c r="D367">
        <v>2015</v>
      </c>
      <c r="E367" t="s">
        <v>35</v>
      </c>
      <c r="F367">
        <v>3700000</v>
      </c>
    </row>
    <row r="368" spans="1:6" hidden="1" x14ac:dyDescent="0.25">
      <c r="A368" t="s">
        <v>25</v>
      </c>
      <c r="B368" t="s">
        <v>86</v>
      </c>
      <c r="C368" t="s">
        <v>78</v>
      </c>
      <c r="D368">
        <v>2015</v>
      </c>
      <c r="E368" t="s">
        <v>35</v>
      </c>
      <c r="F368">
        <v>5000</v>
      </c>
    </row>
    <row r="369" spans="1:6" hidden="1" x14ac:dyDescent="0.25">
      <c r="A369" t="s">
        <v>52</v>
      </c>
      <c r="B369" t="s">
        <v>86</v>
      </c>
      <c r="C369" t="s">
        <v>78</v>
      </c>
      <c r="D369">
        <v>2015</v>
      </c>
      <c r="E369" t="s">
        <v>35</v>
      </c>
      <c r="F369">
        <v>0</v>
      </c>
    </row>
    <row r="370" spans="1:6" hidden="1" x14ac:dyDescent="0.25">
      <c r="A370" t="s">
        <v>53</v>
      </c>
      <c r="B370" t="s">
        <v>86</v>
      </c>
      <c r="C370" t="s">
        <v>78</v>
      </c>
      <c r="D370">
        <v>2020</v>
      </c>
      <c r="E370" t="s">
        <v>35</v>
      </c>
      <c r="F370">
        <f>F367</f>
        <v>3700000</v>
      </c>
    </row>
    <row r="371" spans="1:6" hidden="1" x14ac:dyDescent="0.25">
      <c r="A371" t="s">
        <v>25</v>
      </c>
      <c r="B371" t="s">
        <v>86</v>
      </c>
      <c r="C371" t="s">
        <v>78</v>
      </c>
      <c r="D371">
        <v>2020</v>
      </c>
      <c r="E371" t="s">
        <v>99</v>
      </c>
      <c r="F371">
        <v>5000</v>
      </c>
    </row>
    <row r="372" spans="1:6" hidden="1" x14ac:dyDescent="0.25">
      <c r="A372" t="s">
        <v>52</v>
      </c>
      <c r="B372" t="s">
        <v>86</v>
      </c>
      <c r="C372" t="s">
        <v>78</v>
      </c>
      <c r="D372">
        <v>2020</v>
      </c>
      <c r="E372" t="s">
        <v>35</v>
      </c>
      <c r="F372">
        <v>0</v>
      </c>
    </row>
    <row r="373" spans="1:6" hidden="1" x14ac:dyDescent="0.25">
      <c r="A373" t="s">
        <v>53</v>
      </c>
      <c r="B373" t="s">
        <v>86</v>
      </c>
      <c r="C373" t="s">
        <v>78</v>
      </c>
      <c r="D373">
        <v>2030</v>
      </c>
      <c r="E373" t="s">
        <v>35</v>
      </c>
      <c r="F373">
        <f>F370</f>
        <v>3700000</v>
      </c>
    </row>
    <row r="374" spans="1:6" hidden="1" x14ac:dyDescent="0.25">
      <c r="A374" t="s">
        <v>25</v>
      </c>
      <c r="B374" t="s">
        <v>86</v>
      </c>
      <c r="C374" t="s">
        <v>78</v>
      </c>
      <c r="D374">
        <v>2030</v>
      </c>
      <c r="E374" t="s">
        <v>99</v>
      </c>
      <c r="F374">
        <v>5000</v>
      </c>
    </row>
    <row r="375" spans="1:6" hidden="1" x14ac:dyDescent="0.25">
      <c r="A375" t="s">
        <v>52</v>
      </c>
      <c r="B375" t="s">
        <v>86</v>
      </c>
      <c r="C375" t="s">
        <v>78</v>
      </c>
      <c r="D375">
        <v>2030</v>
      </c>
      <c r="E375" t="s">
        <v>35</v>
      </c>
      <c r="F375">
        <v>0</v>
      </c>
    </row>
    <row r="376" spans="1:6" hidden="1" x14ac:dyDescent="0.25">
      <c r="A376" t="s">
        <v>25</v>
      </c>
      <c r="B376" t="s">
        <v>86</v>
      </c>
      <c r="C376" t="s">
        <v>78</v>
      </c>
      <c r="D376">
        <v>2040</v>
      </c>
      <c r="E376" t="s">
        <v>99</v>
      </c>
      <c r="F376">
        <v>5000</v>
      </c>
    </row>
    <row r="377" spans="1:6" hidden="1" x14ac:dyDescent="0.25">
      <c r="A377" t="s">
        <v>52</v>
      </c>
      <c r="B377" t="s">
        <v>86</v>
      </c>
      <c r="C377" t="s">
        <v>78</v>
      </c>
      <c r="D377">
        <v>2040</v>
      </c>
      <c r="E377" t="s">
        <v>35</v>
      </c>
      <c r="F377">
        <v>0</v>
      </c>
    </row>
    <row r="378" spans="1:6" hidden="1" x14ac:dyDescent="0.25">
      <c r="A378" t="s">
        <v>53</v>
      </c>
      <c r="B378" t="s">
        <v>86</v>
      </c>
      <c r="C378" t="s">
        <v>78</v>
      </c>
      <c r="D378">
        <v>2050</v>
      </c>
      <c r="E378" t="s">
        <v>35</v>
      </c>
      <c r="F378" s="10">
        <f>F373*0.7</f>
        <v>2590000</v>
      </c>
    </row>
    <row r="379" spans="1:6" hidden="1" x14ac:dyDescent="0.25">
      <c r="A379" t="s">
        <v>25</v>
      </c>
      <c r="B379" t="s">
        <v>86</v>
      </c>
      <c r="C379" t="s">
        <v>78</v>
      </c>
      <c r="D379">
        <v>2050</v>
      </c>
      <c r="E379" t="s">
        <v>99</v>
      </c>
      <c r="F379">
        <v>5000</v>
      </c>
    </row>
    <row r="380" spans="1:6" hidden="1" x14ac:dyDescent="0.25">
      <c r="A380" t="s">
        <v>52</v>
      </c>
      <c r="B380" t="s">
        <v>86</v>
      </c>
      <c r="C380" t="s">
        <v>78</v>
      </c>
      <c r="D380">
        <v>2050</v>
      </c>
      <c r="E380" t="s">
        <v>35</v>
      </c>
      <c r="F380">
        <v>0</v>
      </c>
    </row>
    <row r="381" spans="1:6" hidden="1" x14ac:dyDescent="0.25">
      <c r="A381" t="s">
        <v>53</v>
      </c>
      <c r="B381" t="s">
        <v>86</v>
      </c>
      <c r="E381" t="s">
        <v>13</v>
      </c>
      <c r="F381">
        <v>1</v>
      </c>
    </row>
    <row r="382" spans="1:6" hidden="1" x14ac:dyDescent="0.25">
      <c r="A382" t="s">
        <v>25</v>
      </c>
      <c r="B382" t="s">
        <v>86</v>
      </c>
      <c r="E382" t="s">
        <v>13</v>
      </c>
      <c r="F382">
        <v>1</v>
      </c>
    </row>
    <row r="383" spans="1:6" hidden="1" x14ac:dyDescent="0.25">
      <c r="A383" t="s">
        <v>52</v>
      </c>
      <c r="B383" t="s">
        <v>86</v>
      </c>
      <c r="E383" t="s">
        <v>13</v>
      </c>
      <c r="F383">
        <v>1</v>
      </c>
    </row>
    <row r="384" spans="1:6" hidden="1" x14ac:dyDescent="0.25">
      <c r="A384" s="11" t="s">
        <v>54</v>
      </c>
      <c r="B384" s="12" t="s">
        <v>86</v>
      </c>
      <c r="C384" s="12"/>
      <c r="D384" s="12"/>
      <c r="E384" s="12" t="s">
        <v>13</v>
      </c>
      <c r="F384" s="13">
        <v>0</v>
      </c>
    </row>
    <row r="385" spans="1:6" hidden="1" x14ac:dyDescent="0.25">
      <c r="A385" s="11" t="s">
        <v>54</v>
      </c>
      <c r="B385" s="12" t="s">
        <v>86</v>
      </c>
      <c r="C385" s="12"/>
      <c r="D385" s="12"/>
      <c r="E385" s="12" t="s">
        <v>58</v>
      </c>
      <c r="F385" s="13">
        <v>1</v>
      </c>
    </row>
    <row r="386" spans="1:6" hidden="1" x14ac:dyDescent="0.25">
      <c r="A386" t="s">
        <v>12</v>
      </c>
      <c r="B386" t="s">
        <v>101</v>
      </c>
      <c r="C386" t="s">
        <v>23</v>
      </c>
      <c r="D386">
        <v>2015</v>
      </c>
      <c r="E386" t="s">
        <v>35</v>
      </c>
      <c r="F386" s="10">
        <v>9800000</v>
      </c>
    </row>
    <row r="387" spans="1:6" hidden="1" x14ac:dyDescent="0.25">
      <c r="A387" t="s">
        <v>17</v>
      </c>
      <c r="B387" t="s">
        <v>101</v>
      </c>
      <c r="C387" t="s">
        <v>23</v>
      </c>
      <c r="D387">
        <v>2015</v>
      </c>
      <c r="E387" t="s">
        <v>35</v>
      </c>
      <c r="F387" s="10">
        <v>5200000</v>
      </c>
    </row>
    <row r="388" spans="1:6" hidden="1" x14ac:dyDescent="0.25">
      <c r="A388" t="s">
        <v>12</v>
      </c>
      <c r="B388" t="s">
        <v>101</v>
      </c>
      <c r="C388" t="s">
        <v>23</v>
      </c>
      <c r="D388">
        <v>2020</v>
      </c>
      <c r="E388" t="s">
        <v>35</v>
      </c>
      <c r="F388" s="10">
        <v>9800000</v>
      </c>
    </row>
    <row r="389" spans="1:6" hidden="1" x14ac:dyDescent="0.25">
      <c r="A389" t="s">
        <v>17</v>
      </c>
      <c r="B389" t="s">
        <v>101</v>
      </c>
      <c r="C389" t="s">
        <v>23</v>
      </c>
      <c r="D389">
        <v>2020</v>
      </c>
      <c r="E389" t="s">
        <v>35</v>
      </c>
      <c r="F389" s="10">
        <v>5200000</v>
      </c>
    </row>
    <row r="390" spans="1:6" hidden="1" x14ac:dyDescent="0.25">
      <c r="A390" t="s">
        <v>21</v>
      </c>
      <c r="B390" t="s">
        <v>101</v>
      </c>
      <c r="E390" t="s">
        <v>58</v>
      </c>
      <c r="F390">
        <v>1</v>
      </c>
    </row>
    <row r="391" spans="1:6" hidden="1" x14ac:dyDescent="0.25">
      <c r="A391" t="s">
        <v>11</v>
      </c>
      <c r="B391" t="s">
        <v>101</v>
      </c>
      <c r="E391" t="s">
        <v>13</v>
      </c>
      <c r="F391">
        <v>0</v>
      </c>
    </row>
    <row r="392" spans="1:6" hidden="1" x14ac:dyDescent="0.25">
      <c r="A392" t="s">
        <v>12</v>
      </c>
      <c r="B392" t="s">
        <v>101</v>
      </c>
      <c r="C392" t="s">
        <v>23</v>
      </c>
      <c r="D392">
        <v>2030</v>
      </c>
      <c r="E392" t="s">
        <v>35</v>
      </c>
      <c r="F392">
        <v>9800000</v>
      </c>
    </row>
    <row r="393" spans="1:6" hidden="1" x14ac:dyDescent="0.25">
      <c r="A393" t="s">
        <v>17</v>
      </c>
      <c r="B393" t="s">
        <v>101</v>
      </c>
      <c r="C393" t="s">
        <v>23</v>
      </c>
      <c r="D393">
        <v>2030</v>
      </c>
      <c r="E393" t="s">
        <v>35</v>
      </c>
      <c r="F393">
        <v>5200000</v>
      </c>
    </row>
    <row r="394" spans="1:6" hidden="1" x14ac:dyDescent="0.25">
      <c r="A394" t="s">
        <v>12</v>
      </c>
      <c r="B394" t="s">
        <v>101</v>
      </c>
      <c r="C394" t="s">
        <v>23</v>
      </c>
      <c r="D394">
        <v>2040</v>
      </c>
      <c r="E394" t="s">
        <v>35</v>
      </c>
      <c r="F394">
        <v>8650000</v>
      </c>
    </row>
    <row r="395" spans="1:6" hidden="1" x14ac:dyDescent="0.25">
      <c r="A395" t="s">
        <v>17</v>
      </c>
      <c r="B395" t="s">
        <v>101</v>
      </c>
      <c r="C395" t="s">
        <v>23</v>
      </c>
      <c r="D395">
        <v>2040</v>
      </c>
      <c r="E395" t="s">
        <v>35</v>
      </c>
      <c r="F395">
        <v>6350000</v>
      </c>
    </row>
    <row r="396" spans="1:6" hidden="1" x14ac:dyDescent="0.25">
      <c r="A396" t="s">
        <v>12</v>
      </c>
      <c r="B396" t="s">
        <v>101</v>
      </c>
      <c r="C396" t="s">
        <v>23</v>
      </c>
      <c r="D396">
        <v>2050</v>
      </c>
      <c r="E396" t="s">
        <v>35</v>
      </c>
      <c r="F396">
        <v>7500000</v>
      </c>
    </row>
    <row r="397" spans="1:6" hidden="1" x14ac:dyDescent="0.25">
      <c r="A397" t="s">
        <v>17</v>
      </c>
      <c r="B397" t="s">
        <v>101</v>
      </c>
      <c r="C397" t="s">
        <v>23</v>
      </c>
      <c r="D397">
        <v>2050</v>
      </c>
      <c r="E397" t="s">
        <v>35</v>
      </c>
      <c r="F397">
        <v>7500000</v>
      </c>
    </row>
    <row r="398" spans="1:6" hidden="1" x14ac:dyDescent="0.25">
      <c r="A398" t="s">
        <v>12</v>
      </c>
      <c r="B398" t="s">
        <v>101</v>
      </c>
      <c r="C398" t="s">
        <v>24</v>
      </c>
      <c r="D398">
        <v>2015</v>
      </c>
      <c r="E398" t="s">
        <v>35</v>
      </c>
      <c r="F398">
        <v>30000000</v>
      </c>
    </row>
    <row r="399" spans="1:6" hidden="1" x14ac:dyDescent="0.25">
      <c r="A399" t="s">
        <v>17</v>
      </c>
      <c r="B399" t="s">
        <v>101</v>
      </c>
      <c r="C399" t="s">
        <v>24</v>
      </c>
      <c r="D399">
        <v>2015</v>
      </c>
      <c r="E399" t="s">
        <v>35</v>
      </c>
      <c r="F399">
        <v>12600000</v>
      </c>
    </row>
    <row r="400" spans="1:6" hidden="1" x14ac:dyDescent="0.25">
      <c r="A400" t="s">
        <v>12</v>
      </c>
      <c r="B400" t="s">
        <v>101</v>
      </c>
      <c r="C400" t="s">
        <v>24</v>
      </c>
      <c r="D400">
        <v>2020</v>
      </c>
      <c r="E400" t="s">
        <v>35</v>
      </c>
      <c r="F400">
        <v>30000000</v>
      </c>
    </row>
    <row r="401" spans="1:6" hidden="1" x14ac:dyDescent="0.25">
      <c r="A401" t="s">
        <v>17</v>
      </c>
      <c r="B401" t="s">
        <v>101</v>
      </c>
      <c r="C401" t="s">
        <v>24</v>
      </c>
      <c r="D401">
        <v>2020</v>
      </c>
      <c r="E401" t="s">
        <v>35</v>
      </c>
      <c r="F401">
        <v>12600000</v>
      </c>
    </row>
    <row r="402" spans="1:6" hidden="1" x14ac:dyDescent="0.25">
      <c r="A402" t="s">
        <v>12</v>
      </c>
      <c r="B402" t="s">
        <v>101</v>
      </c>
      <c r="C402" t="s">
        <v>24</v>
      </c>
      <c r="D402">
        <v>2030</v>
      </c>
      <c r="E402" t="s">
        <v>35</v>
      </c>
      <c r="F402">
        <v>30000000</v>
      </c>
    </row>
    <row r="403" spans="1:6" hidden="1" x14ac:dyDescent="0.25">
      <c r="A403" t="s">
        <v>17</v>
      </c>
      <c r="B403" t="s">
        <v>101</v>
      </c>
      <c r="C403" t="s">
        <v>24</v>
      </c>
      <c r="D403">
        <v>2030</v>
      </c>
      <c r="E403" t="s">
        <v>35</v>
      </c>
      <c r="F403">
        <v>12600000</v>
      </c>
    </row>
    <row r="404" spans="1:6" hidden="1" x14ac:dyDescent="0.25">
      <c r="A404" t="s">
        <v>12</v>
      </c>
      <c r="B404" t="s">
        <v>101</v>
      </c>
      <c r="C404" t="s">
        <v>24</v>
      </c>
      <c r="D404">
        <v>2040</v>
      </c>
      <c r="E404" t="s">
        <v>35</v>
      </c>
      <c r="F404">
        <v>25650000</v>
      </c>
    </row>
    <row r="405" spans="1:6" hidden="1" x14ac:dyDescent="0.25">
      <c r="A405" t="s">
        <v>17</v>
      </c>
      <c r="B405" t="s">
        <v>101</v>
      </c>
      <c r="C405" t="s">
        <v>24</v>
      </c>
      <c r="D405">
        <v>2040</v>
      </c>
      <c r="E405" t="s">
        <v>35</v>
      </c>
      <c r="F405">
        <v>16950000</v>
      </c>
    </row>
    <row r="406" spans="1:6" hidden="1" x14ac:dyDescent="0.25">
      <c r="A406" t="s">
        <v>12</v>
      </c>
      <c r="B406" t="s">
        <v>101</v>
      </c>
      <c r="C406" t="s">
        <v>24</v>
      </c>
      <c r="D406">
        <v>2050</v>
      </c>
      <c r="E406" t="s">
        <v>35</v>
      </c>
      <c r="F406">
        <v>21300000</v>
      </c>
    </row>
    <row r="407" spans="1:6" hidden="1" x14ac:dyDescent="0.25">
      <c r="A407" t="s">
        <v>17</v>
      </c>
      <c r="B407" t="s">
        <v>101</v>
      </c>
      <c r="C407" t="s">
        <v>24</v>
      </c>
      <c r="D407">
        <v>2050</v>
      </c>
      <c r="E407" t="s">
        <v>35</v>
      </c>
      <c r="F407">
        <v>21300000</v>
      </c>
    </row>
    <row r="408" spans="1:6" hidden="1" x14ac:dyDescent="0.25">
      <c r="A408" t="s">
        <v>12</v>
      </c>
      <c r="B408" t="s">
        <v>101</v>
      </c>
      <c r="C408" t="s">
        <v>75</v>
      </c>
      <c r="D408">
        <v>2015</v>
      </c>
      <c r="E408" t="s">
        <v>35</v>
      </c>
      <c r="F408">
        <v>4800000</v>
      </c>
    </row>
    <row r="409" spans="1:6" hidden="1" x14ac:dyDescent="0.25">
      <c r="A409" t="s">
        <v>17</v>
      </c>
      <c r="B409" t="s">
        <v>101</v>
      </c>
      <c r="C409" t="s">
        <v>75</v>
      </c>
      <c r="D409">
        <v>2015</v>
      </c>
      <c r="E409" t="s">
        <v>35</v>
      </c>
      <c r="F409">
        <v>17200000</v>
      </c>
    </row>
    <row r="410" spans="1:6" hidden="1" x14ac:dyDescent="0.25">
      <c r="A410" t="s">
        <v>12</v>
      </c>
      <c r="B410" t="s">
        <v>101</v>
      </c>
      <c r="C410" t="s">
        <v>75</v>
      </c>
      <c r="D410">
        <v>2020</v>
      </c>
      <c r="E410" t="s">
        <v>35</v>
      </c>
      <c r="F410">
        <v>4800000</v>
      </c>
    </row>
    <row r="411" spans="1:6" hidden="1" x14ac:dyDescent="0.25">
      <c r="A411" t="s">
        <v>17</v>
      </c>
      <c r="B411" t="s">
        <v>101</v>
      </c>
      <c r="C411" t="s">
        <v>75</v>
      </c>
      <c r="D411">
        <v>2020</v>
      </c>
      <c r="E411" t="s">
        <v>35</v>
      </c>
      <c r="F411">
        <v>17200000</v>
      </c>
    </row>
    <row r="412" spans="1:6" hidden="1" x14ac:dyDescent="0.25">
      <c r="A412" t="s">
        <v>12</v>
      </c>
      <c r="B412" t="s">
        <v>101</v>
      </c>
      <c r="C412" t="s">
        <v>75</v>
      </c>
      <c r="D412">
        <v>2030</v>
      </c>
      <c r="E412" t="s">
        <v>35</v>
      </c>
      <c r="F412">
        <v>4800000</v>
      </c>
    </row>
    <row r="413" spans="1:6" hidden="1" x14ac:dyDescent="0.25">
      <c r="A413" t="s">
        <v>17</v>
      </c>
      <c r="B413" t="s">
        <v>101</v>
      </c>
      <c r="C413" t="s">
        <v>75</v>
      </c>
      <c r="D413">
        <v>2030</v>
      </c>
      <c r="E413" t="s">
        <v>35</v>
      </c>
      <c r="F413">
        <v>17200000</v>
      </c>
    </row>
    <row r="414" spans="1:6" hidden="1" x14ac:dyDescent="0.25">
      <c r="A414" t="s">
        <v>12</v>
      </c>
      <c r="B414" t="s">
        <v>101</v>
      </c>
      <c r="C414" t="s">
        <v>75</v>
      </c>
      <c r="D414">
        <v>2040</v>
      </c>
      <c r="E414" t="s">
        <v>35</v>
      </c>
      <c r="F414">
        <v>4800000</v>
      </c>
    </row>
    <row r="415" spans="1:6" hidden="1" x14ac:dyDescent="0.25">
      <c r="A415" t="s">
        <v>17</v>
      </c>
      <c r="B415" t="s">
        <v>101</v>
      </c>
      <c r="C415" t="s">
        <v>75</v>
      </c>
      <c r="D415">
        <v>2040</v>
      </c>
      <c r="E415" t="s">
        <v>35</v>
      </c>
      <c r="F415">
        <v>17200000</v>
      </c>
    </row>
    <row r="416" spans="1:6" hidden="1" x14ac:dyDescent="0.25">
      <c r="A416" t="s">
        <v>12</v>
      </c>
      <c r="B416" t="s">
        <v>101</v>
      </c>
      <c r="C416" t="s">
        <v>75</v>
      </c>
      <c r="D416">
        <v>2050</v>
      </c>
      <c r="E416" t="s">
        <v>35</v>
      </c>
      <c r="F416">
        <v>4800000</v>
      </c>
    </row>
    <row r="417" spans="1:6" hidden="1" x14ac:dyDescent="0.25">
      <c r="A417" t="s">
        <v>17</v>
      </c>
      <c r="B417" t="s">
        <v>101</v>
      </c>
      <c r="C417" t="s">
        <v>75</v>
      </c>
      <c r="D417">
        <v>2050</v>
      </c>
      <c r="E417" t="s">
        <v>35</v>
      </c>
      <c r="F417">
        <v>17200000</v>
      </c>
    </row>
    <row r="418" spans="1:6" hidden="1" x14ac:dyDescent="0.25">
      <c r="A418" t="s">
        <v>12</v>
      </c>
      <c r="B418" t="s">
        <v>101</v>
      </c>
      <c r="C418" t="s">
        <v>76</v>
      </c>
      <c r="D418">
        <v>2015</v>
      </c>
      <c r="E418" t="s">
        <v>35</v>
      </c>
      <c r="F418">
        <v>9000000</v>
      </c>
    </row>
    <row r="419" spans="1:6" hidden="1" x14ac:dyDescent="0.25">
      <c r="A419" t="s">
        <v>17</v>
      </c>
      <c r="B419" t="s">
        <v>101</v>
      </c>
      <c r="C419" t="s">
        <v>76</v>
      </c>
      <c r="D419">
        <v>2015</v>
      </c>
      <c r="E419" t="s">
        <v>35</v>
      </c>
      <c r="F419">
        <v>2000000</v>
      </c>
    </row>
    <row r="420" spans="1:6" hidden="1" x14ac:dyDescent="0.25">
      <c r="A420" t="s">
        <v>12</v>
      </c>
      <c r="B420" t="s">
        <v>101</v>
      </c>
      <c r="C420" t="s">
        <v>76</v>
      </c>
      <c r="D420">
        <v>2020</v>
      </c>
      <c r="E420" t="s">
        <v>35</v>
      </c>
      <c r="F420">
        <v>9000000</v>
      </c>
    </row>
    <row r="421" spans="1:6" hidden="1" x14ac:dyDescent="0.25">
      <c r="A421" t="s">
        <v>17</v>
      </c>
      <c r="B421" t="s">
        <v>101</v>
      </c>
      <c r="C421" t="s">
        <v>76</v>
      </c>
      <c r="D421">
        <v>2020</v>
      </c>
      <c r="E421" t="s">
        <v>35</v>
      </c>
      <c r="F421">
        <v>2000000</v>
      </c>
    </row>
    <row r="422" spans="1:6" hidden="1" x14ac:dyDescent="0.25">
      <c r="A422" t="s">
        <v>12</v>
      </c>
      <c r="B422" t="s">
        <v>101</v>
      </c>
      <c r="C422" t="s">
        <v>76</v>
      </c>
      <c r="D422">
        <v>2030</v>
      </c>
      <c r="E422" t="s">
        <v>35</v>
      </c>
      <c r="F422">
        <v>9000000</v>
      </c>
    </row>
    <row r="423" spans="1:6" hidden="1" x14ac:dyDescent="0.25">
      <c r="A423" t="s">
        <v>17</v>
      </c>
      <c r="B423" t="s">
        <v>101</v>
      </c>
      <c r="C423" t="s">
        <v>76</v>
      </c>
      <c r="D423">
        <v>2030</v>
      </c>
      <c r="E423" t="s">
        <v>35</v>
      </c>
      <c r="F423">
        <v>2000000</v>
      </c>
    </row>
    <row r="424" spans="1:6" hidden="1" x14ac:dyDescent="0.25">
      <c r="A424" t="s">
        <v>12</v>
      </c>
      <c r="B424" t="s">
        <v>101</v>
      </c>
      <c r="C424" t="s">
        <v>76</v>
      </c>
      <c r="D424">
        <v>2040</v>
      </c>
      <c r="E424" t="s">
        <v>35</v>
      </c>
      <c r="F424">
        <v>7250000</v>
      </c>
    </row>
    <row r="425" spans="1:6" hidden="1" x14ac:dyDescent="0.25">
      <c r="A425" t="s">
        <v>17</v>
      </c>
      <c r="B425" t="s">
        <v>101</v>
      </c>
      <c r="C425" t="s">
        <v>76</v>
      </c>
      <c r="D425">
        <v>2040</v>
      </c>
      <c r="E425" t="s">
        <v>35</v>
      </c>
      <c r="F425">
        <v>3750000</v>
      </c>
    </row>
    <row r="426" spans="1:6" hidden="1" x14ac:dyDescent="0.25">
      <c r="A426" t="s">
        <v>12</v>
      </c>
      <c r="B426" t="s">
        <v>101</v>
      </c>
      <c r="C426" t="s">
        <v>76</v>
      </c>
      <c r="D426">
        <v>2050</v>
      </c>
      <c r="E426" t="s">
        <v>35</v>
      </c>
      <c r="F426">
        <v>5500000</v>
      </c>
    </row>
    <row r="427" spans="1:6" hidden="1" x14ac:dyDescent="0.25">
      <c r="A427" t="s">
        <v>17</v>
      </c>
      <c r="B427" t="s">
        <v>101</v>
      </c>
      <c r="C427" t="s">
        <v>76</v>
      </c>
      <c r="D427">
        <v>2050</v>
      </c>
      <c r="E427" t="s">
        <v>35</v>
      </c>
      <c r="F427">
        <v>5500000</v>
      </c>
    </row>
    <row r="428" spans="1:6" hidden="1" x14ac:dyDescent="0.25">
      <c r="A428" t="s">
        <v>12</v>
      </c>
      <c r="B428" t="s">
        <v>101</v>
      </c>
      <c r="C428" t="s">
        <v>77</v>
      </c>
      <c r="D428">
        <v>2015</v>
      </c>
      <c r="E428" t="s">
        <v>35</v>
      </c>
      <c r="F428">
        <v>4700000</v>
      </c>
    </row>
    <row r="429" spans="1:6" hidden="1" x14ac:dyDescent="0.25">
      <c r="A429" t="s">
        <v>17</v>
      </c>
      <c r="B429" t="s">
        <v>101</v>
      </c>
      <c r="C429" t="s">
        <v>77</v>
      </c>
      <c r="D429">
        <v>2015</v>
      </c>
      <c r="E429" t="s">
        <v>35</v>
      </c>
      <c r="F429">
        <v>10000000</v>
      </c>
    </row>
    <row r="430" spans="1:6" hidden="1" x14ac:dyDescent="0.25">
      <c r="A430" t="s">
        <v>12</v>
      </c>
      <c r="B430" t="s">
        <v>101</v>
      </c>
      <c r="C430" t="s">
        <v>77</v>
      </c>
      <c r="D430">
        <v>2020</v>
      </c>
      <c r="E430" t="s">
        <v>35</v>
      </c>
      <c r="F430">
        <v>4700000</v>
      </c>
    </row>
    <row r="431" spans="1:6" hidden="1" x14ac:dyDescent="0.25">
      <c r="A431" t="s">
        <v>17</v>
      </c>
      <c r="B431" t="s">
        <v>101</v>
      </c>
      <c r="C431" t="s">
        <v>77</v>
      </c>
      <c r="D431">
        <v>2020</v>
      </c>
      <c r="E431" t="s">
        <v>35</v>
      </c>
      <c r="F431">
        <v>10000000</v>
      </c>
    </row>
    <row r="432" spans="1:6" hidden="1" x14ac:dyDescent="0.25">
      <c r="A432" t="s">
        <v>12</v>
      </c>
      <c r="B432" t="s">
        <v>101</v>
      </c>
      <c r="C432" t="s">
        <v>77</v>
      </c>
      <c r="D432">
        <v>2030</v>
      </c>
      <c r="E432" t="s">
        <v>35</v>
      </c>
      <c r="F432">
        <v>4700000</v>
      </c>
    </row>
    <row r="433" spans="1:6" hidden="1" x14ac:dyDescent="0.25">
      <c r="A433" t="s">
        <v>17</v>
      </c>
      <c r="B433" t="s">
        <v>101</v>
      </c>
      <c r="C433" t="s">
        <v>77</v>
      </c>
      <c r="D433">
        <v>2030</v>
      </c>
      <c r="E433" t="s">
        <v>35</v>
      </c>
      <c r="F433">
        <v>10000000</v>
      </c>
    </row>
    <row r="434" spans="1:6" hidden="1" x14ac:dyDescent="0.25">
      <c r="A434" t="s">
        <v>12</v>
      </c>
      <c r="B434" t="s">
        <v>101</v>
      </c>
      <c r="C434" t="s">
        <v>77</v>
      </c>
      <c r="D434">
        <v>2040</v>
      </c>
      <c r="E434" t="s">
        <v>35</v>
      </c>
      <c r="F434">
        <v>4700000</v>
      </c>
    </row>
    <row r="435" spans="1:6" hidden="1" x14ac:dyDescent="0.25">
      <c r="A435" t="s">
        <v>17</v>
      </c>
      <c r="B435" t="s">
        <v>101</v>
      </c>
      <c r="C435" t="s">
        <v>77</v>
      </c>
      <c r="D435">
        <v>2040</v>
      </c>
      <c r="E435" t="s">
        <v>35</v>
      </c>
      <c r="F435">
        <v>10000000</v>
      </c>
    </row>
    <row r="436" spans="1:6" hidden="1" x14ac:dyDescent="0.25">
      <c r="A436" t="s">
        <v>12</v>
      </c>
      <c r="B436" t="s">
        <v>101</v>
      </c>
      <c r="C436" t="s">
        <v>77</v>
      </c>
      <c r="D436">
        <v>2050</v>
      </c>
      <c r="E436" t="s">
        <v>35</v>
      </c>
      <c r="F436">
        <v>4700000</v>
      </c>
    </row>
    <row r="437" spans="1:6" hidden="1" x14ac:dyDescent="0.25">
      <c r="A437" t="s">
        <v>17</v>
      </c>
      <c r="B437" t="s">
        <v>101</v>
      </c>
      <c r="C437" t="s">
        <v>77</v>
      </c>
      <c r="D437">
        <v>2050</v>
      </c>
      <c r="E437" t="s">
        <v>35</v>
      </c>
      <c r="F437">
        <v>10000000</v>
      </c>
    </row>
    <row r="438" spans="1:6" hidden="1" x14ac:dyDescent="0.25">
      <c r="A438" t="s">
        <v>12</v>
      </c>
      <c r="B438" t="s">
        <v>101</v>
      </c>
      <c r="C438" t="s">
        <v>78</v>
      </c>
      <c r="D438">
        <v>2015</v>
      </c>
      <c r="E438" t="s">
        <v>35</v>
      </c>
      <c r="F438">
        <v>4800000</v>
      </c>
    </row>
    <row r="439" spans="1:6" hidden="1" x14ac:dyDescent="0.25">
      <c r="A439" t="s">
        <v>17</v>
      </c>
      <c r="B439" t="s">
        <v>101</v>
      </c>
      <c r="C439" t="s">
        <v>78</v>
      </c>
      <c r="D439">
        <v>2015</v>
      </c>
      <c r="E439" t="s">
        <v>35</v>
      </c>
      <c r="F439">
        <v>2400000</v>
      </c>
    </row>
    <row r="440" spans="1:6" hidden="1" x14ac:dyDescent="0.25">
      <c r="A440" t="s">
        <v>12</v>
      </c>
      <c r="B440" t="s">
        <v>101</v>
      </c>
      <c r="C440" t="s">
        <v>78</v>
      </c>
      <c r="D440">
        <v>2020</v>
      </c>
      <c r="E440" t="s">
        <v>35</v>
      </c>
      <c r="F440">
        <v>4800000</v>
      </c>
    </row>
    <row r="441" spans="1:6" hidden="1" x14ac:dyDescent="0.25">
      <c r="A441" t="s">
        <v>17</v>
      </c>
      <c r="B441" t="s">
        <v>101</v>
      </c>
      <c r="C441" t="s">
        <v>78</v>
      </c>
      <c r="D441">
        <v>2020</v>
      </c>
      <c r="E441" t="s">
        <v>35</v>
      </c>
      <c r="F441">
        <v>2400000</v>
      </c>
    </row>
    <row r="442" spans="1:6" hidden="1" x14ac:dyDescent="0.25">
      <c r="A442" t="s">
        <v>12</v>
      </c>
      <c r="B442" t="s">
        <v>101</v>
      </c>
      <c r="C442" t="s">
        <v>78</v>
      </c>
      <c r="D442">
        <v>2030</v>
      </c>
      <c r="E442" t="s">
        <v>35</v>
      </c>
      <c r="F442">
        <v>4800000</v>
      </c>
    </row>
    <row r="443" spans="1:6" hidden="1" x14ac:dyDescent="0.25">
      <c r="A443" t="s">
        <v>17</v>
      </c>
      <c r="B443" t="s">
        <v>101</v>
      </c>
      <c r="C443" t="s">
        <v>78</v>
      </c>
      <c r="D443">
        <v>2030</v>
      </c>
      <c r="E443" t="s">
        <v>35</v>
      </c>
      <c r="F443">
        <v>2400000</v>
      </c>
    </row>
    <row r="444" spans="1:6" hidden="1" x14ac:dyDescent="0.25">
      <c r="A444" t="s">
        <v>12</v>
      </c>
      <c r="B444" t="s">
        <v>101</v>
      </c>
      <c r="C444" t="s">
        <v>78</v>
      </c>
      <c r="D444">
        <v>2040</v>
      </c>
      <c r="E444" t="s">
        <v>35</v>
      </c>
      <c r="F444">
        <v>4199999.9999999991</v>
      </c>
    </row>
    <row r="445" spans="1:6" hidden="1" x14ac:dyDescent="0.25">
      <c r="A445" t="s">
        <v>17</v>
      </c>
      <c r="B445" t="s">
        <v>101</v>
      </c>
      <c r="C445" t="s">
        <v>78</v>
      </c>
      <c r="D445">
        <v>2040</v>
      </c>
      <c r="E445" t="s">
        <v>35</v>
      </c>
      <c r="F445">
        <v>3000000</v>
      </c>
    </row>
    <row r="446" spans="1:6" hidden="1" x14ac:dyDescent="0.25">
      <c r="A446" t="s">
        <v>12</v>
      </c>
      <c r="B446" t="s">
        <v>101</v>
      </c>
      <c r="C446" t="s">
        <v>78</v>
      </c>
      <c r="D446">
        <v>2050</v>
      </c>
      <c r="E446" t="s">
        <v>35</v>
      </c>
      <c r="F446">
        <v>3599999.9999999995</v>
      </c>
    </row>
    <row r="447" spans="1:6" hidden="1" x14ac:dyDescent="0.25">
      <c r="A447" t="s">
        <v>17</v>
      </c>
      <c r="B447" t="s">
        <v>101</v>
      </c>
      <c r="C447" t="s">
        <v>78</v>
      </c>
      <c r="D447">
        <v>2050</v>
      </c>
      <c r="E447" t="s">
        <v>35</v>
      </c>
      <c r="F447">
        <v>3599999.9999999995</v>
      </c>
    </row>
    <row r="448" spans="1:6" hidden="1" x14ac:dyDescent="0.25">
      <c r="A448" t="s">
        <v>12</v>
      </c>
      <c r="B448" t="s">
        <v>101</v>
      </c>
      <c r="E448" t="s">
        <v>13</v>
      </c>
      <c r="F448">
        <v>1</v>
      </c>
    </row>
    <row r="449" spans="1:6" hidden="1" x14ac:dyDescent="0.25">
      <c r="A449" t="s">
        <v>17</v>
      </c>
      <c r="B449" t="s">
        <v>101</v>
      </c>
      <c r="E449" t="s">
        <v>13</v>
      </c>
      <c r="F449">
        <v>1</v>
      </c>
    </row>
    <row r="450" spans="1:6" hidden="1" x14ac:dyDescent="0.25">
      <c r="A450" t="s">
        <v>117</v>
      </c>
      <c r="B450" t="s">
        <v>63</v>
      </c>
      <c r="E450" t="s">
        <v>58</v>
      </c>
      <c r="F450">
        <v>1</v>
      </c>
    </row>
    <row r="451" spans="1:6" hidden="1" x14ac:dyDescent="0.25">
      <c r="A451" t="s">
        <v>25</v>
      </c>
      <c r="B451" t="s">
        <v>86</v>
      </c>
      <c r="C451" t="s">
        <v>23</v>
      </c>
      <c r="D451">
        <v>2016</v>
      </c>
      <c r="E451" t="s">
        <v>99</v>
      </c>
      <c r="F451" s="10">
        <v>14000</v>
      </c>
    </row>
    <row r="452" spans="1:6" hidden="1" x14ac:dyDescent="0.25">
      <c r="A452" t="s">
        <v>25</v>
      </c>
      <c r="B452" t="s">
        <v>86</v>
      </c>
      <c r="C452" t="s">
        <v>24</v>
      </c>
      <c r="D452">
        <v>2016</v>
      </c>
      <c r="E452" t="s">
        <v>99</v>
      </c>
      <c r="F452" s="10">
        <v>1400000</v>
      </c>
    </row>
    <row r="453" spans="1:6" hidden="1" x14ac:dyDescent="0.25">
      <c r="A453" t="s">
        <v>25</v>
      </c>
      <c r="B453" t="s">
        <v>86</v>
      </c>
      <c r="C453" t="s">
        <v>75</v>
      </c>
      <c r="D453">
        <v>2016</v>
      </c>
      <c r="E453" t="s">
        <v>99</v>
      </c>
      <c r="F453" s="10">
        <v>0</v>
      </c>
    </row>
    <row r="454" spans="1:6" hidden="1" x14ac:dyDescent="0.25">
      <c r="A454" t="s">
        <v>25</v>
      </c>
      <c r="B454" t="s">
        <v>86</v>
      </c>
      <c r="C454" t="s">
        <v>76</v>
      </c>
      <c r="D454">
        <v>2016</v>
      </c>
      <c r="E454" t="s">
        <v>99</v>
      </c>
      <c r="F454">
        <v>1000</v>
      </c>
    </row>
    <row r="455" spans="1:6" hidden="1" x14ac:dyDescent="0.25">
      <c r="A455" t="s">
        <v>25</v>
      </c>
      <c r="B455" t="s">
        <v>86</v>
      </c>
      <c r="C455" t="s">
        <v>77</v>
      </c>
      <c r="D455">
        <v>2016</v>
      </c>
      <c r="E455" t="s">
        <v>99</v>
      </c>
      <c r="F455">
        <v>1000</v>
      </c>
    </row>
    <row r="456" spans="1:6" hidden="1" x14ac:dyDescent="0.25">
      <c r="A456" t="s">
        <v>25</v>
      </c>
      <c r="B456" t="s">
        <v>86</v>
      </c>
      <c r="C456" t="s">
        <v>78</v>
      </c>
      <c r="D456">
        <v>2016</v>
      </c>
      <c r="E456" t="s">
        <v>99</v>
      </c>
      <c r="F456">
        <v>5000</v>
      </c>
    </row>
    <row r="457" spans="1:6" hidden="1" x14ac:dyDescent="0.25">
      <c r="A457" t="s">
        <v>11</v>
      </c>
      <c r="D457">
        <v>2015</v>
      </c>
      <c r="E457" t="s">
        <v>58</v>
      </c>
      <c r="F457">
        <v>1</v>
      </c>
    </row>
    <row r="458" spans="1:6" hidden="1" x14ac:dyDescent="0.25">
      <c r="A458" t="s">
        <v>11</v>
      </c>
      <c r="E458" t="s">
        <v>58</v>
      </c>
      <c r="F458">
        <v>0</v>
      </c>
    </row>
    <row r="459" spans="1:6" hidden="1" x14ac:dyDescent="0.25">
      <c r="A459" s="11" t="s">
        <v>11</v>
      </c>
      <c r="B459" s="12" t="s">
        <v>86</v>
      </c>
      <c r="C459" s="12"/>
      <c r="D459" s="12"/>
      <c r="E459" s="12" t="s">
        <v>13</v>
      </c>
      <c r="F459" s="13">
        <v>1</v>
      </c>
    </row>
    <row r="460" spans="1:6" hidden="1" x14ac:dyDescent="0.25">
      <c r="A460" t="s">
        <v>129</v>
      </c>
      <c r="B460" t="s">
        <v>118</v>
      </c>
      <c r="E460" t="s">
        <v>22</v>
      </c>
      <c r="F460">
        <v>50</v>
      </c>
    </row>
    <row r="461" spans="1:6" hidden="1" x14ac:dyDescent="0.25">
      <c r="A461" t="s">
        <v>123</v>
      </c>
      <c r="B461" t="s">
        <v>118</v>
      </c>
      <c r="E461" t="s">
        <v>58</v>
      </c>
      <c r="F461">
        <v>1</v>
      </c>
    </row>
    <row r="462" spans="1:6" hidden="1" x14ac:dyDescent="0.25">
      <c r="A462" t="s">
        <v>124</v>
      </c>
      <c r="B462" t="s">
        <v>118</v>
      </c>
      <c r="E462" t="s">
        <v>58</v>
      </c>
      <c r="F462">
        <v>1</v>
      </c>
    </row>
    <row r="463" spans="1:6" hidden="1" x14ac:dyDescent="0.25">
      <c r="A463" t="s">
        <v>125</v>
      </c>
      <c r="B463" t="s">
        <v>118</v>
      </c>
      <c r="E463" t="s">
        <v>58</v>
      </c>
      <c r="F463">
        <v>1</v>
      </c>
    </row>
    <row r="464" spans="1:6" hidden="1" x14ac:dyDescent="0.25">
      <c r="A464" t="s">
        <v>126</v>
      </c>
      <c r="B464" t="s">
        <v>118</v>
      </c>
      <c r="E464" t="s">
        <v>58</v>
      </c>
      <c r="F464">
        <v>1</v>
      </c>
    </row>
    <row r="465" spans="1:6" hidden="1" x14ac:dyDescent="0.25">
      <c r="A465" t="s">
        <v>140</v>
      </c>
      <c r="B465" t="s">
        <v>118</v>
      </c>
      <c r="E465" t="s">
        <v>58</v>
      </c>
      <c r="F465">
        <v>1</v>
      </c>
    </row>
    <row r="466" spans="1:6" hidden="1" x14ac:dyDescent="0.25">
      <c r="A466" t="s">
        <v>141</v>
      </c>
      <c r="B466" t="s">
        <v>118</v>
      </c>
      <c r="E466" t="s">
        <v>58</v>
      </c>
      <c r="F466">
        <v>1</v>
      </c>
    </row>
    <row r="467" spans="1:6" hidden="1" x14ac:dyDescent="0.25">
      <c r="A467" t="s">
        <v>127</v>
      </c>
      <c r="B467" t="s">
        <v>118</v>
      </c>
      <c r="E467" t="s">
        <v>13</v>
      </c>
      <c r="F467">
        <v>1</v>
      </c>
    </row>
    <row r="468" spans="1:6" hidden="1" x14ac:dyDescent="0.25">
      <c r="A468" t="s">
        <v>128</v>
      </c>
      <c r="B468" t="s">
        <v>118</v>
      </c>
      <c r="E468" t="s">
        <v>13</v>
      </c>
      <c r="F468">
        <v>1</v>
      </c>
    </row>
    <row r="469" spans="1:6" hidden="1" x14ac:dyDescent="0.25">
      <c r="A469" t="s">
        <v>127</v>
      </c>
      <c r="B469" t="s">
        <v>118</v>
      </c>
      <c r="C469" t="s">
        <v>23</v>
      </c>
      <c r="D469">
        <v>2015</v>
      </c>
      <c r="E469" t="s">
        <v>35</v>
      </c>
      <c r="F469">
        <v>3300000</v>
      </c>
    </row>
    <row r="470" spans="1:6" hidden="1" x14ac:dyDescent="0.25">
      <c r="A470" t="s">
        <v>128</v>
      </c>
      <c r="B470" t="s">
        <v>118</v>
      </c>
      <c r="C470" t="s">
        <v>23</v>
      </c>
      <c r="D470">
        <v>2015</v>
      </c>
      <c r="E470" t="s">
        <v>35</v>
      </c>
      <c r="F470">
        <v>1700000.0000000002</v>
      </c>
    </row>
    <row r="471" spans="1:6" hidden="1" x14ac:dyDescent="0.25">
      <c r="A471" t="s">
        <v>127</v>
      </c>
      <c r="B471" t="s">
        <v>118</v>
      </c>
      <c r="C471" t="s">
        <v>24</v>
      </c>
      <c r="D471">
        <v>2015</v>
      </c>
      <c r="E471" t="s">
        <v>35</v>
      </c>
      <c r="F471">
        <v>5610000</v>
      </c>
    </row>
    <row r="472" spans="1:6" hidden="1" x14ac:dyDescent="0.25">
      <c r="A472" t="s">
        <v>128</v>
      </c>
      <c r="B472" t="s">
        <v>118</v>
      </c>
      <c r="C472" t="s">
        <v>24</v>
      </c>
      <c r="D472">
        <v>2015</v>
      </c>
      <c r="E472" t="s">
        <v>35</v>
      </c>
      <c r="F472">
        <v>2890000</v>
      </c>
    </row>
    <row r="473" spans="1:6" hidden="1" x14ac:dyDescent="0.25">
      <c r="A473" t="s">
        <v>127</v>
      </c>
      <c r="B473" t="s">
        <v>118</v>
      </c>
      <c r="C473" t="s">
        <v>75</v>
      </c>
      <c r="D473">
        <v>2015</v>
      </c>
      <c r="E473" t="s">
        <v>35</v>
      </c>
      <c r="F473">
        <v>3300000</v>
      </c>
    </row>
    <row r="474" spans="1:6" hidden="1" x14ac:dyDescent="0.25">
      <c r="A474" t="s">
        <v>128</v>
      </c>
      <c r="B474" t="s">
        <v>118</v>
      </c>
      <c r="C474" t="s">
        <v>75</v>
      </c>
      <c r="D474">
        <v>2015</v>
      </c>
      <c r="E474" t="s">
        <v>35</v>
      </c>
      <c r="F474">
        <v>1700000.0000000002</v>
      </c>
    </row>
    <row r="475" spans="1:6" hidden="1" x14ac:dyDescent="0.25">
      <c r="A475" t="s">
        <v>127</v>
      </c>
      <c r="B475" t="s">
        <v>118</v>
      </c>
      <c r="C475" t="s">
        <v>77</v>
      </c>
      <c r="D475">
        <v>2015</v>
      </c>
      <c r="E475" t="s">
        <v>35</v>
      </c>
      <c r="F475">
        <v>2970000</v>
      </c>
    </row>
    <row r="476" spans="1:6" hidden="1" x14ac:dyDescent="0.25">
      <c r="A476" t="s">
        <v>128</v>
      </c>
      <c r="B476" t="s">
        <v>118</v>
      </c>
      <c r="C476" t="s">
        <v>77</v>
      </c>
      <c r="D476">
        <v>2015</v>
      </c>
      <c r="E476" t="s">
        <v>35</v>
      </c>
      <c r="F476">
        <v>1530000</v>
      </c>
    </row>
    <row r="477" spans="1:6" hidden="1" x14ac:dyDescent="0.25">
      <c r="A477" t="s">
        <v>127</v>
      </c>
      <c r="B477" t="s">
        <v>118</v>
      </c>
      <c r="C477" t="s">
        <v>78</v>
      </c>
      <c r="D477">
        <v>2015</v>
      </c>
      <c r="E477" t="s">
        <v>35</v>
      </c>
      <c r="F477">
        <v>990000</v>
      </c>
    </row>
    <row r="478" spans="1:6" hidden="1" x14ac:dyDescent="0.25">
      <c r="A478" t="s">
        <v>128</v>
      </c>
      <c r="B478" t="s">
        <v>118</v>
      </c>
      <c r="C478" t="s">
        <v>78</v>
      </c>
      <c r="D478">
        <v>2015</v>
      </c>
      <c r="E478" t="s">
        <v>35</v>
      </c>
      <c r="F478">
        <v>510000.00000000006</v>
      </c>
    </row>
    <row r="479" spans="1:6" hidden="1" x14ac:dyDescent="0.25">
      <c r="A479" t="s">
        <v>127</v>
      </c>
      <c r="B479" t="s">
        <v>118</v>
      </c>
      <c r="C479" t="s">
        <v>76</v>
      </c>
      <c r="D479">
        <v>2015</v>
      </c>
      <c r="E479" t="s">
        <v>35</v>
      </c>
      <c r="F479">
        <v>660000</v>
      </c>
    </row>
    <row r="480" spans="1:6" hidden="1" x14ac:dyDescent="0.25">
      <c r="A480" t="s">
        <v>128</v>
      </c>
      <c r="B480" t="s">
        <v>118</v>
      </c>
      <c r="C480" t="s">
        <v>76</v>
      </c>
      <c r="D480">
        <v>2015</v>
      </c>
      <c r="E480" t="s">
        <v>35</v>
      </c>
      <c r="F480">
        <v>340000</v>
      </c>
    </row>
    <row r="481" spans="1:8" hidden="1" x14ac:dyDescent="0.25">
      <c r="A481" t="s">
        <v>154</v>
      </c>
      <c r="B481" t="s">
        <v>153</v>
      </c>
      <c r="E481" t="s">
        <v>13</v>
      </c>
      <c r="F481">
        <v>1</v>
      </c>
    </row>
    <row r="482" spans="1:8" hidden="1" x14ac:dyDescent="0.25">
      <c r="A482" t="s">
        <v>25</v>
      </c>
      <c r="B482" t="s">
        <v>153</v>
      </c>
      <c r="E482" t="s">
        <v>13</v>
      </c>
      <c r="F482">
        <v>1</v>
      </c>
    </row>
    <row r="483" spans="1:8" hidden="1" x14ac:dyDescent="0.25">
      <c r="A483" t="s">
        <v>154</v>
      </c>
      <c r="B483" t="s">
        <v>153</v>
      </c>
      <c r="C483" t="s">
        <v>23</v>
      </c>
      <c r="D483">
        <v>2030</v>
      </c>
      <c r="E483" t="s">
        <v>35</v>
      </c>
      <c r="F483">
        <v>0</v>
      </c>
    </row>
    <row r="484" spans="1:8" hidden="1" x14ac:dyDescent="0.25">
      <c r="A484" t="s">
        <v>154</v>
      </c>
      <c r="B484" t="s">
        <v>153</v>
      </c>
      <c r="C484" t="s">
        <v>23</v>
      </c>
      <c r="D484">
        <v>2040</v>
      </c>
      <c r="E484" t="s">
        <v>35</v>
      </c>
      <c r="F484">
        <v>1065527.9421768708</v>
      </c>
    </row>
    <row r="485" spans="1:8" hidden="1" x14ac:dyDescent="0.25">
      <c r="A485" t="s">
        <v>154</v>
      </c>
      <c r="B485" t="s">
        <v>153</v>
      </c>
      <c r="C485" t="s">
        <v>23</v>
      </c>
      <c r="D485">
        <v>2050</v>
      </c>
      <c r="E485" t="s">
        <v>35</v>
      </c>
      <c r="F485">
        <v>2546871.6666666665</v>
      </c>
      <c r="H485" s="53"/>
    </row>
    <row r="486" spans="1:8" hidden="1" x14ac:dyDescent="0.25">
      <c r="A486" t="s">
        <v>25</v>
      </c>
      <c r="B486" t="s">
        <v>153</v>
      </c>
      <c r="C486" t="s">
        <v>23</v>
      </c>
      <c r="D486">
        <v>2030</v>
      </c>
      <c r="E486" t="s">
        <v>35</v>
      </c>
      <c r="F486">
        <v>0</v>
      </c>
      <c r="H486" s="53"/>
    </row>
    <row r="487" spans="1:8" hidden="1" x14ac:dyDescent="0.25">
      <c r="A487" t="s">
        <v>25</v>
      </c>
      <c r="B487" t="s">
        <v>153</v>
      </c>
      <c r="C487" t="s">
        <v>23</v>
      </c>
      <c r="D487">
        <v>2040</v>
      </c>
      <c r="E487" t="s">
        <v>35</v>
      </c>
      <c r="F487">
        <v>297157.92647447775</v>
      </c>
      <c r="H487" s="53"/>
    </row>
    <row r="488" spans="1:8" hidden="1" x14ac:dyDescent="0.25">
      <c r="A488" t="s">
        <v>25</v>
      </c>
      <c r="B488" t="s">
        <v>153</v>
      </c>
      <c r="C488" t="s">
        <v>23</v>
      </c>
      <c r="D488">
        <v>2050</v>
      </c>
      <c r="E488" t="s">
        <v>35</v>
      </c>
      <c r="F488">
        <v>445736.88971171656</v>
      </c>
      <c r="H488" s="53"/>
    </row>
    <row r="489" spans="1:8" hidden="1" x14ac:dyDescent="0.25">
      <c r="A489" t="s">
        <v>154</v>
      </c>
      <c r="B489" t="s">
        <v>153</v>
      </c>
      <c r="C489" t="s">
        <v>24</v>
      </c>
      <c r="D489">
        <v>2030</v>
      </c>
      <c r="E489" t="s">
        <v>35</v>
      </c>
      <c r="F489">
        <v>0</v>
      </c>
      <c r="H489" s="53"/>
    </row>
    <row r="490" spans="1:8" hidden="1" x14ac:dyDescent="0.25">
      <c r="A490" t="s">
        <v>154</v>
      </c>
      <c r="B490" t="s">
        <v>153</v>
      </c>
      <c r="C490" t="s">
        <v>24</v>
      </c>
      <c r="D490">
        <v>2040</v>
      </c>
      <c r="E490" t="s">
        <v>35</v>
      </c>
      <c r="F490">
        <v>1446295.918367347</v>
      </c>
      <c r="H490" s="53"/>
    </row>
    <row r="491" spans="1:8" hidden="1" x14ac:dyDescent="0.25">
      <c r="A491" t="s">
        <v>154</v>
      </c>
      <c r="B491" t="s">
        <v>153</v>
      </c>
      <c r="C491" t="s">
        <v>24</v>
      </c>
      <c r="D491">
        <v>2050</v>
      </c>
      <c r="E491" t="s">
        <v>35</v>
      </c>
      <c r="F491">
        <v>3457000</v>
      </c>
      <c r="H491" s="53"/>
    </row>
    <row r="492" spans="1:8" hidden="1" x14ac:dyDescent="0.25">
      <c r="A492" t="s">
        <v>25</v>
      </c>
      <c r="B492" t="s">
        <v>153</v>
      </c>
      <c r="C492" t="s">
        <v>24</v>
      </c>
      <c r="D492">
        <v>2030</v>
      </c>
      <c r="E492" t="s">
        <v>35</v>
      </c>
      <c r="F492">
        <v>0</v>
      </c>
      <c r="H492" s="53"/>
    </row>
    <row r="493" spans="1:8" hidden="1" x14ac:dyDescent="0.25">
      <c r="A493" t="s">
        <v>25</v>
      </c>
      <c r="B493" t="s">
        <v>153</v>
      </c>
      <c r="C493" t="s">
        <v>24</v>
      </c>
      <c r="D493">
        <v>2040</v>
      </c>
      <c r="E493" t="s">
        <v>35</v>
      </c>
      <c r="F493">
        <v>331618.61941285367</v>
      </c>
      <c r="H493" s="53"/>
    </row>
    <row r="494" spans="1:8" hidden="1" x14ac:dyDescent="0.25">
      <c r="A494" t="s">
        <v>25</v>
      </c>
      <c r="B494" t="s">
        <v>153</v>
      </c>
      <c r="C494" t="s">
        <v>24</v>
      </c>
      <c r="D494">
        <v>2050</v>
      </c>
      <c r="E494" t="s">
        <v>35</v>
      </c>
      <c r="F494">
        <v>497427.92911928071</v>
      </c>
      <c r="H494" s="53"/>
    </row>
    <row r="495" spans="1:8" hidden="1" x14ac:dyDescent="0.25">
      <c r="A495" t="s">
        <v>154</v>
      </c>
      <c r="B495" t="s">
        <v>153</v>
      </c>
      <c r="C495" t="s">
        <v>75</v>
      </c>
      <c r="D495">
        <v>2030</v>
      </c>
      <c r="E495" t="s">
        <v>35</v>
      </c>
      <c r="F495">
        <v>0</v>
      </c>
      <c r="H495" s="53"/>
    </row>
    <row r="496" spans="1:8" hidden="1" x14ac:dyDescent="0.25">
      <c r="A496" t="s">
        <v>154</v>
      </c>
      <c r="B496" t="s">
        <v>153</v>
      </c>
      <c r="C496" t="s">
        <v>75</v>
      </c>
      <c r="D496">
        <v>2040</v>
      </c>
      <c r="E496" t="s">
        <v>35</v>
      </c>
      <c r="F496">
        <v>661962.01360544225</v>
      </c>
      <c r="H496" s="53"/>
    </row>
    <row r="497" spans="1:15" hidden="1" x14ac:dyDescent="0.25">
      <c r="A497" t="s">
        <v>154</v>
      </c>
      <c r="B497" t="s">
        <v>153</v>
      </c>
      <c r="C497" t="s">
        <v>75</v>
      </c>
      <c r="D497">
        <v>2050</v>
      </c>
      <c r="E497" t="s">
        <v>35</v>
      </c>
      <c r="F497">
        <v>1582250.666666667</v>
      </c>
      <c r="H497" s="53"/>
    </row>
    <row r="498" spans="1:15" hidden="1" x14ac:dyDescent="0.25">
      <c r="A498" t="s">
        <v>25</v>
      </c>
      <c r="B498" t="s">
        <v>153</v>
      </c>
      <c r="C498" t="s">
        <v>75</v>
      </c>
      <c r="D498">
        <v>2030</v>
      </c>
      <c r="E498" t="s">
        <v>35</v>
      </c>
      <c r="F498">
        <v>0</v>
      </c>
      <c r="H498" s="53"/>
    </row>
    <row r="499" spans="1:15" hidden="1" x14ac:dyDescent="0.25">
      <c r="A499" t="s">
        <v>25</v>
      </c>
      <c r="B499" t="s">
        <v>153</v>
      </c>
      <c r="C499" t="s">
        <v>75</v>
      </c>
      <c r="D499">
        <v>2040</v>
      </c>
      <c r="E499" t="s">
        <v>35</v>
      </c>
      <c r="F499">
        <v>392109.67204443272</v>
      </c>
      <c r="H499" s="53"/>
    </row>
    <row r="500" spans="1:15" hidden="1" x14ac:dyDescent="0.25">
      <c r="A500" t="s">
        <v>25</v>
      </c>
      <c r="B500" t="s">
        <v>153</v>
      </c>
      <c r="C500" t="s">
        <v>75</v>
      </c>
      <c r="D500">
        <v>2050</v>
      </c>
      <c r="E500" t="s">
        <v>35</v>
      </c>
      <c r="F500">
        <v>588164.50806664908</v>
      </c>
      <c r="H500" s="53"/>
      <c r="O500" s="10"/>
    </row>
    <row r="501" spans="1:15" hidden="1" x14ac:dyDescent="0.25">
      <c r="A501" t="s">
        <v>154</v>
      </c>
      <c r="B501" t="s">
        <v>153</v>
      </c>
      <c r="C501" t="s">
        <v>77</v>
      </c>
      <c r="D501">
        <v>2030</v>
      </c>
      <c r="E501" t="s">
        <v>35</v>
      </c>
      <c r="F501">
        <v>0</v>
      </c>
      <c r="H501" s="53"/>
    </row>
    <row r="502" spans="1:15" hidden="1" x14ac:dyDescent="0.25">
      <c r="A502" t="s">
        <v>154</v>
      </c>
      <c r="B502" t="s">
        <v>153</v>
      </c>
      <c r="C502" t="s">
        <v>77</v>
      </c>
      <c r="D502">
        <v>2040</v>
      </c>
      <c r="E502" t="s">
        <v>35</v>
      </c>
      <c r="F502">
        <v>980276.25170068024</v>
      </c>
      <c r="H502" s="53"/>
    </row>
    <row r="503" spans="1:15" hidden="1" x14ac:dyDescent="0.25">
      <c r="A503" t="s">
        <v>154</v>
      </c>
      <c r="B503" t="s">
        <v>153</v>
      </c>
      <c r="C503" t="s">
        <v>77</v>
      </c>
      <c r="D503">
        <v>2050</v>
      </c>
      <c r="E503" t="s">
        <v>35</v>
      </c>
      <c r="F503">
        <v>2343099.333333333</v>
      </c>
      <c r="H503" s="53"/>
    </row>
    <row r="504" spans="1:15" hidden="1" x14ac:dyDescent="0.25">
      <c r="A504" t="s">
        <v>25</v>
      </c>
      <c r="B504" t="s">
        <v>153</v>
      </c>
      <c r="C504" t="s">
        <v>77</v>
      </c>
      <c r="D504">
        <v>2030</v>
      </c>
      <c r="E504" t="s">
        <v>35</v>
      </c>
      <c r="F504">
        <v>0</v>
      </c>
      <c r="H504" s="53"/>
    </row>
    <row r="505" spans="1:15" hidden="1" x14ac:dyDescent="0.25">
      <c r="A505" t="s">
        <v>25</v>
      </c>
      <c r="B505" t="s">
        <v>153</v>
      </c>
      <c r="C505" t="s">
        <v>77</v>
      </c>
      <c r="D505">
        <v>2040</v>
      </c>
      <c r="E505" t="s">
        <v>35</v>
      </c>
      <c r="F505">
        <v>1016813.4461782599</v>
      </c>
      <c r="H505" s="53"/>
    </row>
    <row r="506" spans="1:15" hidden="1" x14ac:dyDescent="0.25">
      <c r="A506" t="s">
        <v>25</v>
      </c>
      <c r="B506" t="s">
        <v>153</v>
      </c>
      <c r="C506" t="s">
        <v>77</v>
      </c>
      <c r="D506">
        <v>2050</v>
      </c>
      <c r="E506" t="s">
        <v>35</v>
      </c>
      <c r="F506">
        <v>1525220.1692673895</v>
      </c>
      <c r="H506" s="53"/>
      <c r="N506" s="10"/>
    </row>
    <row r="507" spans="1:15" hidden="1" x14ac:dyDescent="0.25">
      <c r="A507" t="s">
        <v>154</v>
      </c>
      <c r="B507" t="s">
        <v>153</v>
      </c>
      <c r="C507" t="s">
        <v>76</v>
      </c>
      <c r="D507">
        <v>2030</v>
      </c>
      <c r="E507" t="s">
        <v>35</v>
      </c>
      <c r="F507">
        <v>0</v>
      </c>
      <c r="H507" s="53"/>
    </row>
    <row r="508" spans="1:15" hidden="1" x14ac:dyDescent="0.25">
      <c r="A508" t="s">
        <v>154</v>
      </c>
      <c r="B508" t="s">
        <v>153</v>
      </c>
      <c r="C508" t="s">
        <v>76</v>
      </c>
      <c r="D508">
        <v>2040</v>
      </c>
      <c r="E508" t="s">
        <v>35</v>
      </c>
      <c r="F508">
        <v>1728925.9319727891</v>
      </c>
      <c r="H508" s="53"/>
    </row>
    <row r="509" spans="1:15" hidden="1" x14ac:dyDescent="0.25">
      <c r="A509" t="s">
        <v>154</v>
      </c>
      <c r="B509" t="s">
        <v>153</v>
      </c>
      <c r="C509" t="s">
        <v>76</v>
      </c>
      <c r="D509">
        <v>2050</v>
      </c>
      <c r="E509" t="s">
        <v>35</v>
      </c>
      <c r="F509">
        <v>4132554.6666666665</v>
      </c>
      <c r="H509" s="53"/>
    </row>
    <row r="510" spans="1:15" hidden="1" x14ac:dyDescent="0.25">
      <c r="A510" t="s">
        <v>25</v>
      </c>
      <c r="B510" t="s">
        <v>153</v>
      </c>
      <c r="C510" t="s">
        <v>76</v>
      </c>
      <c r="D510">
        <v>2030</v>
      </c>
      <c r="E510" t="s">
        <v>35</v>
      </c>
      <c r="F510">
        <v>0</v>
      </c>
      <c r="H510" s="53"/>
    </row>
    <row r="511" spans="1:15" hidden="1" x14ac:dyDescent="0.25">
      <c r="A511" t="s">
        <v>25</v>
      </c>
      <c r="B511" t="s">
        <v>153</v>
      </c>
      <c r="C511" t="s">
        <v>76</v>
      </c>
      <c r="D511">
        <v>2040</v>
      </c>
      <c r="E511" t="s">
        <v>35</v>
      </c>
      <c r="F511">
        <v>374295.82121131971</v>
      </c>
      <c r="H511" s="53"/>
    </row>
    <row r="512" spans="1:15" hidden="1" x14ac:dyDescent="0.25">
      <c r="A512" t="s">
        <v>25</v>
      </c>
      <c r="B512" t="s">
        <v>153</v>
      </c>
      <c r="C512" t="s">
        <v>76</v>
      </c>
      <c r="D512">
        <v>2050</v>
      </c>
      <c r="E512" t="s">
        <v>35</v>
      </c>
      <c r="F512">
        <v>561443.73181697959</v>
      </c>
      <c r="H512" s="53"/>
    </row>
    <row r="513" spans="1:8" hidden="1" x14ac:dyDescent="0.25">
      <c r="A513" t="s">
        <v>154</v>
      </c>
      <c r="B513" t="s">
        <v>153</v>
      </c>
      <c r="C513" t="s">
        <v>78</v>
      </c>
      <c r="D513">
        <v>2030</v>
      </c>
      <c r="E513" t="s">
        <v>35</v>
      </c>
      <c r="F513">
        <v>0</v>
      </c>
      <c r="H513" s="53"/>
    </row>
    <row r="514" spans="1:8" hidden="1" x14ac:dyDescent="0.25">
      <c r="A514" t="s">
        <v>154</v>
      </c>
      <c r="B514" t="s">
        <v>153</v>
      </c>
      <c r="C514" t="s">
        <v>78</v>
      </c>
      <c r="D514">
        <v>2040</v>
      </c>
      <c r="E514" t="s">
        <v>35</v>
      </c>
      <c r="F514">
        <v>232528.57142857148</v>
      </c>
      <c r="H514" s="53"/>
    </row>
    <row r="515" spans="1:8" hidden="1" x14ac:dyDescent="0.25">
      <c r="A515" t="s">
        <v>154</v>
      </c>
      <c r="B515" t="s">
        <v>153</v>
      </c>
      <c r="C515" t="s">
        <v>78</v>
      </c>
      <c r="D515">
        <v>2050</v>
      </c>
      <c r="E515" t="s">
        <v>35</v>
      </c>
      <c r="F515">
        <v>555800.00000000012</v>
      </c>
      <c r="H515" s="53"/>
    </row>
    <row r="516" spans="1:8" hidden="1" x14ac:dyDescent="0.25">
      <c r="A516" t="s">
        <v>25</v>
      </c>
      <c r="B516" t="s">
        <v>153</v>
      </c>
      <c r="C516" t="s">
        <v>78</v>
      </c>
      <c r="D516">
        <v>2030</v>
      </c>
      <c r="E516" t="s">
        <v>35</v>
      </c>
      <c r="F516">
        <v>0</v>
      </c>
      <c r="H516" s="53"/>
    </row>
    <row r="517" spans="1:8" hidden="1" x14ac:dyDescent="0.25">
      <c r="A517" t="s">
        <v>25</v>
      </c>
      <c r="B517" t="s">
        <v>153</v>
      </c>
      <c r="C517" t="s">
        <v>78</v>
      </c>
      <c r="D517">
        <v>2040</v>
      </c>
      <c r="E517" t="s">
        <v>35</v>
      </c>
      <c r="F517">
        <v>1007728.6432160806</v>
      </c>
      <c r="H517" s="53"/>
    </row>
    <row r="518" spans="1:8" hidden="1" x14ac:dyDescent="0.25">
      <c r="A518" t="s">
        <v>25</v>
      </c>
      <c r="B518" t="s">
        <v>153</v>
      </c>
      <c r="C518" t="s">
        <v>78</v>
      </c>
      <c r="D518">
        <v>2050</v>
      </c>
      <c r="E518" t="s">
        <v>35</v>
      </c>
      <c r="F518">
        <v>1511592.964824121</v>
      </c>
      <c r="H518" s="53"/>
    </row>
    <row r="519" spans="1:8" hidden="1" x14ac:dyDescent="0.25">
      <c r="A519" t="s">
        <v>60</v>
      </c>
      <c r="B519" t="s">
        <v>63</v>
      </c>
      <c r="C519" t="s">
        <v>24</v>
      </c>
      <c r="D519">
        <v>2015</v>
      </c>
      <c r="E519" t="s">
        <v>35</v>
      </c>
      <c r="F519" s="10">
        <f>33000000*0.3</f>
        <v>9900000</v>
      </c>
    </row>
    <row r="520" spans="1:8" hidden="1" x14ac:dyDescent="0.25">
      <c r="A520" t="s">
        <v>61</v>
      </c>
      <c r="B520" t="s">
        <v>63</v>
      </c>
      <c r="C520" t="s">
        <v>24</v>
      </c>
      <c r="D520">
        <v>2015</v>
      </c>
      <c r="E520" t="s">
        <v>35</v>
      </c>
      <c r="F520" s="10">
        <f>33000000*0.57</f>
        <v>18810000</v>
      </c>
    </row>
    <row r="521" spans="1:8" hidden="1" x14ac:dyDescent="0.25">
      <c r="A521" t="s">
        <v>72</v>
      </c>
      <c r="B521" t="s">
        <v>63</v>
      </c>
      <c r="C521" t="s">
        <v>24</v>
      </c>
      <c r="D521">
        <v>2015</v>
      </c>
      <c r="E521" t="s">
        <v>35</v>
      </c>
      <c r="F521" s="10">
        <f>33000000*0.13</f>
        <v>4290000</v>
      </c>
    </row>
    <row r="522" spans="1:8" hidden="1" x14ac:dyDescent="0.25">
      <c r="A522" t="s">
        <v>62</v>
      </c>
      <c r="B522" t="s">
        <v>63</v>
      </c>
      <c r="C522" t="s">
        <v>24</v>
      </c>
      <c r="D522">
        <v>2015</v>
      </c>
      <c r="E522" t="s">
        <v>35</v>
      </c>
      <c r="F522">
        <v>0</v>
      </c>
    </row>
    <row r="523" spans="1:8" hidden="1" x14ac:dyDescent="0.25">
      <c r="A523" t="s">
        <v>60</v>
      </c>
      <c r="B523" t="s">
        <v>63</v>
      </c>
      <c r="C523" t="s">
        <v>24</v>
      </c>
      <c r="D523">
        <v>2025</v>
      </c>
      <c r="E523" t="s">
        <v>35</v>
      </c>
      <c r="F523" s="10">
        <f>33000000*0.3</f>
        <v>9900000</v>
      </c>
    </row>
    <row r="524" spans="1:8" hidden="1" x14ac:dyDescent="0.25">
      <c r="A524" t="s">
        <v>61</v>
      </c>
      <c r="B524" t="s">
        <v>63</v>
      </c>
      <c r="C524" t="s">
        <v>24</v>
      </c>
      <c r="D524">
        <v>2025</v>
      </c>
      <c r="E524" t="s">
        <v>35</v>
      </c>
      <c r="F524" s="10">
        <f>33000000*0.57</f>
        <v>18810000</v>
      </c>
    </row>
    <row r="525" spans="1:8" hidden="1" x14ac:dyDescent="0.25">
      <c r="A525" t="s">
        <v>72</v>
      </c>
      <c r="B525" t="s">
        <v>63</v>
      </c>
      <c r="C525" t="s">
        <v>24</v>
      </c>
      <c r="D525">
        <v>2025</v>
      </c>
      <c r="E525" t="s">
        <v>35</v>
      </c>
      <c r="F525" s="10">
        <f>33000000*0.13</f>
        <v>4290000</v>
      </c>
    </row>
    <row r="526" spans="1:8" hidden="1" x14ac:dyDescent="0.25">
      <c r="A526" t="s">
        <v>62</v>
      </c>
      <c r="B526" t="s">
        <v>63</v>
      </c>
      <c r="C526" t="s">
        <v>24</v>
      </c>
      <c r="D526">
        <v>2025</v>
      </c>
      <c r="E526" t="s">
        <v>35</v>
      </c>
      <c r="F526">
        <v>0</v>
      </c>
    </row>
    <row r="527" spans="1:8" hidden="1" x14ac:dyDescent="0.25">
      <c r="A527" t="s">
        <v>156</v>
      </c>
      <c r="B527" t="s">
        <v>63</v>
      </c>
      <c r="C527" t="s">
        <v>24</v>
      </c>
      <c r="D527">
        <v>2025</v>
      </c>
      <c r="E527" t="s">
        <v>35</v>
      </c>
      <c r="F527">
        <v>0</v>
      </c>
    </row>
    <row r="528" spans="1:8" hidden="1" x14ac:dyDescent="0.25">
      <c r="A528" t="s">
        <v>160</v>
      </c>
      <c r="B528" t="s">
        <v>63</v>
      </c>
      <c r="C528" t="s">
        <v>24</v>
      </c>
      <c r="D528">
        <v>2025</v>
      </c>
      <c r="E528" t="s">
        <v>35</v>
      </c>
      <c r="F528">
        <v>0</v>
      </c>
    </row>
    <row r="529" spans="1:8" hidden="1" x14ac:dyDescent="0.25">
      <c r="A529" t="s">
        <v>158</v>
      </c>
      <c r="B529" t="s">
        <v>63</v>
      </c>
      <c r="C529" t="s">
        <v>24</v>
      </c>
      <c r="D529">
        <v>2025</v>
      </c>
      <c r="E529" t="s">
        <v>35</v>
      </c>
      <c r="F529">
        <v>0</v>
      </c>
    </row>
    <row r="530" spans="1:8" hidden="1" x14ac:dyDescent="0.25">
      <c r="A530" t="s">
        <v>60</v>
      </c>
      <c r="B530" t="s">
        <v>63</v>
      </c>
      <c r="C530" t="s">
        <v>24</v>
      </c>
      <c r="D530">
        <v>2030</v>
      </c>
      <c r="E530" t="s">
        <v>35</v>
      </c>
      <c r="F530" s="10">
        <f>33000000*0.25</f>
        <v>8250000</v>
      </c>
    </row>
    <row r="531" spans="1:8" hidden="1" x14ac:dyDescent="0.25">
      <c r="A531" t="s">
        <v>61</v>
      </c>
      <c r="B531" t="s">
        <v>63</v>
      </c>
      <c r="C531" t="s">
        <v>24</v>
      </c>
      <c r="D531">
        <v>2030</v>
      </c>
      <c r="E531" t="s">
        <v>35</v>
      </c>
      <c r="F531" s="10">
        <f>33000000*0.5</f>
        <v>16500000</v>
      </c>
    </row>
    <row r="532" spans="1:8" hidden="1" x14ac:dyDescent="0.25">
      <c r="A532" t="s">
        <v>72</v>
      </c>
      <c r="B532" t="s">
        <v>63</v>
      </c>
      <c r="C532" t="s">
        <v>24</v>
      </c>
      <c r="D532">
        <v>2030</v>
      </c>
      <c r="E532" t="s">
        <v>35</v>
      </c>
      <c r="F532" s="10">
        <f>33000000*0.16</f>
        <v>5280000</v>
      </c>
    </row>
    <row r="533" spans="1:8" hidden="1" x14ac:dyDescent="0.25">
      <c r="A533" t="s">
        <v>62</v>
      </c>
      <c r="B533" t="s">
        <v>63</v>
      </c>
      <c r="C533" t="s">
        <v>24</v>
      </c>
      <c r="D533">
        <v>2030</v>
      </c>
      <c r="E533" t="s">
        <v>35</v>
      </c>
      <c r="F533">
        <f>33000000*0.09</f>
        <v>2970000</v>
      </c>
    </row>
    <row r="534" spans="1:8" hidden="1" x14ac:dyDescent="0.25">
      <c r="A534" t="s">
        <v>156</v>
      </c>
      <c r="B534" t="s">
        <v>63</v>
      </c>
      <c r="C534" t="s">
        <v>24</v>
      </c>
      <c r="D534">
        <v>2030</v>
      </c>
      <c r="E534" t="s">
        <v>35</v>
      </c>
      <c r="F534">
        <v>0</v>
      </c>
    </row>
    <row r="535" spans="1:8" hidden="1" x14ac:dyDescent="0.25">
      <c r="A535" t="s">
        <v>160</v>
      </c>
      <c r="B535" t="s">
        <v>63</v>
      </c>
      <c r="C535" t="s">
        <v>24</v>
      </c>
      <c r="D535">
        <v>2030</v>
      </c>
      <c r="E535" t="s">
        <v>35</v>
      </c>
      <c r="F535">
        <v>0</v>
      </c>
    </row>
    <row r="536" spans="1:8" hidden="1" x14ac:dyDescent="0.25">
      <c r="A536" t="s">
        <v>158</v>
      </c>
      <c r="B536" t="s">
        <v>63</v>
      </c>
      <c r="C536" t="s">
        <v>24</v>
      </c>
      <c r="D536">
        <v>2030</v>
      </c>
      <c r="E536" t="s">
        <v>35</v>
      </c>
      <c r="F536">
        <v>0</v>
      </c>
    </row>
    <row r="537" spans="1:8" hidden="1" x14ac:dyDescent="0.25">
      <c r="A537" t="s">
        <v>60</v>
      </c>
      <c r="B537" t="s">
        <v>63</v>
      </c>
      <c r="C537" t="s">
        <v>24</v>
      </c>
      <c r="D537">
        <v>2050</v>
      </c>
      <c r="E537" t="s">
        <v>35</v>
      </c>
      <c r="F537" s="10">
        <f>33000000*0.08</f>
        <v>2640000</v>
      </c>
    </row>
    <row r="538" spans="1:8" hidden="1" x14ac:dyDescent="0.25">
      <c r="A538" t="s">
        <v>61</v>
      </c>
      <c r="B538" t="s">
        <v>63</v>
      </c>
      <c r="C538" t="s">
        <v>24</v>
      </c>
      <c r="D538">
        <v>2050</v>
      </c>
      <c r="E538" t="s">
        <v>35</v>
      </c>
      <c r="F538" s="10">
        <f>33000000*0.1</f>
        <v>3300000</v>
      </c>
    </row>
    <row r="539" spans="1:8" hidden="1" x14ac:dyDescent="0.25">
      <c r="A539" t="s">
        <v>72</v>
      </c>
      <c r="B539" t="s">
        <v>63</v>
      </c>
      <c r="C539" t="s">
        <v>24</v>
      </c>
      <c r="D539">
        <v>2050</v>
      </c>
      <c r="E539" t="s">
        <v>35</v>
      </c>
      <c r="F539" s="10">
        <f>33000000*0.17</f>
        <v>5610000</v>
      </c>
    </row>
    <row r="540" spans="1:8" hidden="1" x14ac:dyDescent="0.25">
      <c r="A540" t="s">
        <v>62</v>
      </c>
      <c r="B540" t="s">
        <v>63</v>
      </c>
      <c r="C540" t="s">
        <v>24</v>
      </c>
      <c r="D540">
        <v>2050</v>
      </c>
      <c r="E540" t="s">
        <v>35</v>
      </c>
      <c r="F540">
        <f>33000000*0.4</f>
        <v>13200000</v>
      </c>
    </row>
    <row r="541" spans="1:8" hidden="1" x14ac:dyDescent="0.25">
      <c r="A541" t="s">
        <v>156</v>
      </c>
      <c r="B541" t="s">
        <v>63</v>
      </c>
      <c r="C541" t="s">
        <v>24</v>
      </c>
      <c r="D541">
        <v>2050</v>
      </c>
      <c r="E541" t="s">
        <v>35</v>
      </c>
      <c r="F541">
        <f>33000000*0.05</f>
        <v>1650000</v>
      </c>
      <c r="H541" s="10"/>
    </row>
    <row r="542" spans="1:8" hidden="1" x14ac:dyDescent="0.25">
      <c r="A542" t="s">
        <v>160</v>
      </c>
      <c r="B542" t="s">
        <v>63</v>
      </c>
      <c r="C542" t="s">
        <v>24</v>
      </c>
      <c r="D542">
        <v>2050</v>
      </c>
      <c r="E542" t="s">
        <v>35</v>
      </c>
      <c r="F542">
        <f>33000000*0.1</f>
        <v>3300000</v>
      </c>
    </row>
    <row r="543" spans="1:8" hidden="1" x14ac:dyDescent="0.25">
      <c r="A543" t="s">
        <v>158</v>
      </c>
      <c r="B543" t="s">
        <v>63</v>
      </c>
      <c r="C543" t="s">
        <v>24</v>
      </c>
      <c r="D543">
        <v>2050</v>
      </c>
      <c r="E543" t="s">
        <v>35</v>
      </c>
      <c r="F543">
        <f>33000000*0.1</f>
        <v>3300000</v>
      </c>
    </row>
    <row r="544" spans="1:8" hidden="1" x14ac:dyDescent="0.25">
      <c r="A544" t="s">
        <v>60</v>
      </c>
      <c r="B544" t="s">
        <v>63</v>
      </c>
      <c r="C544" t="s">
        <v>75</v>
      </c>
      <c r="D544">
        <v>2015</v>
      </c>
      <c r="E544" t="s">
        <v>35</v>
      </c>
      <c r="F544" s="10">
        <f>21000000*0.3</f>
        <v>6300000</v>
      </c>
    </row>
    <row r="545" spans="1:6" hidden="1" x14ac:dyDescent="0.25">
      <c r="A545" t="s">
        <v>61</v>
      </c>
      <c r="B545" t="s">
        <v>63</v>
      </c>
      <c r="C545" t="s">
        <v>75</v>
      </c>
      <c r="D545">
        <v>2015</v>
      </c>
      <c r="E545" t="s">
        <v>35</v>
      </c>
      <c r="F545" s="10">
        <f>21000000*0.57</f>
        <v>11969999.999999998</v>
      </c>
    </row>
    <row r="546" spans="1:6" hidden="1" x14ac:dyDescent="0.25">
      <c r="A546" t="s">
        <v>72</v>
      </c>
      <c r="B546" t="s">
        <v>63</v>
      </c>
      <c r="C546" t="s">
        <v>75</v>
      </c>
      <c r="D546">
        <v>2015</v>
      </c>
      <c r="E546" t="s">
        <v>35</v>
      </c>
      <c r="F546" s="10">
        <f>21000000*0.13</f>
        <v>2730000</v>
      </c>
    </row>
    <row r="547" spans="1:6" hidden="1" x14ac:dyDescent="0.25">
      <c r="A547" t="s">
        <v>62</v>
      </c>
      <c r="B547" t="s">
        <v>63</v>
      </c>
      <c r="C547" t="s">
        <v>75</v>
      </c>
      <c r="D547">
        <v>2015</v>
      </c>
      <c r="E547" t="s">
        <v>35</v>
      </c>
      <c r="F547">
        <v>0</v>
      </c>
    </row>
    <row r="548" spans="1:6" hidden="1" x14ac:dyDescent="0.25">
      <c r="A548" t="s">
        <v>60</v>
      </c>
      <c r="B548" t="s">
        <v>63</v>
      </c>
      <c r="C548" t="s">
        <v>75</v>
      </c>
      <c r="D548">
        <v>2025</v>
      </c>
      <c r="E548" t="s">
        <v>35</v>
      </c>
      <c r="F548" s="10">
        <f>21000000*0.3</f>
        <v>6300000</v>
      </c>
    </row>
    <row r="549" spans="1:6" hidden="1" x14ac:dyDescent="0.25">
      <c r="A549" t="s">
        <v>61</v>
      </c>
      <c r="B549" t="s">
        <v>63</v>
      </c>
      <c r="C549" t="s">
        <v>75</v>
      </c>
      <c r="D549">
        <v>2025</v>
      </c>
      <c r="E549" t="s">
        <v>35</v>
      </c>
      <c r="F549" s="10">
        <f>21000000*0.57</f>
        <v>11969999.999999998</v>
      </c>
    </row>
    <row r="550" spans="1:6" hidden="1" x14ac:dyDescent="0.25">
      <c r="A550" t="s">
        <v>72</v>
      </c>
      <c r="B550" t="s">
        <v>63</v>
      </c>
      <c r="C550" t="s">
        <v>75</v>
      </c>
      <c r="D550">
        <v>2025</v>
      </c>
      <c r="E550" t="s">
        <v>35</v>
      </c>
      <c r="F550" s="10">
        <f>21000000*0.13</f>
        <v>2730000</v>
      </c>
    </row>
    <row r="551" spans="1:6" hidden="1" x14ac:dyDescent="0.25">
      <c r="A551" t="s">
        <v>62</v>
      </c>
      <c r="B551" t="s">
        <v>63</v>
      </c>
      <c r="C551" t="s">
        <v>75</v>
      </c>
      <c r="D551">
        <v>2025</v>
      </c>
      <c r="E551" t="s">
        <v>35</v>
      </c>
      <c r="F551">
        <v>0</v>
      </c>
    </row>
    <row r="552" spans="1:6" hidden="1" x14ac:dyDescent="0.25">
      <c r="A552" t="s">
        <v>156</v>
      </c>
      <c r="B552" t="s">
        <v>63</v>
      </c>
      <c r="C552" t="s">
        <v>75</v>
      </c>
      <c r="D552">
        <v>2025</v>
      </c>
      <c r="E552" t="s">
        <v>35</v>
      </c>
      <c r="F552">
        <v>0</v>
      </c>
    </row>
    <row r="553" spans="1:6" hidden="1" x14ac:dyDescent="0.25">
      <c r="A553" t="s">
        <v>160</v>
      </c>
      <c r="B553" t="s">
        <v>63</v>
      </c>
      <c r="C553" t="s">
        <v>75</v>
      </c>
      <c r="D553">
        <v>2025</v>
      </c>
      <c r="E553" t="s">
        <v>35</v>
      </c>
      <c r="F553">
        <v>0</v>
      </c>
    </row>
    <row r="554" spans="1:6" hidden="1" x14ac:dyDescent="0.25">
      <c r="A554" t="s">
        <v>158</v>
      </c>
      <c r="B554" t="s">
        <v>63</v>
      </c>
      <c r="C554" t="s">
        <v>75</v>
      </c>
      <c r="D554">
        <v>2025</v>
      </c>
      <c r="E554" t="s">
        <v>35</v>
      </c>
      <c r="F554">
        <v>0</v>
      </c>
    </row>
    <row r="555" spans="1:6" hidden="1" x14ac:dyDescent="0.25">
      <c r="A555" t="s">
        <v>60</v>
      </c>
      <c r="B555" t="s">
        <v>63</v>
      </c>
      <c r="C555" t="s">
        <v>75</v>
      </c>
      <c r="D555">
        <v>2030</v>
      </c>
      <c r="E555" t="s">
        <v>35</v>
      </c>
      <c r="F555" s="10">
        <f>21000000*0.25</f>
        <v>5250000</v>
      </c>
    </row>
    <row r="556" spans="1:6" hidden="1" x14ac:dyDescent="0.25">
      <c r="A556" t="s">
        <v>61</v>
      </c>
      <c r="B556" t="s">
        <v>63</v>
      </c>
      <c r="C556" t="s">
        <v>75</v>
      </c>
      <c r="D556">
        <v>2030</v>
      </c>
      <c r="E556" t="s">
        <v>35</v>
      </c>
      <c r="F556" s="10">
        <f>21000000*0.5</f>
        <v>10500000</v>
      </c>
    </row>
    <row r="557" spans="1:6" hidden="1" x14ac:dyDescent="0.25">
      <c r="A557" t="s">
        <v>72</v>
      </c>
      <c r="B557" t="s">
        <v>63</v>
      </c>
      <c r="C557" t="s">
        <v>75</v>
      </c>
      <c r="D557">
        <v>2030</v>
      </c>
      <c r="E557" t="s">
        <v>35</v>
      </c>
      <c r="F557" s="10">
        <f>21000000*0.16</f>
        <v>3360000</v>
      </c>
    </row>
    <row r="558" spans="1:6" hidden="1" x14ac:dyDescent="0.25">
      <c r="A558" t="s">
        <v>62</v>
      </c>
      <c r="B558" t="s">
        <v>63</v>
      </c>
      <c r="C558" t="s">
        <v>75</v>
      </c>
      <c r="D558">
        <v>2030</v>
      </c>
      <c r="E558" t="s">
        <v>35</v>
      </c>
      <c r="F558">
        <f>21000000*0.09</f>
        <v>1890000</v>
      </c>
    </row>
    <row r="559" spans="1:6" hidden="1" x14ac:dyDescent="0.25">
      <c r="A559" t="s">
        <v>156</v>
      </c>
      <c r="B559" t="s">
        <v>63</v>
      </c>
      <c r="C559" t="s">
        <v>75</v>
      </c>
      <c r="D559">
        <v>2030</v>
      </c>
      <c r="E559" t="s">
        <v>35</v>
      </c>
      <c r="F559">
        <v>0</v>
      </c>
    </row>
    <row r="560" spans="1:6" hidden="1" x14ac:dyDescent="0.25">
      <c r="A560" t="s">
        <v>160</v>
      </c>
      <c r="B560" t="s">
        <v>63</v>
      </c>
      <c r="C560" t="s">
        <v>75</v>
      </c>
      <c r="D560">
        <v>2030</v>
      </c>
      <c r="E560" t="s">
        <v>35</v>
      </c>
      <c r="F560">
        <v>0</v>
      </c>
    </row>
    <row r="561" spans="1:6" hidden="1" x14ac:dyDescent="0.25">
      <c r="A561" t="s">
        <v>158</v>
      </c>
      <c r="B561" t="s">
        <v>63</v>
      </c>
      <c r="C561" t="s">
        <v>75</v>
      </c>
      <c r="D561">
        <v>2030</v>
      </c>
      <c r="E561" t="s">
        <v>35</v>
      </c>
      <c r="F561">
        <v>0</v>
      </c>
    </row>
    <row r="562" spans="1:6" hidden="1" x14ac:dyDescent="0.25">
      <c r="A562" t="s">
        <v>60</v>
      </c>
      <c r="B562" t="s">
        <v>63</v>
      </c>
      <c r="C562" t="s">
        <v>75</v>
      </c>
      <c r="D562">
        <v>2050</v>
      </c>
      <c r="E562" t="s">
        <v>35</v>
      </c>
      <c r="F562" s="10">
        <f>21000000*0.08</f>
        <v>1680000</v>
      </c>
    </row>
    <row r="563" spans="1:6" hidden="1" x14ac:dyDescent="0.25">
      <c r="A563" t="s">
        <v>61</v>
      </c>
      <c r="B563" t="s">
        <v>63</v>
      </c>
      <c r="C563" t="s">
        <v>75</v>
      </c>
      <c r="D563">
        <v>2050</v>
      </c>
      <c r="E563" t="s">
        <v>35</v>
      </c>
      <c r="F563" s="10">
        <f>21000000*0.1</f>
        <v>2100000</v>
      </c>
    </row>
    <row r="564" spans="1:6" hidden="1" x14ac:dyDescent="0.25">
      <c r="A564" t="s">
        <v>72</v>
      </c>
      <c r="B564" t="s">
        <v>63</v>
      </c>
      <c r="C564" t="s">
        <v>75</v>
      </c>
      <c r="D564">
        <v>2050</v>
      </c>
      <c r="E564" t="s">
        <v>35</v>
      </c>
      <c r="F564" s="10">
        <f>21000000*0.17</f>
        <v>3570000.0000000005</v>
      </c>
    </row>
    <row r="565" spans="1:6" hidden="1" x14ac:dyDescent="0.25">
      <c r="A565" t="s">
        <v>62</v>
      </c>
      <c r="B565" t="s">
        <v>63</v>
      </c>
      <c r="C565" t="s">
        <v>75</v>
      </c>
      <c r="D565">
        <v>2050</v>
      </c>
      <c r="E565" t="s">
        <v>35</v>
      </c>
      <c r="F565">
        <f>21000000*0.4</f>
        <v>8400000</v>
      </c>
    </row>
    <row r="566" spans="1:6" hidden="1" x14ac:dyDescent="0.25">
      <c r="A566" t="s">
        <v>156</v>
      </c>
      <c r="B566" t="s">
        <v>63</v>
      </c>
      <c r="C566" t="s">
        <v>75</v>
      </c>
      <c r="D566">
        <v>2050</v>
      </c>
      <c r="E566" t="s">
        <v>35</v>
      </c>
      <c r="F566">
        <f>21000000*0.05</f>
        <v>1050000</v>
      </c>
    </row>
    <row r="567" spans="1:6" hidden="1" x14ac:dyDescent="0.25">
      <c r="A567" t="s">
        <v>160</v>
      </c>
      <c r="B567" t="s">
        <v>63</v>
      </c>
      <c r="C567" t="s">
        <v>75</v>
      </c>
      <c r="D567">
        <v>2050</v>
      </c>
      <c r="E567" t="s">
        <v>35</v>
      </c>
      <c r="F567">
        <f>21000000*0.1</f>
        <v>2100000</v>
      </c>
    </row>
    <row r="568" spans="1:6" hidden="1" x14ac:dyDescent="0.25">
      <c r="A568" t="s">
        <v>158</v>
      </c>
      <c r="B568" t="s">
        <v>63</v>
      </c>
      <c r="C568" t="s">
        <v>75</v>
      </c>
      <c r="D568">
        <v>2050</v>
      </c>
      <c r="E568" t="s">
        <v>35</v>
      </c>
      <c r="F568">
        <f>21000000*0.1</f>
        <v>2100000</v>
      </c>
    </row>
    <row r="569" spans="1:6" hidden="1" x14ac:dyDescent="0.25">
      <c r="A569" t="s">
        <v>60</v>
      </c>
      <c r="B569" t="s">
        <v>63</v>
      </c>
      <c r="C569" t="s">
        <v>77</v>
      </c>
      <c r="D569">
        <v>2015</v>
      </c>
      <c r="E569" t="s">
        <v>35</v>
      </c>
      <c r="F569" s="10">
        <f>15000000*0.3</f>
        <v>4500000</v>
      </c>
    </row>
    <row r="570" spans="1:6" hidden="1" x14ac:dyDescent="0.25">
      <c r="A570" t="s">
        <v>61</v>
      </c>
      <c r="B570" t="s">
        <v>63</v>
      </c>
      <c r="C570" t="s">
        <v>77</v>
      </c>
      <c r="D570">
        <v>2015</v>
      </c>
      <c r="E570" t="s">
        <v>35</v>
      </c>
      <c r="F570" s="10">
        <f>15000000*0.57</f>
        <v>8550000</v>
      </c>
    </row>
    <row r="571" spans="1:6" hidden="1" x14ac:dyDescent="0.25">
      <c r="A571" t="s">
        <v>72</v>
      </c>
      <c r="B571" t="s">
        <v>63</v>
      </c>
      <c r="C571" t="s">
        <v>77</v>
      </c>
      <c r="D571">
        <v>2015</v>
      </c>
      <c r="E571" t="s">
        <v>35</v>
      </c>
      <c r="F571" s="10">
        <f>15000000*0.13</f>
        <v>1950000</v>
      </c>
    </row>
    <row r="572" spans="1:6" hidden="1" x14ac:dyDescent="0.25">
      <c r="A572" t="s">
        <v>62</v>
      </c>
      <c r="B572" t="s">
        <v>63</v>
      </c>
      <c r="C572" t="s">
        <v>77</v>
      </c>
      <c r="D572">
        <v>2015</v>
      </c>
      <c r="E572" t="s">
        <v>35</v>
      </c>
      <c r="F572">
        <v>0</v>
      </c>
    </row>
    <row r="573" spans="1:6" hidden="1" x14ac:dyDescent="0.25">
      <c r="A573" t="s">
        <v>60</v>
      </c>
      <c r="B573" t="s">
        <v>63</v>
      </c>
      <c r="C573" t="s">
        <v>77</v>
      </c>
      <c r="D573">
        <v>2025</v>
      </c>
      <c r="E573" t="s">
        <v>35</v>
      </c>
      <c r="F573" s="10">
        <f>15000000*0.3</f>
        <v>4500000</v>
      </c>
    </row>
    <row r="574" spans="1:6" hidden="1" x14ac:dyDescent="0.25">
      <c r="A574" t="s">
        <v>61</v>
      </c>
      <c r="B574" t="s">
        <v>63</v>
      </c>
      <c r="C574" t="s">
        <v>77</v>
      </c>
      <c r="D574">
        <v>2025</v>
      </c>
      <c r="E574" t="s">
        <v>35</v>
      </c>
      <c r="F574" s="10">
        <f>15000000*0.57</f>
        <v>8550000</v>
      </c>
    </row>
    <row r="575" spans="1:6" hidden="1" x14ac:dyDescent="0.25">
      <c r="A575" t="s">
        <v>72</v>
      </c>
      <c r="B575" t="s">
        <v>63</v>
      </c>
      <c r="C575" t="s">
        <v>77</v>
      </c>
      <c r="D575">
        <v>2025</v>
      </c>
      <c r="E575" t="s">
        <v>35</v>
      </c>
      <c r="F575" s="10">
        <f>15000000*0.13</f>
        <v>1950000</v>
      </c>
    </row>
    <row r="576" spans="1:6" hidden="1" x14ac:dyDescent="0.25">
      <c r="A576" t="s">
        <v>62</v>
      </c>
      <c r="B576" t="s">
        <v>63</v>
      </c>
      <c r="C576" t="s">
        <v>77</v>
      </c>
      <c r="D576">
        <v>2025</v>
      </c>
      <c r="E576" t="s">
        <v>35</v>
      </c>
      <c r="F576">
        <v>0</v>
      </c>
    </row>
    <row r="577" spans="1:6" hidden="1" x14ac:dyDescent="0.25">
      <c r="A577" t="s">
        <v>156</v>
      </c>
      <c r="B577" t="s">
        <v>63</v>
      </c>
      <c r="C577" t="s">
        <v>77</v>
      </c>
      <c r="D577">
        <v>2025</v>
      </c>
      <c r="E577" t="s">
        <v>35</v>
      </c>
      <c r="F577">
        <v>0</v>
      </c>
    </row>
    <row r="578" spans="1:6" hidden="1" x14ac:dyDescent="0.25">
      <c r="A578" t="s">
        <v>160</v>
      </c>
      <c r="B578" t="s">
        <v>63</v>
      </c>
      <c r="C578" t="s">
        <v>77</v>
      </c>
      <c r="D578">
        <v>2025</v>
      </c>
      <c r="E578" t="s">
        <v>35</v>
      </c>
      <c r="F578">
        <v>0</v>
      </c>
    </row>
    <row r="579" spans="1:6" hidden="1" x14ac:dyDescent="0.25">
      <c r="A579" t="s">
        <v>158</v>
      </c>
      <c r="B579" t="s">
        <v>63</v>
      </c>
      <c r="C579" t="s">
        <v>77</v>
      </c>
      <c r="D579">
        <v>2025</v>
      </c>
      <c r="E579" t="s">
        <v>35</v>
      </c>
      <c r="F579">
        <v>0</v>
      </c>
    </row>
    <row r="580" spans="1:6" hidden="1" x14ac:dyDescent="0.25">
      <c r="A580" t="s">
        <v>60</v>
      </c>
      <c r="B580" t="s">
        <v>63</v>
      </c>
      <c r="C580" t="s">
        <v>77</v>
      </c>
      <c r="D580">
        <v>2030</v>
      </c>
      <c r="E580" t="s">
        <v>35</v>
      </c>
      <c r="F580" s="10">
        <f>15000000*0.25</f>
        <v>3750000</v>
      </c>
    </row>
    <row r="581" spans="1:6" hidden="1" x14ac:dyDescent="0.25">
      <c r="A581" t="s">
        <v>61</v>
      </c>
      <c r="B581" t="s">
        <v>63</v>
      </c>
      <c r="C581" t="s">
        <v>77</v>
      </c>
      <c r="D581">
        <v>2030</v>
      </c>
      <c r="E581" t="s">
        <v>35</v>
      </c>
      <c r="F581" s="10">
        <f>15000000*0.5</f>
        <v>7500000</v>
      </c>
    </row>
    <row r="582" spans="1:6" hidden="1" x14ac:dyDescent="0.25">
      <c r="A582" t="s">
        <v>72</v>
      </c>
      <c r="B582" t="s">
        <v>63</v>
      </c>
      <c r="C582" t="s">
        <v>77</v>
      </c>
      <c r="D582">
        <v>2030</v>
      </c>
      <c r="E582" t="s">
        <v>35</v>
      </c>
      <c r="F582" s="10">
        <f>15000000*0.16</f>
        <v>2400000</v>
      </c>
    </row>
    <row r="583" spans="1:6" hidden="1" x14ac:dyDescent="0.25">
      <c r="A583" t="s">
        <v>62</v>
      </c>
      <c r="B583" t="s">
        <v>63</v>
      </c>
      <c r="C583" t="s">
        <v>77</v>
      </c>
      <c r="D583">
        <v>2030</v>
      </c>
      <c r="E583" t="s">
        <v>35</v>
      </c>
      <c r="F583">
        <f>15000000*0.09</f>
        <v>1350000</v>
      </c>
    </row>
    <row r="584" spans="1:6" hidden="1" x14ac:dyDescent="0.25">
      <c r="A584" t="s">
        <v>156</v>
      </c>
      <c r="B584" t="s">
        <v>63</v>
      </c>
      <c r="C584" t="s">
        <v>77</v>
      </c>
      <c r="D584">
        <v>2030</v>
      </c>
      <c r="E584" t="s">
        <v>35</v>
      </c>
      <c r="F584">
        <v>0</v>
      </c>
    </row>
    <row r="585" spans="1:6" hidden="1" x14ac:dyDescent="0.25">
      <c r="A585" t="s">
        <v>160</v>
      </c>
      <c r="B585" t="s">
        <v>63</v>
      </c>
      <c r="C585" t="s">
        <v>77</v>
      </c>
      <c r="D585">
        <v>2030</v>
      </c>
      <c r="E585" t="s">
        <v>35</v>
      </c>
      <c r="F585">
        <v>0</v>
      </c>
    </row>
    <row r="586" spans="1:6" hidden="1" x14ac:dyDescent="0.25">
      <c r="A586" t="s">
        <v>158</v>
      </c>
      <c r="B586" t="s">
        <v>63</v>
      </c>
      <c r="C586" t="s">
        <v>77</v>
      </c>
      <c r="D586">
        <v>2030</v>
      </c>
      <c r="E586" t="s">
        <v>35</v>
      </c>
      <c r="F586">
        <v>0</v>
      </c>
    </row>
    <row r="587" spans="1:6" hidden="1" x14ac:dyDescent="0.25">
      <c r="A587" t="s">
        <v>60</v>
      </c>
      <c r="B587" t="s">
        <v>63</v>
      </c>
      <c r="C587" t="s">
        <v>77</v>
      </c>
      <c r="D587">
        <v>2050</v>
      </c>
      <c r="E587" t="s">
        <v>35</v>
      </c>
      <c r="F587" s="10">
        <f>15000000*0.08</f>
        <v>1200000</v>
      </c>
    </row>
    <row r="588" spans="1:6" hidden="1" x14ac:dyDescent="0.25">
      <c r="A588" t="s">
        <v>61</v>
      </c>
      <c r="B588" t="s">
        <v>63</v>
      </c>
      <c r="C588" t="s">
        <v>77</v>
      </c>
      <c r="D588">
        <v>2050</v>
      </c>
      <c r="E588" t="s">
        <v>35</v>
      </c>
      <c r="F588" s="10">
        <f>15000000*0.1</f>
        <v>1500000</v>
      </c>
    </row>
    <row r="589" spans="1:6" hidden="1" x14ac:dyDescent="0.25">
      <c r="A589" t="s">
        <v>72</v>
      </c>
      <c r="B589" t="s">
        <v>63</v>
      </c>
      <c r="C589" t="s">
        <v>77</v>
      </c>
      <c r="D589">
        <v>2050</v>
      </c>
      <c r="E589" t="s">
        <v>35</v>
      </c>
      <c r="F589" s="10">
        <f>15000000*0.17</f>
        <v>2550000</v>
      </c>
    </row>
    <row r="590" spans="1:6" hidden="1" x14ac:dyDescent="0.25">
      <c r="A590" t="s">
        <v>62</v>
      </c>
      <c r="B590" t="s">
        <v>63</v>
      </c>
      <c r="C590" t="s">
        <v>77</v>
      </c>
      <c r="D590">
        <v>2050</v>
      </c>
      <c r="E590" t="s">
        <v>35</v>
      </c>
      <c r="F590">
        <f>15000000*0.4</f>
        <v>6000000</v>
      </c>
    </row>
    <row r="591" spans="1:6" hidden="1" x14ac:dyDescent="0.25">
      <c r="A591" t="s">
        <v>156</v>
      </c>
      <c r="B591" t="s">
        <v>63</v>
      </c>
      <c r="C591" t="s">
        <v>77</v>
      </c>
      <c r="D591">
        <v>2050</v>
      </c>
      <c r="E591" t="s">
        <v>35</v>
      </c>
      <c r="F591">
        <f>15000000*0.05</f>
        <v>750000</v>
      </c>
    </row>
    <row r="592" spans="1:6" hidden="1" x14ac:dyDescent="0.25">
      <c r="A592" t="s">
        <v>160</v>
      </c>
      <c r="B592" t="s">
        <v>63</v>
      </c>
      <c r="C592" t="s">
        <v>77</v>
      </c>
      <c r="D592">
        <v>2050</v>
      </c>
      <c r="E592" t="s">
        <v>35</v>
      </c>
      <c r="F592">
        <f>15000000*0.1</f>
        <v>1500000</v>
      </c>
    </row>
    <row r="593" spans="1:6" hidden="1" x14ac:dyDescent="0.25">
      <c r="A593" t="s">
        <v>158</v>
      </c>
      <c r="B593" t="s">
        <v>63</v>
      </c>
      <c r="C593" t="s">
        <v>77</v>
      </c>
      <c r="D593">
        <v>2050</v>
      </c>
      <c r="E593" t="s">
        <v>35</v>
      </c>
      <c r="F593">
        <f>15000000*0.1</f>
        <v>1500000</v>
      </c>
    </row>
    <row r="594" spans="1:6" hidden="1" x14ac:dyDescent="0.25">
      <c r="A594" t="s">
        <v>60</v>
      </c>
      <c r="B594" t="s">
        <v>63</v>
      </c>
      <c r="C594" t="s">
        <v>78</v>
      </c>
      <c r="D594">
        <v>2015</v>
      </c>
      <c r="E594" t="s">
        <v>35</v>
      </c>
      <c r="F594" s="10">
        <f>6500000*0.3</f>
        <v>1950000</v>
      </c>
    </row>
    <row r="595" spans="1:6" hidden="1" x14ac:dyDescent="0.25">
      <c r="A595" t="s">
        <v>61</v>
      </c>
      <c r="B595" t="s">
        <v>63</v>
      </c>
      <c r="C595" t="s">
        <v>78</v>
      </c>
      <c r="D595">
        <v>2015</v>
      </c>
      <c r="E595" t="s">
        <v>35</v>
      </c>
      <c r="F595" s="10">
        <f>6500000*0.57</f>
        <v>3704999.9999999995</v>
      </c>
    </row>
    <row r="596" spans="1:6" hidden="1" x14ac:dyDescent="0.25">
      <c r="A596" t="s">
        <v>72</v>
      </c>
      <c r="B596" t="s">
        <v>63</v>
      </c>
      <c r="C596" t="s">
        <v>78</v>
      </c>
      <c r="D596">
        <v>2015</v>
      </c>
      <c r="E596" t="s">
        <v>35</v>
      </c>
      <c r="F596" s="10">
        <f>6500000*0.13</f>
        <v>845000</v>
      </c>
    </row>
    <row r="597" spans="1:6" hidden="1" x14ac:dyDescent="0.25">
      <c r="A597" t="s">
        <v>62</v>
      </c>
      <c r="B597" t="s">
        <v>63</v>
      </c>
      <c r="C597" t="s">
        <v>78</v>
      </c>
      <c r="D597">
        <v>2015</v>
      </c>
      <c r="E597" t="s">
        <v>35</v>
      </c>
      <c r="F597">
        <v>0</v>
      </c>
    </row>
    <row r="598" spans="1:6" hidden="1" x14ac:dyDescent="0.25">
      <c r="A598" t="s">
        <v>60</v>
      </c>
      <c r="B598" t="s">
        <v>63</v>
      </c>
      <c r="C598" t="s">
        <v>78</v>
      </c>
      <c r="D598">
        <v>2025</v>
      </c>
      <c r="E598" t="s">
        <v>35</v>
      </c>
      <c r="F598" s="10">
        <f>6500000*0.3</f>
        <v>1950000</v>
      </c>
    </row>
    <row r="599" spans="1:6" hidden="1" x14ac:dyDescent="0.25">
      <c r="A599" t="s">
        <v>61</v>
      </c>
      <c r="B599" t="s">
        <v>63</v>
      </c>
      <c r="C599" t="s">
        <v>78</v>
      </c>
      <c r="D599">
        <v>2025</v>
      </c>
      <c r="E599" t="s">
        <v>35</v>
      </c>
      <c r="F599" s="10">
        <f>6500000*0.57</f>
        <v>3704999.9999999995</v>
      </c>
    </row>
    <row r="600" spans="1:6" hidden="1" x14ac:dyDescent="0.25">
      <c r="A600" t="s">
        <v>72</v>
      </c>
      <c r="B600" t="s">
        <v>63</v>
      </c>
      <c r="C600" t="s">
        <v>78</v>
      </c>
      <c r="D600">
        <v>2025</v>
      </c>
      <c r="E600" t="s">
        <v>35</v>
      </c>
      <c r="F600" s="10">
        <f>6500000*0.13</f>
        <v>845000</v>
      </c>
    </row>
    <row r="601" spans="1:6" hidden="1" x14ac:dyDescent="0.25">
      <c r="A601" t="s">
        <v>62</v>
      </c>
      <c r="B601" t="s">
        <v>63</v>
      </c>
      <c r="C601" t="s">
        <v>78</v>
      </c>
      <c r="D601">
        <v>2025</v>
      </c>
      <c r="E601" t="s">
        <v>35</v>
      </c>
      <c r="F601">
        <v>0</v>
      </c>
    </row>
    <row r="602" spans="1:6" hidden="1" x14ac:dyDescent="0.25">
      <c r="A602" t="s">
        <v>156</v>
      </c>
      <c r="B602" t="s">
        <v>63</v>
      </c>
      <c r="C602" t="s">
        <v>78</v>
      </c>
      <c r="D602">
        <v>2025</v>
      </c>
      <c r="E602" t="s">
        <v>35</v>
      </c>
      <c r="F602">
        <v>0</v>
      </c>
    </row>
    <row r="603" spans="1:6" hidden="1" x14ac:dyDescent="0.25">
      <c r="A603" t="s">
        <v>160</v>
      </c>
      <c r="B603" t="s">
        <v>63</v>
      </c>
      <c r="C603" t="s">
        <v>78</v>
      </c>
      <c r="D603">
        <v>2025</v>
      </c>
      <c r="E603" t="s">
        <v>35</v>
      </c>
      <c r="F603">
        <v>0</v>
      </c>
    </row>
    <row r="604" spans="1:6" hidden="1" x14ac:dyDescent="0.25">
      <c r="A604" t="s">
        <v>158</v>
      </c>
      <c r="B604" t="s">
        <v>63</v>
      </c>
      <c r="C604" t="s">
        <v>78</v>
      </c>
      <c r="D604">
        <v>2025</v>
      </c>
      <c r="E604" t="s">
        <v>35</v>
      </c>
      <c r="F604">
        <v>0</v>
      </c>
    </row>
    <row r="605" spans="1:6" hidden="1" x14ac:dyDescent="0.25">
      <c r="A605" t="s">
        <v>60</v>
      </c>
      <c r="B605" t="s">
        <v>63</v>
      </c>
      <c r="C605" t="s">
        <v>78</v>
      </c>
      <c r="D605">
        <v>2030</v>
      </c>
      <c r="E605" t="s">
        <v>35</v>
      </c>
      <c r="F605" s="10">
        <f>6500000*0.25</f>
        <v>1625000</v>
      </c>
    </row>
    <row r="606" spans="1:6" hidden="1" x14ac:dyDescent="0.25">
      <c r="A606" t="s">
        <v>61</v>
      </c>
      <c r="B606" t="s">
        <v>63</v>
      </c>
      <c r="C606" t="s">
        <v>78</v>
      </c>
      <c r="D606">
        <v>2030</v>
      </c>
      <c r="E606" t="s">
        <v>35</v>
      </c>
      <c r="F606" s="10">
        <f>6500000*0.5</f>
        <v>3250000</v>
      </c>
    </row>
    <row r="607" spans="1:6" hidden="1" x14ac:dyDescent="0.25">
      <c r="A607" t="s">
        <v>72</v>
      </c>
      <c r="B607" t="s">
        <v>63</v>
      </c>
      <c r="C607" t="s">
        <v>78</v>
      </c>
      <c r="D607">
        <v>2030</v>
      </c>
      <c r="E607" t="s">
        <v>35</v>
      </c>
      <c r="F607" s="10">
        <f>6500000*0.16</f>
        <v>1040000</v>
      </c>
    </row>
    <row r="608" spans="1:6" hidden="1" x14ac:dyDescent="0.25">
      <c r="A608" t="s">
        <v>62</v>
      </c>
      <c r="B608" t="s">
        <v>63</v>
      </c>
      <c r="C608" t="s">
        <v>78</v>
      </c>
      <c r="D608">
        <v>2030</v>
      </c>
      <c r="E608" t="s">
        <v>35</v>
      </c>
      <c r="F608">
        <f>6500000*0.09</f>
        <v>585000</v>
      </c>
    </row>
    <row r="609" spans="1:6" hidden="1" x14ac:dyDescent="0.25">
      <c r="A609" t="s">
        <v>156</v>
      </c>
      <c r="B609" t="s">
        <v>63</v>
      </c>
      <c r="C609" t="s">
        <v>78</v>
      </c>
      <c r="D609">
        <v>2030</v>
      </c>
      <c r="E609" t="s">
        <v>35</v>
      </c>
      <c r="F609">
        <v>0</v>
      </c>
    </row>
    <row r="610" spans="1:6" hidden="1" x14ac:dyDescent="0.25">
      <c r="A610" t="s">
        <v>160</v>
      </c>
      <c r="B610" t="s">
        <v>63</v>
      </c>
      <c r="C610" t="s">
        <v>78</v>
      </c>
      <c r="D610">
        <v>2030</v>
      </c>
      <c r="E610" t="s">
        <v>35</v>
      </c>
      <c r="F610">
        <v>0</v>
      </c>
    </row>
    <row r="611" spans="1:6" hidden="1" x14ac:dyDescent="0.25">
      <c r="A611" t="s">
        <v>158</v>
      </c>
      <c r="B611" t="s">
        <v>63</v>
      </c>
      <c r="C611" t="s">
        <v>78</v>
      </c>
      <c r="D611">
        <v>2030</v>
      </c>
      <c r="E611" t="s">
        <v>35</v>
      </c>
      <c r="F611">
        <v>0</v>
      </c>
    </row>
    <row r="612" spans="1:6" hidden="1" x14ac:dyDescent="0.25">
      <c r="A612" t="s">
        <v>60</v>
      </c>
      <c r="B612" t="s">
        <v>63</v>
      </c>
      <c r="C612" t="s">
        <v>78</v>
      </c>
      <c r="D612">
        <v>2050</v>
      </c>
      <c r="E612" t="s">
        <v>35</v>
      </c>
      <c r="F612" s="10">
        <f>6500000*0.08</f>
        <v>520000</v>
      </c>
    </row>
    <row r="613" spans="1:6" hidden="1" x14ac:dyDescent="0.25">
      <c r="A613" t="s">
        <v>61</v>
      </c>
      <c r="B613" t="s">
        <v>63</v>
      </c>
      <c r="C613" t="s">
        <v>78</v>
      </c>
      <c r="D613">
        <v>2050</v>
      </c>
      <c r="E613" t="s">
        <v>35</v>
      </c>
      <c r="F613" s="10">
        <f>6500000*0.1</f>
        <v>650000</v>
      </c>
    </row>
    <row r="614" spans="1:6" hidden="1" x14ac:dyDescent="0.25">
      <c r="A614" t="s">
        <v>72</v>
      </c>
      <c r="B614" t="s">
        <v>63</v>
      </c>
      <c r="C614" t="s">
        <v>78</v>
      </c>
      <c r="D614">
        <v>2050</v>
      </c>
      <c r="E614" t="s">
        <v>35</v>
      </c>
      <c r="F614" s="10">
        <f>6500000*0.17</f>
        <v>1105000</v>
      </c>
    </row>
    <row r="615" spans="1:6" hidden="1" x14ac:dyDescent="0.25">
      <c r="A615" t="s">
        <v>62</v>
      </c>
      <c r="B615" t="s">
        <v>63</v>
      </c>
      <c r="C615" t="s">
        <v>78</v>
      </c>
      <c r="D615">
        <v>2050</v>
      </c>
      <c r="E615" t="s">
        <v>35</v>
      </c>
      <c r="F615">
        <f>6500000*0.4</f>
        <v>2600000</v>
      </c>
    </row>
    <row r="616" spans="1:6" hidden="1" x14ac:dyDescent="0.25">
      <c r="A616" t="s">
        <v>156</v>
      </c>
      <c r="B616" t="s">
        <v>63</v>
      </c>
      <c r="C616" t="s">
        <v>78</v>
      </c>
      <c r="D616">
        <v>2050</v>
      </c>
      <c r="E616" t="s">
        <v>35</v>
      </c>
      <c r="F616">
        <f>6500000*0.05</f>
        <v>325000</v>
      </c>
    </row>
    <row r="617" spans="1:6" hidden="1" x14ac:dyDescent="0.25">
      <c r="A617" t="s">
        <v>160</v>
      </c>
      <c r="B617" t="s">
        <v>63</v>
      </c>
      <c r="C617" t="s">
        <v>78</v>
      </c>
      <c r="D617">
        <v>2050</v>
      </c>
      <c r="E617" t="s">
        <v>35</v>
      </c>
      <c r="F617">
        <f>6500000*0.1</f>
        <v>650000</v>
      </c>
    </row>
    <row r="618" spans="1:6" hidden="1" x14ac:dyDescent="0.25">
      <c r="A618" t="s">
        <v>158</v>
      </c>
      <c r="B618" t="s">
        <v>63</v>
      </c>
      <c r="C618" t="s">
        <v>78</v>
      </c>
      <c r="D618">
        <v>2050</v>
      </c>
      <c r="E618" t="s">
        <v>35</v>
      </c>
      <c r="F618">
        <f>6500000*0.1</f>
        <v>650000</v>
      </c>
    </row>
    <row r="619" spans="1:6" hidden="1" x14ac:dyDescent="0.25">
      <c r="A619" t="s">
        <v>60</v>
      </c>
      <c r="B619" t="s">
        <v>63</v>
      </c>
      <c r="C619" t="s">
        <v>76</v>
      </c>
      <c r="D619">
        <v>2015</v>
      </c>
      <c r="E619" t="s">
        <v>35</v>
      </c>
      <c r="F619" s="10">
        <f>11000000*0.3</f>
        <v>3300000</v>
      </c>
    </row>
    <row r="620" spans="1:6" hidden="1" x14ac:dyDescent="0.25">
      <c r="A620" t="s">
        <v>61</v>
      </c>
      <c r="B620" t="s">
        <v>63</v>
      </c>
      <c r="C620" t="s">
        <v>76</v>
      </c>
      <c r="D620">
        <v>2015</v>
      </c>
      <c r="E620" t="s">
        <v>35</v>
      </c>
      <c r="F620" s="10">
        <f>11000000*0.57</f>
        <v>6269999.9999999991</v>
      </c>
    </row>
    <row r="621" spans="1:6" hidden="1" x14ac:dyDescent="0.25">
      <c r="A621" t="s">
        <v>72</v>
      </c>
      <c r="B621" t="s">
        <v>63</v>
      </c>
      <c r="C621" t="s">
        <v>76</v>
      </c>
      <c r="D621">
        <v>2015</v>
      </c>
      <c r="E621" t="s">
        <v>35</v>
      </c>
      <c r="F621" s="10">
        <f>11000000*0.13</f>
        <v>1430000</v>
      </c>
    </row>
    <row r="622" spans="1:6" hidden="1" x14ac:dyDescent="0.25">
      <c r="A622" t="s">
        <v>62</v>
      </c>
      <c r="B622" t="s">
        <v>63</v>
      </c>
      <c r="C622" t="s">
        <v>76</v>
      </c>
      <c r="D622">
        <v>2015</v>
      </c>
      <c r="E622" t="s">
        <v>35</v>
      </c>
      <c r="F622">
        <v>0</v>
      </c>
    </row>
    <row r="623" spans="1:6" hidden="1" x14ac:dyDescent="0.25">
      <c r="A623" t="s">
        <v>60</v>
      </c>
      <c r="B623" t="s">
        <v>63</v>
      </c>
      <c r="C623" t="s">
        <v>76</v>
      </c>
      <c r="D623">
        <v>2025</v>
      </c>
      <c r="E623" t="s">
        <v>35</v>
      </c>
      <c r="F623" s="10">
        <f>11000000*0.3</f>
        <v>3300000</v>
      </c>
    </row>
    <row r="624" spans="1:6" hidden="1" x14ac:dyDescent="0.25">
      <c r="A624" t="s">
        <v>61</v>
      </c>
      <c r="B624" t="s">
        <v>63</v>
      </c>
      <c r="C624" t="s">
        <v>76</v>
      </c>
      <c r="D624">
        <v>2025</v>
      </c>
      <c r="E624" t="s">
        <v>35</v>
      </c>
      <c r="F624" s="10">
        <f>11000000*0.57</f>
        <v>6269999.9999999991</v>
      </c>
    </row>
    <row r="625" spans="1:6" hidden="1" x14ac:dyDescent="0.25">
      <c r="A625" t="s">
        <v>72</v>
      </c>
      <c r="B625" t="s">
        <v>63</v>
      </c>
      <c r="C625" t="s">
        <v>76</v>
      </c>
      <c r="D625">
        <v>2025</v>
      </c>
      <c r="E625" t="s">
        <v>35</v>
      </c>
      <c r="F625" s="10">
        <f>11000000*0.13</f>
        <v>1430000</v>
      </c>
    </row>
    <row r="626" spans="1:6" hidden="1" x14ac:dyDescent="0.25">
      <c r="A626" t="s">
        <v>62</v>
      </c>
      <c r="B626" t="s">
        <v>63</v>
      </c>
      <c r="C626" t="s">
        <v>76</v>
      </c>
      <c r="D626">
        <v>2025</v>
      </c>
      <c r="E626" t="s">
        <v>35</v>
      </c>
      <c r="F626">
        <v>0</v>
      </c>
    </row>
    <row r="627" spans="1:6" hidden="1" x14ac:dyDescent="0.25">
      <c r="A627" t="s">
        <v>156</v>
      </c>
      <c r="B627" t="s">
        <v>63</v>
      </c>
      <c r="C627" t="s">
        <v>76</v>
      </c>
      <c r="D627">
        <v>2025</v>
      </c>
      <c r="E627" t="s">
        <v>35</v>
      </c>
      <c r="F627">
        <v>0</v>
      </c>
    </row>
    <row r="628" spans="1:6" hidden="1" x14ac:dyDescent="0.25">
      <c r="A628" t="s">
        <v>160</v>
      </c>
      <c r="B628" t="s">
        <v>63</v>
      </c>
      <c r="C628" t="s">
        <v>76</v>
      </c>
      <c r="D628">
        <v>2025</v>
      </c>
      <c r="E628" t="s">
        <v>35</v>
      </c>
      <c r="F628">
        <v>0</v>
      </c>
    </row>
    <row r="629" spans="1:6" hidden="1" x14ac:dyDescent="0.25">
      <c r="A629" t="s">
        <v>158</v>
      </c>
      <c r="B629" t="s">
        <v>63</v>
      </c>
      <c r="C629" t="s">
        <v>76</v>
      </c>
      <c r="D629">
        <v>2025</v>
      </c>
      <c r="E629" t="s">
        <v>35</v>
      </c>
      <c r="F629">
        <v>0</v>
      </c>
    </row>
    <row r="630" spans="1:6" hidden="1" x14ac:dyDescent="0.25">
      <c r="A630" t="s">
        <v>60</v>
      </c>
      <c r="B630" t="s">
        <v>63</v>
      </c>
      <c r="C630" t="s">
        <v>76</v>
      </c>
      <c r="D630">
        <v>2030</v>
      </c>
      <c r="E630" t="s">
        <v>35</v>
      </c>
      <c r="F630" s="10">
        <f>11000000*0.25</f>
        <v>2750000</v>
      </c>
    </row>
    <row r="631" spans="1:6" hidden="1" x14ac:dyDescent="0.25">
      <c r="A631" t="s">
        <v>61</v>
      </c>
      <c r="B631" t="s">
        <v>63</v>
      </c>
      <c r="C631" t="s">
        <v>76</v>
      </c>
      <c r="D631">
        <v>2030</v>
      </c>
      <c r="E631" t="s">
        <v>35</v>
      </c>
      <c r="F631" s="10">
        <f>11000000*0.5</f>
        <v>5500000</v>
      </c>
    </row>
    <row r="632" spans="1:6" hidden="1" x14ac:dyDescent="0.25">
      <c r="A632" t="s">
        <v>72</v>
      </c>
      <c r="B632" t="s">
        <v>63</v>
      </c>
      <c r="C632" t="s">
        <v>76</v>
      </c>
      <c r="D632">
        <v>2030</v>
      </c>
      <c r="E632" t="s">
        <v>35</v>
      </c>
      <c r="F632" s="10">
        <f>11000000*0.16</f>
        <v>1760000</v>
      </c>
    </row>
    <row r="633" spans="1:6" hidden="1" x14ac:dyDescent="0.25">
      <c r="A633" t="s">
        <v>62</v>
      </c>
      <c r="B633" t="s">
        <v>63</v>
      </c>
      <c r="C633" t="s">
        <v>76</v>
      </c>
      <c r="D633">
        <v>2030</v>
      </c>
      <c r="E633" t="s">
        <v>35</v>
      </c>
      <c r="F633">
        <f>11000000*0.09</f>
        <v>990000</v>
      </c>
    </row>
    <row r="634" spans="1:6" hidden="1" x14ac:dyDescent="0.25">
      <c r="A634" t="s">
        <v>156</v>
      </c>
      <c r="B634" t="s">
        <v>63</v>
      </c>
      <c r="C634" t="s">
        <v>76</v>
      </c>
      <c r="D634">
        <v>2030</v>
      </c>
      <c r="E634" t="s">
        <v>35</v>
      </c>
      <c r="F634">
        <v>0</v>
      </c>
    </row>
    <row r="635" spans="1:6" hidden="1" x14ac:dyDescent="0.25">
      <c r="A635" t="s">
        <v>160</v>
      </c>
      <c r="B635" t="s">
        <v>63</v>
      </c>
      <c r="C635" t="s">
        <v>76</v>
      </c>
      <c r="D635">
        <v>2030</v>
      </c>
      <c r="E635" t="s">
        <v>35</v>
      </c>
      <c r="F635">
        <v>0</v>
      </c>
    </row>
    <row r="636" spans="1:6" hidden="1" x14ac:dyDescent="0.25">
      <c r="A636" t="s">
        <v>158</v>
      </c>
      <c r="B636" t="s">
        <v>63</v>
      </c>
      <c r="C636" t="s">
        <v>76</v>
      </c>
      <c r="D636">
        <v>2030</v>
      </c>
      <c r="E636" t="s">
        <v>35</v>
      </c>
      <c r="F636">
        <v>0</v>
      </c>
    </row>
    <row r="637" spans="1:6" hidden="1" x14ac:dyDescent="0.25">
      <c r="A637" t="s">
        <v>60</v>
      </c>
      <c r="B637" t="s">
        <v>63</v>
      </c>
      <c r="C637" t="s">
        <v>76</v>
      </c>
      <c r="D637">
        <v>2050</v>
      </c>
      <c r="E637" t="s">
        <v>35</v>
      </c>
      <c r="F637" s="10">
        <f>11000000*0.08</f>
        <v>880000</v>
      </c>
    </row>
    <row r="638" spans="1:6" hidden="1" x14ac:dyDescent="0.25">
      <c r="A638" t="s">
        <v>61</v>
      </c>
      <c r="B638" t="s">
        <v>63</v>
      </c>
      <c r="C638" t="s">
        <v>76</v>
      </c>
      <c r="D638">
        <v>2050</v>
      </c>
      <c r="E638" t="s">
        <v>35</v>
      </c>
      <c r="F638" s="10">
        <f>11000000*0.1</f>
        <v>1100000</v>
      </c>
    </row>
    <row r="639" spans="1:6" hidden="1" x14ac:dyDescent="0.25">
      <c r="A639" t="s">
        <v>72</v>
      </c>
      <c r="B639" t="s">
        <v>63</v>
      </c>
      <c r="C639" t="s">
        <v>76</v>
      </c>
      <c r="D639">
        <v>2050</v>
      </c>
      <c r="E639" t="s">
        <v>35</v>
      </c>
      <c r="F639" s="10">
        <f>11000000*0.17</f>
        <v>1870000.0000000002</v>
      </c>
    </row>
    <row r="640" spans="1:6" hidden="1" x14ac:dyDescent="0.25">
      <c r="A640" t="s">
        <v>62</v>
      </c>
      <c r="B640" t="s">
        <v>63</v>
      </c>
      <c r="C640" t="s">
        <v>76</v>
      </c>
      <c r="D640">
        <v>2050</v>
      </c>
      <c r="E640" t="s">
        <v>35</v>
      </c>
      <c r="F640">
        <f>11000000*0.4</f>
        <v>4400000</v>
      </c>
    </row>
    <row r="641" spans="1:6" hidden="1" x14ac:dyDescent="0.25">
      <c r="A641" t="s">
        <v>156</v>
      </c>
      <c r="B641" t="s">
        <v>63</v>
      </c>
      <c r="C641" t="s">
        <v>76</v>
      </c>
      <c r="D641">
        <v>2050</v>
      </c>
      <c r="E641" t="s">
        <v>35</v>
      </c>
      <c r="F641">
        <f>11000000*0.05</f>
        <v>550000</v>
      </c>
    </row>
    <row r="642" spans="1:6" hidden="1" x14ac:dyDescent="0.25">
      <c r="A642" t="s">
        <v>160</v>
      </c>
      <c r="B642" t="s">
        <v>63</v>
      </c>
      <c r="C642" t="s">
        <v>76</v>
      </c>
      <c r="D642">
        <v>2050</v>
      </c>
      <c r="E642" t="s">
        <v>35</v>
      </c>
      <c r="F642">
        <f>11000000*0.1</f>
        <v>1100000</v>
      </c>
    </row>
    <row r="643" spans="1:6" hidden="1" x14ac:dyDescent="0.25">
      <c r="A643" t="s">
        <v>158</v>
      </c>
      <c r="B643" t="s">
        <v>63</v>
      </c>
      <c r="C643" t="s">
        <v>76</v>
      </c>
      <c r="D643">
        <v>2050</v>
      </c>
      <c r="E643" t="s">
        <v>35</v>
      </c>
      <c r="F643">
        <f>11000000*0.1</f>
        <v>1100000</v>
      </c>
    </row>
    <row r="644" spans="1:6" hidden="1" x14ac:dyDescent="0.25">
      <c r="A644" s="27" t="s">
        <v>9</v>
      </c>
      <c r="B644" s="27" t="s">
        <v>153</v>
      </c>
      <c r="C644" s="27"/>
      <c r="D644" s="27"/>
      <c r="E644" s="27" t="s">
        <v>58</v>
      </c>
      <c r="F644" s="27">
        <v>1</v>
      </c>
    </row>
    <row r="645" spans="1:6" hidden="1" x14ac:dyDescent="0.25">
      <c r="A645" t="s">
        <v>127</v>
      </c>
      <c r="B645" t="s">
        <v>118</v>
      </c>
      <c r="C645" t="s">
        <v>23</v>
      </c>
      <c r="D645">
        <v>2025</v>
      </c>
      <c r="E645" t="s">
        <v>35</v>
      </c>
      <c r="F645">
        <v>3300000</v>
      </c>
    </row>
    <row r="646" spans="1:6" hidden="1" x14ac:dyDescent="0.25">
      <c r="A646" t="s">
        <v>128</v>
      </c>
      <c r="B646" t="s">
        <v>118</v>
      </c>
      <c r="C646" t="s">
        <v>23</v>
      </c>
      <c r="D646">
        <v>2025</v>
      </c>
      <c r="E646" t="s">
        <v>35</v>
      </c>
      <c r="F646">
        <v>1700000.0000000002</v>
      </c>
    </row>
    <row r="647" spans="1:6" hidden="1" x14ac:dyDescent="0.25">
      <c r="A647" t="s">
        <v>127</v>
      </c>
      <c r="B647" t="s">
        <v>118</v>
      </c>
      <c r="C647" t="s">
        <v>24</v>
      </c>
      <c r="D647">
        <v>2025</v>
      </c>
      <c r="E647" t="s">
        <v>35</v>
      </c>
      <c r="F647">
        <v>5610000</v>
      </c>
    </row>
    <row r="648" spans="1:6" hidden="1" x14ac:dyDescent="0.25">
      <c r="A648" t="s">
        <v>128</v>
      </c>
      <c r="B648" t="s">
        <v>118</v>
      </c>
      <c r="C648" t="s">
        <v>24</v>
      </c>
      <c r="D648">
        <v>2025</v>
      </c>
      <c r="E648" t="s">
        <v>35</v>
      </c>
      <c r="F648">
        <v>2890000</v>
      </c>
    </row>
    <row r="649" spans="1:6" hidden="1" x14ac:dyDescent="0.25">
      <c r="A649" t="s">
        <v>127</v>
      </c>
      <c r="B649" t="s">
        <v>118</v>
      </c>
      <c r="C649" t="s">
        <v>75</v>
      </c>
      <c r="D649">
        <v>2025</v>
      </c>
      <c r="E649" t="s">
        <v>35</v>
      </c>
      <c r="F649">
        <v>3300000</v>
      </c>
    </row>
    <row r="650" spans="1:6" hidden="1" x14ac:dyDescent="0.25">
      <c r="A650" t="s">
        <v>128</v>
      </c>
      <c r="B650" t="s">
        <v>118</v>
      </c>
      <c r="C650" t="s">
        <v>75</v>
      </c>
      <c r="D650">
        <v>2025</v>
      </c>
      <c r="E650" t="s">
        <v>35</v>
      </c>
      <c r="F650">
        <v>1700000.0000000002</v>
      </c>
    </row>
    <row r="651" spans="1:6" hidden="1" x14ac:dyDescent="0.25">
      <c r="A651" t="s">
        <v>127</v>
      </c>
      <c r="B651" t="s">
        <v>118</v>
      </c>
      <c r="C651" t="s">
        <v>77</v>
      </c>
      <c r="D651">
        <v>2025</v>
      </c>
      <c r="E651" t="s">
        <v>35</v>
      </c>
      <c r="F651">
        <v>2970000</v>
      </c>
    </row>
    <row r="652" spans="1:6" hidden="1" x14ac:dyDescent="0.25">
      <c r="A652" t="s">
        <v>128</v>
      </c>
      <c r="B652" t="s">
        <v>118</v>
      </c>
      <c r="C652" t="s">
        <v>77</v>
      </c>
      <c r="D652">
        <v>2025</v>
      </c>
      <c r="E652" t="s">
        <v>35</v>
      </c>
      <c r="F652">
        <v>1530000</v>
      </c>
    </row>
    <row r="653" spans="1:6" hidden="1" x14ac:dyDescent="0.25">
      <c r="A653" t="s">
        <v>127</v>
      </c>
      <c r="B653" t="s">
        <v>118</v>
      </c>
      <c r="C653" t="s">
        <v>78</v>
      </c>
      <c r="D653">
        <v>2025</v>
      </c>
      <c r="E653" t="s">
        <v>35</v>
      </c>
      <c r="F653">
        <v>990000</v>
      </c>
    </row>
    <row r="654" spans="1:6" hidden="1" x14ac:dyDescent="0.25">
      <c r="A654" t="s">
        <v>128</v>
      </c>
      <c r="B654" t="s">
        <v>118</v>
      </c>
      <c r="C654" t="s">
        <v>78</v>
      </c>
      <c r="D654">
        <v>2025</v>
      </c>
      <c r="E654" t="s">
        <v>35</v>
      </c>
      <c r="F654">
        <v>510000.00000000006</v>
      </c>
    </row>
    <row r="655" spans="1:6" hidden="1" x14ac:dyDescent="0.25">
      <c r="A655" t="s">
        <v>127</v>
      </c>
      <c r="B655" t="s">
        <v>118</v>
      </c>
      <c r="C655" t="s">
        <v>76</v>
      </c>
      <c r="D655">
        <v>2025</v>
      </c>
      <c r="E655" t="s">
        <v>35</v>
      </c>
      <c r="F655">
        <v>660000</v>
      </c>
    </row>
    <row r="656" spans="1:6" hidden="1" x14ac:dyDescent="0.25">
      <c r="A656" t="s">
        <v>128</v>
      </c>
      <c r="B656" t="s">
        <v>118</v>
      </c>
      <c r="C656" t="s">
        <v>76</v>
      </c>
      <c r="D656">
        <v>2025</v>
      </c>
      <c r="E656" t="s">
        <v>35</v>
      </c>
      <c r="F656">
        <v>340000</v>
      </c>
    </row>
    <row r="657" spans="1:6" hidden="1" x14ac:dyDescent="0.25">
      <c r="A657" t="s">
        <v>127</v>
      </c>
      <c r="B657" t="s">
        <v>118</v>
      </c>
      <c r="C657" t="s">
        <v>23</v>
      </c>
      <c r="D657">
        <v>2050</v>
      </c>
      <c r="E657" t="s">
        <v>35</v>
      </c>
      <c r="F657">
        <v>3300000</v>
      </c>
    </row>
    <row r="658" spans="1:6" hidden="1" x14ac:dyDescent="0.25">
      <c r="A658" t="s">
        <v>128</v>
      </c>
      <c r="B658" t="s">
        <v>118</v>
      </c>
      <c r="C658" t="s">
        <v>23</v>
      </c>
      <c r="D658">
        <v>2050</v>
      </c>
      <c r="E658" t="s">
        <v>35</v>
      </c>
      <c r="F658">
        <v>1700000.0000000002</v>
      </c>
    </row>
    <row r="659" spans="1:6" hidden="1" x14ac:dyDescent="0.25">
      <c r="A659" t="s">
        <v>127</v>
      </c>
      <c r="B659" t="s">
        <v>118</v>
      </c>
      <c r="C659" t="s">
        <v>24</v>
      </c>
      <c r="D659">
        <v>2050</v>
      </c>
      <c r="E659" t="s">
        <v>35</v>
      </c>
      <c r="F659">
        <v>5610000</v>
      </c>
    </row>
    <row r="660" spans="1:6" hidden="1" x14ac:dyDescent="0.25">
      <c r="A660" t="s">
        <v>128</v>
      </c>
      <c r="B660" t="s">
        <v>118</v>
      </c>
      <c r="C660" t="s">
        <v>24</v>
      </c>
      <c r="D660">
        <v>2050</v>
      </c>
      <c r="E660" t="s">
        <v>35</v>
      </c>
      <c r="F660">
        <v>2890000</v>
      </c>
    </row>
    <row r="661" spans="1:6" hidden="1" x14ac:dyDescent="0.25">
      <c r="A661" t="s">
        <v>127</v>
      </c>
      <c r="B661" t="s">
        <v>118</v>
      </c>
      <c r="C661" t="s">
        <v>75</v>
      </c>
      <c r="D661">
        <v>2050</v>
      </c>
      <c r="E661" t="s">
        <v>35</v>
      </c>
      <c r="F661">
        <v>3300000</v>
      </c>
    </row>
    <row r="662" spans="1:6" hidden="1" x14ac:dyDescent="0.25">
      <c r="A662" t="s">
        <v>128</v>
      </c>
      <c r="B662" t="s">
        <v>118</v>
      </c>
      <c r="C662" t="s">
        <v>75</v>
      </c>
      <c r="D662">
        <v>2050</v>
      </c>
      <c r="E662" t="s">
        <v>35</v>
      </c>
      <c r="F662">
        <v>1700000.0000000002</v>
      </c>
    </row>
    <row r="663" spans="1:6" hidden="1" x14ac:dyDescent="0.25">
      <c r="A663" t="s">
        <v>127</v>
      </c>
      <c r="B663" t="s">
        <v>118</v>
      </c>
      <c r="C663" t="s">
        <v>77</v>
      </c>
      <c r="D663">
        <v>2050</v>
      </c>
      <c r="E663" t="s">
        <v>35</v>
      </c>
      <c r="F663">
        <v>2970000</v>
      </c>
    </row>
    <row r="664" spans="1:6" hidden="1" x14ac:dyDescent="0.25">
      <c r="A664" t="s">
        <v>128</v>
      </c>
      <c r="B664" t="s">
        <v>118</v>
      </c>
      <c r="C664" t="s">
        <v>77</v>
      </c>
      <c r="D664">
        <v>2050</v>
      </c>
      <c r="E664" t="s">
        <v>35</v>
      </c>
      <c r="F664">
        <v>1530000</v>
      </c>
    </row>
    <row r="665" spans="1:6" hidden="1" x14ac:dyDescent="0.25">
      <c r="A665" t="s">
        <v>127</v>
      </c>
      <c r="B665" t="s">
        <v>118</v>
      </c>
      <c r="C665" t="s">
        <v>78</v>
      </c>
      <c r="D665">
        <v>2050</v>
      </c>
      <c r="E665" t="s">
        <v>35</v>
      </c>
      <c r="F665">
        <v>990000</v>
      </c>
    </row>
    <row r="666" spans="1:6" hidden="1" x14ac:dyDescent="0.25">
      <c r="A666" t="s">
        <v>128</v>
      </c>
      <c r="B666" t="s">
        <v>118</v>
      </c>
      <c r="C666" t="s">
        <v>78</v>
      </c>
      <c r="D666">
        <v>2050</v>
      </c>
      <c r="E666" t="s">
        <v>35</v>
      </c>
      <c r="F666">
        <v>510000.00000000006</v>
      </c>
    </row>
    <row r="667" spans="1:6" hidden="1" x14ac:dyDescent="0.25">
      <c r="A667" t="s">
        <v>127</v>
      </c>
      <c r="B667" t="s">
        <v>118</v>
      </c>
      <c r="C667" t="s">
        <v>76</v>
      </c>
      <c r="D667">
        <v>2050</v>
      </c>
      <c r="E667" t="s">
        <v>35</v>
      </c>
      <c r="F667">
        <v>660000</v>
      </c>
    </row>
    <row r="668" spans="1:6" hidden="1" x14ac:dyDescent="0.25">
      <c r="A668" t="s">
        <v>128</v>
      </c>
      <c r="B668" t="s">
        <v>118</v>
      </c>
      <c r="C668" t="s">
        <v>76</v>
      </c>
      <c r="D668">
        <v>2050</v>
      </c>
      <c r="E668" t="s">
        <v>35</v>
      </c>
      <c r="F668">
        <v>340000</v>
      </c>
    </row>
    <row r="669" spans="1:6" x14ac:dyDescent="0.25">
      <c r="A669" t="s">
        <v>206</v>
      </c>
      <c r="C669" t="s">
        <v>23</v>
      </c>
      <c r="D669">
        <v>2015</v>
      </c>
      <c r="E669" t="s">
        <v>22</v>
      </c>
      <c r="F669" s="42">
        <v>60.85</v>
      </c>
    </row>
    <row r="670" spans="1:6" x14ac:dyDescent="0.25">
      <c r="A670" t="s">
        <v>206</v>
      </c>
      <c r="C670" t="s">
        <v>23</v>
      </c>
      <c r="D670">
        <v>2016</v>
      </c>
      <c r="E670" t="s">
        <v>22</v>
      </c>
      <c r="F670" s="42">
        <v>54.449999999999996</v>
      </c>
    </row>
    <row r="671" spans="1:6" x14ac:dyDescent="0.25">
      <c r="A671" t="s">
        <v>206</v>
      </c>
      <c r="C671" t="s">
        <v>23</v>
      </c>
      <c r="D671">
        <v>2017</v>
      </c>
      <c r="E671" t="s">
        <v>22</v>
      </c>
      <c r="F671" s="42">
        <v>52.250000000000007</v>
      </c>
    </row>
    <row r="672" spans="1:6" x14ac:dyDescent="0.25">
      <c r="A672" t="s">
        <v>206</v>
      </c>
      <c r="C672" t="s">
        <v>23</v>
      </c>
      <c r="D672">
        <v>2018</v>
      </c>
      <c r="E672" t="s">
        <v>22</v>
      </c>
      <c r="F672" s="42">
        <v>57.95</v>
      </c>
    </row>
    <row r="673" spans="1:6" x14ac:dyDescent="0.25">
      <c r="A673" t="s">
        <v>206</v>
      </c>
      <c r="C673" t="s">
        <v>23</v>
      </c>
      <c r="D673">
        <v>2019</v>
      </c>
      <c r="E673" t="s">
        <v>22</v>
      </c>
      <c r="F673" s="42">
        <v>59.1</v>
      </c>
    </row>
    <row r="674" spans="1:6" x14ac:dyDescent="0.25">
      <c r="A674" t="s">
        <v>206</v>
      </c>
      <c r="C674" t="s">
        <v>23</v>
      </c>
      <c r="D674">
        <v>2020</v>
      </c>
      <c r="E674" t="s">
        <v>22</v>
      </c>
      <c r="F674" s="42">
        <v>59.2</v>
      </c>
    </row>
    <row r="675" spans="1:6" x14ac:dyDescent="0.25">
      <c r="A675" t="s">
        <v>206</v>
      </c>
      <c r="C675" t="s">
        <v>23</v>
      </c>
      <c r="D675">
        <v>2021</v>
      </c>
      <c r="E675" t="s">
        <v>22</v>
      </c>
      <c r="F675" s="42">
        <v>77.050000000000011</v>
      </c>
    </row>
    <row r="676" spans="1:6" x14ac:dyDescent="0.25">
      <c r="A676" t="s">
        <v>206</v>
      </c>
      <c r="C676" t="s">
        <v>23</v>
      </c>
      <c r="D676">
        <v>2022</v>
      </c>
      <c r="E676" t="s">
        <v>22</v>
      </c>
      <c r="F676" s="42">
        <v>128.95000000000002</v>
      </c>
    </row>
    <row r="677" spans="1:6" x14ac:dyDescent="0.25">
      <c r="A677" t="s">
        <v>206</v>
      </c>
      <c r="C677" t="s">
        <v>23</v>
      </c>
      <c r="D677">
        <v>2023</v>
      </c>
      <c r="E677" t="s">
        <v>22</v>
      </c>
      <c r="F677" s="42">
        <v>125.8</v>
      </c>
    </row>
    <row r="678" spans="1:6" x14ac:dyDescent="0.25">
      <c r="A678" t="s">
        <v>206</v>
      </c>
      <c r="C678" t="s">
        <v>23</v>
      </c>
      <c r="D678">
        <v>2030</v>
      </c>
      <c r="E678" t="s">
        <v>22</v>
      </c>
      <c r="F678" s="42">
        <f>((F62-F63)/(D62-D63)*(Tableau1[[#This Row],[YEAR]]-D677)+F677)*0.7</f>
        <v>77.933333333333323</v>
      </c>
    </row>
    <row r="679" spans="1:6" x14ac:dyDescent="0.25">
      <c r="A679" t="s">
        <v>206</v>
      </c>
      <c r="C679" t="s">
        <v>23</v>
      </c>
      <c r="D679">
        <v>2050</v>
      </c>
      <c r="E679" t="s">
        <v>22</v>
      </c>
      <c r="F679">
        <f>0.7*F63</f>
        <v>49</v>
      </c>
    </row>
    <row r="680" spans="1:6" x14ac:dyDescent="0.25">
      <c r="A680" t="s">
        <v>206</v>
      </c>
      <c r="C680" t="s">
        <v>24</v>
      </c>
      <c r="D680">
        <v>2015</v>
      </c>
      <c r="E680" t="s">
        <v>22</v>
      </c>
      <c r="F680" s="42">
        <v>97.55</v>
      </c>
    </row>
    <row r="681" spans="1:6" x14ac:dyDescent="0.25">
      <c r="A681" t="s">
        <v>206</v>
      </c>
      <c r="C681" t="s">
        <v>24</v>
      </c>
      <c r="D681">
        <v>2016</v>
      </c>
      <c r="E681" t="s">
        <v>22</v>
      </c>
      <c r="F681" s="42">
        <v>83.65</v>
      </c>
    </row>
    <row r="682" spans="1:6" x14ac:dyDescent="0.25">
      <c r="A682" t="s">
        <v>206</v>
      </c>
      <c r="C682" t="s">
        <v>24</v>
      </c>
      <c r="D682">
        <v>2017</v>
      </c>
      <c r="E682" t="s">
        <v>22</v>
      </c>
      <c r="F682" s="42">
        <v>99.6</v>
      </c>
    </row>
    <row r="683" spans="1:6" x14ac:dyDescent="0.25">
      <c r="A683" t="s">
        <v>206</v>
      </c>
      <c r="C683" t="s">
        <v>24</v>
      </c>
      <c r="D683">
        <v>2018</v>
      </c>
      <c r="E683" t="s">
        <v>22</v>
      </c>
      <c r="F683" s="42">
        <v>89.600000000000009</v>
      </c>
    </row>
    <row r="684" spans="1:6" x14ac:dyDescent="0.25">
      <c r="A684" t="s">
        <v>206</v>
      </c>
      <c r="C684" t="s">
        <v>24</v>
      </c>
      <c r="D684">
        <v>2019</v>
      </c>
      <c r="E684" t="s">
        <v>22</v>
      </c>
      <c r="F684" s="42">
        <v>92.8</v>
      </c>
    </row>
    <row r="685" spans="1:6" x14ac:dyDescent="0.25">
      <c r="A685" t="s">
        <v>206</v>
      </c>
      <c r="C685" t="s">
        <v>24</v>
      </c>
      <c r="D685">
        <v>2020</v>
      </c>
      <c r="E685" t="s">
        <v>22</v>
      </c>
      <c r="F685" s="42">
        <v>106.44999999999999</v>
      </c>
    </row>
    <row r="686" spans="1:6" x14ac:dyDescent="0.25">
      <c r="A686" t="s">
        <v>206</v>
      </c>
      <c r="C686" t="s">
        <v>24</v>
      </c>
      <c r="D686">
        <v>2021</v>
      </c>
      <c r="E686" t="s">
        <v>22</v>
      </c>
      <c r="F686" s="42">
        <v>124.8</v>
      </c>
    </row>
    <row r="687" spans="1:6" x14ac:dyDescent="0.25">
      <c r="A687" t="s">
        <v>206</v>
      </c>
      <c r="C687" t="s">
        <v>24</v>
      </c>
      <c r="D687">
        <v>2022</v>
      </c>
      <c r="E687" t="s">
        <v>22</v>
      </c>
      <c r="F687" s="42">
        <v>176</v>
      </c>
    </row>
    <row r="688" spans="1:6" x14ac:dyDescent="0.25">
      <c r="A688" t="s">
        <v>206</v>
      </c>
      <c r="C688" t="s">
        <v>24</v>
      </c>
      <c r="D688">
        <v>2023</v>
      </c>
      <c r="E688" t="s">
        <v>22</v>
      </c>
      <c r="F688" s="42">
        <v>168.6</v>
      </c>
    </row>
    <row r="689" spans="1:6" x14ac:dyDescent="0.25">
      <c r="A689" t="s">
        <v>206</v>
      </c>
      <c r="C689" t="s">
        <v>24</v>
      </c>
      <c r="D689">
        <v>2030</v>
      </c>
      <c r="E689" t="s">
        <v>22</v>
      </c>
      <c r="F689" s="42">
        <f>((F162-F163)/(D162-D163)*(Tableau1[[#This Row],[YEAR]]-D688)+F688)*0.7</f>
        <v>100.12592592592593</v>
      </c>
    </row>
    <row r="690" spans="1:6" x14ac:dyDescent="0.25">
      <c r="A690" t="s">
        <v>206</v>
      </c>
      <c r="C690" t="s">
        <v>24</v>
      </c>
      <c r="D690">
        <v>2050</v>
      </c>
      <c r="E690" t="s">
        <v>22</v>
      </c>
      <c r="F690">
        <f>0.7*F163</f>
        <v>49</v>
      </c>
    </row>
    <row r="691" spans="1:6" x14ac:dyDescent="0.25">
      <c r="A691" t="s">
        <v>206</v>
      </c>
      <c r="C691" t="s">
        <v>75</v>
      </c>
      <c r="D691">
        <v>2015</v>
      </c>
      <c r="E691" t="s">
        <v>22</v>
      </c>
      <c r="F691" s="42">
        <v>105.45</v>
      </c>
    </row>
    <row r="692" spans="1:6" x14ac:dyDescent="0.25">
      <c r="A692" t="s">
        <v>206</v>
      </c>
      <c r="C692" t="s">
        <v>75</v>
      </c>
      <c r="D692">
        <v>2016</v>
      </c>
      <c r="E692" t="s">
        <v>22</v>
      </c>
      <c r="F692" s="42">
        <v>93.25</v>
      </c>
    </row>
    <row r="693" spans="1:6" x14ac:dyDescent="0.25">
      <c r="A693" t="s">
        <v>206</v>
      </c>
      <c r="C693" t="s">
        <v>75</v>
      </c>
      <c r="D693">
        <v>2017</v>
      </c>
      <c r="E693" t="s">
        <v>22</v>
      </c>
      <c r="F693" s="42">
        <v>87.15</v>
      </c>
    </row>
    <row r="694" spans="1:6" x14ac:dyDescent="0.25">
      <c r="A694" t="s">
        <v>206</v>
      </c>
      <c r="C694" t="s">
        <v>75</v>
      </c>
      <c r="D694">
        <v>2018</v>
      </c>
      <c r="E694" t="s">
        <v>22</v>
      </c>
      <c r="F694" s="42">
        <v>73.25</v>
      </c>
    </row>
    <row r="695" spans="1:6" x14ac:dyDescent="0.25">
      <c r="A695" t="s">
        <v>206</v>
      </c>
      <c r="C695" t="s">
        <v>75</v>
      </c>
      <c r="D695">
        <v>2019</v>
      </c>
      <c r="E695" t="s">
        <v>22</v>
      </c>
      <c r="F695" s="42">
        <v>92.3</v>
      </c>
    </row>
    <row r="696" spans="1:6" x14ac:dyDescent="0.25">
      <c r="A696" t="s">
        <v>206</v>
      </c>
      <c r="C696" t="s">
        <v>75</v>
      </c>
      <c r="D696">
        <v>2020</v>
      </c>
      <c r="E696" t="s">
        <v>22</v>
      </c>
      <c r="F696" s="42">
        <v>73.399999999999991</v>
      </c>
    </row>
    <row r="697" spans="1:6" x14ac:dyDescent="0.25">
      <c r="A697" t="s">
        <v>206</v>
      </c>
      <c r="C697" t="s">
        <v>75</v>
      </c>
      <c r="D697">
        <v>2021</v>
      </c>
      <c r="E697" t="s">
        <v>22</v>
      </c>
      <c r="F697" s="42">
        <v>122.1</v>
      </c>
    </row>
    <row r="698" spans="1:6" x14ac:dyDescent="0.25">
      <c r="A698" t="s">
        <v>206</v>
      </c>
      <c r="C698" t="s">
        <v>75</v>
      </c>
      <c r="D698">
        <v>2022</v>
      </c>
      <c r="E698" t="s">
        <v>22</v>
      </c>
      <c r="F698" s="42">
        <v>292.00000000000006</v>
      </c>
    </row>
    <row r="699" spans="1:6" x14ac:dyDescent="0.25">
      <c r="A699" t="s">
        <v>206</v>
      </c>
      <c r="C699" t="s">
        <v>75</v>
      </c>
      <c r="D699">
        <v>2023</v>
      </c>
      <c r="E699" t="s">
        <v>22</v>
      </c>
      <c r="F699" s="42">
        <v>207.4</v>
      </c>
    </row>
    <row r="700" spans="1:6" x14ac:dyDescent="0.25">
      <c r="A700" t="s">
        <v>206</v>
      </c>
      <c r="C700" t="s">
        <v>75</v>
      </c>
      <c r="D700">
        <v>2030</v>
      </c>
      <c r="E700" t="s">
        <v>22</v>
      </c>
      <c r="F700" s="42">
        <f>((F181-F182)/(D181-D182)*(Tableau1[[#This Row],[YEAR]]-D699)+F699)*0.7</f>
        <v>120.24444444444443</v>
      </c>
    </row>
    <row r="701" spans="1:6" x14ac:dyDescent="0.25">
      <c r="A701" t="s">
        <v>206</v>
      </c>
      <c r="C701" t="s">
        <v>75</v>
      </c>
      <c r="D701">
        <v>2050</v>
      </c>
      <c r="E701" t="s">
        <v>22</v>
      </c>
      <c r="F701">
        <f>0.7*F182</f>
        <v>49</v>
      </c>
    </row>
    <row r="702" spans="1:6" x14ac:dyDescent="0.25">
      <c r="A702" t="s">
        <v>206</v>
      </c>
      <c r="C702" t="s">
        <v>76</v>
      </c>
      <c r="D702">
        <v>2015</v>
      </c>
      <c r="E702" t="s">
        <v>22</v>
      </c>
      <c r="F702" s="42">
        <v>94.978538</v>
      </c>
    </row>
    <row r="703" spans="1:6" x14ac:dyDescent="0.25">
      <c r="A703" t="s">
        <v>206</v>
      </c>
      <c r="C703" t="s">
        <v>76</v>
      </c>
      <c r="D703">
        <v>2016</v>
      </c>
      <c r="E703" t="s">
        <v>22</v>
      </c>
      <c r="F703" s="42">
        <v>92.802441000000016</v>
      </c>
    </row>
    <row r="704" spans="1:6" x14ac:dyDescent="0.25">
      <c r="A704" t="s">
        <v>206</v>
      </c>
      <c r="C704" t="s">
        <v>76</v>
      </c>
      <c r="D704">
        <v>2017</v>
      </c>
      <c r="E704" t="s">
        <v>22</v>
      </c>
      <c r="F704" s="42">
        <v>97.891861000000006</v>
      </c>
    </row>
    <row r="705" spans="1:6" x14ac:dyDescent="0.25">
      <c r="A705" t="s">
        <v>206</v>
      </c>
      <c r="C705" t="s">
        <v>76</v>
      </c>
      <c r="D705">
        <v>2018</v>
      </c>
      <c r="E705" t="s">
        <v>22</v>
      </c>
      <c r="F705" s="42">
        <v>104.303245</v>
      </c>
    </row>
    <row r="706" spans="1:6" x14ac:dyDescent="0.25">
      <c r="A706" t="s">
        <v>206</v>
      </c>
      <c r="C706" t="s">
        <v>76</v>
      </c>
      <c r="D706">
        <v>2019</v>
      </c>
      <c r="E706" t="s">
        <v>22</v>
      </c>
      <c r="F706" s="42">
        <v>115.477519</v>
      </c>
    </row>
    <row r="707" spans="1:6" x14ac:dyDescent="0.25">
      <c r="A707" t="s">
        <v>206</v>
      </c>
      <c r="C707" t="s">
        <v>76</v>
      </c>
      <c r="D707">
        <v>2020</v>
      </c>
      <c r="E707" t="s">
        <v>22</v>
      </c>
      <c r="F707" s="42">
        <v>122.565595</v>
      </c>
    </row>
    <row r="708" spans="1:6" x14ac:dyDescent="0.25">
      <c r="A708" t="s">
        <v>206</v>
      </c>
      <c r="C708" t="s">
        <v>76</v>
      </c>
      <c r="D708">
        <v>2021</v>
      </c>
      <c r="E708" t="s">
        <v>22</v>
      </c>
      <c r="F708" s="42">
        <v>136.59367700000001</v>
      </c>
    </row>
    <row r="709" spans="1:6" x14ac:dyDescent="0.25">
      <c r="A709" t="s">
        <v>206</v>
      </c>
      <c r="C709" t="s">
        <v>76</v>
      </c>
      <c r="D709">
        <v>2022</v>
      </c>
      <c r="E709" t="s">
        <v>22</v>
      </c>
      <c r="F709" s="42">
        <v>185.46377699999999</v>
      </c>
    </row>
    <row r="710" spans="1:6" x14ac:dyDescent="0.25">
      <c r="A710" t="s">
        <v>206</v>
      </c>
      <c r="C710" t="s">
        <v>76</v>
      </c>
      <c r="D710">
        <v>2030</v>
      </c>
      <c r="E710" t="s">
        <v>22</v>
      </c>
      <c r="F710" s="42">
        <f>((F199-F200)/(D199-D200)*(Tableau1[[#This Row],[YEAR]]-D709)+F709)*0.7</f>
        <v>106.7318885</v>
      </c>
    </row>
    <row r="711" spans="1:6" x14ac:dyDescent="0.25">
      <c r="A711" t="s">
        <v>206</v>
      </c>
      <c r="C711" t="s">
        <v>76</v>
      </c>
      <c r="D711">
        <v>2050</v>
      </c>
      <c r="E711" t="s">
        <v>22</v>
      </c>
      <c r="F711">
        <f>0.7*F200</f>
        <v>49</v>
      </c>
    </row>
    <row r="712" spans="1:6" x14ac:dyDescent="0.25">
      <c r="A712" t="s">
        <v>206</v>
      </c>
      <c r="C712" t="s">
        <v>77</v>
      </c>
      <c r="D712">
        <v>2015</v>
      </c>
      <c r="E712" t="s">
        <v>22</v>
      </c>
      <c r="F712" s="42">
        <v>77.649999999999991</v>
      </c>
    </row>
    <row r="713" spans="1:6" x14ac:dyDescent="0.25">
      <c r="A713" t="s">
        <v>206</v>
      </c>
      <c r="C713" t="s">
        <v>77</v>
      </c>
      <c r="D713">
        <v>2016</v>
      </c>
      <c r="E713" t="s">
        <v>22</v>
      </c>
      <c r="F713" s="42">
        <v>68.5</v>
      </c>
    </row>
    <row r="714" spans="1:6" x14ac:dyDescent="0.25">
      <c r="A714" t="s">
        <v>206</v>
      </c>
      <c r="C714" t="s">
        <v>77</v>
      </c>
      <c r="D714">
        <v>2017</v>
      </c>
      <c r="E714" t="s">
        <v>22</v>
      </c>
      <c r="F714" s="42">
        <v>71.899999999999991</v>
      </c>
    </row>
    <row r="715" spans="1:6" x14ac:dyDescent="0.25">
      <c r="A715" t="s">
        <v>206</v>
      </c>
      <c r="C715" t="s">
        <v>77</v>
      </c>
      <c r="D715">
        <v>2018</v>
      </c>
      <c r="E715" t="s">
        <v>22</v>
      </c>
      <c r="F715" s="42">
        <v>77.699999999999989</v>
      </c>
    </row>
    <row r="716" spans="1:6" x14ac:dyDescent="0.25">
      <c r="A716" t="s">
        <v>206</v>
      </c>
      <c r="C716" t="s">
        <v>77</v>
      </c>
      <c r="D716">
        <v>2019</v>
      </c>
      <c r="E716" t="s">
        <v>22</v>
      </c>
      <c r="F716" s="42">
        <v>74.399999999999991</v>
      </c>
    </row>
    <row r="717" spans="1:6" x14ac:dyDescent="0.25">
      <c r="A717" t="s">
        <v>206</v>
      </c>
      <c r="C717" t="s">
        <v>77</v>
      </c>
      <c r="D717">
        <v>2020</v>
      </c>
      <c r="E717" t="s">
        <v>22</v>
      </c>
      <c r="F717" s="42">
        <v>63.1</v>
      </c>
    </row>
    <row r="718" spans="1:6" x14ac:dyDescent="0.25">
      <c r="A718" t="s">
        <v>206</v>
      </c>
      <c r="C718" t="s">
        <v>77</v>
      </c>
      <c r="D718">
        <v>2021</v>
      </c>
      <c r="E718" t="s">
        <v>22</v>
      </c>
      <c r="F718" s="42">
        <v>97.55</v>
      </c>
    </row>
    <row r="719" spans="1:6" x14ac:dyDescent="0.25">
      <c r="A719" t="s">
        <v>206</v>
      </c>
      <c r="C719" t="s">
        <v>77</v>
      </c>
      <c r="D719">
        <v>2022</v>
      </c>
      <c r="E719" t="s">
        <v>22</v>
      </c>
      <c r="F719" s="42">
        <v>204.50000000000003</v>
      </c>
    </row>
    <row r="720" spans="1:6" x14ac:dyDescent="0.25">
      <c r="A720" t="s">
        <v>206</v>
      </c>
      <c r="C720" t="s">
        <v>77</v>
      </c>
      <c r="D720">
        <v>2023</v>
      </c>
      <c r="E720" t="s">
        <v>22</v>
      </c>
      <c r="F720" s="42">
        <v>90.2</v>
      </c>
    </row>
    <row r="721" spans="1:6" x14ac:dyDescent="0.25">
      <c r="A721" t="s">
        <v>206</v>
      </c>
      <c r="C721" t="s">
        <v>77</v>
      </c>
      <c r="D721">
        <v>2030</v>
      </c>
      <c r="E721" t="s">
        <v>22</v>
      </c>
      <c r="F721" s="42">
        <f>((F218-F219)/(D218-D219)*(Tableau1[[#This Row],[YEAR]]-D720)+F720)*0.7</f>
        <v>59.474074074074068</v>
      </c>
    </row>
    <row r="722" spans="1:6" x14ac:dyDescent="0.25">
      <c r="A722" t="s">
        <v>206</v>
      </c>
      <c r="C722" t="s">
        <v>77</v>
      </c>
      <c r="D722">
        <v>2050</v>
      </c>
      <c r="E722" t="s">
        <v>22</v>
      </c>
      <c r="F722">
        <f>0.7*F219</f>
        <v>49</v>
      </c>
    </row>
    <row r="723" spans="1:6" x14ac:dyDescent="0.25">
      <c r="A723" t="s">
        <v>206</v>
      </c>
      <c r="C723" t="s">
        <v>78</v>
      </c>
      <c r="D723">
        <v>2015</v>
      </c>
      <c r="E723" t="s">
        <v>22</v>
      </c>
      <c r="F723" s="42">
        <v>65.3</v>
      </c>
    </row>
    <row r="724" spans="1:6" x14ac:dyDescent="0.25">
      <c r="A724" t="s">
        <v>206</v>
      </c>
      <c r="C724" t="s">
        <v>78</v>
      </c>
      <c r="D724">
        <v>2016</v>
      </c>
      <c r="E724" t="s">
        <v>22</v>
      </c>
      <c r="F724" s="42">
        <v>62.65</v>
      </c>
    </row>
    <row r="725" spans="1:6" x14ac:dyDescent="0.25">
      <c r="A725" t="s">
        <v>206</v>
      </c>
      <c r="C725" t="s">
        <v>78</v>
      </c>
      <c r="D725">
        <v>2017</v>
      </c>
      <c r="E725" t="s">
        <v>22</v>
      </c>
      <c r="F725" s="42">
        <v>56.999999999999993</v>
      </c>
    </row>
    <row r="726" spans="1:6" x14ac:dyDescent="0.25">
      <c r="A726" t="s">
        <v>206</v>
      </c>
      <c r="C726" t="s">
        <v>78</v>
      </c>
      <c r="D726">
        <v>2018</v>
      </c>
      <c r="E726" t="s">
        <v>22</v>
      </c>
      <c r="F726" s="42">
        <v>66.100000000000009</v>
      </c>
    </row>
    <row r="727" spans="1:6" x14ac:dyDescent="0.25">
      <c r="A727" t="s">
        <v>206</v>
      </c>
      <c r="C727" t="s">
        <v>78</v>
      </c>
      <c r="D727">
        <v>2019</v>
      </c>
      <c r="E727" t="s">
        <v>22</v>
      </c>
      <c r="F727" s="42">
        <v>65.3</v>
      </c>
    </row>
    <row r="728" spans="1:6" x14ac:dyDescent="0.25">
      <c r="A728" t="s">
        <v>206</v>
      </c>
      <c r="C728" t="s">
        <v>78</v>
      </c>
      <c r="D728">
        <v>2020</v>
      </c>
      <c r="E728" t="s">
        <v>22</v>
      </c>
      <c r="F728" s="42">
        <v>64.099999999999994</v>
      </c>
    </row>
    <row r="729" spans="1:6" x14ac:dyDescent="0.25">
      <c r="A729" t="s">
        <v>206</v>
      </c>
      <c r="C729" t="s">
        <v>78</v>
      </c>
      <c r="D729">
        <v>2021</v>
      </c>
      <c r="E729" t="s">
        <v>22</v>
      </c>
      <c r="F729" s="42">
        <v>86.299999999999983</v>
      </c>
    </row>
    <row r="730" spans="1:6" x14ac:dyDescent="0.25">
      <c r="A730" t="s">
        <v>206</v>
      </c>
      <c r="C730" t="s">
        <v>78</v>
      </c>
      <c r="D730">
        <v>2022</v>
      </c>
      <c r="E730" t="s">
        <v>22</v>
      </c>
      <c r="F730" s="42">
        <v>137.05000000000001</v>
      </c>
    </row>
    <row r="731" spans="1:6" x14ac:dyDescent="0.25">
      <c r="A731" t="s">
        <v>206</v>
      </c>
      <c r="C731" t="s">
        <v>78</v>
      </c>
      <c r="D731">
        <v>2023</v>
      </c>
      <c r="E731" t="s">
        <v>22</v>
      </c>
      <c r="F731" s="42">
        <v>150.79999999999998</v>
      </c>
    </row>
    <row r="732" spans="1:6" x14ac:dyDescent="0.25">
      <c r="A732" t="s">
        <v>206</v>
      </c>
      <c r="C732" t="s">
        <v>78</v>
      </c>
      <c r="D732">
        <v>2030</v>
      </c>
      <c r="E732" t="s">
        <v>22</v>
      </c>
      <c r="F732" s="42">
        <f>((F237-F238)/(D237-D238)*(Tableau1[[#This Row],[YEAR]]-D731)+F731)*0.7</f>
        <v>90.896296296296285</v>
      </c>
    </row>
    <row r="733" spans="1:6" x14ac:dyDescent="0.25">
      <c r="A733" t="s">
        <v>206</v>
      </c>
      <c r="C733" t="s">
        <v>78</v>
      </c>
      <c r="D733">
        <v>2050</v>
      </c>
      <c r="E733" t="s">
        <v>22</v>
      </c>
      <c r="F733">
        <f>0.7*F238</f>
        <v>49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252"/>
  <sheetViews>
    <sheetView topLeftCell="A168" workbookViewId="0">
      <selection activeCell="D190" sqref="D190"/>
    </sheetView>
  </sheetViews>
  <sheetFormatPr baseColWidth="10" defaultRowHeight="15" x14ac:dyDescent="0.25"/>
  <cols>
    <col min="1" max="1" width="30.85546875" bestFit="1" customWidth="1"/>
    <col min="2" max="2" width="49.42578125" bestFit="1" customWidth="1"/>
    <col min="5" max="5" width="12.85546875" customWidth="1"/>
    <col min="6" max="6" width="20.85546875" bestFit="1" customWidth="1"/>
    <col min="7" max="7" width="15.140625" bestFit="1" customWidth="1"/>
    <col min="9" max="9" width="12" bestFit="1" customWidth="1"/>
  </cols>
  <sheetData>
    <row r="1" spans="1:7" x14ac:dyDescent="0.25">
      <c r="A1" t="s">
        <v>48</v>
      </c>
      <c r="B1" t="s">
        <v>14</v>
      </c>
      <c r="C1" t="s">
        <v>43</v>
      </c>
      <c r="D1" t="s">
        <v>4</v>
      </c>
      <c r="E1" t="s">
        <v>1</v>
      </c>
      <c r="F1" t="s">
        <v>2</v>
      </c>
      <c r="G1" t="s">
        <v>3</v>
      </c>
    </row>
    <row r="2" spans="1:7" hidden="1" x14ac:dyDescent="0.25">
      <c r="F2" t="s">
        <v>41</v>
      </c>
      <c r="G2">
        <v>20</v>
      </c>
    </row>
    <row r="3" spans="1:7" hidden="1" x14ac:dyDescent="0.25">
      <c r="A3" s="15"/>
      <c r="F3" t="s">
        <v>51</v>
      </c>
      <c r="G3">
        <v>0.08</v>
      </c>
    </row>
    <row r="4" spans="1:7" hidden="1" x14ac:dyDescent="0.25">
      <c r="A4" s="15" t="s">
        <v>186</v>
      </c>
      <c r="B4" t="s">
        <v>178</v>
      </c>
      <c r="C4" t="s">
        <v>63</v>
      </c>
      <c r="E4">
        <v>2030</v>
      </c>
      <c r="F4" t="s">
        <v>45</v>
      </c>
      <c r="G4">
        <v>0.95</v>
      </c>
    </row>
    <row r="5" spans="1:7" hidden="1" x14ac:dyDescent="0.25">
      <c r="A5" s="15" t="s">
        <v>186</v>
      </c>
      <c r="B5" t="s">
        <v>178</v>
      </c>
      <c r="C5" t="s">
        <v>63</v>
      </c>
      <c r="E5">
        <v>2030</v>
      </c>
      <c r="F5" t="s">
        <v>39</v>
      </c>
      <c r="G5">
        <v>270</v>
      </c>
    </row>
    <row r="6" spans="1:7" hidden="1" x14ac:dyDescent="0.25">
      <c r="A6" s="15" t="s">
        <v>186</v>
      </c>
      <c r="B6" t="s">
        <v>178</v>
      </c>
      <c r="C6" t="s">
        <v>63</v>
      </c>
      <c r="E6">
        <v>2030</v>
      </c>
      <c r="F6" t="s">
        <v>44</v>
      </c>
      <c r="G6">
        <f>0.05*G5</f>
        <v>13.5</v>
      </c>
    </row>
    <row r="7" spans="1:7" hidden="1" x14ac:dyDescent="0.25">
      <c r="A7" s="15" t="s">
        <v>186</v>
      </c>
      <c r="B7" t="s">
        <v>178</v>
      </c>
      <c r="C7" t="s">
        <v>63</v>
      </c>
      <c r="E7">
        <v>2030</v>
      </c>
      <c r="F7" t="s">
        <v>46</v>
      </c>
      <c r="G7">
        <f>0.6755-0.1317</f>
        <v>0.54379999999999995</v>
      </c>
    </row>
    <row r="8" spans="1:7" hidden="1" x14ac:dyDescent="0.25">
      <c r="A8" s="15" t="s">
        <v>186</v>
      </c>
      <c r="B8" t="s">
        <v>178</v>
      </c>
      <c r="C8" t="s">
        <v>63</v>
      </c>
      <c r="E8">
        <v>2030</v>
      </c>
      <c r="F8" t="s">
        <v>41</v>
      </c>
      <c r="G8">
        <v>25</v>
      </c>
    </row>
    <row r="9" spans="1:7" hidden="1" x14ac:dyDescent="0.25">
      <c r="A9" s="15" t="s">
        <v>185</v>
      </c>
      <c r="B9" t="s">
        <v>179</v>
      </c>
      <c r="C9" t="s">
        <v>63</v>
      </c>
      <c r="E9">
        <v>2030</v>
      </c>
      <c r="F9" t="s">
        <v>45</v>
      </c>
      <c r="G9">
        <f>0.987</f>
        <v>0.98699999999999999</v>
      </c>
    </row>
    <row r="10" spans="1:7" hidden="1" x14ac:dyDescent="0.25">
      <c r="A10" s="15" t="s">
        <v>185</v>
      </c>
      <c r="B10" t="s">
        <v>180</v>
      </c>
      <c r="C10" t="s">
        <v>63</v>
      </c>
      <c r="E10">
        <v>2030</v>
      </c>
      <c r="F10" t="s">
        <v>45</v>
      </c>
      <c r="G10">
        <f>0.924</f>
        <v>0.92400000000000004</v>
      </c>
    </row>
    <row r="11" spans="1:7" hidden="1" x14ac:dyDescent="0.25">
      <c r="A11" s="15" t="s">
        <v>185</v>
      </c>
      <c r="B11" t="s">
        <v>181</v>
      </c>
      <c r="C11" t="s">
        <v>63</v>
      </c>
      <c r="E11">
        <v>2030</v>
      </c>
      <c r="F11" t="s">
        <v>45</v>
      </c>
      <c r="G11">
        <v>0.94899999999999995</v>
      </c>
    </row>
    <row r="12" spans="1:7" hidden="1" x14ac:dyDescent="0.25">
      <c r="A12" s="15" t="s">
        <v>185</v>
      </c>
      <c r="B12" t="s">
        <v>182</v>
      </c>
      <c r="C12" t="s">
        <v>63</v>
      </c>
      <c r="E12">
        <v>2030</v>
      </c>
      <c r="F12" t="s">
        <v>45</v>
      </c>
      <c r="G12">
        <f>0.987</f>
        <v>0.98699999999999999</v>
      </c>
    </row>
    <row r="13" spans="1:7" hidden="1" x14ac:dyDescent="0.25">
      <c r="A13" s="15" t="s">
        <v>185</v>
      </c>
      <c r="B13" t="s">
        <v>183</v>
      </c>
      <c r="C13" t="s">
        <v>63</v>
      </c>
      <c r="E13">
        <v>2030</v>
      </c>
      <c r="F13" t="s">
        <v>45</v>
      </c>
      <c r="G13">
        <f>0.924</f>
        <v>0.92400000000000004</v>
      </c>
    </row>
    <row r="14" spans="1:7" hidden="1" x14ac:dyDescent="0.25">
      <c r="A14" s="15" t="s">
        <v>185</v>
      </c>
      <c r="B14" t="s">
        <v>187</v>
      </c>
      <c r="C14" t="s">
        <v>63</v>
      </c>
      <c r="E14">
        <v>2030</v>
      </c>
      <c r="F14" t="s">
        <v>45</v>
      </c>
      <c r="G14" s="41">
        <f>G9</f>
        <v>0.98699999999999999</v>
      </c>
    </row>
    <row r="15" spans="1:7" hidden="1" x14ac:dyDescent="0.25">
      <c r="A15" s="15" t="s">
        <v>185</v>
      </c>
      <c r="B15" t="s">
        <v>188</v>
      </c>
      <c r="C15" t="s">
        <v>63</v>
      </c>
      <c r="E15">
        <v>2030</v>
      </c>
      <c r="F15" t="s">
        <v>45</v>
      </c>
      <c r="G15" s="41">
        <f>G9</f>
        <v>0.98699999999999999</v>
      </c>
    </row>
    <row r="16" spans="1:7" hidden="1" x14ac:dyDescent="0.25">
      <c r="A16" s="15" t="s">
        <v>185</v>
      </c>
      <c r="B16" t="s">
        <v>179</v>
      </c>
      <c r="C16" t="s">
        <v>63</v>
      </c>
      <c r="E16">
        <v>2030</v>
      </c>
      <c r="F16" t="s">
        <v>39</v>
      </c>
      <c r="G16" s="42">
        <f>G19</f>
        <v>49.073136855920687</v>
      </c>
    </row>
    <row r="17" spans="1:7" hidden="1" x14ac:dyDescent="0.25">
      <c r="A17" s="15" t="s">
        <v>185</v>
      </c>
      <c r="B17" t="s">
        <v>180</v>
      </c>
      <c r="C17" t="s">
        <v>63</v>
      </c>
      <c r="E17">
        <v>2030</v>
      </c>
      <c r="F17" t="s">
        <v>39</v>
      </c>
      <c r="G17" s="42">
        <f>50480000/(117.079*8760)</f>
        <v>49.219390989208748</v>
      </c>
    </row>
    <row r="18" spans="1:7" hidden="1" x14ac:dyDescent="0.25">
      <c r="A18" s="15" t="s">
        <v>185</v>
      </c>
      <c r="B18" t="s">
        <v>181</v>
      </c>
      <c r="C18" t="s">
        <v>63</v>
      </c>
      <c r="E18">
        <v>2030</v>
      </c>
      <c r="F18" t="s">
        <v>39</v>
      </c>
      <c r="G18" s="42">
        <f>67850000/(117.079*8760)</f>
        <v>66.155619623966203</v>
      </c>
    </row>
    <row r="19" spans="1:7" hidden="1" x14ac:dyDescent="0.25">
      <c r="A19" s="15" t="s">
        <v>185</v>
      </c>
      <c r="B19" t="s">
        <v>182</v>
      </c>
      <c r="C19" t="s">
        <v>63</v>
      </c>
      <c r="E19">
        <v>2030</v>
      </c>
      <c r="F19" t="s">
        <v>39</v>
      </c>
      <c r="G19" s="42">
        <f>(50330)*1000/(117.079*8760)</f>
        <v>49.073136855920687</v>
      </c>
    </row>
    <row r="20" spans="1:7" hidden="1" x14ac:dyDescent="0.25">
      <c r="A20" s="15" t="s">
        <v>185</v>
      </c>
      <c r="B20" t="s">
        <v>183</v>
      </c>
      <c r="C20" t="s">
        <v>63</v>
      </c>
      <c r="E20">
        <v>2030</v>
      </c>
      <c r="F20" t="s">
        <v>39</v>
      </c>
      <c r="G20" s="42">
        <f>G17</f>
        <v>49.219390989208748</v>
      </c>
    </row>
    <row r="21" spans="1:7" hidden="1" x14ac:dyDescent="0.25">
      <c r="A21" s="15" t="s">
        <v>185</v>
      </c>
      <c r="B21" t="s">
        <v>187</v>
      </c>
      <c r="C21" t="s">
        <v>63</v>
      </c>
      <c r="E21">
        <v>2030</v>
      </c>
      <c r="F21" t="s">
        <v>39</v>
      </c>
      <c r="G21" s="42">
        <f>G16</f>
        <v>49.073136855920687</v>
      </c>
    </row>
    <row r="22" spans="1:7" hidden="1" x14ac:dyDescent="0.25">
      <c r="A22" s="15" t="s">
        <v>185</v>
      </c>
      <c r="B22" t="s">
        <v>188</v>
      </c>
      <c r="C22" t="s">
        <v>63</v>
      </c>
      <c r="E22">
        <v>2030</v>
      </c>
      <c r="F22" t="s">
        <v>39</v>
      </c>
      <c r="G22" s="42">
        <f>G16</f>
        <v>49.073136855920687</v>
      </c>
    </row>
    <row r="23" spans="1:7" hidden="1" x14ac:dyDescent="0.25">
      <c r="A23" s="15" t="s">
        <v>185</v>
      </c>
      <c r="B23" t="s">
        <v>179</v>
      </c>
      <c r="C23" t="s">
        <v>63</v>
      </c>
      <c r="E23">
        <v>2030</v>
      </c>
      <c r="F23" t="s">
        <v>44</v>
      </c>
      <c r="G23" s="7">
        <f>0.05*G16</f>
        <v>2.4536568427960344</v>
      </c>
    </row>
    <row r="24" spans="1:7" hidden="1" x14ac:dyDescent="0.25">
      <c r="A24" s="15" t="s">
        <v>185</v>
      </c>
      <c r="B24" t="s">
        <v>180</v>
      </c>
      <c r="C24" t="s">
        <v>63</v>
      </c>
      <c r="E24">
        <v>2030</v>
      </c>
      <c r="F24" t="s">
        <v>44</v>
      </c>
      <c r="G24" s="7">
        <f t="shared" ref="G24:G27" si="0">0.05*G17</f>
        <v>2.4609695494604376</v>
      </c>
    </row>
    <row r="25" spans="1:7" hidden="1" x14ac:dyDescent="0.25">
      <c r="A25" s="15" t="s">
        <v>185</v>
      </c>
      <c r="B25" t="s">
        <v>181</v>
      </c>
      <c r="C25" t="s">
        <v>63</v>
      </c>
      <c r="E25">
        <v>2030</v>
      </c>
      <c r="F25" t="s">
        <v>44</v>
      </c>
      <c r="G25" s="7">
        <f t="shared" si="0"/>
        <v>3.3077809811983103</v>
      </c>
    </row>
    <row r="26" spans="1:7" hidden="1" x14ac:dyDescent="0.25">
      <c r="A26" s="15" t="s">
        <v>185</v>
      </c>
      <c r="B26" t="s">
        <v>182</v>
      </c>
      <c r="C26" t="s">
        <v>63</v>
      </c>
      <c r="E26">
        <v>2030</v>
      </c>
      <c r="F26" t="s">
        <v>44</v>
      </c>
      <c r="G26" s="7">
        <f t="shared" si="0"/>
        <v>2.4536568427960344</v>
      </c>
    </row>
    <row r="27" spans="1:7" hidden="1" x14ac:dyDescent="0.25">
      <c r="A27" s="15" t="s">
        <v>185</v>
      </c>
      <c r="B27" t="s">
        <v>183</v>
      </c>
      <c r="C27" t="s">
        <v>63</v>
      </c>
      <c r="E27">
        <v>2030</v>
      </c>
      <c r="F27" t="s">
        <v>44</v>
      </c>
      <c r="G27" s="7">
        <f t="shared" si="0"/>
        <v>2.4609695494604376</v>
      </c>
    </row>
    <row r="28" spans="1:7" hidden="1" x14ac:dyDescent="0.25">
      <c r="A28" s="15" t="s">
        <v>185</v>
      </c>
      <c r="B28" t="s">
        <v>187</v>
      </c>
      <c r="C28" t="s">
        <v>63</v>
      </c>
      <c r="E28">
        <v>2030</v>
      </c>
      <c r="F28" t="s">
        <v>44</v>
      </c>
      <c r="G28" s="7">
        <f>G23</f>
        <v>2.4536568427960344</v>
      </c>
    </row>
    <row r="29" spans="1:7" hidden="1" x14ac:dyDescent="0.25">
      <c r="A29" s="15" t="s">
        <v>185</v>
      </c>
      <c r="B29" t="s">
        <v>188</v>
      </c>
      <c r="C29" t="s">
        <v>63</v>
      </c>
      <c r="E29">
        <v>2030</v>
      </c>
      <c r="F29" t="s">
        <v>44</v>
      </c>
      <c r="G29" s="7">
        <f>G23</f>
        <v>2.4536568427960344</v>
      </c>
    </row>
    <row r="30" spans="1:7" hidden="1" x14ac:dyDescent="0.25">
      <c r="A30" s="15" t="s">
        <v>185</v>
      </c>
      <c r="B30" t="s">
        <v>179</v>
      </c>
      <c r="C30" t="s">
        <v>63</v>
      </c>
      <c r="E30">
        <v>2030</v>
      </c>
      <c r="F30" t="s">
        <v>46</v>
      </c>
      <c r="G30" s="7">
        <f>G33</f>
        <v>7.2222222799999999E-2</v>
      </c>
    </row>
    <row r="31" spans="1:7" hidden="1" x14ac:dyDescent="0.25">
      <c r="A31" s="15" t="s">
        <v>185</v>
      </c>
      <c r="B31" t="s">
        <v>180</v>
      </c>
      <c r="C31" t="s">
        <v>63</v>
      </c>
      <c r="E31">
        <v>2030</v>
      </c>
      <c r="F31" t="s">
        <v>46</v>
      </c>
      <c r="G31" s="7">
        <f>(0.2)*0.27777778</f>
        <v>5.5555555999999999E-2</v>
      </c>
    </row>
    <row r="32" spans="1:7" hidden="1" x14ac:dyDescent="0.25">
      <c r="A32" s="15" t="s">
        <v>185</v>
      </c>
      <c r="B32" t="s">
        <v>181</v>
      </c>
      <c r="C32" t="s">
        <v>63</v>
      </c>
      <c r="E32">
        <v>2030</v>
      </c>
      <c r="F32" t="s">
        <v>46</v>
      </c>
      <c r="G32" s="7">
        <f>(0.11+0.37)*0.27777778</f>
        <v>0.13333333439999998</v>
      </c>
    </row>
    <row r="33" spans="1:7" hidden="1" x14ac:dyDescent="0.25">
      <c r="A33" s="15" t="s">
        <v>185</v>
      </c>
      <c r="B33" t="s">
        <v>182</v>
      </c>
      <c r="C33" t="s">
        <v>63</v>
      </c>
      <c r="E33">
        <v>2030</v>
      </c>
      <c r="F33" t="s">
        <v>46</v>
      </c>
      <c r="G33" s="7">
        <f>(0.26)*0.27777778</f>
        <v>7.2222222799999999E-2</v>
      </c>
    </row>
    <row r="34" spans="1:7" hidden="1" x14ac:dyDescent="0.25">
      <c r="A34" s="15" t="s">
        <v>185</v>
      </c>
      <c r="B34" t="s">
        <v>183</v>
      </c>
      <c r="C34" t="s">
        <v>63</v>
      </c>
      <c r="E34">
        <v>2030</v>
      </c>
      <c r="F34" t="s">
        <v>46</v>
      </c>
      <c r="G34" s="7">
        <f>G31</f>
        <v>5.5555555999999999E-2</v>
      </c>
    </row>
    <row r="35" spans="1:7" hidden="1" x14ac:dyDescent="0.25">
      <c r="A35" s="15" t="s">
        <v>185</v>
      </c>
      <c r="B35" t="s">
        <v>187</v>
      </c>
      <c r="C35" t="s">
        <v>63</v>
      </c>
      <c r="E35">
        <v>2030</v>
      </c>
      <c r="F35" t="s">
        <v>46</v>
      </c>
      <c r="G35" s="7">
        <f>$G$30</f>
        <v>7.2222222799999999E-2</v>
      </c>
    </row>
    <row r="36" spans="1:7" hidden="1" x14ac:dyDescent="0.25">
      <c r="A36" s="15" t="s">
        <v>185</v>
      </c>
      <c r="B36" t="s">
        <v>188</v>
      </c>
      <c r="C36" t="s">
        <v>63</v>
      </c>
      <c r="E36">
        <v>2030</v>
      </c>
      <c r="F36" t="s">
        <v>46</v>
      </c>
      <c r="G36" s="7">
        <f>$G$30</f>
        <v>7.2222222799999999E-2</v>
      </c>
    </row>
    <row r="37" spans="1:7" hidden="1" x14ac:dyDescent="0.25">
      <c r="A37" s="15" t="s">
        <v>185</v>
      </c>
      <c r="B37" t="s">
        <v>179</v>
      </c>
      <c r="C37" t="s">
        <v>63</v>
      </c>
      <c r="E37">
        <v>2030</v>
      </c>
      <c r="F37" t="s">
        <v>41</v>
      </c>
      <c r="G37">
        <v>25</v>
      </c>
    </row>
    <row r="38" spans="1:7" hidden="1" x14ac:dyDescent="0.25">
      <c r="A38" s="15" t="s">
        <v>185</v>
      </c>
      <c r="B38" t="s">
        <v>180</v>
      </c>
      <c r="C38" t="s">
        <v>63</v>
      </c>
      <c r="E38">
        <v>2030</v>
      </c>
      <c r="F38" t="s">
        <v>41</v>
      </c>
      <c r="G38">
        <v>25</v>
      </c>
    </row>
    <row r="39" spans="1:7" hidden="1" x14ac:dyDescent="0.25">
      <c r="A39" s="15" t="s">
        <v>185</v>
      </c>
      <c r="B39" t="s">
        <v>181</v>
      </c>
      <c r="C39" t="s">
        <v>63</v>
      </c>
      <c r="E39">
        <v>2030</v>
      </c>
      <c r="F39" t="s">
        <v>41</v>
      </c>
      <c r="G39">
        <v>25</v>
      </c>
    </row>
    <row r="40" spans="1:7" hidden="1" x14ac:dyDescent="0.25">
      <c r="A40" s="15" t="s">
        <v>185</v>
      </c>
      <c r="B40" t="s">
        <v>182</v>
      </c>
      <c r="C40" t="s">
        <v>63</v>
      </c>
      <c r="E40">
        <v>2030</v>
      </c>
      <c r="F40" t="s">
        <v>41</v>
      </c>
      <c r="G40">
        <v>25</v>
      </c>
    </row>
    <row r="41" spans="1:7" hidden="1" x14ac:dyDescent="0.25">
      <c r="A41" s="15" t="s">
        <v>185</v>
      </c>
      <c r="B41" t="s">
        <v>183</v>
      </c>
      <c r="C41" t="s">
        <v>63</v>
      </c>
      <c r="E41">
        <v>2030</v>
      </c>
      <c r="F41" t="s">
        <v>41</v>
      </c>
      <c r="G41">
        <v>25</v>
      </c>
    </row>
    <row r="42" spans="1:7" hidden="1" x14ac:dyDescent="0.25">
      <c r="A42" s="15" t="s">
        <v>185</v>
      </c>
      <c r="B42" t="s">
        <v>187</v>
      </c>
      <c r="C42" t="s">
        <v>63</v>
      </c>
      <c r="E42">
        <v>2030</v>
      </c>
      <c r="F42" t="s">
        <v>41</v>
      </c>
      <c r="G42">
        <v>25</v>
      </c>
    </row>
    <row r="43" spans="1:7" hidden="1" x14ac:dyDescent="0.25">
      <c r="A43" s="15" t="s">
        <v>185</v>
      </c>
      <c r="B43" t="s">
        <v>188</v>
      </c>
      <c r="C43" t="s">
        <v>63</v>
      </c>
      <c r="E43">
        <v>2030</v>
      </c>
      <c r="F43" t="s">
        <v>41</v>
      </c>
      <c r="G43">
        <v>25</v>
      </c>
    </row>
    <row r="44" spans="1:7" hidden="1" x14ac:dyDescent="0.25">
      <c r="A44" s="14" t="s">
        <v>49</v>
      </c>
      <c r="B44" t="s">
        <v>19</v>
      </c>
      <c r="E44">
        <v>2040</v>
      </c>
      <c r="F44" t="s">
        <v>45</v>
      </c>
      <c r="G44">
        <v>0.85</v>
      </c>
    </row>
    <row r="45" spans="1:7" hidden="1" x14ac:dyDescent="0.25">
      <c r="A45" s="14" t="s">
        <v>49</v>
      </c>
      <c r="B45" t="s">
        <v>20</v>
      </c>
      <c r="E45">
        <v>2040</v>
      </c>
      <c r="F45" t="s">
        <v>45</v>
      </c>
      <c r="G45">
        <v>0.85</v>
      </c>
    </row>
    <row r="46" spans="1:7" hidden="1" x14ac:dyDescent="0.25">
      <c r="A46" s="14" t="s">
        <v>49</v>
      </c>
      <c r="B46" t="s">
        <v>19</v>
      </c>
      <c r="E46">
        <v>2040</v>
      </c>
      <c r="F46" t="s">
        <v>39</v>
      </c>
      <c r="G46">
        <f>(248+15)*1000000/(607*365)</f>
        <v>1187.0641601408229</v>
      </c>
    </row>
    <row r="47" spans="1:7" hidden="1" x14ac:dyDescent="0.25">
      <c r="A47" s="14" t="s">
        <v>49</v>
      </c>
      <c r="B47" t="s">
        <v>20</v>
      </c>
      <c r="E47">
        <v>2040</v>
      </c>
      <c r="F47" t="s">
        <v>39</v>
      </c>
      <c r="G47">
        <f>(248+15)*1000000/(607*365)</f>
        <v>1187.0641601408229</v>
      </c>
    </row>
    <row r="48" spans="1:7" hidden="1" x14ac:dyDescent="0.25">
      <c r="A48" s="14" t="s">
        <v>49</v>
      </c>
      <c r="B48" t="s">
        <v>19</v>
      </c>
      <c r="E48">
        <v>2040</v>
      </c>
      <c r="F48" t="s">
        <v>44</v>
      </c>
      <c r="G48">
        <f>(254-121)*1000000/(607*365)</f>
        <v>600.30240797995987</v>
      </c>
    </row>
    <row r="49" spans="1:7" hidden="1" x14ac:dyDescent="0.25">
      <c r="A49" s="14" t="s">
        <v>49</v>
      </c>
      <c r="B49" t="s">
        <v>20</v>
      </c>
      <c r="E49">
        <v>2040</v>
      </c>
      <c r="F49" t="s">
        <v>44</v>
      </c>
      <c r="G49">
        <f>(254-121)*1000000/(607*365)</f>
        <v>600.30240797995987</v>
      </c>
    </row>
    <row r="50" spans="1:7" hidden="1" x14ac:dyDescent="0.25">
      <c r="A50" s="14" t="s">
        <v>49</v>
      </c>
      <c r="B50" t="s">
        <v>19</v>
      </c>
      <c r="E50">
        <v>2040</v>
      </c>
      <c r="F50" t="s">
        <v>46</v>
      </c>
      <c r="G50">
        <f>4.42-0.96</f>
        <v>3.46</v>
      </c>
    </row>
    <row r="51" spans="1:7" hidden="1" x14ac:dyDescent="0.25">
      <c r="A51" s="14" t="s">
        <v>49</v>
      </c>
      <c r="B51" t="s">
        <v>20</v>
      </c>
      <c r="E51">
        <v>2040</v>
      </c>
      <c r="F51" t="s">
        <v>46</v>
      </c>
      <c r="G51">
        <f t="shared" ref="G51" si="1">4.42-0.96</f>
        <v>3.46</v>
      </c>
    </row>
    <row r="52" spans="1:7" hidden="1" x14ac:dyDescent="0.25">
      <c r="A52" s="14" t="s">
        <v>49</v>
      </c>
      <c r="B52" t="s">
        <v>19</v>
      </c>
      <c r="E52">
        <v>2040</v>
      </c>
      <c r="F52" t="s">
        <v>47</v>
      </c>
      <c r="G52">
        <f>7/47.7</f>
        <v>0.14675052410901468</v>
      </c>
    </row>
    <row r="53" spans="1:7" hidden="1" x14ac:dyDescent="0.25">
      <c r="A53" s="14" t="s">
        <v>49</v>
      </c>
      <c r="B53" t="s">
        <v>20</v>
      </c>
      <c r="E53">
        <v>2040</v>
      </c>
      <c r="F53" t="s">
        <v>47</v>
      </c>
      <c r="G53">
        <f t="shared" ref="G53" si="2">7/47.7</f>
        <v>0.14675052410901468</v>
      </c>
    </row>
    <row r="54" spans="1:7" hidden="1" x14ac:dyDescent="0.25">
      <c r="A54" s="14" t="s">
        <v>50</v>
      </c>
      <c r="B54" t="s">
        <v>19</v>
      </c>
      <c r="E54">
        <v>2030</v>
      </c>
      <c r="F54" t="s">
        <v>45</v>
      </c>
      <c r="G54">
        <v>0.52</v>
      </c>
    </row>
    <row r="55" spans="1:7" hidden="1" x14ac:dyDescent="0.25">
      <c r="A55" s="14" t="s">
        <v>50</v>
      </c>
      <c r="B55" t="s">
        <v>20</v>
      </c>
      <c r="E55">
        <v>2030</v>
      </c>
      <c r="F55" t="s">
        <v>45</v>
      </c>
      <c r="G55">
        <v>0.52</v>
      </c>
    </row>
    <row r="56" spans="1:7" hidden="1" x14ac:dyDescent="0.25">
      <c r="A56" s="14" t="s">
        <v>50</v>
      </c>
      <c r="B56" t="s">
        <v>19</v>
      </c>
      <c r="E56">
        <v>2030</v>
      </c>
      <c r="F56" t="s">
        <v>39</v>
      </c>
      <c r="G56">
        <f>(74+12)*1000000/(607*365)</f>
        <v>388.16546681410938</v>
      </c>
    </row>
    <row r="57" spans="1:7" hidden="1" x14ac:dyDescent="0.25">
      <c r="A57" s="14" t="s">
        <v>50</v>
      </c>
      <c r="B57" t="s">
        <v>20</v>
      </c>
      <c r="E57">
        <v>2030</v>
      </c>
      <c r="F57" t="s">
        <v>39</v>
      </c>
      <c r="G57">
        <f>(74+12)*1000000/(607*365)</f>
        <v>388.16546681410938</v>
      </c>
    </row>
    <row r="58" spans="1:7" hidden="1" x14ac:dyDescent="0.25">
      <c r="A58" s="14" t="s">
        <v>50</v>
      </c>
      <c r="B58" t="s">
        <v>19</v>
      </c>
      <c r="E58">
        <v>2030</v>
      </c>
      <c r="F58" t="s">
        <v>44</v>
      </c>
      <c r="G58">
        <f>(167-121)*1000000/(607*365)</f>
        <v>207.62338922615152</v>
      </c>
    </row>
    <row r="59" spans="1:7" hidden="1" x14ac:dyDescent="0.25">
      <c r="A59" s="14" t="s">
        <v>50</v>
      </c>
      <c r="B59" t="s">
        <v>20</v>
      </c>
      <c r="E59">
        <v>2030</v>
      </c>
      <c r="F59" t="s">
        <v>44</v>
      </c>
      <c r="G59">
        <f>(167-121)*1000000/(607*365)</f>
        <v>207.62338922615152</v>
      </c>
    </row>
    <row r="60" spans="1:7" hidden="1" x14ac:dyDescent="0.25">
      <c r="A60" s="14" t="s">
        <v>50</v>
      </c>
      <c r="B60" t="s">
        <v>19</v>
      </c>
      <c r="E60">
        <v>2030</v>
      </c>
      <c r="F60" t="s">
        <v>46</v>
      </c>
      <c r="G60">
        <f>1.32-0.96</f>
        <v>0.3600000000000001</v>
      </c>
    </row>
    <row r="61" spans="1:7" hidden="1" x14ac:dyDescent="0.25">
      <c r="A61" s="14" t="s">
        <v>50</v>
      </c>
      <c r="B61" t="s">
        <v>20</v>
      </c>
      <c r="E61">
        <v>2030</v>
      </c>
      <c r="F61" t="s">
        <v>46</v>
      </c>
      <c r="G61">
        <f t="shared" ref="G61" si="3">1.32-0.96</f>
        <v>0.3600000000000001</v>
      </c>
    </row>
    <row r="62" spans="1:7" hidden="1" x14ac:dyDescent="0.25">
      <c r="A62" s="14" t="s">
        <v>50</v>
      </c>
      <c r="B62" t="s">
        <v>19</v>
      </c>
      <c r="E62">
        <v>2030</v>
      </c>
      <c r="F62" t="s">
        <v>47</v>
      </c>
      <c r="G62">
        <f>4/47.7</f>
        <v>8.3857442348008376E-2</v>
      </c>
    </row>
    <row r="63" spans="1:7" hidden="1" x14ac:dyDescent="0.25">
      <c r="A63" s="14" t="s">
        <v>50</v>
      </c>
      <c r="B63" t="s">
        <v>20</v>
      </c>
      <c r="E63">
        <v>2030</v>
      </c>
      <c r="F63" t="s">
        <v>47</v>
      </c>
      <c r="G63">
        <f t="shared" ref="G63" si="4">4/47.7</f>
        <v>8.3857442348008376E-2</v>
      </c>
    </row>
    <row r="64" spans="1:7" hidden="1" x14ac:dyDescent="0.25">
      <c r="A64" s="15" t="s">
        <v>189</v>
      </c>
      <c r="B64" t="s">
        <v>190</v>
      </c>
      <c r="E64">
        <v>2030</v>
      </c>
      <c r="F64" t="s">
        <v>39</v>
      </c>
      <c r="G64">
        <f>(230+31)*1000000/(607*365)</f>
        <v>1178.0370562614248</v>
      </c>
    </row>
    <row r="65" spans="1:7" hidden="1" x14ac:dyDescent="0.25">
      <c r="A65" s="15" t="s">
        <v>189</v>
      </c>
      <c r="B65" t="s">
        <v>190</v>
      </c>
      <c r="E65">
        <v>2030</v>
      </c>
      <c r="F65" t="s">
        <v>44</v>
      </c>
      <c r="G65">
        <f>(91-75)*1000000/(607*365)</f>
        <v>72.216831035183134</v>
      </c>
    </row>
    <row r="66" spans="1:7" hidden="1" x14ac:dyDescent="0.25">
      <c r="A66" s="15" t="s">
        <v>189</v>
      </c>
      <c r="B66" t="s">
        <v>190</v>
      </c>
      <c r="E66">
        <v>2030</v>
      </c>
      <c r="F66" t="s">
        <v>45</v>
      </c>
      <c r="G66" s="41">
        <v>0.91</v>
      </c>
    </row>
    <row r="67" spans="1:7" hidden="1" x14ac:dyDescent="0.25">
      <c r="A67" s="15" t="s">
        <v>189</v>
      </c>
      <c r="B67" t="s">
        <v>190</v>
      </c>
      <c r="E67">
        <v>2030</v>
      </c>
      <c r="F67" t="s">
        <v>46</v>
      </c>
      <c r="G67">
        <f>3.59-2.35</f>
        <v>1.2399999999999998</v>
      </c>
    </row>
    <row r="68" spans="1:7" hidden="1" x14ac:dyDescent="0.25">
      <c r="A68" s="15" t="s">
        <v>109</v>
      </c>
      <c r="B68" t="s">
        <v>100</v>
      </c>
      <c r="C68" t="s">
        <v>101</v>
      </c>
      <c r="E68">
        <v>2030</v>
      </c>
      <c r="F68" t="s">
        <v>45</v>
      </c>
      <c r="G68">
        <v>0.56999999999999995</v>
      </c>
    </row>
    <row r="69" spans="1:7" hidden="1" x14ac:dyDescent="0.25">
      <c r="A69" s="15" t="s">
        <v>109</v>
      </c>
      <c r="B69" t="s">
        <v>100</v>
      </c>
      <c r="C69" t="s">
        <v>101</v>
      </c>
      <c r="E69">
        <v>2030</v>
      </c>
      <c r="F69" t="s">
        <v>39</v>
      </c>
      <c r="G69">
        <f>(90)*TECHNOLOGIES_RESOURCES!Y71*-1</f>
        <v>158.4</v>
      </c>
    </row>
    <row r="70" spans="1:7" hidden="1" x14ac:dyDescent="0.25">
      <c r="A70" s="15" t="s">
        <v>109</v>
      </c>
      <c r="B70" t="s">
        <v>100</v>
      </c>
      <c r="C70" t="s">
        <v>101</v>
      </c>
      <c r="E70">
        <v>2050</v>
      </c>
      <c r="F70" t="s">
        <v>39</v>
      </c>
      <c r="G70">
        <f>(67)*TECHNOLOGIES_RESOURCES!Y71*-1</f>
        <v>117.92</v>
      </c>
    </row>
    <row r="71" spans="1:7" hidden="1" x14ac:dyDescent="0.25">
      <c r="A71" s="15" t="s">
        <v>109</v>
      </c>
      <c r="B71" t="s">
        <v>100</v>
      </c>
      <c r="C71" t="s">
        <v>101</v>
      </c>
      <c r="E71">
        <v>2030</v>
      </c>
      <c r="F71" t="s">
        <v>44</v>
      </c>
      <c r="G71">
        <f>0.05*G69</f>
        <v>7.9200000000000008</v>
      </c>
    </row>
    <row r="72" spans="1:7" hidden="1" x14ac:dyDescent="0.25">
      <c r="A72" s="15" t="s">
        <v>109</v>
      </c>
      <c r="B72" t="s">
        <v>100</v>
      </c>
      <c r="C72" t="s">
        <v>101</v>
      </c>
      <c r="E72">
        <v>2030</v>
      </c>
      <c r="F72" t="s">
        <v>46</v>
      </c>
      <c r="G72">
        <f>0.267-0.173</f>
        <v>9.4000000000000028E-2</v>
      </c>
    </row>
    <row r="73" spans="1:7" hidden="1" x14ac:dyDescent="0.25">
      <c r="A73" s="33" t="s">
        <v>194</v>
      </c>
      <c r="B73" s="34" t="s">
        <v>87</v>
      </c>
      <c r="C73" s="34" t="s">
        <v>86</v>
      </c>
      <c r="D73" s="34"/>
      <c r="E73" s="34">
        <v>2030</v>
      </c>
      <c r="F73" s="34" t="s">
        <v>45</v>
      </c>
      <c r="G73" s="34">
        <v>0.9</v>
      </c>
    </row>
    <row r="74" spans="1:7" hidden="1" x14ac:dyDescent="0.25">
      <c r="A74" s="33" t="s">
        <v>194</v>
      </c>
      <c r="B74" s="34" t="s">
        <v>87</v>
      </c>
      <c r="C74" s="34" t="s">
        <v>86</v>
      </c>
      <c r="D74" s="34"/>
      <c r="E74" s="34">
        <v>2030</v>
      </c>
      <c r="F74" s="34" t="s">
        <v>39</v>
      </c>
      <c r="G74" s="34">
        <v>434</v>
      </c>
    </row>
    <row r="75" spans="1:7" hidden="1" x14ac:dyDescent="0.25">
      <c r="A75" s="33" t="s">
        <v>194</v>
      </c>
      <c r="B75" s="34" t="s">
        <v>87</v>
      </c>
      <c r="C75" s="34" t="s">
        <v>86</v>
      </c>
      <c r="D75" s="34"/>
      <c r="E75" s="34">
        <v>2030</v>
      </c>
      <c r="F75" s="34" t="s">
        <v>44</v>
      </c>
      <c r="G75" s="34">
        <f>0.035*G74</f>
        <v>15.190000000000001</v>
      </c>
    </row>
    <row r="76" spans="1:7" hidden="1" x14ac:dyDescent="0.25">
      <c r="A76" s="33" t="s">
        <v>194</v>
      </c>
      <c r="B76" s="34" t="s">
        <v>87</v>
      </c>
      <c r="C76" s="34" t="s">
        <v>86</v>
      </c>
      <c r="D76" s="34"/>
      <c r="E76" s="34">
        <v>2030</v>
      </c>
      <c r="F76" s="34" t="s">
        <v>46</v>
      </c>
      <c r="G76" s="34">
        <v>0.14499999999999999</v>
      </c>
    </row>
    <row r="77" spans="1:7" hidden="1" x14ac:dyDescent="0.25">
      <c r="A77" s="33" t="s">
        <v>194</v>
      </c>
      <c r="B77" s="34" t="s">
        <v>88</v>
      </c>
      <c r="C77" s="34" t="s">
        <v>86</v>
      </c>
      <c r="D77" s="34"/>
      <c r="E77" s="34">
        <v>2030</v>
      </c>
      <c r="F77" s="34" t="s">
        <v>45</v>
      </c>
      <c r="G77" s="34">
        <v>0.9</v>
      </c>
    </row>
    <row r="78" spans="1:7" hidden="1" x14ac:dyDescent="0.25">
      <c r="A78" s="33" t="s">
        <v>194</v>
      </c>
      <c r="B78" s="34" t="s">
        <v>88</v>
      </c>
      <c r="C78" s="34" t="s">
        <v>86</v>
      </c>
      <c r="D78" s="34"/>
      <c r="E78" s="34">
        <v>2030</v>
      </c>
      <c r="F78" s="34" t="s">
        <v>39</v>
      </c>
      <c r="G78" s="34">
        <v>434</v>
      </c>
    </row>
    <row r="79" spans="1:7" hidden="1" x14ac:dyDescent="0.25">
      <c r="A79" s="33" t="s">
        <v>194</v>
      </c>
      <c r="B79" s="34" t="s">
        <v>88</v>
      </c>
      <c r="C79" s="34" t="s">
        <v>86</v>
      </c>
      <c r="D79" s="34"/>
      <c r="E79" s="34">
        <v>2030</v>
      </c>
      <c r="F79" s="34" t="s">
        <v>44</v>
      </c>
      <c r="G79" s="34">
        <f>0.035*G78</f>
        <v>15.190000000000001</v>
      </c>
    </row>
    <row r="80" spans="1:7" hidden="1" x14ac:dyDescent="0.25">
      <c r="A80" s="33" t="s">
        <v>194</v>
      </c>
      <c r="B80" s="34" t="s">
        <v>88</v>
      </c>
      <c r="C80" s="34" t="s">
        <v>86</v>
      </c>
      <c r="D80" s="34"/>
      <c r="E80" s="34">
        <v>2030</v>
      </c>
      <c r="F80" s="34" t="s">
        <v>46</v>
      </c>
      <c r="G80" s="47">
        <f>G76*TECHNOLOGIES_RESOURCES!Y55/TECHNOLOGIES_RESOURCES!Y54</f>
        <v>0.10846456692913384</v>
      </c>
    </row>
    <row r="81" spans="1:7" hidden="1" x14ac:dyDescent="0.25">
      <c r="A81" s="15" t="s">
        <v>196</v>
      </c>
      <c r="B81" t="s">
        <v>144</v>
      </c>
      <c r="C81" t="s">
        <v>118</v>
      </c>
      <c r="E81">
        <v>2030</v>
      </c>
      <c r="F81" t="s">
        <v>45</v>
      </c>
      <c r="G81">
        <v>0.7</v>
      </c>
    </row>
    <row r="82" spans="1:7" hidden="1" x14ac:dyDescent="0.25">
      <c r="A82" s="15" t="s">
        <v>196</v>
      </c>
      <c r="B82" t="s">
        <v>144</v>
      </c>
      <c r="C82" t="s">
        <v>118</v>
      </c>
      <c r="E82">
        <v>2030</v>
      </c>
      <c r="F82" t="s">
        <v>39</v>
      </c>
      <c r="G82">
        <f>400*TECHNOLOGIES_RESOURCES!Y113*-1*G81</f>
        <v>58.778625954198468</v>
      </c>
    </row>
    <row r="83" spans="1:7" hidden="1" x14ac:dyDescent="0.25">
      <c r="A83" s="15" t="s">
        <v>196</v>
      </c>
      <c r="B83" t="s">
        <v>144</v>
      </c>
      <c r="C83" t="s">
        <v>118</v>
      </c>
      <c r="E83">
        <v>2050</v>
      </c>
      <c r="F83" t="s">
        <v>39</v>
      </c>
      <c r="G83">
        <f>296*TECHNOLOGIES_RESOURCES!Y113*-1*G81</f>
        <v>43.496183206106871</v>
      </c>
    </row>
    <row r="84" spans="1:7" hidden="1" x14ac:dyDescent="0.25">
      <c r="A84" s="15" t="s">
        <v>196</v>
      </c>
      <c r="B84" t="s">
        <v>144</v>
      </c>
      <c r="C84" t="s">
        <v>118</v>
      </c>
      <c r="E84">
        <v>2030</v>
      </c>
      <c r="F84" t="s">
        <v>44</v>
      </c>
      <c r="G84">
        <f>0.07*G82</f>
        <v>4.114503816793893</v>
      </c>
    </row>
    <row r="85" spans="1:7" hidden="1" x14ac:dyDescent="0.25">
      <c r="A85" s="15" t="s">
        <v>196</v>
      </c>
      <c r="B85" t="s">
        <v>144</v>
      </c>
      <c r="C85" t="s">
        <v>118</v>
      </c>
      <c r="E85">
        <v>2030</v>
      </c>
      <c r="F85" t="s">
        <v>46</v>
      </c>
      <c r="G85">
        <f>0.22*G81*-1*TECHNOLOGIES_RESOURCES!Y113</f>
        <v>3.2328244274809161E-2</v>
      </c>
    </row>
    <row r="86" spans="1:7" hidden="1" x14ac:dyDescent="0.25">
      <c r="A86" s="15" t="s">
        <v>196</v>
      </c>
      <c r="B86" t="s">
        <v>144</v>
      </c>
      <c r="C86" t="s">
        <v>118</v>
      </c>
      <c r="E86">
        <v>2030</v>
      </c>
      <c r="F86" t="s">
        <v>41</v>
      </c>
      <c r="G86">
        <v>20</v>
      </c>
    </row>
    <row r="87" spans="1:7" hidden="1" x14ac:dyDescent="0.25">
      <c r="A87" s="15" t="s">
        <v>196</v>
      </c>
      <c r="B87" t="s">
        <v>133</v>
      </c>
      <c r="C87" t="s">
        <v>118</v>
      </c>
      <c r="E87">
        <v>2030</v>
      </c>
      <c r="F87" t="s">
        <v>45</v>
      </c>
      <c r="G87">
        <v>0.7</v>
      </c>
    </row>
    <row r="88" spans="1:7" hidden="1" x14ac:dyDescent="0.25">
      <c r="A88" s="15" t="s">
        <v>196</v>
      </c>
      <c r="B88" t="s">
        <v>133</v>
      </c>
      <c r="C88" t="s">
        <v>118</v>
      </c>
      <c r="E88">
        <v>2030</v>
      </c>
      <c r="F88" t="s">
        <v>39</v>
      </c>
      <c r="G88">
        <f>400*-1*TECHNOLOGIES_RESOURCES!Y102</f>
        <v>22.21</v>
      </c>
    </row>
    <row r="89" spans="1:7" hidden="1" x14ac:dyDescent="0.25">
      <c r="A89" s="15" t="s">
        <v>196</v>
      </c>
      <c r="B89" t="s">
        <v>133</v>
      </c>
      <c r="C89" t="s">
        <v>118</v>
      </c>
      <c r="E89">
        <v>2050</v>
      </c>
      <c r="F89" t="s">
        <v>39</v>
      </c>
      <c r="G89">
        <f>296*-1*TECHNOLOGIES_RESOURCES!Y102*G87</f>
        <v>11.504779999999998</v>
      </c>
    </row>
    <row r="90" spans="1:7" hidden="1" x14ac:dyDescent="0.25">
      <c r="A90" s="15" t="s">
        <v>196</v>
      </c>
      <c r="B90" t="s">
        <v>133</v>
      </c>
      <c r="C90" t="s">
        <v>118</v>
      </c>
      <c r="E90">
        <v>2030</v>
      </c>
      <c r="F90" t="s">
        <v>44</v>
      </c>
      <c r="G90">
        <f>0.07*G88*G87</f>
        <v>1.08829</v>
      </c>
    </row>
    <row r="91" spans="1:7" hidden="1" x14ac:dyDescent="0.25">
      <c r="A91" s="15" t="s">
        <v>196</v>
      </c>
      <c r="B91" t="s">
        <v>133</v>
      </c>
      <c r="C91" t="s">
        <v>118</v>
      </c>
      <c r="E91">
        <v>2030</v>
      </c>
      <c r="F91" t="s">
        <v>46</v>
      </c>
      <c r="G91">
        <f>0.22*G87*-1*TECHNOLOGIES_RESOURCES!Y102</f>
        <v>8.5508499999999987E-3</v>
      </c>
    </row>
    <row r="92" spans="1:7" hidden="1" x14ac:dyDescent="0.25">
      <c r="A92" s="15" t="s">
        <v>196</v>
      </c>
      <c r="B92" t="s">
        <v>133</v>
      </c>
      <c r="C92" t="s">
        <v>118</v>
      </c>
      <c r="E92">
        <v>2030</v>
      </c>
      <c r="F92" t="s">
        <v>41</v>
      </c>
      <c r="G92">
        <v>20</v>
      </c>
    </row>
    <row r="93" spans="1:7" hidden="1" x14ac:dyDescent="0.25">
      <c r="A93" s="15" t="s">
        <v>196</v>
      </c>
      <c r="B93" t="s">
        <v>132</v>
      </c>
      <c r="C93" t="s">
        <v>118</v>
      </c>
      <c r="E93">
        <v>2030</v>
      </c>
      <c r="F93" t="s">
        <v>45</v>
      </c>
      <c r="G93">
        <v>0.7</v>
      </c>
    </row>
    <row r="94" spans="1:7" hidden="1" x14ac:dyDescent="0.25">
      <c r="A94" s="15" t="s">
        <v>196</v>
      </c>
      <c r="B94" t="s">
        <v>132</v>
      </c>
      <c r="C94" t="s">
        <v>118</v>
      </c>
      <c r="E94">
        <v>2030</v>
      </c>
      <c r="F94" t="s">
        <v>39</v>
      </c>
      <c r="G94">
        <f>400*-1*TECHNOLOGIES_RESOURCES!Y100*G93</f>
        <v>6.3078399999999979</v>
      </c>
    </row>
    <row r="95" spans="1:7" hidden="1" x14ac:dyDescent="0.25">
      <c r="A95" s="15" t="s">
        <v>196</v>
      </c>
      <c r="B95" t="s">
        <v>132</v>
      </c>
      <c r="C95" t="s">
        <v>118</v>
      </c>
      <c r="E95">
        <v>2050</v>
      </c>
      <c r="F95" t="s">
        <v>39</v>
      </c>
      <c r="G95">
        <f>296*-1*TECHNOLOGIES_RESOURCES!Y100*G93</f>
        <v>4.667801599999998</v>
      </c>
    </row>
    <row r="96" spans="1:7" hidden="1" x14ac:dyDescent="0.25">
      <c r="A96" s="15" t="s">
        <v>196</v>
      </c>
      <c r="B96" t="s">
        <v>132</v>
      </c>
      <c r="C96" t="s">
        <v>118</v>
      </c>
      <c r="E96">
        <v>2030</v>
      </c>
      <c r="F96" t="s">
        <v>44</v>
      </c>
      <c r="G96">
        <f>0.07*G94</f>
        <v>0.44154879999999991</v>
      </c>
    </row>
    <row r="97" spans="1:7" hidden="1" x14ac:dyDescent="0.25">
      <c r="A97" s="15" t="s">
        <v>196</v>
      </c>
      <c r="B97" t="s">
        <v>132</v>
      </c>
      <c r="C97" t="s">
        <v>118</v>
      </c>
      <c r="E97">
        <v>2030</v>
      </c>
      <c r="F97" t="s">
        <v>46</v>
      </c>
      <c r="G97">
        <f>G93*0.22*-1*TECHNOLOGIES_RESOURCES!Y100</f>
        <v>3.4693119999999987E-3</v>
      </c>
    </row>
    <row r="98" spans="1:7" hidden="1" x14ac:dyDescent="0.25">
      <c r="A98" s="15" t="s">
        <v>196</v>
      </c>
      <c r="B98" t="s">
        <v>132</v>
      </c>
      <c r="C98" t="s">
        <v>118</v>
      </c>
      <c r="E98">
        <v>2030</v>
      </c>
      <c r="F98" t="s">
        <v>41</v>
      </c>
      <c r="G98">
        <v>20</v>
      </c>
    </row>
    <row r="99" spans="1:7" hidden="1" x14ac:dyDescent="0.25">
      <c r="A99" s="15" t="s">
        <v>196</v>
      </c>
      <c r="B99" t="s">
        <v>135</v>
      </c>
      <c r="C99" t="s">
        <v>118</v>
      </c>
      <c r="E99">
        <v>2030</v>
      </c>
      <c r="F99" t="s">
        <v>45</v>
      </c>
      <c r="G99">
        <v>0.7</v>
      </c>
    </row>
    <row r="100" spans="1:7" hidden="1" x14ac:dyDescent="0.25">
      <c r="A100" s="15" t="s">
        <v>196</v>
      </c>
      <c r="B100" t="s">
        <v>135</v>
      </c>
      <c r="C100" t="s">
        <v>118</v>
      </c>
      <c r="E100">
        <v>2030</v>
      </c>
      <c r="F100" t="s">
        <v>39</v>
      </c>
      <c r="G100">
        <f>400*-1*TECHNOLOGIES_RESOURCES!Y104*G99</f>
        <v>15.546999999999999</v>
      </c>
    </row>
    <row r="101" spans="1:7" hidden="1" x14ac:dyDescent="0.25">
      <c r="A101" s="15" t="s">
        <v>196</v>
      </c>
      <c r="B101" t="s">
        <v>135</v>
      </c>
      <c r="C101" t="s">
        <v>118</v>
      </c>
      <c r="E101">
        <v>2050</v>
      </c>
      <c r="F101" t="s">
        <v>39</v>
      </c>
      <c r="G101">
        <f>296*-1*TECHNOLOGIES_RESOURCES!Y104*G99</f>
        <v>11.504779999999998</v>
      </c>
    </row>
    <row r="102" spans="1:7" hidden="1" x14ac:dyDescent="0.25">
      <c r="A102" s="15" t="s">
        <v>196</v>
      </c>
      <c r="B102" t="s">
        <v>135</v>
      </c>
      <c r="C102" t="s">
        <v>118</v>
      </c>
      <c r="E102">
        <v>2030</v>
      </c>
      <c r="F102" t="s">
        <v>44</v>
      </c>
      <c r="G102">
        <f>0.07*G100</f>
        <v>1.08829</v>
      </c>
    </row>
    <row r="103" spans="1:7" hidden="1" x14ac:dyDescent="0.25">
      <c r="A103" s="15" t="s">
        <v>196</v>
      </c>
      <c r="B103" t="s">
        <v>135</v>
      </c>
      <c r="C103" t="s">
        <v>118</v>
      </c>
      <c r="E103">
        <v>2030</v>
      </c>
      <c r="F103" t="s">
        <v>46</v>
      </c>
      <c r="G103">
        <f>0.22*G99*-1*TECHNOLOGIES_RESOURCES!Y104</f>
        <v>8.5508499999999987E-3</v>
      </c>
    </row>
    <row r="104" spans="1:7" hidden="1" x14ac:dyDescent="0.25">
      <c r="A104" s="15" t="s">
        <v>196</v>
      </c>
      <c r="B104" t="s">
        <v>135</v>
      </c>
      <c r="C104" t="s">
        <v>118</v>
      </c>
      <c r="E104">
        <v>2030</v>
      </c>
      <c r="F104" t="s">
        <v>41</v>
      </c>
      <c r="G104">
        <v>20</v>
      </c>
    </row>
    <row r="105" spans="1:7" hidden="1" x14ac:dyDescent="0.25">
      <c r="A105" s="15" t="s">
        <v>196</v>
      </c>
      <c r="B105" t="s">
        <v>134</v>
      </c>
      <c r="C105" t="s">
        <v>118</v>
      </c>
      <c r="E105">
        <v>2030</v>
      </c>
      <c r="F105" t="s">
        <v>45</v>
      </c>
      <c r="G105">
        <v>0.7</v>
      </c>
    </row>
    <row r="106" spans="1:7" hidden="1" x14ac:dyDescent="0.25">
      <c r="A106" s="15" t="s">
        <v>196</v>
      </c>
      <c r="B106" t="s">
        <v>134</v>
      </c>
      <c r="C106" t="s">
        <v>118</v>
      </c>
      <c r="E106">
        <v>2030</v>
      </c>
      <c r="F106" t="s">
        <v>39</v>
      </c>
      <c r="G106">
        <f>400*-1*TECHNOLOGIES_RESOURCES!Y103*G105</f>
        <v>6.3078399999999979</v>
      </c>
    </row>
    <row r="107" spans="1:7" hidden="1" x14ac:dyDescent="0.25">
      <c r="A107" s="15" t="s">
        <v>196</v>
      </c>
      <c r="B107" t="s">
        <v>134</v>
      </c>
      <c r="C107" t="s">
        <v>118</v>
      </c>
      <c r="E107">
        <v>2050</v>
      </c>
      <c r="F107" t="s">
        <v>39</v>
      </c>
      <c r="G107">
        <f>296*-1*TECHNOLOGIES_RESOURCES!Y103*G105</f>
        <v>4.667801599999998</v>
      </c>
    </row>
    <row r="108" spans="1:7" hidden="1" x14ac:dyDescent="0.25">
      <c r="A108" s="15" t="s">
        <v>196</v>
      </c>
      <c r="B108" t="s">
        <v>134</v>
      </c>
      <c r="C108" t="s">
        <v>118</v>
      </c>
      <c r="E108">
        <v>2030</v>
      </c>
      <c r="F108" t="s">
        <v>44</v>
      </c>
      <c r="G108">
        <f>0.07*G106</f>
        <v>0.44154879999999991</v>
      </c>
    </row>
    <row r="109" spans="1:7" hidden="1" x14ac:dyDescent="0.25">
      <c r="A109" s="15" t="s">
        <v>196</v>
      </c>
      <c r="B109" t="s">
        <v>134</v>
      </c>
      <c r="C109" t="s">
        <v>118</v>
      </c>
      <c r="E109">
        <v>2030</v>
      </c>
      <c r="F109" t="s">
        <v>46</v>
      </c>
      <c r="G109">
        <f>0.22*G105*-1*TECHNOLOGIES_RESOURCES!Y103</f>
        <v>3.4693119999999987E-3</v>
      </c>
    </row>
    <row r="110" spans="1:7" hidden="1" x14ac:dyDescent="0.25">
      <c r="A110" s="15" t="s">
        <v>196</v>
      </c>
      <c r="B110" t="s">
        <v>134</v>
      </c>
      <c r="C110" t="s">
        <v>118</v>
      </c>
      <c r="E110">
        <v>2030</v>
      </c>
      <c r="F110" t="s">
        <v>41</v>
      </c>
      <c r="G110">
        <v>20</v>
      </c>
    </row>
    <row r="111" spans="1:7" hidden="1" x14ac:dyDescent="0.25">
      <c r="A111" s="15" t="s">
        <v>196</v>
      </c>
      <c r="B111" t="s">
        <v>148</v>
      </c>
      <c r="C111" t="s">
        <v>118</v>
      </c>
      <c r="E111">
        <v>2030</v>
      </c>
      <c r="F111" t="s">
        <v>45</v>
      </c>
      <c r="G111">
        <v>0.7</v>
      </c>
    </row>
    <row r="112" spans="1:7" hidden="1" x14ac:dyDescent="0.25">
      <c r="A112" s="15" t="s">
        <v>196</v>
      </c>
      <c r="B112" t="s">
        <v>148</v>
      </c>
      <c r="C112" t="s">
        <v>118</v>
      </c>
      <c r="E112">
        <v>2030</v>
      </c>
      <c r="F112" t="s">
        <v>39</v>
      </c>
      <c r="G112">
        <f>400*-1*TECHNOLOGIES_RESOURCES!Y105*G111</f>
        <v>15.546999999999999</v>
      </c>
    </row>
    <row r="113" spans="1:7" hidden="1" x14ac:dyDescent="0.25">
      <c r="A113" s="15" t="s">
        <v>196</v>
      </c>
      <c r="B113" t="s">
        <v>148</v>
      </c>
      <c r="C113" t="s">
        <v>118</v>
      </c>
      <c r="E113">
        <v>2050</v>
      </c>
      <c r="F113" t="s">
        <v>39</v>
      </c>
      <c r="G113">
        <f>296*-1*TECHNOLOGIES_RESOURCES!Y105*G111</f>
        <v>11.504779999999998</v>
      </c>
    </row>
    <row r="114" spans="1:7" hidden="1" x14ac:dyDescent="0.25">
      <c r="A114" s="15" t="s">
        <v>196</v>
      </c>
      <c r="B114" t="s">
        <v>148</v>
      </c>
      <c r="C114" t="s">
        <v>118</v>
      </c>
      <c r="E114">
        <v>2030</v>
      </c>
      <c r="F114" t="s">
        <v>44</v>
      </c>
      <c r="G114">
        <f>0.07*G112</f>
        <v>1.08829</v>
      </c>
    </row>
    <row r="115" spans="1:7" hidden="1" x14ac:dyDescent="0.25">
      <c r="A115" s="15" t="s">
        <v>196</v>
      </c>
      <c r="B115" t="s">
        <v>148</v>
      </c>
      <c r="C115" t="s">
        <v>118</v>
      </c>
      <c r="E115">
        <v>2030</v>
      </c>
      <c r="F115" t="s">
        <v>46</v>
      </c>
      <c r="G115">
        <f>G111*0.22*-1*TECHNOLOGIES_RESOURCES!Y105</f>
        <v>8.5508499999999987E-3</v>
      </c>
    </row>
    <row r="116" spans="1:7" hidden="1" x14ac:dyDescent="0.25">
      <c r="A116" s="15" t="s">
        <v>196</v>
      </c>
      <c r="B116" t="s">
        <v>148</v>
      </c>
      <c r="C116" t="s">
        <v>118</v>
      </c>
      <c r="E116">
        <v>2030</v>
      </c>
      <c r="F116" t="s">
        <v>41</v>
      </c>
      <c r="G116">
        <v>20</v>
      </c>
    </row>
    <row r="117" spans="1:7" hidden="1" x14ac:dyDescent="0.25">
      <c r="A117" s="15" t="s">
        <v>196</v>
      </c>
      <c r="B117" t="s">
        <v>149</v>
      </c>
      <c r="C117" t="s">
        <v>118</v>
      </c>
      <c r="E117">
        <v>2030</v>
      </c>
      <c r="F117" t="s">
        <v>45</v>
      </c>
      <c r="G117">
        <v>0.7</v>
      </c>
    </row>
    <row r="118" spans="1:7" hidden="1" x14ac:dyDescent="0.25">
      <c r="A118" s="15" t="s">
        <v>196</v>
      </c>
      <c r="B118" t="s">
        <v>149</v>
      </c>
      <c r="C118" t="s">
        <v>118</v>
      </c>
      <c r="E118">
        <v>2030</v>
      </c>
      <c r="F118" t="s">
        <v>39</v>
      </c>
      <c r="G118">
        <f>400*-1*TECHNOLOGIES_RESOURCES!Y106*G117</f>
        <v>15.546999999999999</v>
      </c>
    </row>
    <row r="119" spans="1:7" hidden="1" x14ac:dyDescent="0.25">
      <c r="A119" s="15" t="s">
        <v>196</v>
      </c>
      <c r="B119" t="s">
        <v>149</v>
      </c>
      <c r="C119" t="s">
        <v>118</v>
      </c>
      <c r="E119">
        <v>2050</v>
      </c>
      <c r="F119" t="s">
        <v>39</v>
      </c>
      <c r="G119">
        <f>296*-1*TECHNOLOGIES_RESOURCES!Y106*G117</f>
        <v>11.504779999999998</v>
      </c>
    </row>
    <row r="120" spans="1:7" hidden="1" x14ac:dyDescent="0.25">
      <c r="A120" s="15" t="s">
        <v>196</v>
      </c>
      <c r="B120" t="s">
        <v>149</v>
      </c>
      <c r="C120" t="s">
        <v>118</v>
      </c>
      <c r="E120">
        <v>2030</v>
      </c>
      <c r="F120" t="s">
        <v>44</v>
      </c>
      <c r="G120">
        <f>0.07*G118</f>
        <v>1.08829</v>
      </c>
    </row>
    <row r="121" spans="1:7" hidden="1" x14ac:dyDescent="0.25">
      <c r="A121" s="15" t="s">
        <v>196</v>
      </c>
      <c r="B121" t="s">
        <v>149</v>
      </c>
      <c r="C121" t="s">
        <v>118</v>
      </c>
      <c r="E121">
        <v>2030</v>
      </c>
      <c r="F121" t="s">
        <v>46</v>
      </c>
      <c r="G121">
        <f>0.22*G117*-1*TECHNOLOGIES_RESOURCES!Y106</f>
        <v>8.5508499999999987E-3</v>
      </c>
    </row>
    <row r="122" spans="1:7" hidden="1" x14ac:dyDescent="0.25">
      <c r="A122" s="15" t="s">
        <v>196</v>
      </c>
      <c r="B122" t="s">
        <v>149</v>
      </c>
      <c r="C122" t="s">
        <v>118</v>
      </c>
      <c r="E122">
        <v>2030</v>
      </c>
      <c r="F122" t="s">
        <v>41</v>
      </c>
      <c r="G122">
        <v>20</v>
      </c>
    </row>
    <row r="123" spans="1:7" hidden="1" x14ac:dyDescent="0.25">
      <c r="A123" s="15" t="s">
        <v>196</v>
      </c>
      <c r="B123" t="s">
        <v>150</v>
      </c>
      <c r="C123" t="s">
        <v>118</v>
      </c>
      <c r="E123">
        <v>2030</v>
      </c>
      <c r="F123" t="s">
        <v>45</v>
      </c>
      <c r="G123">
        <v>0.7</v>
      </c>
    </row>
    <row r="124" spans="1:7" hidden="1" x14ac:dyDescent="0.25">
      <c r="A124" s="15" t="s">
        <v>196</v>
      </c>
      <c r="B124" t="s">
        <v>150</v>
      </c>
      <c r="C124" t="s">
        <v>118</v>
      </c>
      <c r="E124">
        <v>2030</v>
      </c>
      <c r="F124" t="s">
        <v>39</v>
      </c>
      <c r="G124">
        <f>400*-1*TECHNOLOGIES_RESOURCES!Y107*G123</f>
        <v>6.3078399999999979</v>
      </c>
    </row>
    <row r="125" spans="1:7" hidden="1" x14ac:dyDescent="0.25">
      <c r="A125" s="15" t="s">
        <v>196</v>
      </c>
      <c r="B125" t="s">
        <v>150</v>
      </c>
      <c r="C125" t="s">
        <v>118</v>
      </c>
      <c r="E125">
        <v>2050</v>
      </c>
      <c r="F125" t="s">
        <v>39</v>
      </c>
      <c r="G125">
        <f>296*-1*TECHNOLOGIES_RESOURCES!Y107*G123</f>
        <v>4.667801599999998</v>
      </c>
    </row>
    <row r="126" spans="1:7" hidden="1" x14ac:dyDescent="0.25">
      <c r="A126" s="15" t="s">
        <v>196</v>
      </c>
      <c r="B126" t="s">
        <v>150</v>
      </c>
      <c r="C126" t="s">
        <v>118</v>
      </c>
      <c r="E126">
        <v>2030</v>
      </c>
      <c r="F126" t="s">
        <v>44</v>
      </c>
      <c r="G126">
        <f>0.07*G124</f>
        <v>0.44154879999999991</v>
      </c>
    </row>
    <row r="127" spans="1:7" hidden="1" x14ac:dyDescent="0.25">
      <c r="A127" s="15" t="s">
        <v>196</v>
      </c>
      <c r="B127" t="s">
        <v>150</v>
      </c>
      <c r="C127" t="s">
        <v>118</v>
      </c>
      <c r="E127">
        <v>2030</v>
      </c>
      <c r="F127" t="s">
        <v>46</v>
      </c>
      <c r="G127">
        <f>0.22*G123*-1*TECHNOLOGIES_RESOURCES!Y107</f>
        <v>3.4693119999999987E-3</v>
      </c>
    </row>
    <row r="128" spans="1:7" hidden="1" x14ac:dyDescent="0.25">
      <c r="A128" s="15" t="s">
        <v>196</v>
      </c>
      <c r="B128" t="s">
        <v>150</v>
      </c>
      <c r="C128" t="s">
        <v>118</v>
      </c>
      <c r="E128">
        <v>2030</v>
      </c>
      <c r="F128" t="s">
        <v>41</v>
      </c>
      <c r="G128">
        <v>20</v>
      </c>
    </row>
    <row r="129" spans="1:7" hidden="1" x14ac:dyDescent="0.25">
      <c r="A129" s="15" t="s">
        <v>196</v>
      </c>
      <c r="B129" t="s">
        <v>151</v>
      </c>
      <c r="C129" t="s">
        <v>118</v>
      </c>
      <c r="E129">
        <v>2030</v>
      </c>
      <c r="F129" t="s">
        <v>45</v>
      </c>
      <c r="G129">
        <v>0.7</v>
      </c>
    </row>
    <row r="130" spans="1:7" hidden="1" x14ac:dyDescent="0.25">
      <c r="A130" s="15" t="s">
        <v>196</v>
      </c>
      <c r="B130" t="s">
        <v>151</v>
      </c>
      <c r="C130" t="s">
        <v>118</v>
      </c>
      <c r="E130">
        <v>2030</v>
      </c>
      <c r="F130" t="s">
        <v>39</v>
      </c>
      <c r="G130">
        <f>400*-1*TECHNOLOGIES_RESOURCES!Y108*G129</f>
        <v>14.007139999999998</v>
      </c>
    </row>
    <row r="131" spans="1:7" hidden="1" x14ac:dyDescent="0.25">
      <c r="A131" s="15" t="s">
        <v>196</v>
      </c>
      <c r="B131" t="s">
        <v>151</v>
      </c>
      <c r="C131" t="s">
        <v>118</v>
      </c>
      <c r="E131">
        <v>2050</v>
      </c>
      <c r="F131" t="s">
        <v>39</v>
      </c>
      <c r="G131">
        <f>296*-1*TECHNOLOGIES_RESOURCES!Y108*G129</f>
        <v>10.365283599999998</v>
      </c>
    </row>
    <row r="132" spans="1:7" hidden="1" x14ac:dyDescent="0.25">
      <c r="A132" s="15" t="s">
        <v>196</v>
      </c>
      <c r="B132" t="s">
        <v>151</v>
      </c>
      <c r="C132" t="s">
        <v>118</v>
      </c>
      <c r="E132">
        <v>2030</v>
      </c>
      <c r="F132" t="s">
        <v>44</v>
      </c>
      <c r="G132">
        <f>0.07*G130</f>
        <v>0.98049979999999992</v>
      </c>
    </row>
    <row r="133" spans="1:7" hidden="1" x14ac:dyDescent="0.25">
      <c r="A133" s="15" t="s">
        <v>196</v>
      </c>
      <c r="B133" t="s">
        <v>151</v>
      </c>
      <c r="C133" t="s">
        <v>118</v>
      </c>
      <c r="E133">
        <v>2030</v>
      </c>
      <c r="F133" t="s">
        <v>46</v>
      </c>
      <c r="G133">
        <f>0.22*G129*-1*TECHNOLOGIES_RESOURCES!Y108</f>
        <v>7.7039269999999993E-3</v>
      </c>
    </row>
    <row r="134" spans="1:7" hidden="1" x14ac:dyDescent="0.25">
      <c r="A134" s="15" t="s">
        <v>196</v>
      </c>
      <c r="B134" t="s">
        <v>151</v>
      </c>
      <c r="C134" t="s">
        <v>118</v>
      </c>
      <c r="E134">
        <v>2030</v>
      </c>
      <c r="F134" t="s">
        <v>41</v>
      </c>
      <c r="G134">
        <v>20</v>
      </c>
    </row>
    <row r="135" spans="1:7" hidden="1" x14ac:dyDescent="0.25">
      <c r="A135" s="15" t="s">
        <v>168</v>
      </c>
      <c r="B135" t="s">
        <v>40</v>
      </c>
      <c r="E135">
        <v>2030</v>
      </c>
      <c r="F135" t="s">
        <v>39</v>
      </c>
      <c r="G135">
        <f>122350/74.3</f>
        <v>1646.7025572005384</v>
      </c>
    </row>
    <row r="136" spans="1:7" hidden="1" x14ac:dyDescent="0.25">
      <c r="A136" s="15" t="s">
        <v>168</v>
      </c>
      <c r="B136" t="s">
        <v>40</v>
      </c>
      <c r="E136">
        <v>2030</v>
      </c>
      <c r="F136" t="s">
        <v>44</v>
      </c>
      <c r="G136">
        <f>6950/74.3</f>
        <v>93.539703903095557</v>
      </c>
    </row>
    <row r="137" spans="1:7" hidden="1" x14ac:dyDescent="0.25">
      <c r="A137" s="15" t="s">
        <v>168</v>
      </c>
      <c r="B137" t="s">
        <v>40</v>
      </c>
      <c r="E137">
        <v>2030</v>
      </c>
      <c r="F137" t="s">
        <v>45</v>
      </c>
      <c r="G137">
        <v>0.89</v>
      </c>
    </row>
    <row r="138" spans="1:7" hidden="1" x14ac:dyDescent="0.25">
      <c r="A138" s="15" t="s">
        <v>168</v>
      </c>
      <c r="B138" t="s">
        <v>40</v>
      </c>
      <c r="E138">
        <v>2030</v>
      </c>
      <c r="F138" t="s">
        <v>193</v>
      </c>
      <c r="G138">
        <v>0.27600000000000002</v>
      </c>
    </row>
    <row r="139" spans="1:7" hidden="1" x14ac:dyDescent="0.25">
      <c r="A139" s="15" t="s">
        <v>196</v>
      </c>
      <c r="B139" t="s">
        <v>144</v>
      </c>
      <c r="C139" t="s">
        <v>118</v>
      </c>
      <c r="E139">
        <v>2040</v>
      </c>
      <c r="F139" t="s">
        <v>45</v>
      </c>
      <c r="G139">
        <v>0.8</v>
      </c>
    </row>
    <row r="140" spans="1:7" hidden="1" x14ac:dyDescent="0.25">
      <c r="A140" s="15" t="s">
        <v>196</v>
      </c>
      <c r="B140" t="s">
        <v>133</v>
      </c>
      <c r="C140" t="s">
        <v>118</v>
      </c>
      <c r="E140">
        <v>2040</v>
      </c>
      <c r="F140" t="s">
        <v>45</v>
      </c>
      <c r="G140">
        <v>0.8</v>
      </c>
    </row>
    <row r="141" spans="1:7" hidden="1" x14ac:dyDescent="0.25">
      <c r="A141" s="15" t="s">
        <v>196</v>
      </c>
      <c r="B141" t="s">
        <v>132</v>
      </c>
      <c r="C141" t="s">
        <v>118</v>
      </c>
      <c r="E141">
        <v>2040</v>
      </c>
      <c r="F141" t="s">
        <v>45</v>
      </c>
      <c r="G141">
        <v>0.8</v>
      </c>
    </row>
    <row r="142" spans="1:7" hidden="1" x14ac:dyDescent="0.25">
      <c r="A142" s="15" t="s">
        <v>196</v>
      </c>
      <c r="B142" t="s">
        <v>135</v>
      </c>
      <c r="C142" t="s">
        <v>118</v>
      </c>
      <c r="E142">
        <v>2040</v>
      </c>
      <c r="F142" t="s">
        <v>45</v>
      </c>
      <c r="G142">
        <v>0.8</v>
      </c>
    </row>
    <row r="143" spans="1:7" hidden="1" x14ac:dyDescent="0.25">
      <c r="A143" s="15" t="s">
        <v>196</v>
      </c>
      <c r="B143" t="s">
        <v>134</v>
      </c>
      <c r="C143" t="s">
        <v>118</v>
      </c>
      <c r="E143">
        <v>2040</v>
      </c>
      <c r="F143" t="s">
        <v>45</v>
      </c>
      <c r="G143">
        <v>0.8</v>
      </c>
    </row>
    <row r="144" spans="1:7" hidden="1" x14ac:dyDescent="0.25">
      <c r="A144" s="15" t="s">
        <v>196</v>
      </c>
      <c r="B144" t="s">
        <v>148</v>
      </c>
      <c r="C144" t="s">
        <v>118</v>
      </c>
      <c r="E144">
        <v>2040</v>
      </c>
      <c r="F144" t="s">
        <v>45</v>
      </c>
      <c r="G144">
        <v>0.8</v>
      </c>
    </row>
    <row r="145" spans="1:7" hidden="1" x14ac:dyDescent="0.25">
      <c r="A145" s="15" t="s">
        <v>196</v>
      </c>
      <c r="B145" t="s">
        <v>149</v>
      </c>
      <c r="C145" t="s">
        <v>118</v>
      </c>
      <c r="E145">
        <v>2040</v>
      </c>
      <c r="F145" t="s">
        <v>45</v>
      </c>
      <c r="G145">
        <v>0.8</v>
      </c>
    </row>
    <row r="146" spans="1:7" hidden="1" x14ac:dyDescent="0.25">
      <c r="A146" s="15" t="s">
        <v>196</v>
      </c>
      <c r="B146" t="s">
        <v>150</v>
      </c>
      <c r="C146" t="s">
        <v>118</v>
      </c>
      <c r="E146">
        <v>2040</v>
      </c>
      <c r="F146" t="s">
        <v>45</v>
      </c>
      <c r="G146">
        <v>0.8</v>
      </c>
    </row>
    <row r="147" spans="1:7" hidden="1" x14ac:dyDescent="0.25">
      <c r="A147" s="15" t="s">
        <v>196</v>
      </c>
      <c r="B147" t="s">
        <v>151</v>
      </c>
      <c r="C147" t="s">
        <v>118</v>
      </c>
      <c r="E147">
        <v>2040</v>
      </c>
      <c r="F147" t="s">
        <v>45</v>
      </c>
      <c r="G147">
        <v>0.8</v>
      </c>
    </row>
    <row r="148" spans="1:7" x14ac:dyDescent="0.25">
      <c r="A148" s="15" t="s">
        <v>195</v>
      </c>
      <c r="B148" t="s">
        <v>144</v>
      </c>
      <c r="C148" t="s">
        <v>118</v>
      </c>
      <c r="E148">
        <v>2035</v>
      </c>
      <c r="F148" t="s">
        <v>45</v>
      </c>
      <c r="G148">
        <v>0.98</v>
      </c>
    </row>
    <row r="149" spans="1:7" x14ac:dyDescent="0.25">
      <c r="A149" s="15" t="s">
        <v>195</v>
      </c>
      <c r="B149" t="s">
        <v>144</v>
      </c>
      <c r="C149" t="s">
        <v>118</v>
      </c>
      <c r="E149">
        <v>2035</v>
      </c>
      <c r="F149" t="s">
        <v>39</v>
      </c>
      <c r="G149">
        <f>60.82</f>
        <v>60.82</v>
      </c>
    </row>
    <row r="150" spans="1:7" x14ac:dyDescent="0.25">
      <c r="A150" s="15" t="s">
        <v>195</v>
      </c>
      <c r="B150" t="s">
        <v>144</v>
      </c>
      <c r="C150" t="s">
        <v>118</v>
      </c>
      <c r="E150">
        <v>2035</v>
      </c>
      <c r="F150" t="s">
        <v>44</v>
      </c>
      <c r="G150">
        <v>6.16</v>
      </c>
    </row>
    <row r="151" spans="1:7" x14ac:dyDescent="0.25">
      <c r="A151" s="15" t="s">
        <v>195</v>
      </c>
      <c r="B151" t="s">
        <v>144</v>
      </c>
      <c r="C151" t="s">
        <v>118</v>
      </c>
      <c r="E151">
        <v>2035</v>
      </c>
      <c r="F151" t="s">
        <v>46</v>
      </c>
      <c r="G151">
        <f>0.32064/0.388*-1*TECHNOLOGIES_RESOURCES!Y113</f>
        <v>0.17347918470134571</v>
      </c>
    </row>
    <row r="152" spans="1:7" x14ac:dyDescent="0.25">
      <c r="A152" s="15" t="s">
        <v>195</v>
      </c>
      <c r="B152" t="s">
        <v>144</v>
      </c>
      <c r="C152" t="s">
        <v>118</v>
      </c>
      <c r="E152">
        <v>2035</v>
      </c>
      <c r="F152" t="s">
        <v>41</v>
      </c>
      <c r="G152">
        <v>20</v>
      </c>
    </row>
    <row r="153" spans="1:7" x14ac:dyDescent="0.25">
      <c r="A153" s="15" t="s">
        <v>195</v>
      </c>
      <c r="B153" t="s">
        <v>133</v>
      </c>
      <c r="C153" t="s">
        <v>118</v>
      </c>
      <c r="E153">
        <v>2035</v>
      </c>
      <c r="F153" t="s">
        <v>45</v>
      </c>
      <c r="G153">
        <v>0.98</v>
      </c>
    </row>
    <row r="154" spans="1:7" x14ac:dyDescent="0.25">
      <c r="A154" s="15" t="s">
        <v>195</v>
      </c>
      <c r="B154" t="s">
        <v>133</v>
      </c>
      <c r="C154" t="s">
        <v>118</v>
      </c>
      <c r="E154">
        <v>2035</v>
      </c>
      <c r="F154" t="s">
        <v>39</v>
      </c>
      <c r="G154">
        <f>60.82</f>
        <v>60.82</v>
      </c>
    </row>
    <row r="155" spans="1:7" x14ac:dyDescent="0.25">
      <c r="A155" s="15" t="s">
        <v>195</v>
      </c>
      <c r="B155" t="s">
        <v>133</v>
      </c>
      <c r="C155" t="s">
        <v>118</v>
      </c>
      <c r="E155">
        <v>2035</v>
      </c>
      <c r="F155" t="s">
        <v>44</v>
      </c>
      <c r="G155">
        <v>6.16</v>
      </c>
    </row>
    <row r="156" spans="1:7" x14ac:dyDescent="0.25">
      <c r="A156" s="15" t="s">
        <v>195</v>
      </c>
      <c r="B156" t="s">
        <v>133</v>
      </c>
      <c r="C156" t="s">
        <v>118</v>
      </c>
      <c r="E156">
        <v>2035</v>
      </c>
      <c r="F156" t="s">
        <v>46</v>
      </c>
      <c r="G156">
        <f>0.32064/0.388*-1*TECHNOLOGIES_RESOURCES!Y101</f>
        <v>6.8609109278350511E-2</v>
      </c>
    </row>
    <row r="157" spans="1:7" x14ac:dyDescent="0.25">
      <c r="A157" s="15" t="s">
        <v>195</v>
      </c>
      <c r="B157" t="s">
        <v>133</v>
      </c>
      <c r="C157" t="s">
        <v>118</v>
      </c>
      <c r="E157">
        <v>2035</v>
      </c>
      <c r="F157" t="s">
        <v>41</v>
      </c>
      <c r="G157">
        <v>20</v>
      </c>
    </row>
    <row r="158" spans="1:7" x14ac:dyDescent="0.25">
      <c r="A158" s="15" t="s">
        <v>195</v>
      </c>
      <c r="B158" t="s">
        <v>132</v>
      </c>
      <c r="C158" t="s">
        <v>118</v>
      </c>
      <c r="E158">
        <v>2035</v>
      </c>
      <c r="F158" t="s">
        <v>45</v>
      </c>
      <c r="G158">
        <v>0.98</v>
      </c>
    </row>
    <row r="159" spans="1:7" x14ac:dyDescent="0.25">
      <c r="A159" s="15" t="s">
        <v>195</v>
      </c>
      <c r="B159" t="s">
        <v>132</v>
      </c>
      <c r="C159" t="s">
        <v>118</v>
      </c>
      <c r="E159">
        <v>2035</v>
      </c>
      <c r="F159" t="s">
        <v>39</v>
      </c>
      <c r="G159">
        <f>60.82</f>
        <v>60.82</v>
      </c>
    </row>
    <row r="160" spans="1:7" x14ac:dyDescent="0.25">
      <c r="A160" s="15" t="s">
        <v>195</v>
      </c>
      <c r="B160" t="s">
        <v>132</v>
      </c>
      <c r="C160" t="s">
        <v>118</v>
      </c>
      <c r="E160">
        <v>2035</v>
      </c>
      <c r="F160" t="s">
        <v>44</v>
      </c>
      <c r="G160">
        <v>6.16</v>
      </c>
    </row>
    <row r="161" spans="1:7" x14ac:dyDescent="0.25">
      <c r="A161" s="15" t="s">
        <v>195</v>
      </c>
      <c r="B161" t="s">
        <v>132</v>
      </c>
      <c r="C161" t="s">
        <v>118</v>
      </c>
      <c r="E161">
        <v>2035</v>
      </c>
      <c r="F161" t="s">
        <v>46</v>
      </c>
      <c r="G161">
        <f>0.32064/0.388*-1*TECHNOLOGIES_RESOURCES!Y98</f>
        <v>4.5885402061855665E-2</v>
      </c>
    </row>
    <row r="162" spans="1:7" x14ac:dyDescent="0.25">
      <c r="A162" s="15" t="s">
        <v>195</v>
      </c>
      <c r="B162" t="s">
        <v>132</v>
      </c>
      <c r="C162" t="s">
        <v>118</v>
      </c>
      <c r="E162">
        <v>2035</v>
      </c>
      <c r="F162" t="s">
        <v>41</v>
      </c>
      <c r="G162">
        <v>20</v>
      </c>
    </row>
    <row r="163" spans="1:7" x14ac:dyDescent="0.25">
      <c r="A163" s="15" t="s">
        <v>195</v>
      </c>
      <c r="B163" t="s">
        <v>135</v>
      </c>
      <c r="C163" t="s">
        <v>118</v>
      </c>
      <c r="E163">
        <v>2035</v>
      </c>
      <c r="F163" t="s">
        <v>45</v>
      </c>
      <c r="G163">
        <v>0.98</v>
      </c>
    </row>
    <row r="164" spans="1:7" x14ac:dyDescent="0.25">
      <c r="A164" s="15" t="s">
        <v>195</v>
      </c>
      <c r="B164" t="s">
        <v>135</v>
      </c>
      <c r="C164" t="s">
        <v>118</v>
      </c>
      <c r="E164">
        <v>2035</v>
      </c>
      <c r="F164" t="s">
        <v>39</v>
      </c>
      <c r="G164">
        <f>60.82</f>
        <v>60.82</v>
      </c>
    </row>
    <row r="165" spans="1:7" x14ac:dyDescent="0.25">
      <c r="A165" s="15" t="s">
        <v>195</v>
      </c>
      <c r="B165" t="s">
        <v>135</v>
      </c>
      <c r="C165" t="s">
        <v>118</v>
      </c>
      <c r="E165">
        <v>2035</v>
      </c>
      <c r="F165" t="s">
        <v>44</v>
      </c>
      <c r="G165">
        <v>6.16</v>
      </c>
    </row>
    <row r="166" spans="1:7" x14ac:dyDescent="0.25">
      <c r="A166" s="15" t="s">
        <v>195</v>
      </c>
      <c r="B166" t="s">
        <v>135</v>
      </c>
      <c r="C166" t="s">
        <v>118</v>
      </c>
      <c r="E166">
        <v>2035</v>
      </c>
      <c r="F166" t="s">
        <v>46</v>
      </c>
      <c r="G166">
        <f>0.32064/0.388*-1*TECHNOLOGIES_RESOURCES!Y104</f>
        <v>4.5885402061855665E-2</v>
      </c>
    </row>
    <row r="167" spans="1:7" x14ac:dyDescent="0.25">
      <c r="A167" s="15" t="s">
        <v>195</v>
      </c>
      <c r="B167" t="s">
        <v>135</v>
      </c>
      <c r="C167" t="s">
        <v>118</v>
      </c>
      <c r="E167">
        <v>2035</v>
      </c>
      <c r="F167" t="s">
        <v>41</v>
      </c>
      <c r="G167">
        <v>20</v>
      </c>
    </row>
    <row r="168" spans="1:7" x14ac:dyDescent="0.25">
      <c r="A168" s="15" t="s">
        <v>195</v>
      </c>
      <c r="B168" t="s">
        <v>134</v>
      </c>
      <c r="C168" t="s">
        <v>118</v>
      </c>
      <c r="E168">
        <v>2035</v>
      </c>
      <c r="F168" t="s">
        <v>45</v>
      </c>
      <c r="G168">
        <v>0.98</v>
      </c>
    </row>
    <row r="169" spans="1:7" x14ac:dyDescent="0.25">
      <c r="A169" s="15" t="s">
        <v>195</v>
      </c>
      <c r="B169" t="s">
        <v>134</v>
      </c>
      <c r="C169" t="s">
        <v>118</v>
      </c>
      <c r="E169">
        <v>2035</v>
      </c>
      <c r="F169" t="s">
        <v>39</v>
      </c>
      <c r="G169">
        <f>60.82</f>
        <v>60.82</v>
      </c>
    </row>
    <row r="170" spans="1:7" x14ac:dyDescent="0.25">
      <c r="A170" s="15" t="s">
        <v>195</v>
      </c>
      <c r="B170" t="s">
        <v>134</v>
      </c>
      <c r="C170" t="s">
        <v>118</v>
      </c>
      <c r="E170">
        <v>2035</v>
      </c>
      <c r="F170" t="s">
        <v>44</v>
      </c>
      <c r="G170">
        <v>6.16</v>
      </c>
    </row>
    <row r="171" spans="1:7" x14ac:dyDescent="0.25">
      <c r="A171" s="15" t="s">
        <v>195</v>
      </c>
      <c r="B171" t="s">
        <v>134</v>
      </c>
      <c r="C171" t="s">
        <v>118</v>
      </c>
      <c r="E171">
        <v>2035</v>
      </c>
      <c r="F171" t="s">
        <v>46</v>
      </c>
      <c r="G171">
        <f>0.32064/0.388*-1*TECHNOLOGIES_RESOURCES!Y103</f>
        <v>1.8616953402061848E-2</v>
      </c>
    </row>
    <row r="172" spans="1:7" x14ac:dyDescent="0.25">
      <c r="A172" s="15" t="s">
        <v>195</v>
      </c>
      <c r="B172" t="s">
        <v>134</v>
      </c>
      <c r="C172" t="s">
        <v>118</v>
      </c>
      <c r="E172">
        <v>2035</v>
      </c>
      <c r="F172" t="s">
        <v>41</v>
      </c>
      <c r="G172">
        <v>20</v>
      </c>
    </row>
    <row r="173" spans="1:7" x14ac:dyDescent="0.25">
      <c r="A173" s="15" t="s">
        <v>195</v>
      </c>
      <c r="B173" t="s">
        <v>148</v>
      </c>
      <c r="C173" t="s">
        <v>118</v>
      </c>
      <c r="E173">
        <v>2035</v>
      </c>
      <c r="F173" t="s">
        <v>45</v>
      </c>
      <c r="G173">
        <v>0.98</v>
      </c>
    </row>
    <row r="174" spans="1:7" x14ac:dyDescent="0.25">
      <c r="A174" s="15" t="s">
        <v>195</v>
      </c>
      <c r="B174" t="s">
        <v>148</v>
      </c>
      <c r="C174" t="s">
        <v>118</v>
      </c>
      <c r="E174">
        <v>2035</v>
      </c>
      <c r="F174" t="s">
        <v>39</v>
      </c>
      <c r="G174">
        <f>60.82</f>
        <v>60.82</v>
      </c>
    </row>
    <row r="175" spans="1:7" x14ac:dyDescent="0.25">
      <c r="A175" s="15" t="s">
        <v>195</v>
      </c>
      <c r="B175" t="s">
        <v>148</v>
      </c>
      <c r="C175" t="s">
        <v>118</v>
      </c>
      <c r="E175">
        <v>2035</v>
      </c>
      <c r="F175" t="s">
        <v>44</v>
      </c>
      <c r="G175">
        <v>6.16</v>
      </c>
    </row>
    <row r="176" spans="1:7" x14ac:dyDescent="0.25">
      <c r="A176" s="15" t="s">
        <v>195</v>
      </c>
      <c r="B176" t="s">
        <v>148</v>
      </c>
      <c r="C176" t="s">
        <v>118</v>
      </c>
      <c r="E176">
        <v>2035</v>
      </c>
      <c r="F176" t="s">
        <v>46</v>
      </c>
      <c r="G176">
        <f>0.32064/0.388*-1*TECHNOLOGIES_RESOURCES!Y105</f>
        <v>4.5885402061855665E-2</v>
      </c>
    </row>
    <row r="177" spans="1:7" x14ac:dyDescent="0.25">
      <c r="A177" s="15" t="s">
        <v>195</v>
      </c>
      <c r="B177" t="s">
        <v>148</v>
      </c>
      <c r="C177" t="s">
        <v>118</v>
      </c>
      <c r="E177">
        <v>2035</v>
      </c>
      <c r="F177" t="s">
        <v>41</v>
      </c>
      <c r="G177">
        <v>20</v>
      </c>
    </row>
    <row r="178" spans="1:7" x14ac:dyDescent="0.25">
      <c r="A178" s="15" t="s">
        <v>195</v>
      </c>
      <c r="B178" t="s">
        <v>149</v>
      </c>
      <c r="C178" t="s">
        <v>118</v>
      </c>
      <c r="E178">
        <v>2035</v>
      </c>
      <c r="F178" t="s">
        <v>45</v>
      </c>
      <c r="G178">
        <v>0.98</v>
      </c>
    </row>
    <row r="179" spans="1:7" x14ac:dyDescent="0.25">
      <c r="A179" s="15" t="s">
        <v>195</v>
      </c>
      <c r="B179" t="s">
        <v>149</v>
      </c>
      <c r="C179" t="s">
        <v>118</v>
      </c>
      <c r="E179">
        <v>2035</v>
      </c>
      <c r="F179" t="s">
        <v>39</v>
      </c>
      <c r="G179">
        <f>60.82</f>
        <v>60.82</v>
      </c>
    </row>
    <row r="180" spans="1:7" x14ac:dyDescent="0.25">
      <c r="A180" s="15" t="s">
        <v>195</v>
      </c>
      <c r="B180" t="s">
        <v>149</v>
      </c>
      <c r="C180" t="s">
        <v>118</v>
      </c>
      <c r="E180">
        <v>2035</v>
      </c>
      <c r="F180" t="s">
        <v>44</v>
      </c>
      <c r="G180">
        <v>6.16</v>
      </c>
    </row>
    <row r="181" spans="1:7" x14ac:dyDescent="0.25">
      <c r="A181" s="15" t="s">
        <v>195</v>
      </c>
      <c r="B181" t="s">
        <v>149</v>
      </c>
      <c r="C181" t="s">
        <v>118</v>
      </c>
      <c r="E181">
        <v>2035</v>
      </c>
      <c r="F181" t="s">
        <v>46</v>
      </c>
      <c r="G181">
        <f>0.32064/0.388*-1*TECHNOLOGIES_RESOURCES!Y106</f>
        <v>4.5885402061855665E-2</v>
      </c>
    </row>
    <row r="182" spans="1:7" x14ac:dyDescent="0.25">
      <c r="A182" s="15" t="s">
        <v>195</v>
      </c>
      <c r="B182" t="s">
        <v>149</v>
      </c>
      <c r="C182" t="s">
        <v>118</v>
      </c>
      <c r="E182">
        <v>2035</v>
      </c>
      <c r="F182" t="s">
        <v>41</v>
      </c>
      <c r="G182">
        <v>20</v>
      </c>
    </row>
    <row r="183" spans="1:7" x14ac:dyDescent="0.25">
      <c r="A183" s="15" t="s">
        <v>195</v>
      </c>
      <c r="B183" t="s">
        <v>150</v>
      </c>
      <c r="C183" t="s">
        <v>118</v>
      </c>
      <c r="E183">
        <v>2035</v>
      </c>
      <c r="F183" t="s">
        <v>45</v>
      </c>
      <c r="G183">
        <v>0.98</v>
      </c>
    </row>
    <row r="184" spans="1:7" x14ac:dyDescent="0.25">
      <c r="A184" s="15" t="s">
        <v>195</v>
      </c>
      <c r="B184" t="s">
        <v>150</v>
      </c>
      <c r="C184" t="s">
        <v>118</v>
      </c>
      <c r="E184">
        <v>2035</v>
      </c>
      <c r="F184" t="s">
        <v>39</v>
      </c>
      <c r="G184">
        <f>60.82</f>
        <v>60.82</v>
      </c>
    </row>
    <row r="185" spans="1:7" x14ac:dyDescent="0.25">
      <c r="A185" s="15" t="s">
        <v>195</v>
      </c>
      <c r="B185" t="s">
        <v>150</v>
      </c>
      <c r="C185" t="s">
        <v>118</v>
      </c>
      <c r="E185">
        <v>2035</v>
      </c>
      <c r="F185" t="s">
        <v>44</v>
      </c>
      <c r="G185">
        <v>6.16</v>
      </c>
    </row>
    <row r="186" spans="1:7" x14ac:dyDescent="0.25">
      <c r="A186" s="15" t="s">
        <v>195</v>
      </c>
      <c r="B186" t="s">
        <v>150</v>
      </c>
      <c r="C186" t="s">
        <v>118</v>
      </c>
      <c r="E186">
        <v>2035</v>
      </c>
      <c r="F186" t="s">
        <v>46</v>
      </c>
      <c r="G186">
        <f>0.32064/0.388*-1*TECHNOLOGIES_RESOURCES!Y107</f>
        <v>1.8616953402061848E-2</v>
      </c>
    </row>
    <row r="187" spans="1:7" x14ac:dyDescent="0.25">
      <c r="A187" s="15" t="s">
        <v>195</v>
      </c>
      <c r="B187" t="s">
        <v>150</v>
      </c>
      <c r="C187" t="s">
        <v>118</v>
      </c>
      <c r="E187">
        <v>2035</v>
      </c>
      <c r="F187" t="s">
        <v>41</v>
      </c>
      <c r="G187">
        <v>20</v>
      </c>
    </row>
    <row r="188" spans="1:7" x14ac:dyDescent="0.25">
      <c r="A188" s="15" t="s">
        <v>195</v>
      </c>
      <c r="B188" t="s">
        <v>151</v>
      </c>
      <c r="C188" t="s">
        <v>118</v>
      </c>
      <c r="E188">
        <v>2035</v>
      </c>
      <c r="F188" t="s">
        <v>45</v>
      </c>
      <c r="G188">
        <v>0.98</v>
      </c>
    </row>
    <row r="189" spans="1:7" x14ac:dyDescent="0.25">
      <c r="A189" s="15" t="s">
        <v>195</v>
      </c>
      <c r="B189" t="s">
        <v>151</v>
      </c>
      <c r="C189" t="s">
        <v>118</v>
      </c>
      <c r="E189">
        <v>2035</v>
      </c>
      <c r="F189" t="s">
        <v>39</v>
      </c>
      <c r="G189">
        <f>60.82</f>
        <v>60.82</v>
      </c>
    </row>
    <row r="190" spans="1:7" x14ac:dyDescent="0.25">
      <c r="A190" s="15" t="s">
        <v>195</v>
      </c>
      <c r="B190" t="s">
        <v>151</v>
      </c>
      <c r="C190" t="s">
        <v>118</v>
      </c>
      <c r="E190">
        <v>2035</v>
      </c>
      <c r="F190" t="s">
        <v>44</v>
      </c>
      <c r="G190">
        <v>6.16</v>
      </c>
    </row>
    <row r="191" spans="1:7" x14ac:dyDescent="0.25">
      <c r="A191" s="15" t="s">
        <v>195</v>
      </c>
      <c r="B191" t="s">
        <v>151</v>
      </c>
      <c r="C191" t="s">
        <v>118</v>
      </c>
      <c r="E191">
        <v>2035</v>
      </c>
      <c r="F191" t="s">
        <v>46</v>
      </c>
      <c r="G191">
        <f>0.32064/0.388*-1*TECHNOLOGIES_RESOURCES!Y108</f>
        <v>4.1340660618556693E-2</v>
      </c>
    </row>
    <row r="192" spans="1:7" x14ac:dyDescent="0.25">
      <c r="A192" s="15" t="s">
        <v>195</v>
      </c>
      <c r="B192" t="s">
        <v>151</v>
      </c>
      <c r="C192" t="s">
        <v>118</v>
      </c>
      <c r="E192">
        <v>2035</v>
      </c>
      <c r="F192" t="s">
        <v>41</v>
      </c>
      <c r="G192">
        <v>20</v>
      </c>
    </row>
    <row r="193" spans="1:7" hidden="1" x14ac:dyDescent="0.25">
      <c r="A193" s="15" t="s">
        <v>196</v>
      </c>
      <c r="B193" t="s">
        <v>142</v>
      </c>
      <c r="C193" t="s">
        <v>118</v>
      </c>
      <c r="E193">
        <v>2030</v>
      </c>
      <c r="F193" t="s">
        <v>45</v>
      </c>
      <c r="G193">
        <v>0.7</v>
      </c>
    </row>
    <row r="194" spans="1:7" hidden="1" x14ac:dyDescent="0.25">
      <c r="A194" s="15" t="s">
        <v>196</v>
      </c>
      <c r="B194" t="s">
        <v>142</v>
      </c>
      <c r="C194" t="s">
        <v>118</v>
      </c>
      <c r="E194">
        <v>2040</v>
      </c>
      <c r="F194" t="s">
        <v>45</v>
      </c>
      <c r="G194">
        <v>0.8</v>
      </c>
    </row>
    <row r="195" spans="1:7" hidden="1" x14ac:dyDescent="0.25">
      <c r="A195" s="15" t="s">
        <v>196</v>
      </c>
      <c r="B195" t="s">
        <v>142</v>
      </c>
      <c r="C195" t="s">
        <v>118</v>
      </c>
      <c r="E195">
        <v>2030</v>
      </c>
      <c r="F195" t="s">
        <v>39</v>
      </c>
      <c r="G195">
        <f>400*TECHNOLOGIES_RESOURCES!Y110*-1*G193</f>
        <v>58.778625954198468</v>
      </c>
    </row>
    <row r="196" spans="1:7" hidden="1" x14ac:dyDescent="0.25">
      <c r="A196" s="15" t="s">
        <v>196</v>
      </c>
      <c r="B196" t="s">
        <v>142</v>
      </c>
      <c r="C196" t="s">
        <v>118</v>
      </c>
      <c r="E196">
        <v>2050</v>
      </c>
      <c r="F196" t="s">
        <v>39</v>
      </c>
      <c r="G196">
        <f>296*TECHNOLOGIES_RESOURCES!Y110*-1*G193</f>
        <v>43.496183206106871</v>
      </c>
    </row>
    <row r="197" spans="1:7" hidden="1" x14ac:dyDescent="0.25">
      <c r="A197" s="15" t="s">
        <v>196</v>
      </c>
      <c r="B197" t="s">
        <v>142</v>
      </c>
      <c r="C197" t="s">
        <v>118</v>
      </c>
      <c r="E197">
        <v>2030</v>
      </c>
      <c r="F197" t="s">
        <v>44</v>
      </c>
      <c r="G197">
        <f>0.07*G195</f>
        <v>4.114503816793893</v>
      </c>
    </row>
    <row r="198" spans="1:7" hidden="1" x14ac:dyDescent="0.25">
      <c r="A198" s="15" t="s">
        <v>196</v>
      </c>
      <c r="B198" t="s">
        <v>142</v>
      </c>
      <c r="C198" t="s">
        <v>118</v>
      </c>
      <c r="E198">
        <v>2030</v>
      </c>
      <c r="F198" t="s">
        <v>46</v>
      </c>
      <c r="G198">
        <f>0.22*G193*-1*TECHNOLOGIES_RESOURCES!Y110</f>
        <v>3.2328244274809161E-2</v>
      </c>
    </row>
    <row r="199" spans="1:7" hidden="1" x14ac:dyDescent="0.25">
      <c r="A199" s="15" t="s">
        <v>196</v>
      </c>
      <c r="B199" t="s">
        <v>142</v>
      </c>
      <c r="C199" t="s">
        <v>118</v>
      </c>
      <c r="E199">
        <v>2030</v>
      </c>
      <c r="F199" t="s">
        <v>41</v>
      </c>
      <c r="G199">
        <v>20</v>
      </c>
    </row>
    <row r="200" spans="1:7" hidden="1" x14ac:dyDescent="0.25">
      <c r="A200" s="15" t="s">
        <v>196</v>
      </c>
      <c r="B200" t="s">
        <v>136</v>
      </c>
      <c r="C200" t="s">
        <v>118</v>
      </c>
      <c r="E200">
        <v>2030</v>
      </c>
      <c r="F200" t="s">
        <v>45</v>
      </c>
      <c r="G200">
        <v>0.7</v>
      </c>
    </row>
    <row r="201" spans="1:7" hidden="1" x14ac:dyDescent="0.25">
      <c r="A201" s="15" t="s">
        <v>196</v>
      </c>
      <c r="B201" t="s">
        <v>136</v>
      </c>
      <c r="C201" t="s">
        <v>118</v>
      </c>
      <c r="E201">
        <v>2040</v>
      </c>
      <c r="F201" t="s">
        <v>45</v>
      </c>
      <c r="G201">
        <v>0.8</v>
      </c>
    </row>
    <row r="202" spans="1:7" hidden="1" x14ac:dyDescent="0.25">
      <c r="A202" s="15" t="s">
        <v>196</v>
      </c>
      <c r="B202" t="s">
        <v>136</v>
      </c>
      <c r="C202" t="s">
        <v>118</v>
      </c>
      <c r="E202">
        <v>2030</v>
      </c>
      <c r="F202" t="s">
        <v>39</v>
      </c>
      <c r="G202">
        <f>400*TECHNOLOGIES_RESOURCES!Y88*-1*G200</f>
        <v>23.246300000000002</v>
      </c>
    </row>
    <row r="203" spans="1:7" hidden="1" x14ac:dyDescent="0.25">
      <c r="A203" s="15" t="s">
        <v>196</v>
      </c>
      <c r="B203" t="s">
        <v>136</v>
      </c>
      <c r="C203" t="s">
        <v>118</v>
      </c>
      <c r="E203">
        <v>2050</v>
      </c>
      <c r="F203" t="s">
        <v>39</v>
      </c>
      <c r="G203">
        <f>296*TECHNOLOGIES_RESOURCES!Y88*-1*G200</f>
        <v>17.202262000000001</v>
      </c>
    </row>
    <row r="204" spans="1:7" hidden="1" x14ac:dyDescent="0.25">
      <c r="A204" s="15" t="s">
        <v>196</v>
      </c>
      <c r="B204" t="s">
        <v>136</v>
      </c>
      <c r="C204" t="s">
        <v>118</v>
      </c>
      <c r="E204">
        <v>2030</v>
      </c>
      <c r="F204" t="s">
        <v>44</v>
      </c>
      <c r="G204">
        <f>0.07*G202</f>
        <v>1.6272410000000002</v>
      </c>
    </row>
    <row r="205" spans="1:7" hidden="1" x14ac:dyDescent="0.25">
      <c r="A205" s="15" t="s">
        <v>196</v>
      </c>
      <c r="B205" t="s">
        <v>136</v>
      </c>
      <c r="C205" t="s">
        <v>118</v>
      </c>
      <c r="E205">
        <v>2030</v>
      </c>
      <c r="F205" t="s">
        <v>46</v>
      </c>
      <c r="G205">
        <f>0.22*G200*-1*TECHNOLOGIES_RESOURCES!Y88</f>
        <v>1.2785464999999999E-2</v>
      </c>
    </row>
    <row r="206" spans="1:7" hidden="1" x14ac:dyDescent="0.25">
      <c r="A206" s="15" t="s">
        <v>196</v>
      </c>
      <c r="B206" t="s">
        <v>136</v>
      </c>
      <c r="C206" t="s">
        <v>118</v>
      </c>
      <c r="E206">
        <v>2030</v>
      </c>
      <c r="F206" t="s">
        <v>41</v>
      </c>
      <c r="G206">
        <v>20</v>
      </c>
    </row>
    <row r="207" spans="1:7" hidden="1" x14ac:dyDescent="0.25">
      <c r="A207" s="15" t="s">
        <v>196</v>
      </c>
      <c r="B207" t="s">
        <v>137</v>
      </c>
      <c r="C207" t="s">
        <v>118</v>
      </c>
      <c r="E207">
        <v>2030</v>
      </c>
      <c r="F207" t="s">
        <v>45</v>
      </c>
      <c r="G207">
        <v>0.7</v>
      </c>
    </row>
    <row r="208" spans="1:7" hidden="1" x14ac:dyDescent="0.25">
      <c r="A208" s="15" t="s">
        <v>196</v>
      </c>
      <c r="B208" t="s">
        <v>137</v>
      </c>
      <c r="C208" t="s">
        <v>118</v>
      </c>
      <c r="E208">
        <v>2040</v>
      </c>
      <c r="F208" t="s">
        <v>45</v>
      </c>
      <c r="G208">
        <v>0.8</v>
      </c>
    </row>
    <row r="209" spans="1:7" hidden="1" x14ac:dyDescent="0.25">
      <c r="A209" s="15" t="s">
        <v>196</v>
      </c>
      <c r="B209" t="s">
        <v>137</v>
      </c>
      <c r="C209" t="s">
        <v>118</v>
      </c>
      <c r="E209">
        <v>2030</v>
      </c>
      <c r="F209" t="s">
        <v>39</v>
      </c>
      <c r="G209">
        <f>400*TECHNOLOGIES_RESOURCES!Y89*-1*G207</f>
        <v>6.3078399999999979</v>
      </c>
    </row>
    <row r="210" spans="1:7" hidden="1" x14ac:dyDescent="0.25">
      <c r="A210" s="15" t="s">
        <v>196</v>
      </c>
      <c r="B210" t="s">
        <v>137</v>
      </c>
      <c r="C210" t="s">
        <v>118</v>
      </c>
      <c r="E210">
        <v>2050</v>
      </c>
      <c r="F210" t="s">
        <v>39</v>
      </c>
      <c r="G210">
        <f>296*TECHNOLOGIES_RESOURCES!Y89*-1*G208</f>
        <v>5.3346303999999982</v>
      </c>
    </row>
    <row r="211" spans="1:7" hidden="1" x14ac:dyDescent="0.25">
      <c r="A211" s="15" t="s">
        <v>196</v>
      </c>
      <c r="B211" t="s">
        <v>137</v>
      </c>
      <c r="C211" t="s">
        <v>118</v>
      </c>
      <c r="E211">
        <v>2030</v>
      </c>
      <c r="F211" t="s">
        <v>44</v>
      </c>
      <c r="G211">
        <f>0.07*G209</f>
        <v>0.44154879999999991</v>
      </c>
    </row>
    <row r="212" spans="1:7" hidden="1" x14ac:dyDescent="0.25">
      <c r="A212" s="15" t="s">
        <v>196</v>
      </c>
      <c r="B212" t="s">
        <v>137</v>
      </c>
      <c r="C212" t="s">
        <v>118</v>
      </c>
      <c r="E212">
        <v>2030</v>
      </c>
      <c r="F212" t="s">
        <v>46</v>
      </c>
      <c r="G212">
        <f>0.22*G207*-1*TECHNOLOGIES_RESOURCES!Y89</f>
        <v>3.4693119999999987E-3</v>
      </c>
    </row>
    <row r="213" spans="1:7" hidden="1" x14ac:dyDescent="0.25">
      <c r="A213" s="15" t="s">
        <v>196</v>
      </c>
      <c r="B213" t="s">
        <v>137</v>
      </c>
      <c r="C213" t="s">
        <v>118</v>
      </c>
      <c r="E213">
        <v>2030</v>
      </c>
      <c r="F213" t="s">
        <v>41</v>
      </c>
      <c r="G213">
        <v>20</v>
      </c>
    </row>
    <row r="214" spans="1:7" hidden="1" x14ac:dyDescent="0.25">
      <c r="A214" s="15" t="s">
        <v>196</v>
      </c>
      <c r="B214" t="s">
        <v>138</v>
      </c>
      <c r="C214" t="s">
        <v>118</v>
      </c>
      <c r="E214">
        <v>2030</v>
      </c>
      <c r="F214" t="s">
        <v>45</v>
      </c>
      <c r="G214">
        <v>0.7</v>
      </c>
    </row>
    <row r="215" spans="1:7" hidden="1" x14ac:dyDescent="0.25">
      <c r="A215" s="15" t="s">
        <v>196</v>
      </c>
      <c r="B215" t="s">
        <v>138</v>
      </c>
      <c r="C215" t="s">
        <v>118</v>
      </c>
      <c r="E215">
        <v>2040</v>
      </c>
      <c r="F215" t="s">
        <v>45</v>
      </c>
      <c r="G215">
        <v>0.8</v>
      </c>
    </row>
    <row r="216" spans="1:7" hidden="1" x14ac:dyDescent="0.25">
      <c r="A216" s="15" t="s">
        <v>196</v>
      </c>
      <c r="B216" t="s">
        <v>138</v>
      </c>
      <c r="C216" t="s">
        <v>118</v>
      </c>
      <c r="E216">
        <v>2030</v>
      </c>
      <c r="F216" t="s">
        <v>39</v>
      </c>
      <c r="G216">
        <f>400*TECHNOLOGIES_RESOURCES!Y91*-1*G214</f>
        <v>15.546999999999999</v>
      </c>
    </row>
    <row r="217" spans="1:7" hidden="1" x14ac:dyDescent="0.25">
      <c r="A217" s="15" t="s">
        <v>196</v>
      </c>
      <c r="B217" t="s">
        <v>138</v>
      </c>
      <c r="C217" t="s">
        <v>118</v>
      </c>
      <c r="E217">
        <v>2050</v>
      </c>
      <c r="F217" t="s">
        <v>39</v>
      </c>
      <c r="G217">
        <f>296*TECHNOLOGIES_RESOURCES!Y91*-1*G215</f>
        <v>13.148319999999998</v>
      </c>
    </row>
    <row r="218" spans="1:7" hidden="1" x14ac:dyDescent="0.25">
      <c r="A218" s="15" t="s">
        <v>196</v>
      </c>
      <c r="B218" t="s">
        <v>138</v>
      </c>
      <c r="C218" t="s">
        <v>118</v>
      </c>
      <c r="E218">
        <v>2030</v>
      </c>
      <c r="F218" t="s">
        <v>44</v>
      </c>
      <c r="G218">
        <f>0.07*G216</f>
        <v>1.08829</v>
      </c>
    </row>
    <row r="219" spans="1:7" hidden="1" x14ac:dyDescent="0.25">
      <c r="A219" s="15" t="s">
        <v>196</v>
      </c>
      <c r="B219" t="s">
        <v>138</v>
      </c>
      <c r="C219" t="s">
        <v>118</v>
      </c>
      <c r="E219">
        <v>2030</v>
      </c>
      <c r="F219" t="s">
        <v>46</v>
      </c>
      <c r="G219">
        <f>0.22*G214*-1*TECHNOLOGIES_RESOURCES!Y91</f>
        <v>8.5508499999999987E-3</v>
      </c>
    </row>
    <row r="220" spans="1:7" hidden="1" x14ac:dyDescent="0.25">
      <c r="A220" s="15" t="s">
        <v>196</v>
      </c>
      <c r="B220" t="s">
        <v>138</v>
      </c>
      <c r="C220" t="s">
        <v>118</v>
      </c>
      <c r="E220">
        <v>2030</v>
      </c>
      <c r="F220" t="s">
        <v>41</v>
      </c>
      <c r="G220">
        <v>20</v>
      </c>
    </row>
    <row r="221" spans="1:7" hidden="1" x14ac:dyDescent="0.25">
      <c r="A221" s="15" t="s">
        <v>196</v>
      </c>
      <c r="B221" t="s">
        <v>139</v>
      </c>
      <c r="C221" t="s">
        <v>118</v>
      </c>
      <c r="E221">
        <v>2030</v>
      </c>
      <c r="F221" t="s">
        <v>45</v>
      </c>
      <c r="G221">
        <v>0.7</v>
      </c>
    </row>
    <row r="222" spans="1:7" hidden="1" x14ac:dyDescent="0.25">
      <c r="A222" s="15" t="s">
        <v>196</v>
      </c>
      <c r="B222" t="s">
        <v>139</v>
      </c>
      <c r="C222" t="s">
        <v>118</v>
      </c>
      <c r="E222">
        <v>2040</v>
      </c>
      <c r="F222" t="s">
        <v>45</v>
      </c>
      <c r="G222">
        <v>0.8</v>
      </c>
    </row>
    <row r="223" spans="1:7" hidden="1" x14ac:dyDescent="0.25">
      <c r="A223" s="15" t="s">
        <v>196</v>
      </c>
      <c r="B223" t="s">
        <v>139</v>
      </c>
      <c r="C223" t="s">
        <v>118</v>
      </c>
      <c r="E223">
        <v>2030</v>
      </c>
      <c r="F223" t="s">
        <v>39</v>
      </c>
      <c r="G223">
        <f>400*TECHNOLOGIES_RESOURCES!Y92*-1*G221</f>
        <v>23.246300000000002</v>
      </c>
    </row>
    <row r="224" spans="1:7" hidden="1" x14ac:dyDescent="0.25">
      <c r="A224" s="15" t="s">
        <v>196</v>
      </c>
      <c r="B224" t="s">
        <v>139</v>
      </c>
      <c r="C224" t="s">
        <v>118</v>
      </c>
      <c r="E224">
        <v>2050</v>
      </c>
      <c r="F224" t="s">
        <v>39</v>
      </c>
      <c r="G224">
        <f>296*TECHNOLOGIES_RESOURCES!Y92*-1*G222</f>
        <v>19.659728000000001</v>
      </c>
    </row>
    <row r="225" spans="1:7" hidden="1" x14ac:dyDescent="0.25">
      <c r="A225" s="15" t="s">
        <v>196</v>
      </c>
      <c r="B225" t="s">
        <v>139</v>
      </c>
      <c r="C225" t="s">
        <v>118</v>
      </c>
      <c r="E225">
        <v>2030</v>
      </c>
      <c r="F225" t="s">
        <v>44</v>
      </c>
      <c r="G225">
        <f>0.07*G223</f>
        <v>1.6272410000000002</v>
      </c>
    </row>
    <row r="226" spans="1:7" hidden="1" x14ac:dyDescent="0.25">
      <c r="A226" s="15" t="s">
        <v>196</v>
      </c>
      <c r="B226" t="s">
        <v>139</v>
      </c>
      <c r="C226" t="s">
        <v>118</v>
      </c>
      <c r="E226">
        <v>2030</v>
      </c>
      <c r="F226" t="s">
        <v>46</v>
      </c>
      <c r="G226">
        <f>0.22*G221*-1*TECHNOLOGIES_RESOURCES!Y92</f>
        <v>1.2785464999999999E-2</v>
      </c>
    </row>
    <row r="227" spans="1:7" hidden="1" x14ac:dyDescent="0.25">
      <c r="A227" s="15" t="s">
        <v>196</v>
      </c>
      <c r="B227" t="s">
        <v>139</v>
      </c>
      <c r="C227" t="s">
        <v>118</v>
      </c>
      <c r="E227">
        <v>2030</v>
      </c>
      <c r="F227" t="s">
        <v>41</v>
      </c>
      <c r="G227">
        <v>20</v>
      </c>
    </row>
    <row r="228" spans="1:7" x14ac:dyDescent="0.25">
      <c r="A228" s="15" t="s">
        <v>195</v>
      </c>
      <c r="B228" t="s">
        <v>142</v>
      </c>
      <c r="C228" t="s">
        <v>118</v>
      </c>
      <c r="E228">
        <v>2035</v>
      </c>
      <c r="F228" t="s">
        <v>45</v>
      </c>
      <c r="G228">
        <v>0.98</v>
      </c>
    </row>
    <row r="229" spans="1:7" x14ac:dyDescent="0.25">
      <c r="A229" s="15" t="s">
        <v>195</v>
      </c>
      <c r="B229" t="s">
        <v>142</v>
      </c>
      <c r="C229" t="s">
        <v>118</v>
      </c>
      <c r="E229">
        <v>2035</v>
      </c>
      <c r="F229" t="s">
        <v>39</v>
      </c>
      <c r="G229">
        <f>60.82</f>
        <v>60.82</v>
      </c>
    </row>
    <row r="230" spans="1:7" x14ac:dyDescent="0.25">
      <c r="A230" s="15" t="s">
        <v>195</v>
      </c>
      <c r="B230" t="s">
        <v>142</v>
      </c>
      <c r="C230" t="s">
        <v>118</v>
      </c>
      <c r="E230">
        <v>2035</v>
      </c>
      <c r="F230" t="s">
        <v>44</v>
      </c>
      <c r="G230">
        <v>6.16</v>
      </c>
    </row>
    <row r="231" spans="1:7" x14ac:dyDescent="0.25">
      <c r="A231" s="15" t="s">
        <v>195</v>
      </c>
      <c r="B231" t="s">
        <v>142</v>
      </c>
      <c r="C231" t="s">
        <v>118</v>
      </c>
      <c r="E231">
        <v>2035</v>
      </c>
      <c r="F231" t="s">
        <v>46</v>
      </c>
      <c r="G231">
        <f>0.32064/0.388*-1*TECHNOLOGIES_RESOURCES!Y110</f>
        <v>0.17347918470134571</v>
      </c>
    </row>
    <row r="232" spans="1:7" x14ac:dyDescent="0.25">
      <c r="A232" s="15" t="s">
        <v>195</v>
      </c>
      <c r="B232" t="s">
        <v>142</v>
      </c>
      <c r="C232" t="s">
        <v>118</v>
      </c>
      <c r="E232">
        <v>2035</v>
      </c>
      <c r="F232" t="s">
        <v>41</v>
      </c>
      <c r="G232">
        <v>20</v>
      </c>
    </row>
    <row r="233" spans="1:7" x14ac:dyDescent="0.25">
      <c r="A233" s="15" t="s">
        <v>195</v>
      </c>
      <c r="B233" t="s">
        <v>136</v>
      </c>
      <c r="C233" t="s">
        <v>118</v>
      </c>
      <c r="E233">
        <v>2035</v>
      </c>
      <c r="F233" t="s">
        <v>45</v>
      </c>
      <c r="G233">
        <v>0.98</v>
      </c>
    </row>
    <row r="234" spans="1:7" x14ac:dyDescent="0.25">
      <c r="A234" s="15" t="s">
        <v>195</v>
      </c>
      <c r="B234" t="s">
        <v>136</v>
      </c>
      <c r="C234" t="s">
        <v>118</v>
      </c>
      <c r="E234">
        <v>2035</v>
      </c>
      <c r="F234" t="s">
        <v>39</v>
      </c>
      <c r="G234">
        <f>60.82</f>
        <v>60.82</v>
      </c>
    </row>
    <row r="235" spans="1:7" x14ac:dyDescent="0.25">
      <c r="A235" s="15" t="s">
        <v>195</v>
      </c>
      <c r="B235" t="s">
        <v>136</v>
      </c>
      <c r="C235" t="s">
        <v>118</v>
      </c>
      <c r="E235">
        <v>2035</v>
      </c>
      <c r="F235" t="s">
        <v>44</v>
      </c>
      <c r="G235">
        <v>6.16</v>
      </c>
    </row>
    <row r="236" spans="1:7" x14ac:dyDescent="0.25">
      <c r="A236" s="15" t="s">
        <v>195</v>
      </c>
      <c r="B236" t="s">
        <v>136</v>
      </c>
      <c r="C236" t="s">
        <v>118</v>
      </c>
      <c r="E236">
        <v>2035</v>
      </c>
      <c r="F236" t="s">
        <v>46</v>
      </c>
      <c r="G236">
        <f>0.32064/0.388*-1*TECHNOLOGIES_RESOURCES!Y88</f>
        <v>6.8609109278350511E-2</v>
      </c>
    </row>
    <row r="237" spans="1:7" x14ac:dyDescent="0.25">
      <c r="A237" s="15" t="s">
        <v>195</v>
      </c>
      <c r="B237" t="s">
        <v>136</v>
      </c>
      <c r="C237" t="s">
        <v>118</v>
      </c>
      <c r="E237">
        <v>2035</v>
      </c>
      <c r="F237" t="s">
        <v>41</v>
      </c>
      <c r="G237">
        <v>20</v>
      </c>
    </row>
    <row r="238" spans="1:7" x14ac:dyDescent="0.25">
      <c r="A238" s="15" t="s">
        <v>195</v>
      </c>
      <c r="B238" t="s">
        <v>137</v>
      </c>
      <c r="C238" t="s">
        <v>118</v>
      </c>
      <c r="E238">
        <v>2035</v>
      </c>
      <c r="F238" t="s">
        <v>45</v>
      </c>
      <c r="G238">
        <v>0.98</v>
      </c>
    </row>
    <row r="239" spans="1:7" x14ac:dyDescent="0.25">
      <c r="A239" s="15" t="s">
        <v>195</v>
      </c>
      <c r="B239" t="s">
        <v>137</v>
      </c>
      <c r="C239" t="s">
        <v>118</v>
      </c>
      <c r="E239">
        <v>2035</v>
      </c>
      <c r="F239" t="s">
        <v>39</v>
      </c>
      <c r="G239">
        <f>60.82</f>
        <v>60.82</v>
      </c>
    </row>
    <row r="240" spans="1:7" x14ac:dyDescent="0.25">
      <c r="A240" s="15" t="s">
        <v>195</v>
      </c>
      <c r="B240" t="s">
        <v>137</v>
      </c>
      <c r="C240" t="s">
        <v>118</v>
      </c>
      <c r="E240">
        <v>2035</v>
      </c>
      <c r="F240" t="s">
        <v>44</v>
      </c>
      <c r="G240">
        <v>6.16</v>
      </c>
    </row>
    <row r="241" spans="1:7" x14ac:dyDescent="0.25">
      <c r="A241" s="15" t="s">
        <v>195</v>
      </c>
      <c r="B241" t="s">
        <v>137</v>
      </c>
      <c r="C241" t="s">
        <v>118</v>
      </c>
      <c r="E241">
        <v>2035</v>
      </c>
      <c r="F241" t="s">
        <v>46</v>
      </c>
      <c r="G241">
        <f>0.32064/0.388*-1*TECHNOLOGIES_RESOURCES!Y89</f>
        <v>1.8616953402061848E-2</v>
      </c>
    </row>
    <row r="242" spans="1:7" x14ac:dyDescent="0.25">
      <c r="A242" s="15" t="s">
        <v>195</v>
      </c>
      <c r="B242" t="s">
        <v>137</v>
      </c>
      <c r="C242" t="s">
        <v>118</v>
      </c>
      <c r="E242">
        <v>2035</v>
      </c>
      <c r="F242" t="s">
        <v>41</v>
      </c>
      <c r="G242">
        <v>20</v>
      </c>
    </row>
    <row r="243" spans="1:7" x14ac:dyDescent="0.25">
      <c r="A243" s="15" t="s">
        <v>195</v>
      </c>
      <c r="B243" t="s">
        <v>138</v>
      </c>
      <c r="C243" t="s">
        <v>118</v>
      </c>
      <c r="E243">
        <v>2035</v>
      </c>
      <c r="F243" t="s">
        <v>45</v>
      </c>
      <c r="G243">
        <v>0.98</v>
      </c>
    </row>
    <row r="244" spans="1:7" x14ac:dyDescent="0.25">
      <c r="A244" s="15" t="s">
        <v>195</v>
      </c>
      <c r="B244" t="s">
        <v>138</v>
      </c>
      <c r="C244" t="s">
        <v>118</v>
      </c>
      <c r="E244">
        <v>2035</v>
      </c>
      <c r="F244" t="s">
        <v>39</v>
      </c>
      <c r="G244">
        <f>60.82</f>
        <v>60.82</v>
      </c>
    </row>
    <row r="245" spans="1:7" x14ac:dyDescent="0.25">
      <c r="A245" s="15" t="s">
        <v>195</v>
      </c>
      <c r="B245" t="s">
        <v>138</v>
      </c>
      <c r="C245" t="s">
        <v>118</v>
      </c>
      <c r="E245">
        <v>2035</v>
      </c>
      <c r="F245" t="s">
        <v>44</v>
      </c>
      <c r="G245">
        <v>6.16</v>
      </c>
    </row>
    <row r="246" spans="1:7" x14ac:dyDescent="0.25">
      <c r="A246" s="15" t="s">
        <v>195</v>
      </c>
      <c r="B246" t="s">
        <v>138</v>
      </c>
      <c r="C246" t="s">
        <v>118</v>
      </c>
      <c r="E246">
        <v>2035</v>
      </c>
      <c r="F246" t="s">
        <v>46</v>
      </c>
      <c r="G246">
        <f>0.32064/0.388*-1*TECHNOLOGIES_RESOURCES!Y91</f>
        <v>4.5885402061855665E-2</v>
      </c>
    </row>
    <row r="247" spans="1:7" x14ac:dyDescent="0.25">
      <c r="A247" s="15" t="s">
        <v>195</v>
      </c>
      <c r="B247" t="s">
        <v>138</v>
      </c>
      <c r="C247" t="s">
        <v>118</v>
      </c>
      <c r="E247">
        <v>2035</v>
      </c>
      <c r="F247" t="s">
        <v>41</v>
      </c>
      <c r="G247">
        <v>20</v>
      </c>
    </row>
    <row r="248" spans="1:7" x14ac:dyDescent="0.25">
      <c r="A248" s="15" t="s">
        <v>195</v>
      </c>
      <c r="B248" t="s">
        <v>139</v>
      </c>
      <c r="C248" t="s">
        <v>118</v>
      </c>
      <c r="E248">
        <v>2035</v>
      </c>
      <c r="F248" t="s">
        <v>45</v>
      </c>
      <c r="G248">
        <v>0.98</v>
      </c>
    </row>
    <row r="249" spans="1:7" x14ac:dyDescent="0.25">
      <c r="A249" s="15" t="s">
        <v>195</v>
      </c>
      <c r="B249" t="s">
        <v>139</v>
      </c>
      <c r="C249" t="s">
        <v>118</v>
      </c>
      <c r="E249">
        <v>2035</v>
      </c>
      <c r="F249" t="s">
        <v>39</v>
      </c>
      <c r="G249">
        <f>60.82</f>
        <v>60.82</v>
      </c>
    </row>
    <row r="250" spans="1:7" x14ac:dyDescent="0.25">
      <c r="A250" s="15" t="s">
        <v>195</v>
      </c>
      <c r="B250" t="s">
        <v>139</v>
      </c>
      <c r="C250" t="s">
        <v>118</v>
      </c>
      <c r="E250">
        <v>2035</v>
      </c>
      <c r="F250" t="s">
        <v>44</v>
      </c>
      <c r="G250">
        <v>6.16</v>
      </c>
    </row>
    <row r="251" spans="1:7" x14ac:dyDescent="0.25">
      <c r="A251" s="15" t="s">
        <v>195</v>
      </c>
      <c r="B251" t="s">
        <v>139</v>
      </c>
      <c r="C251" t="s">
        <v>118</v>
      </c>
      <c r="E251">
        <v>2035</v>
      </c>
      <c r="F251" t="s">
        <v>46</v>
      </c>
      <c r="G251">
        <f>0.32064/0.388*-1*TECHNOLOGIES_RESOURCES!Y92</f>
        <v>6.8609109278350511E-2</v>
      </c>
    </row>
    <row r="252" spans="1:7" x14ac:dyDescent="0.25">
      <c r="A252" s="15" t="s">
        <v>195</v>
      </c>
      <c r="B252" t="s">
        <v>139</v>
      </c>
      <c r="C252" t="s">
        <v>118</v>
      </c>
      <c r="E252">
        <v>2035</v>
      </c>
      <c r="F252" t="s">
        <v>41</v>
      </c>
      <c r="G252">
        <v>20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71"/>
  <sheetViews>
    <sheetView workbookViewId="0">
      <selection activeCell="D19" sqref="D19"/>
    </sheetView>
  </sheetViews>
  <sheetFormatPr baseColWidth="10" defaultRowHeight="15" x14ac:dyDescent="0.25"/>
  <cols>
    <col min="4" max="4" width="30.140625" customWidth="1"/>
  </cols>
  <sheetData>
    <row r="1" spans="1:5" x14ac:dyDescent="0.25">
      <c r="A1" t="s">
        <v>43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1" t="s">
        <v>56</v>
      </c>
      <c r="B2" s="12"/>
      <c r="C2" s="12">
        <v>2035</v>
      </c>
      <c r="D2" s="12" t="s">
        <v>79</v>
      </c>
      <c r="E2" s="13"/>
    </row>
    <row r="3" spans="1:5" x14ac:dyDescent="0.25">
      <c r="A3" s="11" t="s">
        <v>56</v>
      </c>
      <c r="B3" s="12"/>
      <c r="C3" s="12">
        <v>2040</v>
      </c>
      <c r="D3" s="12" t="s">
        <v>79</v>
      </c>
      <c r="E3" s="13"/>
    </row>
    <row r="4" spans="1:5" x14ac:dyDescent="0.25">
      <c r="A4" s="11" t="s">
        <v>56</v>
      </c>
      <c r="B4" s="12"/>
      <c r="C4" s="12">
        <v>2050</v>
      </c>
      <c r="D4" s="12" t="s">
        <v>79</v>
      </c>
      <c r="E4" s="13"/>
    </row>
    <row r="5" spans="1:5" x14ac:dyDescent="0.25">
      <c r="A5" s="11"/>
      <c r="B5" s="12" t="s">
        <v>23</v>
      </c>
      <c r="C5" s="12">
        <v>2015</v>
      </c>
      <c r="D5" s="12" t="s">
        <v>171</v>
      </c>
      <c r="E5" s="13">
        <v>1.0500000000000001E-2</v>
      </c>
    </row>
    <row r="6" spans="1:5" x14ac:dyDescent="0.25">
      <c r="A6" s="11"/>
      <c r="B6" s="12" t="s">
        <v>78</v>
      </c>
      <c r="C6" s="12">
        <v>2015</v>
      </c>
      <c r="D6" s="12" t="s">
        <v>171</v>
      </c>
      <c r="E6" s="13">
        <v>1.1900000000000001E-2</v>
      </c>
    </row>
    <row r="7" spans="1:5" x14ac:dyDescent="0.25">
      <c r="A7" s="11"/>
      <c r="B7" s="12" t="s">
        <v>76</v>
      </c>
      <c r="C7" s="12">
        <v>2015</v>
      </c>
      <c r="D7" s="12" t="s">
        <v>171</v>
      </c>
      <c r="E7" s="13">
        <v>4.0800000000000003E-2</v>
      </c>
    </row>
    <row r="8" spans="1:5" x14ac:dyDescent="0.25">
      <c r="A8" s="11"/>
      <c r="B8" s="12" t="s">
        <v>75</v>
      </c>
      <c r="C8" s="12">
        <v>2015</v>
      </c>
      <c r="D8" s="12" t="s">
        <v>171</v>
      </c>
      <c r="E8" s="13">
        <v>4.1200000000000001E-2</v>
      </c>
    </row>
    <row r="9" spans="1:5" x14ac:dyDescent="0.25">
      <c r="A9" s="11"/>
      <c r="B9" s="12" t="s">
        <v>24</v>
      </c>
      <c r="C9" s="12">
        <v>2015</v>
      </c>
      <c r="D9" s="12" t="s">
        <v>171</v>
      </c>
      <c r="E9" s="13">
        <v>2.58E-2</v>
      </c>
    </row>
    <row r="10" spans="1:5" x14ac:dyDescent="0.25">
      <c r="A10" s="11"/>
      <c r="B10" s="12" t="s">
        <v>77</v>
      </c>
      <c r="C10" s="12">
        <v>2015</v>
      </c>
      <c r="D10" s="12" t="s">
        <v>171</v>
      </c>
      <c r="E10" s="13">
        <v>1.32E-2</v>
      </c>
    </row>
    <row r="11" spans="1:5" x14ac:dyDescent="0.25">
      <c r="A11" s="11"/>
      <c r="B11" s="12"/>
      <c r="C11" s="12">
        <v>2050</v>
      </c>
      <c r="D11" s="12" t="s">
        <v>171</v>
      </c>
      <c r="E11" s="13">
        <v>5.0000000000000001E-3</v>
      </c>
    </row>
    <row r="12" spans="1:5" x14ac:dyDescent="0.25">
      <c r="A12" s="52" t="s">
        <v>86</v>
      </c>
      <c r="B12" s="50"/>
      <c r="C12" s="50">
        <v>2015</v>
      </c>
      <c r="D12" s="50" t="s">
        <v>204</v>
      </c>
      <c r="E12" s="51">
        <v>0.12</v>
      </c>
    </row>
    <row r="13" spans="1:5" x14ac:dyDescent="0.25">
      <c r="A13" s="52" t="s">
        <v>86</v>
      </c>
      <c r="B13" s="50"/>
      <c r="C13" s="50">
        <v>2021</v>
      </c>
      <c r="D13" s="50" t="s">
        <v>204</v>
      </c>
      <c r="E13" s="51">
        <v>0.12</v>
      </c>
    </row>
    <row r="14" spans="1:5" x14ac:dyDescent="0.25">
      <c r="A14" s="52" t="s">
        <v>86</v>
      </c>
      <c r="B14" s="50"/>
      <c r="C14" s="50">
        <v>2030</v>
      </c>
      <c r="D14" s="50" t="s">
        <v>204</v>
      </c>
      <c r="E14" s="51">
        <v>0.25</v>
      </c>
    </row>
    <row r="15" spans="1:5" x14ac:dyDescent="0.25">
      <c r="A15" s="52" t="s">
        <v>86</v>
      </c>
      <c r="B15" s="50"/>
      <c r="C15" s="50">
        <v>2050</v>
      </c>
      <c r="D15" s="50" t="s">
        <v>204</v>
      </c>
      <c r="E15" s="51">
        <v>0.65</v>
      </c>
    </row>
    <row r="16" spans="1:5" x14ac:dyDescent="0.25">
      <c r="A16" s="52"/>
      <c r="B16" s="50"/>
      <c r="C16" s="50"/>
      <c r="D16" s="50" t="s">
        <v>205</v>
      </c>
      <c r="E16" s="51">
        <v>28</v>
      </c>
    </row>
    <row r="17" spans="1:5" x14ac:dyDescent="0.25">
      <c r="A17" s="11"/>
      <c r="B17" s="12"/>
      <c r="C17" s="12">
        <v>2030</v>
      </c>
      <c r="D17" s="12" t="s">
        <v>152</v>
      </c>
      <c r="E17" s="13">
        <v>21.24</v>
      </c>
    </row>
    <row r="18" spans="1:5" x14ac:dyDescent="0.25">
      <c r="A18" s="11"/>
      <c r="B18" s="12"/>
      <c r="C18" s="12">
        <v>2050</v>
      </c>
      <c r="D18" s="12" t="s">
        <v>152</v>
      </c>
      <c r="E18" s="13">
        <v>17.149999999999999</v>
      </c>
    </row>
    <row r="19" spans="1:5" x14ac:dyDescent="0.25">
      <c r="A19" s="11"/>
      <c r="B19" s="12"/>
      <c r="C19" s="12">
        <v>2015</v>
      </c>
      <c r="D19" s="12" t="s">
        <v>42</v>
      </c>
      <c r="E19" s="13">
        <v>0</v>
      </c>
    </row>
    <row r="20" spans="1:5" x14ac:dyDescent="0.25">
      <c r="A20" s="11"/>
      <c r="B20" s="12"/>
      <c r="C20" s="12">
        <v>2020</v>
      </c>
      <c r="D20" s="12" t="s">
        <v>42</v>
      </c>
      <c r="E20" s="13">
        <v>0</v>
      </c>
    </row>
    <row r="21" spans="1:5" x14ac:dyDescent="0.25">
      <c r="A21" s="11"/>
      <c r="B21" s="12"/>
      <c r="C21" s="12">
        <v>2025</v>
      </c>
      <c r="D21" s="12" t="s">
        <v>42</v>
      </c>
      <c r="E21" s="13">
        <v>25</v>
      </c>
    </row>
    <row r="22" spans="1:5" x14ac:dyDescent="0.25">
      <c r="A22" s="11"/>
      <c r="B22" s="12"/>
      <c r="C22" s="12">
        <v>2030</v>
      </c>
      <c r="D22" s="12" t="s">
        <v>42</v>
      </c>
      <c r="E22" s="13">
        <v>50</v>
      </c>
    </row>
    <row r="23" spans="1:5" x14ac:dyDescent="0.25">
      <c r="A23" s="11"/>
      <c r="B23" s="12"/>
      <c r="C23" s="12">
        <v>2050</v>
      </c>
      <c r="D23" s="12" t="s">
        <v>42</v>
      </c>
      <c r="E23" s="13">
        <v>150</v>
      </c>
    </row>
    <row r="24" spans="1:5" x14ac:dyDescent="0.25">
      <c r="A24" s="11" t="s">
        <v>56</v>
      </c>
      <c r="B24" s="12" t="s">
        <v>23</v>
      </c>
      <c r="C24" s="12">
        <v>2015</v>
      </c>
      <c r="D24" s="12" t="s">
        <v>191</v>
      </c>
      <c r="E24" s="22">
        <v>0</v>
      </c>
    </row>
    <row r="25" spans="1:5" x14ac:dyDescent="0.25">
      <c r="A25" s="11" t="s">
        <v>56</v>
      </c>
      <c r="B25" s="12" t="s">
        <v>23</v>
      </c>
      <c r="C25" s="12">
        <v>2020</v>
      </c>
      <c r="D25" s="12" t="s">
        <v>191</v>
      </c>
      <c r="E25" s="22">
        <v>0</v>
      </c>
    </row>
    <row r="26" spans="1:5" x14ac:dyDescent="0.25">
      <c r="A26" s="11" t="s">
        <v>56</v>
      </c>
      <c r="B26" s="12" t="s">
        <v>23</v>
      </c>
      <c r="C26" s="12">
        <v>2030</v>
      </c>
      <c r="D26" s="12" t="s">
        <v>191</v>
      </c>
      <c r="E26" s="45">
        <v>5139877</v>
      </c>
    </row>
    <row r="27" spans="1:5" x14ac:dyDescent="0.25">
      <c r="A27" s="11" t="s">
        <v>56</v>
      </c>
      <c r="B27" s="12" t="s">
        <v>23</v>
      </c>
      <c r="C27" s="12">
        <v>2050</v>
      </c>
      <c r="D27" s="12" t="s">
        <v>191</v>
      </c>
      <c r="E27" s="45">
        <v>12849693</v>
      </c>
    </row>
    <row r="28" spans="1:5" x14ac:dyDescent="0.25">
      <c r="A28" s="11" t="s">
        <v>56</v>
      </c>
      <c r="B28" s="12" t="s">
        <v>24</v>
      </c>
      <c r="C28" s="12">
        <v>2015</v>
      </c>
      <c r="D28" s="12" t="s">
        <v>191</v>
      </c>
      <c r="E28" s="22">
        <v>0</v>
      </c>
    </row>
    <row r="29" spans="1:5" x14ac:dyDescent="0.25">
      <c r="A29" s="11" t="s">
        <v>56</v>
      </c>
      <c r="B29" s="12" t="s">
        <v>24</v>
      </c>
      <c r="C29" s="12">
        <v>2020</v>
      </c>
      <c r="D29" s="12" t="s">
        <v>191</v>
      </c>
      <c r="E29" s="22">
        <v>0</v>
      </c>
    </row>
    <row r="30" spans="1:5" x14ac:dyDescent="0.25">
      <c r="A30" s="11" t="s">
        <v>56</v>
      </c>
      <c r="B30" s="12" t="s">
        <v>24</v>
      </c>
      <c r="C30" s="12">
        <v>2030</v>
      </c>
      <c r="D30" s="12" t="s">
        <v>191</v>
      </c>
      <c r="E30" s="23">
        <v>6074400</v>
      </c>
    </row>
    <row r="31" spans="1:5" x14ac:dyDescent="0.25">
      <c r="A31" s="11" t="s">
        <v>56</v>
      </c>
      <c r="B31" s="12" t="s">
        <v>24</v>
      </c>
      <c r="C31" s="12">
        <v>2050</v>
      </c>
      <c r="D31" s="12" t="s">
        <v>191</v>
      </c>
      <c r="E31" s="23">
        <v>11681539</v>
      </c>
    </row>
    <row r="32" spans="1:5" x14ac:dyDescent="0.25">
      <c r="A32" s="11" t="s">
        <v>56</v>
      </c>
      <c r="B32" s="12" t="s">
        <v>75</v>
      </c>
      <c r="C32" s="12">
        <v>2015</v>
      </c>
      <c r="D32" s="12" t="s">
        <v>191</v>
      </c>
      <c r="E32" s="22">
        <v>0</v>
      </c>
    </row>
    <row r="33" spans="1:5" x14ac:dyDescent="0.25">
      <c r="A33" s="11" t="s">
        <v>56</v>
      </c>
      <c r="B33" s="12" t="s">
        <v>75</v>
      </c>
      <c r="C33" s="12">
        <v>2020</v>
      </c>
      <c r="D33" s="12" t="s">
        <v>191</v>
      </c>
      <c r="E33" s="22">
        <v>0</v>
      </c>
    </row>
    <row r="34" spans="1:5" x14ac:dyDescent="0.25">
      <c r="A34" s="11" t="s">
        <v>56</v>
      </c>
      <c r="B34" s="12" t="s">
        <v>75</v>
      </c>
      <c r="C34" s="12">
        <v>2030</v>
      </c>
      <c r="D34" s="12" t="s">
        <v>191</v>
      </c>
      <c r="E34" s="23">
        <v>4205354</v>
      </c>
    </row>
    <row r="35" spans="1:5" x14ac:dyDescent="0.25">
      <c r="A35" s="11" t="s">
        <v>56</v>
      </c>
      <c r="B35" s="12" t="s">
        <v>75</v>
      </c>
      <c r="C35" s="12">
        <v>2050</v>
      </c>
      <c r="D35" s="12" t="s">
        <v>191</v>
      </c>
      <c r="E35" s="23">
        <v>6619538</v>
      </c>
    </row>
    <row r="36" spans="1:5" x14ac:dyDescent="0.25">
      <c r="A36" s="11" t="s">
        <v>56</v>
      </c>
      <c r="B36" s="12" t="s">
        <v>76</v>
      </c>
      <c r="C36" s="12">
        <v>2015</v>
      </c>
      <c r="D36" s="12" t="s">
        <v>191</v>
      </c>
      <c r="E36" s="22">
        <v>0</v>
      </c>
    </row>
    <row r="37" spans="1:5" x14ac:dyDescent="0.25">
      <c r="A37" s="11" t="s">
        <v>56</v>
      </c>
      <c r="B37" s="12" t="s">
        <v>76</v>
      </c>
      <c r="C37" s="12">
        <v>2020</v>
      </c>
      <c r="D37" s="12" t="s">
        <v>191</v>
      </c>
      <c r="E37" s="22">
        <v>0</v>
      </c>
    </row>
    <row r="38" spans="1:5" x14ac:dyDescent="0.25">
      <c r="A38" s="11" t="s">
        <v>56</v>
      </c>
      <c r="B38" s="12" t="s">
        <v>76</v>
      </c>
      <c r="C38" s="12">
        <v>2030</v>
      </c>
      <c r="D38" s="12" t="s">
        <v>191</v>
      </c>
      <c r="E38" s="23">
        <v>2336307</v>
      </c>
    </row>
    <row r="39" spans="1:5" x14ac:dyDescent="0.25">
      <c r="A39" s="11" t="s">
        <v>56</v>
      </c>
      <c r="B39" s="12" t="s">
        <v>76</v>
      </c>
      <c r="C39" s="12">
        <v>2050</v>
      </c>
      <c r="D39" s="12" t="s">
        <v>191</v>
      </c>
      <c r="E39" s="23">
        <v>4789431</v>
      </c>
    </row>
    <row r="40" spans="1:5" x14ac:dyDescent="0.25">
      <c r="A40" s="11" t="s">
        <v>56</v>
      </c>
      <c r="B40" s="12" t="s">
        <v>77</v>
      </c>
      <c r="C40" s="12">
        <v>2015</v>
      </c>
      <c r="D40" s="12" t="s">
        <v>191</v>
      </c>
      <c r="E40" s="22">
        <v>0</v>
      </c>
    </row>
    <row r="41" spans="1:5" x14ac:dyDescent="0.25">
      <c r="A41" s="11" t="s">
        <v>56</v>
      </c>
      <c r="B41" s="12" t="s">
        <v>77</v>
      </c>
      <c r="C41" s="12">
        <v>2020</v>
      </c>
      <c r="D41" s="12" t="s">
        <v>191</v>
      </c>
      <c r="E41" s="22">
        <v>0</v>
      </c>
    </row>
    <row r="42" spans="1:5" x14ac:dyDescent="0.25">
      <c r="A42" s="11" t="s">
        <v>56</v>
      </c>
      <c r="B42" s="12" t="s">
        <v>77</v>
      </c>
      <c r="C42" s="12">
        <v>2030</v>
      </c>
      <c r="D42" s="12" t="s">
        <v>191</v>
      </c>
      <c r="E42" s="23">
        <v>2959323</v>
      </c>
    </row>
    <row r="43" spans="1:5" x14ac:dyDescent="0.25">
      <c r="A43" s="11" t="s">
        <v>56</v>
      </c>
      <c r="B43" s="12" t="s">
        <v>77</v>
      </c>
      <c r="C43" s="12">
        <v>2050</v>
      </c>
      <c r="D43" s="12" t="s">
        <v>191</v>
      </c>
      <c r="E43" s="23">
        <v>10513385</v>
      </c>
    </row>
    <row r="44" spans="1:5" x14ac:dyDescent="0.25">
      <c r="A44" s="11" t="s">
        <v>56</v>
      </c>
      <c r="B44" s="12" t="s">
        <v>78</v>
      </c>
      <c r="C44" s="12">
        <v>2015</v>
      </c>
      <c r="D44" s="12" t="s">
        <v>191</v>
      </c>
      <c r="E44" s="22">
        <v>0</v>
      </c>
    </row>
    <row r="45" spans="1:5" x14ac:dyDescent="0.25">
      <c r="A45" s="11" t="s">
        <v>56</v>
      </c>
      <c r="B45" s="12" t="s">
        <v>78</v>
      </c>
      <c r="C45" s="12">
        <v>2020</v>
      </c>
      <c r="D45" s="12" t="s">
        <v>191</v>
      </c>
      <c r="E45" s="22">
        <v>0</v>
      </c>
    </row>
    <row r="46" spans="1:5" x14ac:dyDescent="0.25">
      <c r="A46" s="11" t="s">
        <v>56</v>
      </c>
      <c r="B46" s="12" t="s">
        <v>78</v>
      </c>
      <c r="C46" s="12">
        <v>2030</v>
      </c>
      <c r="D46" s="12" t="s">
        <v>191</v>
      </c>
      <c r="E46" s="23">
        <v>467261</v>
      </c>
    </row>
    <row r="47" spans="1:5" x14ac:dyDescent="0.25">
      <c r="A47" s="11" t="s">
        <v>56</v>
      </c>
      <c r="B47" s="12" t="s">
        <v>78</v>
      </c>
      <c r="C47" s="12">
        <v>2050</v>
      </c>
      <c r="D47" s="12" t="s">
        <v>191</v>
      </c>
      <c r="E47" s="23">
        <v>934523</v>
      </c>
    </row>
    <row r="48" spans="1:5" x14ac:dyDescent="0.25">
      <c r="A48" s="44" t="s">
        <v>56</v>
      </c>
      <c r="B48" s="43" t="s">
        <v>23</v>
      </c>
      <c r="C48" s="43">
        <v>2015</v>
      </c>
      <c r="D48" s="43" t="s">
        <v>192</v>
      </c>
      <c r="E48" s="22">
        <v>0</v>
      </c>
    </row>
    <row r="49" spans="1:5" x14ac:dyDescent="0.25">
      <c r="A49" s="44" t="s">
        <v>56</v>
      </c>
      <c r="B49" s="43" t="s">
        <v>23</v>
      </c>
      <c r="C49" s="43">
        <v>2020</v>
      </c>
      <c r="D49" s="43" t="s">
        <v>192</v>
      </c>
      <c r="E49" s="22">
        <v>0</v>
      </c>
    </row>
    <row r="50" spans="1:5" x14ac:dyDescent="0.25">
      <c r="A50" s="44" t="s">
        <v>56</v>
      </c>
      <c r="B50" s="43" t="s">
        <v>23</v>
      </c>
      <c r="C50" s="43">
        <v>2030</v>
      </c>
      <c r="D50" s="43" t="s">
        <v>192</v>
      </c>
      <c r="E50" s="22">
        <v>225843</v>
      </c>
    </row>
    <row r="51" spans="1:5" x14ac:dyDescent="0.25">
      <c r="A51" s="44" t="s">
        <v>56</v>
      </c>
      <c r="B51" s="43" t="s">
        <v>23</v>
      </c>
      <c r="C51" s="43">
        <v>2050</v>
      </c>
      <c r="D51" s="43" t="s">
        <v>192</v>
      </c>
      <c r="E51" s="46">
        <v>5139877</v>
      </c>
    </row>
    <row r="52" spans="1:5" x14ac:dyDescent="0.25">
      <c r="A52" s="44" t="s">
        <v>56</v>
      </c>
      <c r="B52" s="43" t="s">
        <v>24</v>
      </c>
      <c r="C52" s="43">
        <v>2015</v>
      </c>
      <c r="D52" s="43" t="s">
        <v>192</v>
      </c>
      <c r="E52" s="22">
        <v>0</v>
      </c>
    </row>
    <row r="53" spans="1:5" x14ac:dyDescent="0.25">
      <c r="A53" s="44" t="s">
        <v>56</v>
      </c>
      <c r="B53" s="43" t="s">
        <v>24</v>
      </c>
      <c r="C53" s="43">
        <v>2020</v>
      </c>
      <c r="D53" s="43" t="s">
        <v>192</v>
      </c>
      <c r="E53" s="22">
        <v>0</v>
      </c>
    </row>
    <row r="54" spans="1:5" x14ac:dyDescent="0.25">
      <c r="A54" s="44" t="s">
        <v>56</v>
      </c>
      <c r="B54" s="43" t="s">
        <v>24</v>
      </c>
      <c r="C54" s="43">
        <v>2030</v>
      </c>
      <c r="D54" s="43" t="s">
        <v>192</v>
      </c>
      <c r="E54" s="46">
        <v>280356</v>
      </c>
    </row>
    <row r="55" spans="1:5" x14ac:dyDescent="0.25">
      <c r="A55" s="44" t="s">
        <v>56</v>
      </c>
      <c r="B55" s="43" t="s">
        <v>24</v>
      </c>
      <c r="C55" s="43">
        <v>2050</v>
      </c>
      <c r="D55" s="43" t="s">
        <v>192</v>
      </c>
      <c r="E55" s="46">
        <v>6619538</v>
      </c>
    </row>
    <row r="56" spans="1:5" x14ac:dyDescent="0.25">
      <c r="A56" s="44" t="s">
        <v>56</v>
      </c>
      <c r="B56" s="43" t="s">
        <v>75</v>
      </c>
      <c r="C56" s="43">
        <v>2015</v>
      </c>
      <c r="D56" s="43" t="s">
        <v>192</v>
      </c>
      <c r="E56" s="22">
        <v>0</v>
      </c>
    </row>
    <row r="57" spans="1:5" x14ac:dyDescent="0.25">
      <c r="A57" s="44" t="s">
        <v>56</v>
      </c>
      <c r="B57" s="43" t="s">
        <v>75</v>
      </c>
      <c r="C57" s="43">
        <v>2020</v>
      </c>
      <c r="D57" s="43" t="s">
        <v>192</v>
      </c>
      <c r="E57" s="22">
        <v>0</v>
      </c>
    </row>
    <row r="58" spans="1:5" x14ac:dyDescent="0.25">
      <c r="A58" s="44" t="s">
        <v>56</v>
      </c>
      <c r="B58" s="43" t="s">
        <v>75</v>
      </c>
      <c r="C58" s="43">
        <v>2030</v>
      </c>
      <c r="D58" s="43" t="s">
        <v>192</v>
      </c>
      <c r="E58" s="23">
        <v>218055</v>
      </c>
    </row>
    <row r="59" spans="1:5" x14ac:dyDescent="0.25">
      <c r="A59" s="44" t="s">
        <v>56</v>
      </c>
      <c r="B59" s="43" t="s">
        <v>75</v>
      </c>
      <c r="C59" s="43">
        <v>2050</v>
      </c>
      <c r="D59" s="43" t="s">
        <v>192</v>
      </c>
      <c r="E59" s="23">
        <v>4438984</v>
      </c>
    </row>
    <row r="60" spans="1:5" x14ac:dyDescent="0.25">
      <c r="A60" s="44" t="s">
        <v>56</v>
      </c>
      <c r="B60" s="43" t="s">
        <v>76</v>
      </c>
      <c r="C60" s="43">
        <v>2015</v>
      </c>
      <c r="D60" s="43" t="s">
        <v>192</v>
      </c>
      <c r="E60" s="22">
        <v>0</v>
      </c>
    </row>
    <row r="61" spans="1:5" x14ac:dyDescent="0.25">
      <c r="A61" s="44" t="s">
        <v>56</v>
      </c>
      <c r="B61" s="43" t="s">
        <v>76</v>
      </c>
      <c r="C61" s="43">
        <v>2020</v>
      </c>
      <c r="D61" s="43" t="s">
        <v>192</v>
      </c>
      <c r="E61" s="22">
        <v>0</v>
      </c>
    </row>
    <row r="62" spans="1:5" x14ac:dyDescent="0.25">
      <c r="A62" s="44" t="s">
        <v>56</v>
      </c>
      <c r="B62" s="43" t="s">
        <v>76</v>
      </c>
      <c r="C62" s="43">
        <v>2030</v>
      </c>
      <c r="D62" s="43" t="s">
        <v>192</v>
      </c>
      <c r="E62" s="23">
        <v>218055</v>
      </c>
    </row>
    <row r="63" spans="1:5" x14ac:dyDescent="0.25">
      <c r="A63" s="44" t="s">
        <v>56</v>
      </c>
      <c r="B63" s="43" t="s">
        <v>76</v>
      </c>
      <c r="C63" s="43">
        <v>2050</v>
      </c>
      <c r="D63" s="43" t="s">
        <v>192</v>
      </c>
      <c r="E63" s="23">
        <v>4283231</v>
      </c>
    </row>
    <row r="64" spans="1:5" x14ac:dyDescent="0.25">
      <c r="A64" s="44" t="s">
        <v>56</v>
      </c>
      <c r="B64" s="43" t="s">
        <v>77</v>
      </c>
      <c r="C64" s="43">
        <v>2015</v>
      </c>
      <c r="D64" s="43" t="s">
        <v>192</v>
      </c>
      <c r="E64" s="22">
        <v>0</v>
      </c>
    </row>
    <row r="65" spans="1:5" x14ac:dyDescent="0.25">
      <c r="A65" s="44" t="s">
        <v>56</v>
      </c>
      <c r="B65" s="43" t="s">
        <v>77</v>
      </c>
      <c r="C65" s="43">
        <v>2020</v>
      </c>
      <c r="D65" s="43" t="s">
        <v>192</v>
      </c>
      <c r="E65" s="22">
        <v>0</v>
      </c>
    </row>
    <row r="66" spans="1:5" x14ac:dyDescent="0.25">
      <c r="A66" s="44" t="s">
        <v>56</v>
      </c>
      <c r="B66" s="43" t="s">
        <v>77</v>
      </c>
      <c r="C66" s="43">
        <v>2030</v>
      </c>
      <c r="D66" s="43" t="s">
        <v>192</v>
      </c>
      <c r="E66" s="23">
        <v>237524</v>
      </c>
    </row>
    <row r="67" spans="1:5" x14ac:dyDescent="0.25">
      <c r="A67" s="44" t="s">
        <v>56</v>
      </c>
      <c r="B67" s="43" t="s">
        <v>77</v>
      </c>
      <c r="C67" s="43">
        <v>2050</v>
      </c>
      <c r="D67" s="43" t="s">
        <v>192</v>
      </c>
      <c r="E67" s="23">
        <v>5139877</v>
      </c>
    </row>
    <row r="68" spans="1:5" x14ac:dyDescent="0.25">
      <c r="A68" s="44" t="s">
        <v>56</v>
      </c>
      <c r="B68" s="43" t="s">
        <v>78</v>
      </c>
      <c r="C68" s="43">
        <v>2015</v>
      </c>
      <c r="D68" s="43" t="s">
        <v>192</v>
      </c>
      <c r="E68" s="22">
        <v>0</v>
      </c>
    </row>
    <row r="69" spans="1:5" x14ac:dyDescent="0.25">
      <c r="A69" s="44" t="s">
        <v>56</v>
      </c>
      <c r="B69" s="43" t="s">
        <v>78</v>
      </c>
      <c r="C69" s="43">
        <v>2020</v>
      </c>
      <c r="D69" s="43" t="s">
        <v>192</v>
      </c>
      <c r="E69" s="22">
        <v>0</v>
      </c>
    </row>
    <row r="70" spans="1:5" x14ac:dyDescent="0.25">
      <c r="A70" s="44" t="s">
        <v>56</v>
      </c>
      <c r="B70" s="43" t="s">
        <v>78</v>
      </c>
      <c r="C70" s="43">
        <v>2030</v>
      </c>
      <c r="D70" s="43" t="s">
        <v>192</v>
      </c>
      <c r="E70" s="23">
        <v>15575</v>
      </c>
    </row>
    <row r="71" spans="1:5" x14ac:dyDescent="0.25">
      <c r="A71" s="44" t="s">
        <v>56</v>
      </c>
      <c r="B71" s="43" t="s">
        <v>78</v>
      </c>
      <c r="C71" s="43">
        <v>2050</v>
      </c>
      <c r="D71" s="43" t="s">
        <v>192</v>
      </c>
      <c r="E71" s="23">
        <v>155753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CCS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2024-02-07T16:18:00Z</dcterms:modified>
</cp:coreProperties>
</file>